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FL_project\"/>
    </mc:Choice>
  </mc:AlternateContent>
  <xr:revisionPtr revIDLastSave="0" documentId="13_ncr:1_{EE4947C8-C590-4D82-B82E-6118FEEAB988}" xr6:coauthVersionLast="47" xr6:coauthVersionMax="47" xr10:uidLastSave="{00000000-0000-0000-0000-000000000000}"/>
  <bookViews>
    <workbookView xWindow="-108" yWindow="-108" windowWidth="23256" windowHeight="12576" activeTab="1" xr2:uid="{B1BC0E0D-5B19-4707-8C9A-DD835A486048}"/>
  </bookViews>
  <sheets>
    <sheet name="Life table" sheetId="2" r:id="rId1"/>
    <sheet name="Sheet2" sheetId="5" r:id="rId2"/>
    <sheet name="adult longevity" sheetId="3" r:id="rId3"/>
    <sheet name="No. of eggs" sheetId="4" r:id="rId4"/>
    <sheet name="Proximate analysis" sheetId="6" r:id="rId5"/>
    <sheet name="fatty acid" sheetId="7" r:id="rId6"/>
    <sheet name="Sheet5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AO5" i="2"/>
  <c r="AO6" i="2"/>
  <c r="AO7" i="2"/>
  <c r="AO8" i="2"/>
  <c r="AO11" i="2"/>
  <c r="AO13" i="2"/>
  <c r="AO16" i="2"/>
  <c r="AO17" i="2"/>
  <c r="AG16" i="2"/>
  <c r="AG17" i="2"/>
  <c r="AG6" i="2"/>
  <c r="AG7" i="2"/>
  <c r="AG8" i="2"/>
  <c r="AG5" i="2"/>
  <c r="Y17" i="2"/>
  <c r="Q17" i="2"/>
  <c r="Q16" i="2"/>
  <c r="Q6" i="2"/>
  <c r="Q7" i="2"/>
  <c r="Q8" i="2"/>
  <c r="Q5" i="2"/>
  <c r="I17" i="2"/>
  <c r="I16" i="2"/>
  <c r="I6" i="2"/>
  <c r="I7" i="2"/>
  <c r="I8" i="2"/>
  <c r="I5" i="2"/>
  <c r="Y6" i="2"/>
  <c r="Y7" i="2"/>
  <c r="Y8" i="2"/>
  <c r="Y5" i="2"/>
  <c r="W16" i="2"/>
  <c r="X16" i="2" s="1"/>
  <c r="P17" i="2"/>
  <c r="P16" i="2"/>
  <c r="AN6" i="2"/>
  <c r="AN7" i="2"/>
  <c r="AN8" i="2"/>
  <c r="AN16" i="2"/>
  <c r="AN17" i="2"/>
  <c r="AN19" i="2"/>
  <c r="AN20" i="2"/>
  <c r="AN5" i="2"/>
  <c r="AF6" i="2"/>
  <c r="AF7" i="2"/>
  <c r="AF8" i="2"/>
  <c r="AF16" i="2"/>
  <c r="AF17" i="2"/>
  <c r="AF19" i="2"/>
  <c r="AF20" i="2"/>
  <c r="AF5" i="2"/>
  <c r="X17" i="2"/>
  <c r="H16" i="2"/>
  <c r="H17" i="2"/>
  <c r="X6" i="2"/>
  <c r="X7" i="2"/>
  <c r="X8" i="2"/>
  <c r="X19" i="2"/>
  <c r="X20" i="2"/>
  <c r="X5" i="2"/>
  <c r="P6" i="2"/>
  <c r="P7" i="2"/>
  <c r="P8" i="2"/>
  <c r="P19" i="2"/>
  <c r="P20" i="2"/>
  <c r="P5" i="2"/>
  <c r="H6" i="2"/>
  <c r="H7" i="2"/>
  <c r="H19" i="2"/>
  <c r="H20" i="2"/>
  <c r="H5" i="2"/>
  <c r="K9" i="3"/>
  <c r="J9" i="3"/>
  <c r="I9" i="3"/>
  <c r="H9" i="3"/>
  <c r="G9" i="3"/>
  <c r="F9" i="3"/>
  <c r="E9" i="3"/>
  <c r="D9" i="3"/>
  <c r="C9" i="3"/>
  <c r="B9" i="3"/>
  <c r="K7" i="3"/>
  <c r="K6" i="3"/>
  <c r="K5" i="3"/>
  <c r="K4" i="3"/>
  <c r="J7" i="3"/>
  <c r="J6" i="3"/>
  <c r="J5" i="3"/>
  <c r="J4" i="3"/>
  <c r="I6" i="3"/>
  <c r="I5" i="3"/>
  <c r="I4" i="3"/>
  <c r="H5" i="3"/>
  <c r="H4" i="3"/>
  <c r="G5" i="3"/>
  <c r="G4" i="3"/>
  <c r="F5" i="3"/>
  <c r="F4" i="3"/>
  <c r="E7" i="3"/>
  <c r="E8" i="3"/>
  <c r="E6" i="3"/>
  <c r="E5" i="3"/>
  <c r="E4" i="3"/>
  <c r="D8" i="3"/>
  <c r="D7" i="3"/>
  <c r="D6" i="3"/>
  <c r="D5" i="3"/>
  <c r="D4" i="3"/>
  <c r="C8" i="3"/>
  <c r="C7" i="3"/>
  <c r="C6" i="3"/>
  <c r="C5" i="3"/>
  <c r="B7" i="3"/>
  <c r="B6" i="3"/>
  <c r="B5" i="3"/>
  <c r="C4" i="3"/>
  <c r="B4" i="3"/>
  <c r="AM9" i="2"/>
  <c r="AL9" i="2"/>
  <c r="AK9" i="2"/>
  <c r="AE9" i="2"/>
  <c r="AD9" i="2"/>
  <c r="AC9" i="2"/>
  <c r="W9" i="2"/>
  <c r="V9" i="2"/>
  <c r="U9" i="2"/>
  <c r="G9" i="2"/>
  <c r="F9" i="2"/>
  <c r="E9" i="2"/>
  <c r="AM13" i="2"/>
  <c r="AM10" i="2"/>
  <c r="AL13" i="2"/>
  <c r="AL10" i="2"/>
  <c r="AK13" i="2"/>
  <c r="AJ10" i="2"/>
  <c r="AI10" i="2"/>
  <c r="AK10" i="2"/>
  <c r="AE13" i="2"/>
  <c r="AE10" i="2"/>
  <c r="AD13" i="2"/>
  <c r="AD10" i="2"/>
  <c r="AC13" i="2"/>
  <c r="AB10" i="2"/>
  <c r="AA10" i="2"/>
  <c r="W10" i="2"/>
  <c r="W13" i="2"/>
  <c r="O10" i="2"/>
  <c r="L10" i="2"/>
  <c r="K10" i="2"/>
  <c r="V10" i="2"/>
  <c r="U10" i="2"/>
  <c r="V13" i="2"/>
  <c r="T10" i="2"/>
  <c r="S10" i="2"/>
  <c r="U13" i="2"/>
  <c r="O13" i="2"/>
  <c r="N10" i="2"/>
  <c r="N13" i="2"/>
  <c r="M13" i="2"/>
  <c r="AI14" i="2"/>
  <c r="AA14" i="2"/>
  <c r="S14" i="2"/>
  <c r="K14" i="2"/>
  <c r="G10" i="2"/>
  <c r="G13" i="2"/>
  <c r="E13" i="2"/>
  <c r="E10" i="2"/>
  <c r="F13" i="2"/>
  <c r="F10" i="2"/>
  <c r="AM11" i="2"/>
  <c r="AL11" i="2"/>
  <c r="AK11" i="2"/>
  <c r="AE11" i="2"/>
  <c r="AD11" i="2"/>
  <c r="AC11" i="2"/>
  <c r="AG11" i="2" s="1"/>
  <c r="W11" i="2"/>
  <c r="V11" i="2"/>
  <c r="U11" i="2"/>
  <c r="O11" i="2"/>
  <c r="N11" i="2"/>
  <c r="M11" i="2"/>
  <c r="AJ13" i="2"/>
  <c r="AB13" i="2"/>
  <c r="T13" i="2"/>
  <c r="L13" i="2"/>
  <c r="AI13" i="2"/>
  <c r="AA13" i="2"/>
  <c r="S13" i="2"/>
  <c r="K13" i="2"/>
  <c r="AH14" i="2"/>
  <c r="Z14" i="2"/>
  <c r="R14" i="2"/>
  <c r="J14" i="2"/>
  <c r="R13" i="2"/>
  <c r="R10" i="2"/>
  <c r="J13" i="2"/>
  <c r="Q13" i="2" s="1"/>
  <c r="Z13" i="2"/>
  <c r="Z10" i="2"/>
  <c r="AH13" i="2"/>
  <c r="AH10" i="2"/>
  <c r="J10" i="2"/>
  <c r="D13" i="2"/>
  <c r="D10" i="2"/>
  <c r="C13" i="2"/>
  <c r="C10" i="2"/>
  <c r="B13" i="2"/>
  <c r="AH11" i="2"/>
  <c r="R11" i="2"/>
  <c r="J11" i="2"/>
  <c r="D11" i="2"/>
  <c r="C11" i="2"/>
  <c r="B11" i="2"/>
  <c r="I11" i="2" s="1"/>
  <c r="AG13" i="2" l="1"/>
  <c r="Y13" i="2"/>
  <c r="Q11" i="2"/>
  <c r="I13" i="2"/>
  <c r="Y16" i="2"/>
  <c r="Y11" i="2"/>
  <c r="AF9" i="2"/>
  <c r="AF11" i="2"/>
  <c r="X9" i="2"/>
  <c r="P11" i="2"/>
  <c r="X11" i="2"/>
  <c r="X10" i="2"/>
  <c r="AN11" i="2"/>
  <c r="AN13" i="2"/>
  <c r="H13" i="2"/>
  <c r="AN10" i="2"/>
  <c r="X13" i="2"/>
  <c r="AF10" i="2"/>
  <c r="AN9" i="2"/>
  <c r="AF13" i="2"/>
  <c r="P13" i="2"/>
  <c r="H11" i="2"/>
</calcChain>
</file>

<file path=xl/sharedStrings.xml><?xml version="1.0" encoding="utf-8"?>
<sst xmlns="http://schemas.openxmlformats.org/spreadsheetml/2006/main" count="381" uniqueCount="137">
  <si>
    <t xml:space="preserve">Pupal developmental time (days) </t>
  </si>
  <si>
    <t>Larval survival rate (%)</t>
  </si>
  <si>
    <t>Larval weight (g FM)</t>
  </si>
  <si>
    <t>Adult weight (g FM)</t>
  </si>
  <si>
    <t>Larval DM content (%)</t>
  </si>
  <si>
    <t>HSO 1%</t>
  </si>
  <si>
    <t>HSO 2%</t>
  </si>
  <si>
    <t>HSO 4%</t>
  </si>
  <si>
    <t>Control</t>
  </si>
  <si>
    <t xml:space="preserve">Larval developmental time (L5 days) </t>
  </si>
  <si>
    <t xml:space="preserve">Larval developmental time (L1-L4 days) </t>
  </si>
  <si>
    <t xml:space="preserve">Prepupal developmental time (L6 days) </t>
  </si>
  <si>
    <t>จำนวนหนอนที่รอดชีวิต</t>
  </si>
  <si>
    <t>จำนวนดักแด้ที่รอดชีวิต</t>
  </si>
  <si>
    <t>R1</t>
  </si>
  <si>
    <t>R2</t>
  </si>
  <si>
    <t>R3</t>
  </si>
  <si>
    <t>1.11.65</t>
  </si>
  <si>
    <t>14.11.65</t>
  </si>
  <si>
    <t>Date</t>
  </si>
  <si>
    <t>Pupal survival rate (%)</t>
  </si>
  <si>
    <t>HSO 0.5%</t>
  </si>
  <si>
    <t>Larval weight (g DM) แห้ง</t>
  </si>
  <si>
    <t>Pupal weight (g FM) สด</t>
  </si>
  <si>
    <t>Pupal weight (g DM) แห้ง</t>
  </si>
  <si>
    <t>R4</t>
  </si>
  <si>
    <t>R5</t>
  </si>
  <si>
    <t>R6</t>
  </si>
  <si>
    <t>28.12.65</t>
  </si>
  <si>
    <t>Replicate</t>
  </si>
  <si>
    <t>control</t>
  </si>
  <si>
    <t>male</t>
  </si>
  <si>
    <t>female</t>
  </si>
  <si>
    <t>Average</t>
  </si>
  <si>
    <t>Treatment</t>
  </si>
  <si>
    <t>na</t>
  </si>
  <si>
    <t xml:space="preserve">Adult longevity male(days) </t>
  </si>
  <si>
    <t xml:space="preserve">Adult longevity female(days) </t>
  </si>
  <si>
    <t>Averrage</t>
  </si>
  <si>
    <t>Number of eggs</t>
  </si>
  <si>
    <t>C</t>
  </si>
  <si>
    <t>Energy (kcal/100g)</t>
  </si>
  <si>
    <t>Ash (g/100g)</t>
  </si>
  <si>
    <t>Carbohydrate  (g/100g)</t>
  </si>
  <si>
    <t>Crude fiber  (g/100g)</t>
  </si>
  <si>
    <t>Fat  (g/100g)</t>
  </si>
  <si>
    <t>Moister  (g/100g)</t>
  </si>
  <si>
    <t>Protein  (g/100g)</t>
  </si>
  <si>
    <t>Omega3</t>
  </si>
  <si>
    <t>Omega6</t>
  </si>
  <si>
    <t>Omega9</t>
  </si>
  <si>
    <t>Omega3 (mg/100g)</t>
  </si>
  <si>
    <t>Omega6 (mg/100g)</t>
  </si>
  <si>
    <t>Omega9 (mg/100g)</t>
  </si>
  <si>
    <t>SD</t>
  </si>
  <si>
    <t>Butyric acid (C4:0)</t>
  </si>
  <si>
    <t>Caproic acid (C6:0)</t>
  </si>
  <si>
    <t>Caprylic acid (C8:0)</t>
  </si>
  <si>
    <t>Capric acid (C10:0)</t>
  </si>
  <si>
    <t>Undecanoic acid (C11:0)</t>
  </si>
  <si>
    <t>Lauric acid  (C12:0)</t>
  </si>
  <si>
    <t>Tridecanoic acid (C13:0)</t>
  </si>
  <si>
    <t>Myristic acid (C14:0)</t>
  </si>
  <si>
    <t>Pentadecanoic acid (C15:0)</t>
  </si>
  <si>
    <t>(C16:0)</t>
  </si>
  <si>
    <t>(C17:0)</t>
  </si>
  <si>
    <t>(C18:0)</t>
  </si>
  <si>
    <t>(C20:0)</t>
  </si>
  <si>
    <t>(C21:0)</t>
  </si>
  <si>
    <t>(C22:0)</t>
  </si>
  <si>
    <t>(C23:0)</t>
  </si>
  <si>
    <t>(C24:0)</t>
  </si>
  <si>
    <t>Saturated fat</t>
  </si>
  <si>
    <t>C14:1</t>
  </si>
  <si>
    <t>C15:1n10</t>
  </si>
  <si>
    <t>C16:1n7</t>
  </si>
  <si>
    <t>C17:1n10</t>
  </si>
  <si>
    <t>C18:1n9c</t>
  </si>
  <si>
    <t>C20:1n11</t>
  </si>
  <si>
    <t>C22:1n9</t>
  </si>
  <si>
    <t>C24:1n9</t>
  </si>
  <si>
    <t>Monounsaturated fatty acid</t>
  </si>
  <si>
    <t>C18:2n6t</t>
  </si>
  <si>
    <t>C18:3n6t</t>
  </si>
  <si>
    <t>C18:2n6</t>
  </si>
  <si>
    <t>C18:3n3</t>
  </si>
  <si>
    <t>C20:2</t>
  </si>
  <si>
    <t>C20:3n6</t>
  </si>
  <si>
    <t>C20:3n3</t>
  </si>
  <si>
    <t>C20:4n6</t>
  </si>
  <si>
    <t>C22:2</t>
  </si>
  <si>
    <t>C20:5n3</t>
  </si>
  <si>
    <t>C22:6n3</t>
  </si>
  <si>
    <t>Polyunsaturate Fatty acid</t>
  </si>
  <si>
    <t>Unsaturated fat</t>
  </si>
  <si>
    <t>Tran fat</t>
  </si>
  <si>
    <t>Fatty acids (g/100g)</t>
  </si>
  <si>
    <t>C18:1n9t</t>
  </si>
  <si>
    <t>* HSO 1 % highly effective</t>
  </si>
  <si>
    <t>15.5±0.55</t>
  </si>
  <si>
    <t>17.5±0.55</t>
  </si>
  <si>
    <t>20.33±1.51</t>
  </si>
  <si>
    <t>0.268±0.04</t>
  </si>
  <si>
    <t>0.217±0.04</t>
  </si>
  <si>
    <t>36±6.22</t>
  </si>
  <si>
    <t>26.4±8.47</t>
  </si>
  <si>
    <t>17.5±1.52</t>
  </si>
  <si>
    <t>20±2.45</t>
  </si>
  <si>
    <t>0.256±0.06</t>
  </si>
  <si>
    <t>0.194±0.04</t>
  </si>
  <si>
    <t>36.6±9.61</t>
  </si>
  <si>
    <t>19.8±18.77</t>
  </si>
  <si>
    <t>15.5±1.22</t>
  </si>
  <si>
    <t>16.67±1.03</t>
  </si>
  <si>
    <t>19.83±1.17</t>
  </si>
  <si>
    <t>0.25±0.06</t>
  </si>
  <si>
    <t>0.207±0.03</t>
  </si>
  <si>
    <t>23.5±0.5</t>
  </si>
  <si>
    <t>23.5±0.71</t>
  </si>
  <si>
    <t>15±1.10</t>
  </si>
  <si>
    <t>16.17±1.17</t>
  </si>
  <si>
    <t>17.17±1.17</t>
  </si>
  <si>
    <t>19.67±1.21</t>
  </si>
  <si>
    <t>0.239±0.07</t>
  </si>
  <si>
    <t>0.197±0.04</t>
  </si>
  <si>
    <t>22.5±20.51</t>
  </si>
  <si>
    <t>28±2.00</t>
  </si>
  <si>
    <t>15.67±1.21</t>
  </si>
  <si>
    <t>19.5±1.22</t>
  </si>
  <si>
    <t>0.242±0.05</t>
  </si>
  <si>
    <t>0.204±0.04</t>
  </si>
  <si>
    <t>34±6.68</t>
  </si>
  <si>
    <t>33.75±7.76</t>
  </si>
  <si>
    <t>14.5±0.55</t>
  </si>
  <si>
    <t>14.33±0.82</t>
  </si>
  <si>
    <t>14.5±1.22</t>
  </si>
  <si>
    <t>14.5±1.05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</si>
</sst>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16">
    <font>
      <sz val="11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  <font>
      <sz val="1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B050"/>
      <name val="Times New Roman"/>
      <family val="1"/>
    </font>
    <font>
      <sz val="11"/>
      <color rgb="FF00B050"/>
      <name val="Calibri"/>
      <family val="2"/>
      <charset val="22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/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164" fontId="0" fillId="4" borderId="1" xfId="0" applyNumberFormat="1" applyFill="1" applyBorder="1"/>
    <xf numFmtId="165" fontId="0" fillId="4" borderId="1" xfId="0" applyNumberFormat="1" applyFill="1" applyBorder="1"/>
    <xf numFmtId="164" fontId="0" fillId="0" borderId="1" xfId="0" applyNumberFormat="1" applyBorder="1"/>
    <xf numFmtId="0" fontId="1" fillId="5" borderId="1" xfId="0" applyFont="1" applyFill="1" applyBorder="1" applyAlignment="1">
      <alignment vertical="center"/>
    </xf>
    <xf numFmtId="0" fontId="0" fillId="5" borderId="1" xfId="0" applyFill="1" applyBorder="1"/>
    <xf numFmtId="0" fontId="0" fillId="5" borderId="0" xfId="0" applyFill="1"/>
    <xf numFmtId="164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164" fontId="0" fillId="5" borderId="1" xfId="0" applyNumberFormat="1" applyFill="1" applyBorder="1" applyAlignment="1">
      <alignment horizontal="left" indent="3"/>
    </xf>
    <xf numFmtId="0" fontId="0" fillId="3" borderId="0" xfId="0" applyFill="1"/>
    <xf numFmtId="0" fontId="3" fillId="4" borderId="1" xfId="0" applyFont="1" applyFill="1" applyBorder="1"/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/>
    <xf numFmtId="0" fontId="0" fillId="6" borderId="1" xfId="0" applyFill="1" applyBorder="1"/>
    <xf numFmtId="0" fontId="0" fillId="6" borderId="0" xfId="0" applyFill="1"/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4" borderId="0" xfId="0" applyFont="1" applyFill="1"/>
    <xf numFmtId="0" fontId="7" fillId="2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0" xfId="0" applyFont="1" applyFill="1"/>
    <xf numFmtId="164" fontId="6" fillId="4" borderId="1" xfId="0" applyNumberFormat="1" applyFont="1" applyFill="1" applyBorder="1"/>
    <xf numFmtId="2" fontId="6" fillId="4" borderId="1" xfId="0" applyNumberFormat="1" applyFont="1" applyFill="1" applyBorder="1"/>
    <xf numFmtId="1" fontId="6" fillId="4" borderId="1" xfId="0" applyNumberFormat="1" applyFont="1" applyFill="1" applyBorder="1"/>
    <xf numFmtId="0" fontId="7" fillId="2" borderId="7" xfId="0" applyFont="1" applyFill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2" fontId="6" fillId="0" borderId="1" xfId="0" applyNumberFormat="1" applyFont="1" applyBorder="1"/>
    <xf numFmtId="164" fontId="6" fillId="0" borderId="1" xfId="0" applyNumberFormat="1" applyFont="1" applyBorder="1"/>
    <xf numFmtId="0" fontId="8" fillId="0" borderId="0" xfId="0" applyFont="1" applyFill="1" applyBorder="1" applyAlignment="1">
      <alignment horizontal="center"/>
    </xf>
    <xf numFmtId="0" fontId="0" fillId="0" borderId="0" xfId="0" applyBorder="1"/>
    <xf numFmtId="0" fontId="9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10" fillId="0" borderId="1" xfId="0" applyFont="1" applyBorder="1" applyAlignment="1">
      <alignment horizontal="center"/>
    </xf>
    <xf numFmtId="4" fontId="2" fillId="0" borderId="1" xfId="0" applyNumberFormat="1" applyFont="1" applyBorder="1"/>
    <xf numFmtId="4" fontId="7" fillId="0" borderId="1" xfId="0" applyNumberFormat="1" applyFont="1" applyBorder="1"/>
    <xf numFmtId="0" fontId="7" fillId="0" borderId="1" xfId="0" applyFont="1" applyBorder="1"/>
    <xf numFmtId="0" fontId="11" fillId="2" borderId="1" xfId="0" applyFont="1" applyFill="1" applyBorder="1" applyAlignment="1">
      <alignment horizontal="center"/>
    </xf>
    <xf numFmtId="2" fontId="12" fillId="4" borderId="1" xfId="0" applyNumberFormat="1" applyFont="1" applyFill="1" applyBorder="1"/>
    <xf numFmtId="2" fontId="12" fillId="0" borderId="1" xfId="0" applyNumberFormat="1" applyFont="1" applyBorder="1"/>
    <xf numFmtId="0" fontId="12" fillId="4" borderId="1" xfId="0" applyFont="1" applyFill="1" applyBorder="1"/>
    <xf numFmtId="164" fontId="12" fillId="4" borderId="1" xfId="0" applyNumberFormat="1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9" fillId="0" borderId="1" xfId="0" applyFont="1" applyBorder="1"/>
    <xf numFmtId="4" fontId="9" fillId="0" borderId="1" xfId="0" applyNumberFormat="1" applyFont="1" applyBorder="1"/>
    <xf numFmtId="0" fontId="13" fillId="0" borderId="1" xfId="0" applyFont="1" applyBorder="1"/>
    <xf numFmtId="4" fontId="14" fillId="0" borderId="1" xfId="0" applyNumberFormat="1" applyFont="1" applyBorder="1"/>
    <xf numFmtId="0" fontId="9" fillId="7" borderId="1" xfId="0" applyFont="1" applyFill="1" applyBorder="1"/>
    <xf numFmtId="0" fontId="9" fillId="7" borderId="0" xfId="0" applyFont="1" applyFill="1"/>
    <xf numFmtId="0" fontId="13" fillId="0" borderId="0" xfId="0" applyFont="1" applyFill="1" applyBorder="1"/>
    <xf numFmtId="0" fontId="9" fillId="8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2" fillId="2" borderId="1" xfId="0" applyFont="1" applyFill="1" applyBorder="1"/>
    <xf numFmtId="0" fontId="15" fillId="0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0C8F-0E9A-4E50-9DDC-5ED90384C5CE}">
  <sheetPr>
    <pageSetUpPr fitToPage="1"/>
  </sheetPr>
  <dimension ref="A1:AO20"/>
  <sheetViews>
    <sheetView topLeftCell="AA3" zoomScaleNormal="100" workbookViewId="0">
      <selection activeCell="AR16" sqref="AR16"/>
    </sheetView>
  </sheetViews>
  <sheetFormatPr defaultRowHeight="14.4"/>
  <cols>
    <col min="1" max="1" width="44.6640625" customWidth="1"/>
    <col min="2" max="2" width="13.21875" customWidth="1"/>
    <col min="3" max="3" width="13.6640625" customWidth="1"/>
    <col min="4" max="5" width="10.6640625" customWidth="1"/>
    <col min="6" max="7" width="10.6640625" style="11" customWidth="1"/>
    <col min="8" max="9" width="10.6640625" style="46" customWidth="1"/>
    <col min="13" max="15" width="8.88671875" style="11"/>
    <col min="16" max="16" width="9.5546875" style="46" bestFit="1" customWidth="1"/>
    <col min="17" max="17" width="9.5546875" style="46" customWidth="1"/>
    <col min="21" max="23" width="8.88671875" style="11"/>
    <col min="24" max="24" width="10.5546875" style="46" bestFit="1" customWidth="1"/>
    <col min="25" max="25" width="10.5546875" style="46" customWidth="1"/>
    <col min="26" max="28" width="9.5546875" bestFit="1" customWidth="1"/>
    <col min="29" max="29" width="9.5546875" style="11" bestFit="1" customWidth="1"/>
    <col min="30" max="31" width="8.88671875" style="11"/>
    <col min="32" max="33" width="8.88671875" style="46"/>
    <col min="37" max="39" width="8.88671875" style="11"/>
    <col min="40" max="40" width="10.109375" style="51" customWidth="1"/>
  </cols>
  <sheetData>
    <row r="1" spans="1:41" ht="18">
      <c r="A1" s="4"/>
      <c r="B1" s="4"/>
      <c r="C1" s="4"/>
      <c r="D1" s="4"/>
      <c r="E1" s="4"/>
      <c r="F1" s="8"/>
      <c r="G1" s="8"/>
      <c r="H1" s="42"/>
      <c r="I1" s="42"/>
      <c r="J1" s="4"/>
      <c r="K1" s="4"/>
      <c r="L1" s="4"/>
      <c r="M1" s="8"/>
      <c r="N1" s="8"/>
      <c r="O1" s="8"/>
      <c r="P1" s="42"/>
      <c r="Q1" s="42"/>
      <c r="R1" s="4"/>
      <c r="S1" s="4"/>
      <c r="T1" s="4"/>
      <c r="U1" s="8"/>
      <c r="V1" s="8"/>
      <c r="W1" s="8"/>
      <c r="X1" s="42"/>
      <c r="Y1" s="42"/>
      <c r="Z1" s="4"/>
      <c r="AA1" s="4"/>
      <c r="AB1" s="4"/>
      <c r="AC1" s="8"/>
      <c r="AD1" s="8"/>
      <c r="AE1" s="8"/>
      <c r="AF1" s="42"/>
      <c r="AG1" s="42"/>
      <c r="AH1" s="4"/>
      <c r="AI1" s="4"/>
      <c r="AJ1" s="4"/>
      <c r="AK1" s="8"/>
      <c r="AL1" s="8"/>
      <c r="AM1" s="8"/>
    </row>
    <row r="2" spans="1:41" ht="18">
      <c r="A2" s="29" t="s">
        <v>19</v>
      </c>
      <c r="B2" s="32" t="s">
        <v>8</v>
      </c>
      <c r="C2" s="33"/>
      <c r="D2" s="33"/>
      <c r="E2" s="33"/>
      <c r="F2" s="33"/>
      <c r="G2" s="34"/>
      <c r="H2" s="43"/>
      <c r="I2" s="43"/>
      <c r="J2" s="32" t="s">
        <v>21</v>
      </c>
      <c r="K2" s="33"/>
      <c r="L2" s="33"/>
      <c r="M2" s="33"/>
      <c r="N2" s="33"/>
      <c r="O2" s="34"/>
      <c r="P2" s="43"/>
      <c r="Q2" s="43"/>
      <c r="R2" s="32" t="s">
        <v>5</v>
      </c>
      <c r="S2" s="33"/>
      <c r="T2" s="33"/>
      <c r="U2" s="33"/>
      <c r="V2" s="33"/>
      <c r="W2" s="34"/>
      <c r="X2" s="43"/>
      <c r="Y2" s="43"/>
      <c r="Z2" s="32" t="s">
        <v>6</v>
      </c>
      <c r="AA2" s="33"/>
      <c r="AB2" s="33"/>
      <c r="AC2" s="33"/>
      <c r="AD2" s="33"/>
      <c r="AE2" s="34"/>
      <c r="AF2" s="50"/>
      <c r="AG2" s="50"/>
      <c r="AH2" s="28" t="s">
        <v>7</v>
      </c>
      <c r="AI2" s="28"/>
      <c r="AJ2" s="28"/>
      <c r="AK2" s="28"/>
      <c r="AL2" s="28"/>
      <c r="AM2" s="28"/>
      <c r="AN2" s="52"/>
      <c r="AO2" s="2"/>
    </row>
    <row r="3" spans="1:41" ht="18">
      <c r="A3" s="30"/>
      <c r="B3" s="5" t="s">
        <v>14</v>
      </c>
      <c r="C3" s="5" t="s">
        <v>15</v>
      </c>
      <c r="D3" s="5" t="s">
        <v>16</v>
      </c>
      <c r="E3" s="5" t="s">
        <v>25</v>
      </c>
      <c r="F3" s="9" t="s">
        <v>26</v>
      </c>
      <c r="G3" s="9" t="s">
        <v>27</v>
      </c>
      <c r="H3" s="44"/>
      <c r="I3" s="44"/>
      <c r="J3" s="5" t="s">
        <v>14</v>
      </c>
      <c r="K3" s="5" t="s">
        <v>15</v>
      </c>
      <c r="L3" s="5" t="s">
        <v>16</v>
      </c>
      <c r="M3" s="9" t="s">
        <v>25</v>
      </c>
      <c r="N3" s="9" t="s">
        <v>26</v>
      </c>
      <c r="O3" s="9" t="s">
        <v>27</v>
      </c>
      <c r="P3" s="44"/>
      <c r="Q3" s="44"/>
      <c r="R3" s="5" t="s">
        <v>14</v>
      </c>
      <c r="S3" s="5" t="s">
        <v>15</v>
      </c>
      <c r="T3" s="5" t="s">
        <v>16</v>
      </c>
      <c r="U3" s="9" t="s">
        <v>25</v>
      </c>
      <c r="V3" s="9" t="s">
        <v>26</v>
      </c>
      <c r="W3" s="9" t="s">
        <v>27</v>
      </c>
      <c r="X3" s="44"/>
      <c r="Y3" s="44"/>
      <c r="Z3" s="5" t="s">
        <v>14</v>
      </c>
      <c r="AA3" s="5" t="s">
        <v>15</v>
      </c>
      <c r="AB3" s="5" t="s">
        <v>16</v>
      </c>
      <c r="AC3" s="9" t="s">
        <v>25</v>
      </c>
      <c r="AD3" s="9" t="s">
        <v>26</v>
      </c>
      <c r="AE3" s="9" t="s">
        <v>27</v>
      </c>
      <c r="AF3" s="44"/>
      <c r="AG3" s="44"/>
      <c r="AH3" s="5" t="s">
        <v>14</v>
      </c>
      <c r="AI3" s="5" t="s">
        <v>15</v>
      </c>
      <c r="AJ3" s="5" t="s">
        <v>16</v>
      </c>
      <c r="AK3" s="9" t="s">
        <v>25</v>
      </c>
      <c r="AL3" s="9" t="s">
        <v>26</v>
      </c>
      <c r="AM3" s="9" t="s">
        <v>27</v>
      </c>
      <c r="AN3" s="52"/>
      <c r="AO3" s="2"/>
    </row>
    <row r="4" spans="1:41" ht="18">
      <c r="A4" s="31"/>
      <c r="B4" s="5" t="s">
        <v>17</v>
      </c>
      <c r="C4" s="5" t="s">
        <v>18</v>
      </c>
      <c r="D4" s="5" t="s">
        <v>18</v>
      </c>
      <c r="E4" s="5" t="s">
        <v>28</v>
      </c>
      <c r="F4" s="5" t="s">
        <v>28</v>
      </c>
      <c r="G4" s="5" t="s">
        <v>28</v>
      </c>
      <c r="H4" s="41" t="s">
        <v>38</v>
      </c>
      <c r="I4" s="41" t="s">
        <v>54</v>
      </c>
      <c r="J4" s="5" t="s">
        <v>18</v>
      </c>
      <c r="K4" s="5" t="s">
        <v>18</v>
      </c>
      <c r="L4" s="5" t="s">
        <v>18</v>
      </c>
      <c r="M4" s="5" t="s">
        <v>28</v>
      </c>
      <c r="N4" s="5" t="s">
        <v>28</v>
      </c>
      <c r="O4" s="5" t="s">
        <v>28</v>
      </c>
      <c r="P4" s="41" t="s">
        <v>38</v>
      </c>
      <c r="Q4" s="41" t="s">
        <v>54</v>
      </c>
      <c r="R4" s="5" t="s">
        <v>18</v>
      </c>
      <c r="S4" s="5" t="s">
        <v>18</v>
      </c>
      <c r="T4" s="5" t="s">
        <v>18</v>
      </c>
      <c r="U4" s="5" t="s">
        <v>28</v>
      </c>
      <c r="V4" s="5" t="s">
        <v>28</v>
      </c>
      <c r="W4" s="5" t="s">
        <v>28</v>
      </c>
      <c r="X4" s="41" t="s">
        <v>38</v>
      </c>
      <c r="Y4" s="64" t="s">
        <v>54</v>
      </c>
      <c r="Z4" s="5" t="s">
        <v>18</v>
      </c>
      <c r="AA4" s="5" t="s">
        <v>18</v>
      </c>
      <c r="AB4" s="5" t="s">
        <v>18</v>
      </c>
      <c r="AC4" s="5" t="s">
        <v>28</v>
      </c>
      <c r="AD4" s="5" t="s">
        <v>28</v>
      </c>
      <c r="AE4" s="5" t="s">
        <v>28</v>
      </c>
      <c r="AF4" s="41" t="s">
        <v>38</v>
      </c>
      <c r="AG4" s="41" t="s">
        <v>54</v>
      </c>
      <c r="AH4" s="5" t="s">
        <v>18</v>
      </c>
      <c r="AI4" s="5" t="s">
        <v>18</v>
      </c>
      <c r="AJ4" s="5" t="s">
        <v>18</v>
      </c>
      <c r="AK4" s="5" t="s">
        <v>28</v>
      </c>
      <c r="AL4" s="5" t="s">
        <v>28</v>
      </c>
      <c r="AM4" s="5" t="s">
        <v>28</v>
      </c>
      <c r="AN4" s="41" t="s">
        <v>38</v>
      </c>
      <c r="AO4" s="41" t="s">
        <v>54</v>
      </c>
    </row>
    <row r="5" spans="1:41" ht="18">
      <c r="A5" s="1" t="s">
        <v>10</v>
      </c>
      <c r="B5" s="2">
        <v>14</v>
      </c>
      <c r="C5" s="2">
        <v>14</v>
      </c>
      <c r="D5" s="2">
        <v>14</v>
      </c>
      <c r="E5" s="2">
        <v>15</v>
      </c>
      <c r="F5" s="10">
        <v>15</v>
      </c>
      <c r="G5" s="10">
        <v>15</v>
      </c>
      <c r="H5" s="48">
        <f>AVERAGE(B5:G5)</f>
        <v>14.5</v>
      </c>
      <c r="I5" s="65">
        <f>STDEV(B5:G5)</f>
        <v>0.54772255750516607</v>
      </c>
      <c r="J5" s="2">
        <v>13</v>
      </c>
      <c r="K5" s="2">
        <v>15</v>
      </c>
      <c r="L5" s="2">
        <v>15</v>
      </c>
      <c r="M5" s="10">
        <v>15</v>
      </c>
      <c r="N5" s="10">
        <v>14</v>
      </c>
      <c r="O5" s="10">
        <v>14</v>
      </c>
      <c r="P5" s="48">
        <f>AVERAGE(J5:O5)</f>
        <v>14.333333333333334</v>
      </c>
      <c r="Q5" s="65">
        <f>STDEV(J5:O5)</f>
        <v>0.81649658092772603</v>
      </c>
      <c r="R5" s="2">
        <v>13</v>
      </c>
      <c r="S5" s="2">
        <v>16</v>
      </c>
      <c r="T5" s="2">
        <v>16</v>
      </c>
      <c r="U5" s="10">
        <v>14</v>
      </c>
      <c r="V5" s="10">
        <v>14</v>
      </c>
      <c r="W5" s="10">
        <v>14</v>
      </c>
      <c r="X5" s="45">
        <f>AVERAGE(R5:W5)</f>
        <v>14.5</v>
      </c>
      <c r="Y5" s="65">
        <f>STDEV(R5:W5)</f>
        <v>1.2247448713915889</v>
      </c>
      <c r="Z5" s="2">
        <v>13</v>
      </c>
      <c r="AA5" s="2">
        <v>15</v>
      </c>
      <c r="AB5" s="2">
        <v>16</v>
      </c>
      <c r="AC5" s="10">
        <v>15</v>
      </c>
      <c r="AD5" s="10">
        <v>16</v>
      </c>
      <c r="AE5" s="10">
        <v>15</v>
      </c>
      <c r="AF5" s="45">
        <f>AVERAGE(Z5:AE5)</f>
        <v>15</v>
      </c>
      <c r="AG5" s="65">
        <f>STDEV(Z5:AE5)</f>
        <v>1.0954451150103321</v>
      </c>
      <c r="AH5" s="2">
        <v>13</v>
      </c>
      <c r="AI5" s="2">
        <v>15</v>
      </c>
      <c r="AJ5" s="2">
        <v>16</v>
      </c>
      <c r="AK5" s="10">
        <v>14</v>
      </c>
      <c r="AL5" s="10">
        <v>15</v>
      </c>
      <c r="AM5" s="10">
        <v>14</v>
      </c>
      <c r="AN5" s="53">
        <f>AVERAGE(AH5:AM5)</f>
        <v>14.5</v>
      </c>
      <c r="AO5" s="66">
        <f>STDEV(AH5:AM5)</f>
        <v>1.0488088481701516</v>
      </c>
    </row>
    <row r="6" spans="1:41" ht="18">
      <c r="A6" s="1" t="s">
        <v>9</v>
      </c>
      <c r="B6" s="2">
        <v>15</v>
      </c>
      <c r="C6" s="2">
        <v>15</v>
      </c>
      <c r="D6" s="2">
        <v>15</v>
      </c>
      <c r="E6" s="2">
        <v>16</v>
      </c>
      <c r="F6" s="10">
        <v>16</v>
      </c>
      <c r="G6" s="10">
        <v>16</v>
      </c>
      <c r="H6" s="48">
        <f t="shared" ref="H6:H20" si="0">AVERAGE(B6:G6)</f>
        <v>15.5</v>
      </c>
      <c r="I6" s="65">
        <f t="shared" ref="I6:I13" si="1">STDEV(B6:G6)</f>
        <v>0.54772255750516607</v>
      </c>
      <c r="J6" s="2">
        <v>14</v>
      </c>
      <c r="K6" s="2">
        <v>17</v>
      </c>
      <c r="L6" s="2">
        <v>17</v>
      </c>
      <c r="M6" s="10">
        <v>16</v>
      </c>
      <c r="N6" s="10">
        <v>15</v>
      </c>
      <c r="O6" s="10">
        <v>15</v>
      </c>
      <c r="P6" s="48">
        <f t="shared" ref="P6:P20" si="2">AVERAGE(J6:O6)</f>
        <v>15.666666666666666</v>
      </c>
      <c r="Q6" s="65">
        <f t="shared" ref="Q6:Q11" si="3">STDEV(J6:O6)</f>
        <v>1.2110601416389968</v>
      </c>
      <c r="R6" s="2">
        <v>14</v>
      </c>
      <c r="S6" s="2">
        <v>17</v>
      </c>
      <c r="T6" s="2">
        <v>17</v>
      </c>
      <c r="U6" s="10">
        <v>15</v>
      </c>
      <c r="V6" s="10">
        <v>15</v>
      </c>
      <c r="W6" s="10">
        <v>15</v>
      </c>
      <c r="X6" s="45">
        <f>AVERAGE(R6:W6)</f>
        <v>15.5</v>
      </c>
      <c r="Y6" s="65">
        <f t="shared" ref="Y6:Y17" si="4">STDEV(R6:W6)</f>
        <v>1.2247448713915889</v>
      </c>
      <c r="Z6" s="2">
        <v>14</v>
      </c>
      <c r="AA6" s="2">
        <v>17</v>
      </c>
      <c r="AB6" s="2">
        <v>17</v>
      </c>
      <c r="AC6" s="10">
        <v>16</v>
      </c>
      <c r="AD6" s="10">
        <v>17</v>
      </c>
      <c r="AE6" s="10">
        <v>16</v>
      </c>
      <c r="AF6" s="48">
        <f>AVERAGE(Z6:AE6)</f>
        <v>16.166666666666668</v>
      </c>
      <c r="AG6" s="65">
        <f t="shared" ref="AG6:AG17" si="5">STDEV(Z6:AE6)</f>
        <v>1.1690451944500124</v>
      </c>
      <c r="AH6" s="2">
        <v>14</v>
      </c>
      <c r="AI6" s="2">
        <v>17</v>
      </c>
      <c r="AJ6" s="2">
        <v>17</v>
      </c>
      <c r="AK6" s="10">
        <v>15</v>
      </c>
      <c r="AL6" s="10">
        <v>16</v>
      </c>
      <c r="AM6" s="10">
        <v>15</v>
      </c>
      <c r="AN6" s="53">
        <f t="shared" ref="AN6:AN20" si="6">AVERAGE(AH6:AM6)</f>
        <v>15.666666666666666</v>
      </c>
      <c r="AO6" s="66">
        <f t="shared" ref="AO6:AO17" si="7">STDEV(AH6:AM6)</f>
        <v>1.2110601416389968</v>
      </c>
    </row>
    <row r="7" spans="1:41" ht="18">
      <c r="A7" s="1" t="s">
        <v>11</v>
      </c>
      <c r="B7" s="2">
        <v>18</v>
      </c>
      <c r="C7" s="2">
        <v>17</v>
      </c>
      <c r="D7" s="2">
        <v>18</v>
      </c>
      <c r="E7" s="2">
        <v>17</v>
      </c>
      <c r="F7" s="10">
        <v>18</v>
      </c>
      <c r="G7" s="10">
        <v>17</v>
      </c>
      <c r="H7" s="48">
        <f t="shared" si="0"/>
        <v>17.5</v>
      </c>
      <c r="I7" s="65">
        <f t="shared" si="1"/>
        <v>0.54772255750516607</v>
      </c>
      <c r="J7" s="2">
        <v>20</v>
      </c>
      <c r="K7" s="2">
        <v>18</v>
      </c>
      <c r="L7" s="2">
        <v>18</v>
      </c>
      <c r="M7" s="10">
        <v>17</v>
      </c>
      <c r="N7" s="10">
        <v>16</v>
      </c>
      <c r="O7" s="10">
        <v>16</v>
      </c>
      <c r="P7" s="48">
        <f t="shared" si="2"/>
        <v>17.5</v>
      </c>
      <c r="Q7" s="65">
        <f t="shared" si="3"/>
        <v>1.51657508881031</v>
      </c>
      <c r="R7" s="2">
        <v>16</v>
      </c>
      <c r="S7" s="2">
        <v>18</v>
      </c>
      <c r="T7" s="2">
        <v>18</v>
      </c>
      <c r="U7" s="10">
        <v>16</v>
      </c>
      <c r="V7" s="10">
        <v>16</v>
      </c>
      <c r="W7" s="10">
        <v>16</v>
      </c>
      <c r="X7" s="48">
        <f>AVERAGE(R7:W7)</f>
        <v>16.666666666666668</v>
      </c>
      <c r="Y7" s="65">
        <f t="shared" si="4"/>
        <v>1.0327955589886446</v>
      </c>
      <c r="Z7" s="2">
        <v>15</v>
      </c>
      <c r="AA7" s="2">
        <v>18</v>
      </c>
      <c r="AB7" s="2">
        <v>18</v>
      </c>
      <c r="AC7" s="10">
        <v>17</v>
      </c>
      <c r="AD7" s="10">
        <v>18</v>
      </c>
      <c r="AE7" s="10">
        <v>17</v>
      </c>
      <c r="AF7" s="48">
        <f>AVERAGE(Z7:AE7)</f>
        <v>17.166666666666668</v>
      </c>
      <c r="AG7" s="65">
        <f t="shared" si="5"/>
        <v>1.1690451944500124</v>
      </c>
      <c r="AH7" s="2">
        <v>20</v>
      </c>
      <c r="AI7" s="2">
        <v>18</v>
      </c>
      <c r="AJ7" s="2">
        <v>18</v>
      </c>
      <c r="AK7" s="10">
        <v>16</v>
      </c>
      <c r="AL7" s="10">
        <v>17</v>
      </c>
      <c r="AM7" s="10">
        <v>16</v>
      </c>
      <c r="AN7" s="53">
        <f t="shared" si="6"/>
        <v>17.5</v>
      </c>
      <c r="AO7" s="66">
        <f t="shared" si="7"/>
        <v>1.51657508881031</v>
      </c>
    </row>
    <row r="8" spans="1:41" ht="18">
      <c r="A8" s="1" t="s">
        <v>0</v>
      </c>
      <c r="B8" s="2">
        <v>22</v>
      </c>
      <c r="C8" s="2">
        <v>21</v>
      </c>
      <c r="D8" s="2">
        <v>22</v>
      </c>
      <c r="E8" s="2">
        <v>19</v>
      </c>
      <c r="F8" s="10">
        <v>19</v>
      </c>
      <c r="G8" s="10">
        <v>19</v>
      </c>
      <c r="H8" s="48">
        <f>AVERAGE(B8:G8)</f>
        <v>20.333333333333332</v>
      </c>
      <c r="I8" s="65">
        <f t="shared" si="1"/>
        <v>1.505545305418162</v>
      </c>
      <c r="J8" s="2">
        <v>25</v>
      </c>
      <c r="K8" s="2">
        <v>19</v>
      </c>
      <c r="L8" s="2">
        <v>19</v>
      </c>
      <c r="M8" s="10">
        <v>19</v>
      </c>
      <c r="N8" s="10">
        <v>19</v>
      </c>
      <c r="O8" s="10">
        <v>19</v>
      </c>
      <c r="P8" s="45">
        <f t="shared" si="2"/>
        <v>20</v>
      </c>
      <c r="Q8" s="65">
        <f t="shared" si="3"/>
        <v>2.4494897427831779</v>
      </c>
      <c r="R8" s="2">
        <v>22</v>
      </c>
      <c r="S8" s="2">
        <v>20</v>
      </c>
      <c r="T8" s="2">
        <v>20</v>
      </c>
      <c r="U8" s="10">
        <v>19</v>
      </c>
      <c r="V8" s="10">
        <v>19</v>
      </c>
      <c r="W8" s="10">
        <v>19</v>
      </c>
      <c r="X8" s="48">
        <f>AVERAGE(R8:W8)</f>
        <v>19.833333333333332</v>
      </c>
      <c r="Y8" s="65">
        <f t="shared" si="4"/>
        <v>1.1690451944500124</v>
      </c>
      <c r="Z8" s="2">
        <v>22</v>
      </c>
      <c r="AA8" s="2">
        <v>19</v>
      </c>
      <c r="AB8" s="2">
        <v>20</v>
      </c>
      <c r="AC8" s="10">
        <v>19</v>
      </c>
      <c r="AD8" s="10">
        <v>19</v>
      </c>
      <c r="AE8" s="10">
        <v>19</v>
      </c>
      <c r="AF8" s="48">
        <f>AVERAGE(Z8:AE8)</f>
        <v>19.666666666666668</v>
      </c>
      <c r="AG8" s="65">
        <f t="shared" si="5"/>
        <v>1.211060141638997</v>
      </c>
      <c r="AH8" s="2">
        <v>22</v>
      </c>
      <c r="AI8" s="2">
        <v>19</v>
      </c>
      <c r="AJ8" s="2">
        <v>19</v>
      </c>
      <c r="AK8" s="10">
        <v>19</v>
      </c>
      <c r="AL8" s="10">
        <v>19</v>
      </c>
      <c r="AM8" s="10">
        <v>19</v>
      </c>
      <c r="AN8" s="53">
        <f t="shared" si="6"/>
        <v>19.5</v>
      </c>
      <c r="AO8" s="66">
        <f t="shared" si="7"/>
        <v>1.2247448713915889</v>
      </c>
    </row>
    <row r="9" spans="1:41" s="26" customFormat="1" ht="18">
      <c r="A9" s="23" t="s">
        <v>1</v>
      </c>
      <c r="B9" s="24">
        <v>100</v>
      </c>
      <c r="C9" s="25">
        <v>80</v>
      </c>
      <c r="D9" s="25">
        <v>92</v>
      </c>
      <c r="E9" s="25">
        <f t="shared" ref="E9:G10" si="8">49*2</f>
        <v>98</v>
      </c>
      <c r="F9" s="25">
        <f t="shared" si="8"/>
        <v>98</v>
      </c>
      <c r="G9" s="25">
        <f t="shared" si="8"/>
        <v>98</v>
      </c>
      <c r="H9" s="48"/>
      <c r="I9" s="65"/>
      <c r="J9" s="25">
        <v>82</v>
      </c>
      <c r="K9" s="25">
        <v>72</v>
      </c>
      <c r="L9" s="25">
        <v>82</v>
      </c>
      <c r="M9" s="25">
        <v>100</v>
      </c>
      <c r="N9" s="25">
        <v>98</v>
      </c>
      <c r="O9" s="25">
        <v>98</v>
      </c>
      <c r="P9" s="48"/>
      <c r="Q9" s="65"/>
      <c r="R9" s="25">
        <v>70</v>
      </c>
      <c r="S9" s="25">
        <v>70</v>
      </c>
      <c r="T9" s="25">
        <v>76</v>
      </c>
      <c r="U9" s="25">
        <f>49*2</f>
        <v>98</v>
      </c>
      <c r="V9" s="25">
        <f>49*2</f>
        <v>98</v>
      </c>
      <c r="W9" s="25">
        <f>48*2</f>
        <v>96</v>
      </c>
      <c r="X9" s="48">
        <f>AVERAGE(R9:W9)</f>
        <v>84.666666666666671</v>
      </c>
      <c r="Y9" s="65"/>
      <c r="Z9" s="25">
        <v>68</v>
      </c>
      <c r="AA9" s="25">
        <v>78</v>
      </c>
      <c r="AB9" s="25">
        <v>86</v>
      </c>
      <c r="AC9" s="25">
        <f>50*2</f>
        <v>100</v>
      </c>
      <c r="AD9" s="25">
        <f>49*2</f>
        <v>98</v>
      </c>
      <c r="AE9" s="25">
        <f>49*2</f>
        <v>98</v>
      </c>
      <c r="AF9" s="45">
        <f>AVERAGE(Z9:AE9)</f>
        <v>88</v>
      </c>
      <c r="AG9" s="65"/>
      <c r="AH9" s="25">
        <v>82</v>
      </c>
      <c r="AI9" s="25">
        <v>83</v>
      </c>
      <c r="AJ9" s="25">
        <v>94</v>
      </c>
      <c r="AK9" s="25">
        <f>49*2</f>
        <v>98</v>
      </c>
      <c r="AL9" s="25">
        <f>48*2</f>
        <v>96</v>
      </c>
      <c r="AM9" s="25">
        <f>46*2</f>
        <v>92</v>
      </c>
      <c r="AN9" s="53">
        <f t="shared" si="6"/>
        <v>90.833333333333329</v>
      </c>
      <c r="AO9" s="66"/>
    </row>
    <row r="10" spans="1:41" s="11" customFormat="1" ht="18">
      <c r="A10" s="19" t="s">
        <v>20</v>
      </c>
      <c r="B10" s="22">
        <v>100</v>
      </c>
      <c r="C10" s="10">
        <f>32*2</f>
        <v>64</v>
      </c>
      <c r="D10" s="10">
        <f>46*2</f>
        <v>92</v>
      </c>
      <c r="E10" s="10">
        <f t="shared" si="8"/>
        <v>98</v>
      </c>
      <c r="F10" s="10">
        <f t="shared" si="8"/>
        <v>98</v>
      </c>
      <c r="G10" s="10">
        <f t="shared" si="8"/>
        <v>98</v>
      </c>
      <c r="H10" s="48"/>
      <c r="I10" s="65"/>
      <c r="J10" s="10">
        <f>41*2</f>
        <v>82</v>
      </c>
      <c r="K10" s="10">
        <f>39*2</f>
        <v>78</v>
      </c>
      <c r="L10" s="10">
        <f>38*2</f>
        <v>76</v>
      </c>
      <c r="M10" s="10">
        <v>100</v>
      </c>
      <c r="N10" s="10">
        <f>49*2</f>
        <v>98</v>
      </c>
      <c r="O10" s="10">
        <f>49*2</f>
        <v>98</v>
      </c>
      <c r="P10" s="48"/>
      <c r="Q10" s="65"/>
      <c r="R10" s="10">
        <f>35*2</f>
        <v>70</v>
      </c>
      <c r="S10" s="10">
        <f>34*2</f>
        <v>68</v>
      </c>
      <c r="T10" s="10">
        <f>37*2</f>
        <v>74</v>
      </c>
      <c r="U10" s="10">
        <f>49*2</f>
        <v>98</v>
      </c>
      <c r="V10" s="10">
        <f>49*2</f>
        <v>98</v>
      </c>
      <c r="W10" s="10">
        <f>48*2</f>
        <v>96</v>
      </c>
      <c r="X10" s="45">
        <f>AVERAGE(R10:W10)</f>
        <v>84</v>
      </c>
      <c r="Y10" s="65"/>
      <c r="Z10" s="10">
        <f>33*2</f>
        <v>66</v>
      </c>
      <c r="AA10" s="10">
        <f>38*2</f>
        <v>76</v>
      </c>
      <c r="AB10" s="10">
        <f>42*2</f>
        <v>84</v>
      </c>
      <c r="AC10" s="10">
        <v>100</v>
      </c>
      <c r="AD10" s="10">
        <f>49*2</f>
        <v>98</v>
      </c>
      <c r="AE10" s="10">
        <f>48*2</f>
        <v>96</v>
      </c>
      <c r="AF10" s="48">
        <f>AVERAGE(Z10:AE10)</f>
        <v>86.666666666666671</v>
      </c>
      <c r="AG10" s="65"/>
      <c r="AH10" s="10">
        <f>40*2</f>
        <v>80</v>
      </c>
      <c r="AI10" s="10">
        <f>40*2</f>
        <v>80</v>
      </c>
      <c r="AJ10" s="10">
        <f>43*2</f>
        <v>86</v>
      </c>
      <c r="AK10" s="10">
        <f>48*2</f>
        <v>96</v>
      </c>
      <c r="AL10" s="10">
        <f>48*2</f>
        <v>96</v>
      </c>
      <c r="AM10" s="10">
        <f>40*2</f>
        <v>80</v>
      </c>
      <c r="AN10" s="53">
        <f t="shared" si="6"/>
        <v>86.333333333333329</v>
      </c>
      <c r="AO10" s="66"/>
    </row>
    <row r="11" spans="1:41" ht="18">
      <c r="A11" s="1" t="s">
        <v>2</v>
      </c>
      <c r="B11" s="14">
        <f>11/50</f>
        <v>0.22</v>
      </c>
      <c r="C11" s="14">
        <f>10/40</f>
        <v>0.25</v>
      </c>
      <c r="D11" s="14">
        <f>11/46</f>
        <v>0.2391304347826087</v>
      </c>
      <c r="E11" s="14">
        <v>0.30612244897959184</v>
      </c>
      <c r="F11" s="12">
        <v>0.30612244897959184</v>
      </c>
      <c r="G11" s="12">
        <v>0.2857142857142857</v>
      </c>
      <c r="H11" s="47">
        <f t="shared" si="0"/>
        <v>0.26784826974267967</v>
      </c>
      <c r="I11" s="65">
        <f t="shared" si="1"/>
        <v>3.6556126201187637E-2</v>
      </c>
      <c r="J11" s="14">
        <f>7/41</f>
        <v>0.17073170731707318</v>
      </c>
      <c r="K11" s="14">
        <v>0.23</v>
      </c>
      <c r="L11" s="2">
        <v>0.22500000000000001</v>
      </c>
      <c r="M11" s="13">
        <f>15/50</f>
        <v>0.3</v>
      </c>
      <c r="N11" s="12">
        <f>15/49</f>
        <v>0.30612244897959184</v>
      </c>
      <c r="O11" s="12">
        <f>15/49</f>
        <v>0.30612244897959184</v>
      </c>
      <c r="P11" s="47">
        <f t="shared" si="2"/>
        <v>0.25632943421270954</v>
      </c>
      <c r="Q11" s="65">
        <f t="shared" si="3"/>
        <v>5.6333915821788413E-2</v>
      </c>
      <c r="R11" s="14">
        <f>5/35</f>
        <v>0.14285714285714285</v>
      </c>
      <c r="S11" s="2">
        <v>0.25700000000000001</v>
      </c>
      <c r="T11" s="14">
        <v>0.24</v>
      </c>
      <c r="U11" s="12">
        <f>14/49</f>
        <v>0.2857142857142857</v>
      </c>
      <c r="V11" s="12">
        <f>14/49</f>
        <v>0.2857142857142857</v>
      </c>
      <c r="W11" s="12">
        <f>14/48</f>
        <v>0.29166666666666669</v>
      </c>
      <c r="X11" s="47">
        <f>AVERAGE(R11:W11)</f>
        <v>0.25049206349206349</v>
      </c>
      <c r="Y11" s="65">
        <f t="shared" si="4"/>
        <v>5.6416789339925555E-2</v>
      </c>
      <c r="Z11" s="14">
        <v>0.12</v>
      </c>
      <c r="AA11" s="2">
        <v>0.20499999999999999</v>
      </c>
      <c r="AB11" s="2">
        <v>0.25600000000000001</v>
      </c>
      <c r="AC11" s="12">
        <f>14/50</f>
        <v>0.28000000000000003</v>
      </c>
      <c r="AD11" s="12">
        <f>15/49</f>
        <v>0.30612244897959184</v>
      </c>
      <c r="AE11" s="12">
        <f>13/49</f>
        <v>0.26530612244897961</v>
      </c>
      <c r="AF11" s="47">
        <f>AVERAGE(Z11:AE11)</f>
        <v>0.23873809523809522</v>
      </c>
      <c r="AG11" s="65">
        <f t="shared" si="5"/>
        <v>6.7058218990206919E-2</v>
      </c>
      <c r="AH11" s="3">
        <f>6/41</f>
        <v>0.14634146341463414</v>
      </c>
      <c r="AI11" s="2">
        <v>0.23200000000000001</v>
      </c>
      <c r="AJ11" s="2">
        <v>0.23400000000000001</v>
      </c>
      <c r="AK11" s="12">
        <f>14/49</f>
        <v>0.2857142857142857</v>
      </c>
      <c r="AL11" s="12">
        <f>13/48</f>
        <v>0.27083333333333331</v>
      </c>
      <c r="AM11" s="12">
        <f>13/46</f>
        <v>0.28260869565217389</v>
      </c>
      <c r="AN11" s="54">
        <f t="shared" si="6"/>
        <v>0.2419162963524045</v>
      </c>
      <c r="AO11" s="66">
        <f t="shared" si="7"/>
        <v>5.2356240569854356E-2</v>
      </c>
    </row>
    <row r="12" spans="1:41" s="21" customFormat="1" ht="18">
      <c r="A12" s="6" t="s">
        <v>22</v>
      </c>
      <c r="B12" s="7"/>
      <c r="C12" s="7"/>
      <c r="D12" s="7"/>
      <c r="E12" s="7"/>
      <c r="F12" s="7"/>
      <c r="G12" s="7"/>
      <c r="H12" s="45"/>
      <c r="I12" s="65"/>
      <c r="J12" s="7"/>
      <c r="K12" s="7"/>
      <c r="L12" s="7"/>
      <c r="M12" s="7"/>
      <c r="N12" s="7"/>
      <c r="O12" s="7"/>
      <c r="P12" s="45"/>
      <c r="Q12" s="67"/>
      <c r="R12" s="7"/>
      <c r="S12" s="7"/>
      <c r="T12" s="7"/>
      <c r="U12" s="7"/>
      <c r="V12" s="7"/>
      <c r="W12" s="7"/>
      <c r="X12" s="45"/>
      <c r="Y12" s="65"/>
      <c r="Z12" s="7"/>
      <c r="AA12" s="7"/>
      <c r="AB12" s="7"/>
      <c r="AC12" s="7"/>
      <c r="AD12" s="7"/>
      <c r="AE12" s="7"/>
      <c r="AF12" s="45"/>
      <c r="AG12" s="65"/>
      <c r="AH12" s="7"/>
      <c r="AI12" s="7"/>
      <c r="AJ12" s="7"/>
      <c r="AK12" s="7"/>
      <c r="AL12" s="7"/>
      <c r="AM12" s="7"/>
      <c r="AN12" s="52"/>
      <c r="AO12" s="66"/>
    </row>
    <row r="13" spans="1:41" s="17" customFormat="1" ht="18">
      <c r="A13" s="15" t="s">
        <v>23</v>
      </c>
      <c r="B13" s="18">
        <f>9/50</f>
        <v>0.18</v>
      </c>
      <c r="C13" s="18">
        <f>7/32</f>
        <v>0.21875</v>
      </c>
      <c r="D13" s="18">
        <f>8/46</f>
        <v>0.17391304347826086</v>
      </c>
      <c r="E13" s="18">
        <f>11/49</f>
        <v>0.22448979591836735</v>
      </c>
      <c r="F13" s="18">
        <f>5/18</f>
        <v>0.27777777777777779</v>
      </c>
      <c r="G13" s="18">
        <f>11/49</f>
        <v>0.22448979591836735</v>
      </c>
      <c r="H13" s="47">
        <f t="shared" si="0"/>
        <v>0.21657006884879557</v>
      </c>
      <c r="I13" s="65">
        <f t="shared" si="1"/>
        <v>3.7506190515540543E-2</v>
      </c>
      <c r="J13" s="18">
        <f>7/41</f>
        <v>0.17073170731707318</v>
      </c>
      <c r="K13" s="18">
        <f>6/39</f>
        <v>0.15384615384615385</v>
      </c>
      <c r="L13" s="18">
        <f>6/38</f>
        <v>0.15789473684210525</v>
      </c>
      <c r="M13" s="18">
        <f>11/50</f>
        <v>0.22</v>
      </c>
      <c r="N13" s="18">
        <f>11/49</f>
        <v>0.22448979591836735</v>
      </c>
      <c r="O13" s="18">
        <f>6/25</f>
        <v>0.24</v>
      </c>
      <c r="P13" s="48">
        <f t="shared" si="2"/>
        <v>0.19449373232061662</v>
      </c>
      <c r="Q13" s="65">
        <f>STDEV(J13:O13)</f>
        <v>3.7887992447589711E-2</v>
      </c>
      <c r="R13" s="18">
        <f>8/35</f>
        <v>0.22857142857142856</v>
      </c>
      <c r="S13" s="18">
        <f>6/34</f>
        <v>0.17647058823529413</v>
      </c>
      <c r="T13" s="18">
        <f>6/37</f>
        <v>0.16216216216216217</v>
      </c>
      <c r="U13" s="18">
        <f>12/49</f>
        <v>0.24489795918367346</v>
      </c>
      <c r="V13" s="18">
        <f>2/10</f>
        <v>0.2</v>
      </c>
      <c r="W13" s="18">
        <f>11/48</f>
        <v>0.22916666666666666</v>
      </c>
      <c r="X13" s="48">
        <f>AVERAGE(R13:W13)</f>
        <v>0.20687813413653752</v>
      </c>
      <c r="Y13" s="65">
        <f t="shared" si="4"/>
        <v>3.281563812864155E-2</v>
      </c>
      <c r="Z13" s="18">
        <f>7/33</f>
        <v>0.21212121212121213</v>
      </c>
      <c r="AA13" s="18">
        <f>6/38</f>
        <v>0.15789473684210525</v>
      </c>
      <c r="AB13" s="18">
        <f>6/42</f>
        <v>0.14285714285714285</v>
      </c>
      <c r="AC13" s="20">
        <f>11/50</f>
        <v>0.22</v>
      </c>
      <c r="AD13" s="18">
        <f>11/49</f>
        <v>0.22448979591836735</v>
      </c>
      <c r="AE13" s="18">
        <f>11/48</f>
        <v>0.22916666666666666</v>
      </c>
      <c r="AF13" s="48">
        <f>AVERAGE(Z13:AE13)</f>
        <v>0.19775492573424905</v>
      </c>
      <c r="AG13" s="65">
        <f t="shared" si="5"/>
        <v>3.7430697266140317E-2</v>
      </c>
      <c r="AH13" s="16">
        <f>9/40</f>
        <v>0.22500000000000001</v>
      </c>
      <c r="AI13" s="18">
        <f>6/40</f>
        <v>0.15</v>
      </c>
      <c r="AJ13" s="18">
        <f>7/43</f>
        <v>0.16279069767441862</v>
      </c>
      <c r="AK13" s="18">
        <f>11/48</f>
        <v>0.22916666666666666</v>
      </c>
      <c r="AL13" s="18">
        <f>11/48</f>
        <v>0.22916666666666666</v>
      </c>
      <c r="AM13" s="18">
        <f>9/40</f>
        <v>0.22500000000000001</v>
      </c>
      <c r="AN13" s="54">
        <f t="shared" si="6"/>
        <v>0.20352067183462533</v>
      </c>
      <c r="AO13" s="66">
        <f t="shared" si="7"/>
        <v>3.6773768606012093E-2</v>
      </c>
    </row>
    <row r="14" spans="1:41" s="11" customFormat="1" ht="18">
      <c r="A14" s="19" t="s">
        <v>24</v>
      </c>
      <c r="B14" s="10">
        <v>0.1</v>
      </c>
      <c r="C14" s="10">
        <v>9.2999999999999999E-2</v>
      </c>
      <c r="D14" s="10">
        <v>8.5999999999999993E-2</v>
      </c>
      <c r="E14" s="10"/>
      <c r="F14" s="10"/>
      <c r="G14" s="10"/>
      <c r="H14" s="47"/>
      <c r="I14" s="68"/>
      <c r="J14" s="12">
        <f>3/46</f>
        <v>6.5217391304347824E-2</v>
      </c>
      <c r="K14" s="12">
        <f>4/49</f>
        <v>8.1632653061224483E-2</v>
      </c>
      <c r="L14" s="10"/>
      <c r="M14" s="10"/>
      <c r="N14" s="10"/>
      <c r="O14" s="10"/>
      <c r="P14" s="45"/>
      <c r="Q14" s="67"/>
      <c r="R14" s="12">
        <f>4/35</f>
        <v>0.11428571428571428</v>
      </c>
      <c r="S14" s="12">
        <f>4/S20</f>
        <v>0.11764705882352941</v>
      </c>
      <c r="T14" s="10"/>
      <c r="U14" s="10"/>
      <c r="V14" s="10"/>
      <c r="W14" s="10"/>
      <c r="X14" s="48"/>
      <c r="Y14" s="65"/>
      <c r="Z14" s="12">
        <f>3/33</f>
        <v>9.0909090909090912E-2</v>
      </c>
      <c r="AA14" s="10">
        <f>3/38</f>
        <v>7.8947368421052627E-2</v>
      </c>
      <c r="AB14" s="10"/>
      <c r="AC14" s="10"/>
      <c r="AD14" s="10"/>
      <c r="AE14" s="10"/>
      <c r="AF14" s="48"/>
      <c r="AG14" s="65"/>
      <c r="AH14" s="12">
        <f>4/40</f>
        <v>0.1</v>
      </c>
      <c r="AI14" s="10">
        <f>3/40</f>
        <v>7.4999999999999997E-2</v>
      </c>
      <c r="AJ14" s="10"/>
      <c r="AK14" s="10"/>
      <c r="AL14" s="10"/>
      <c r="AM14" s="10"/>
      <c r="AN14" s="52"/>
      <c r="AO14" s="66"/>
    </row>
    <row r="15" spans="1:41" s="11" customFormat="1" ht="18">
      <c r="A15" s="19" t="s">
        <v>3</v>
      </c>
      <c r="B15" s="10"/>
      <c r="C15" s="10"/>
      <c r="D15" s="10"/>
      <c r="E15" s="10"/>
      <c r="F15" s="10"/>
      <c r="G15" s="10"/>
      <c r="H15" s="47"/>
      <c r="I15" s="68"/>
      <c r="J15" s="10"/>
      <c r="K15" s="10"/>
      <c r="L15" s="10"/>
      <c r="M15" s="10"/>
      <c r="N15" s="10"/>
      <c r="O15" s="10"/>
      <c r="P15" s="45"/>
      <c r="Q15" s="67"/>
      <c r="R15" s="10"/>
      <c r="S15" s="10"/>
      <c r="T15" s="10"/>
      <c r="U15" s="10"/>
      <c r="V15" s="10"/>
      <c r="W15" s="10"/>
      <c r="X15" s="48"/>
      <c r="Y15" s="65"/>
      <c r="Z15" s="10"/>
      <c r="AA15" s="10"/>
      <c r="AB15" s="10"/>
      <c r="AC15" s="10"/>
      <c r="AD15" s="10"/>
      <c r="AE15" s="10"/>
      <c r="AF15" s="45"/>
      <c r="AG15" s="65"/>
      <c r="AH15" s="10"/>
      <c r="AI15" s="10"/>
      <c r="AJ15" s="10"/>
      <c r="AK15" s="10"/>
      <c r="AL15" s="10"/>
      <c r="AM15" s="10"/>
      <c r="AN15" s="52"/>
      <c r="AO15" s="66"/>
    </row>
    <row r="16" spans="1:41" ht="18">
      <c r="A16" s="1" t="s">
        <v>36</v>
      </c>
      <c r="B16" s="10">
        <v>31</v>
      </c>
      <c r="C16" s="10">
        <v>33</v>
      </c>
      <c r="D16" s="10">
        <v>35</v>
      </c>
      <c r="E16" s="10">
        <v>45</v>
      </c>
      <c r="F16" s="10"/>
      <c r="G16" s="10"/>
      <c r="H16" s="48">
        <f t="shared" si="0"/>
        <v>36</v>
      </c>
      <c r="I16" s="65">
        <f>STDEV(B16:E16)</f>
        <v>6.2182527020592095</v>
      </c>
      <c r="J16" s="2">
        <v>46</v>
      </c>
      <c r="K16" s="2">
        <v>37</v>
      </c>
      <c r="L16" s="2">
        <v>25</v>
      </c>
      <c r="M16" s="10">
        <v>46</v>
      </c>
      <c r="N16" s="10">
        <v>29</v>
      </c>
      <c r="O16" s="10"/>
      <c r="P16" s="45">
        <f>AVERAGE(J16:N16)</f>
        <v>36.6</v>
      </c>
      <c r="Q16" s="65">
        <f>STDEV(J16:N16)</f>
        <v>9.6072888995803574</v>
      </c>
      <c r="R16" s="2">
        <v>23</v>
      </c>
      <c r="S16" s="2">
        <v>24</v>
      </c>
      <c r="T16" s="2"/>
      <c r="U16" s="10"/>
      <c r="V16" s="10"/>
      <c r="W16" s="10">
        <f>AVERAGE(R16:S16)</f>
        <v>23.5</v>
      </c>
      <c r="X16" s="48">
        <f>AVERAGE(R16:W16)</f>
        <v>23.5</v>
      </c>
      <c r="Y16" s="65">
        <f t="shared" si="4"/>
        <v>0.5</v>
      </c>
      <c r="Z16" s="2">
        <v>8</v>
      </c>
      <c r="AA16" s="2">
        <v>37</v>
      </c>
      <c r="AB16" s="2"/>
      <c r="AC16" s="10"/>
      <c r="AD16" s="10"/>
      <c r="AE16" s="10"/>
      <c r="AF16" s="45">
        <f>AVERAGE(Z16:AE16)</f>
        <v>22.5</v>
      </c>
      <c r="AG16" s="65">
        <f t="shared" si="5"/>
        <v>20.506096654409877</v>
      </c>
      <c r="AH16" s="2">
        <v>26</v>
      </c>
      <c r="AI16" s="2">
        <v>31</v>
      </c>
      <c r="AJ16" s="2">
        <v>40</v>
      </c>
      <c r="AK16" s="10">
        <v>39</v>
      </c>
      <c r="AL16" s="10"/>
      <c r="AM16" s="10"/>
      <c r="AN16" s="52">
        <f t="shared" si="6"/>
        <v>34</v>
      </c>
      <c r="AO16" s="66">
        <f t="shared" si="7"/>
        <v>6.6833125519211407</v>
      </c>
    </row>
    <row r="17" spans="1:41" ht="18">
      <c r="A17" s="1" t="s">
        <v>37</v>
      </c>
      <c r="B17" s="10">
        <v>31</v>
      </c>
      <c r="C17" s="10">
        <v>24</v>
      </c>
      <c r="D17" s="10">
        <v>35</v>
      </c>
      <c r="E17" s="10">
        <v>29</v>
      </c>
      <c r="F17" s="10">
        <v>13</v>
      </c>
      <c r="G17" s="10"/>
      <c r="H17" s="48">
        <f t="shared" si="0"/>
        <v>26.4</v>
      </c>
      <c r="I17" s="65">
        <f>STDEV(B17:F17)</f>
        <v>8.4734880657259417</v>
      </c>
      <c r="J17" s="2">
        <v>51</v>
      </c>
      <c r="K17" s="2">
        <v>24</v>
      </c>
      <c r="L17" s="2">
        <v>8</v>
      </c>
      <c r="M17" s="10">
        <v>8</v>
      </c>
      <c r="N17" s="10">
        <v>8</v>
      </c>
      <c r="O17" s="10"/>
      <c r="P17" s="45">
        <f>AVERAGE(J17:N17)</f>
        <v>19.8</v>
      </c>
      <c r="Q17" s="65">
        <f>STDEV(J17:N17)</f>
        <v>18.766992300312801</v>
      </c>
      <c r="R17" s="2">
        <v>23</v>
      </c>
      <c r="S17" s="2">
        <v>24</v>
      </c>
      <c r="T17" s="2"/>
      <c r="U17" s="10"/>
      <c r="V17" s="10"/>
      <c r="W17" s="10"/>
      <c r="X17" s="48">
        <f>AVERAGE(R17:W17)</f>
        <v>23.5</v>
      </c>
      <c r="Y17" s="65">
        <f t="shared" si="4"/>
        <v>0.70710678118654757</v>
      </c>
      <c r="Z17" s="2">
        <v>26</v>
      </c>
      <c r="AA17" s="2">
        <v>28</v>
      </c>
      <c r="AB17" s="2">
        <v>30</v>
      </c>
      <c r="AC17" s="10"/>
      <c r="AD17" s="10"/>
      <c r="AE17" s="10"/>
      <c r="AF17" s="45">
        <f>AVERAGE(Z17:AE17)</f>
        <v>28</v>
      </c>
      <c r="AG17" s="65">
        <f t="shared" si="5"/>
        <v>2</v>
      </c>
      <c r="AH17" s="2">
        <v>31</v>
      </c>
      <c r="AI17" s="2">
        <v>24</v>
      </c>
      <c r="AJ17" s="2">
        <v>40</v>
      </c>
      <c r="AK17" s="10">
        <v>40</v>
      </c>
      <c r="AL17" s="10"/>
      <c r="AM17" s="10"/>
      <c r="AN17" s="52">
        <f t="shared" si="6"/>
        <v>33.75</v>
      </c>
      <c r="AO17" s="66">
        <f t="shared" si="7"/>
        <v>7.7620873481300121</v>
      </c>
    </row>
    <row r="18" spans="1:41" ht="18">
      <c r="A18" s="1" t="s">
        <v>4</v>
      </c>
      <c r="B18" s="2"/>
      <c r="C18" s="2"/>
      <c r="D18" s="2"/>
      <c r="E18" s="2"/>
      <c r="F18" s="10"/>
      <c r="G18" s="10"/>
      <c r="H18" s="45"/>
      <c r="I18" s="45"/>
      <c r="J18" s="2"/>
      <c r="K18" s="2"/>
      <c r="L18" s="2"/>
      <c r="M18" s="10"/>
      <c r="N18" s="10"/>
      <c r="O18" s="10"/>
      <c r="P18" s="45"/>
      <c r="Q18" s="45"/>
      <c r="R18" s="2"/>
      <c r="S18" s="2"/>
      <c r="T18" s="2"/>
      <c r="U18" s="10"/>
      <c r="V18" s="10"/>
      <c r="W18" s="10"/>
      <c r="X18" s="45"/>
      <c r="Y18" s="45"/>
      <c r="Z18" s="2"/>
      <c r="AA18" s="2"/>
      <c r="AB18" s="2"/>
      <c r="AC18" s="10"/>
      <c r="AD18" s="10"/>
      <c r="AE18" s="10"/>
      <c r="AF18" s="45"/>
      <c r="AG18" s="45"/>
      <c r="AH18" s="2"/>
      <c r="AI18" s="2"/>
      <c r="AJ18" s="2"/>
      <c r="AK18" s="10"/>
      <c r="AL18" s="10"/>
      <c r="AM18" s="10"/>
      <c r="AN18" s="52"/>
      <c r="AO18" s="2"/>
    </row>
    <row r="19" spans="1:41" s="26" customFormat="1" ht="18">
      <c r="A19" s="23" t="s">
        <v>12</v>
      </c>
      <c r="B19" s="25">
        <v>50</v>
      </c>
      <c r="C19" s="25">
        <v>40</v>
      </c>
      <c r="D19" s="25">
        <v>46</v>
      </c>
      <c r="E19" s="25">
        <v>49</v>
      </c>
      <c r="F19" s="25">
        <v>49</v>
      </c>
      <c r="G19" s="25">
        <v>49</v>
      </c>
      <c r="H19" s="48">
        <f t="shared" si="0"/>
        <v>47.166666666666664</v>
      </c>
      <c r="I19" s="48"/>
      <c r="J19" s="25">
        <v>41</v>
      </c>
      <c r="K19" s="25">
        <v>39</v>
      </c>
      <c r="L19" s="25">
        <v>41</v>
      </c>
      <c r="M19" s="25">
        <v>50</v>
      </c>
      <c r="N19" s="25">
        <v>49</v>
      </c>
      <c r="O19" s="25">
        <v>49</v>
      </c>
      <c r="P19" s="48">
        <f t="shared" si="2"/>
        <v>44.833333333333336</v>
      </c>
      <c r="Q19" s="48"/>
      <c r="R19" s="25">
        <v>35</v>
      </c>
      <c r="S19" s="25">
        <v>35</v>
      </c>
      <c r="T19" s="25">
        <v>38</v>
      </c>
      <c r="U19" s="25">
        <v>49</v>
      </c>
      <c r="V19" s="25">
        <v>49</v>
      </c>
      <c r="W19" s="25">
        <v>48</v>
      </c>
      <c r="X19" s="48">
        <f>AVERAGE(R19:W19)</f>
        <v>42.333333333333336</v>
      </c>
      <c r="Y19" s="48"/>
      <c r="Z19" s="25">
        <v>34</v>
      </c>
      <c r="AA19" s="25">
        <v>39</v>
      </c>
      <c r="AB19" s="25">
        <v>43</v>
      </c>
      <c r="AC19" s="25">
        <v>50</v>
      </c>
      <c r="AD19" s="25">
        <v>49</v>
      </c>
      <c r="AE19" s="25">
        <v>49</v>
      </c>
      <c r="AF19" s="49">
        <f>AVERAGE(Z19:AE19)</f>
        <v>44</v>
      </c>
      <c r="AG19" s="49"/>
      <c r="AH19" s="25">
        <v>41</v>
      </c>
      <c r="AI19" s="25">
        <v>43</v>
      </c>
      <c r="AJ19" s="25">
        <v>47</v>
      </c>
      <c r="AK19" s="25">
        <v>49</v>
      </c>
      <c r="AL19" s="25">
        <v>48</v>
      </c>
      <c r="AM19" s="25">
        <v>46</v>
      </c>
      <c r="AN19" s="53">
        <f t="shared" si="6"/>
        <v>45.666666666666664</v>
      </c>
      <c r="AO19" s="25"/>
    </row>
    <row r="20" spans="1:41" s="11" customFormat="1" ht="18">
      <c r="A20" s="19" t="s">
        <v>13</v>
      </c>
      <c r="B20" s="10">
        <v>50</v>
      </c>
      <c r="C20" s="10">
        <v>32</v>
      </c>
      <c r="D20" s="10">
        <v>46</v>
      </c>
      <c r="E20" s="10">
        <v>49</v>
      </c>
      <c r="F20" s="10">
        <v>49</v>
      </c>
      <c r="G20" s="10">
        <v>49</v>
      </c>
      <c r="H20" s="48">
        <f t="shared" si="0"/>
        <v>45.833333333333336</v>
      </c>
      <c r="I20" s="48"/>
      <c r="J20" s="10">
        <v>41</v>
      </c>
      <c r="K20" s="10">
        <v>39</v>
      </c>
      <c r="L20" s="10">
        <v>38</v>
      </c>
      <c r="M20" s="10">
        <v>50</v>
      </c>
      <c r="N20" s="10">
        <v>49</v>
      </c>
      <c r="O20" s="10">
        <v>49</v>
      </c>
      <c r="P20" s="48">
        <f t="shared" si="2"/>
        <v>44.333333333333336</v>
      </c>
      <c r="Q20" s="48"/>
      <c r="R20" s="10">
        <v>35</v>
      </c>
      <c r="S20" s="10">
        <v>34</v>
      </c>
      <c r="T20" s="10">
        <v>37</v>
      </c>
      <c r="U20" s="10">
        <v>49</v>
      </c>
      <c r="V20" s="10">
        <v>49</v>
      </c>
      <c r="W20" s="10">
        <v>48</v>
      </c>
      <c r="X20" s="45">
        <f>AVERAGE(R20:W20)</f>
        <v>42</v>
      </c>
      <c r="Y20" s="45"/>
      <c r="Z20" s="10">
        <v>33</v>
      </c>
      <c r="AA20" s="10">
        <v>38</v>
      </c>
      <c r="AB20" s="10">
        <v>42</v>
      </c>
      <c r="AC20" s="10">
        <v>50</v>
      </c>
      <c r="AD20" s="10">
        <v>49</v>
      </c>
      <c r="AE20" s="10">
        <v>48</v>
      </c>
      <c r="AF20" s="48">
        <f>AVERAGE(Z20:AE20)</f>
        <v>43.333333333333336</v>
      </c>
      <c r="AG20" s="48"/>
      <c r="AH20" s="10">
        <v>40</v>
      </c>
      <c r="AI20" s="10">
        <v>40</v>
      </c>
      <c r="AJ20" s="10">
        <v>43</v>
      </c>
      <c r="AK20" s="10">
        <v>48</v>
      </c>
      <c r="AL20" s="10">
        <v>48</v>
      </c>
      <c r="AM20" s="10">
        <v>40</v>
      </c>
      <c r="AN20" s="53">
        <f t="shared" si="6"/>
        <v>43.166666666666664</v>
      </c>
      <c r="AO20" s="10"/>
    </row>
  </sheetData>
  <mergeCells count="6">
    <mergeCell ref="AH2:AM2"/>
    <mergeCell ref="A2:A4"/>
    <mergeCell ref="B2:G2"/>
    <mergeCell ref="J2:O2"/>
    <mergeCell ref="R2:W2"/>
    <mergeCell ref="Z2:AE2"/>
  </mergeCells>
  <phoneticPr fontId="4" type="noConversion"/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09A4-5B9E-4C6E-B930-93CC0EC1F96C}">
  <dimension ref="B3:H17"/>
  <sheetViews>
    <sheetView tabSelected="1" topLeftCell="A3" workbookViewId="0">
      <selection activeCell="I11" sqref="I11"/>
    </sheetView>
  </sheetViews>
  <sheetFormatPr defaultRowHeight="14.4"/>
  <cols>
    <col min="2" max="2" width="47" customWidth="1"/>
    <col min="3" max="3" width="15.44140625" customWidth="1"/>
    <col min="4" max="4" width="16.109375" customWidth="1"/>
    <col min="5" max="5" width="12.77734375" customWidth="1"/>
    <col min="6" max="6" width="15.6640625" customWidth="1"/>
    <col min="7" max="7" width="12.5546875" customWidth="1"/>
    <col min="8" max="8" width="11.33203125" customWidth="1"/>
  </cols>
  <sheetData>
    <row r="3" spans="2:8" ht="18">
      <c r="B3" s="89" t="s">
        <v>19</v>
      </c>
      <c r="C3" s="83" t="s">
        <v>8</v>
      </c>
      <c r="D3" s="84" t="s">
        <v>21</v>
      </c>
      <c r="E3" s="84" t="s">
        <v>5</v>
      </c>
      <c r="F3" s="84" t="s">
        <v>6</v>
      </c>
      <c r="G3" s="84" t="s">
        <v>7</v>
      </c>
      <c r="H3" s="55"/>
    </row>
    <row r="4" spans="2:8" ht="18" customHeight="1">
      <c r="B4" s="90"/>
      <c r="C4" s="85"/>
      <c r="D4" s="86"/>
      <c r="E4" s="86"/>
      <c r="F4" s="86"/>
      <c r="G4" s="86"/>
      <c r="H4" s="56"/>
    </row>
    <row r="5" spans="2:8" ht="18" customHeight="1">
      <c r="B5" s="91"/>
      <c r="C5" s="87"/>
      <c r="D5" s="88"/>
      <c r="E5" s="88"/>
      <c r="F5" s="88"/>
      <c r="G5" s="88"/>
      <c r="H5" s="56"/>
    </row>
    <row r="6" spans="2:8" ht="18">
      <c r="B6" s="1" t="s">
        <v>10</v>
      </c>
      <c r="C6" s="92" t="s">
        <v>133</v>
      </c>
      <c r="D6" s="92" t="s">
        <v>134</v>
      </c>
      <c r="E6" s="92" t="s">
        <v>135</v>
      </c>
      <c r="F6" s="92" t="s">
        <v>119</v>
      </c>
      <c r="G6" s="92" t="s">
        <v>136</v>
      </c>
    </row>
    <row r="7" spans="2:8" ht="18">
      <c r="B7" s="1" t="s">
        <v>9</v>
      </c>
      <c r="C7" s="92" t="s">
        <v>99</v>
      </c>
      <c r="D7" s="92" t="s">
        <v>127</v>
      </c>
      <c r="E7" s="92" t="s">
        <v>112</v>
      </c>
      <c r="F7" s="92" t="s">
        <v>120</v>
      </c>
      <c r="G7" s="92" t="s">
        <v>127</v>
      </c>
    </row>
    <row r="8" spans="2:8" ht="18">
      <c r="B8" s="1" t="s">
        <v>11</v>
      </c>
      <c r="C8" s="94" t="s">
        <v>100</v>
      </c>
      <c r="D8" s="94" t="s">
        <v>106</v>
      </c>
      <c r="E8" s="92" t="s">
        <v>113</v>
      </c>
      <c r="F8" s="92" t="s">
        <v>121</v>
      </c>
      <c r="G8" s="92" t="s">
        <v>106</v>
      </c>
    </row>
    <row r="9" spans="2:8" ht="18">
      <c r="B9" s="1" t="s">
        <v>0</v>
      </c>
      <c r="C9" s="92" t="s">
        <v>101</v>
      </c>
      <c r="D9" s="92" t="s">
        <v>107</v>
      </c>
      <c r="E9" s="92" t="s">
        <v>114</v>
      </c>
      <c r="F9" s="92" t="s">
        <v>122</v>
      </c>
      <c r="G9" s="92" t="s">
        <v>128</v>
      </c>
    </row>
    <row r="10" spans="2:8" ht="18">
      <c r="B10" s="79" t="s">
        <v>1</v>
      </c>
      <c r="C10" s="93">
        <v>94.333333333333329</v>
      </c>
      <c r="D10" s="93">
        <v>88.666666666666671</v>
      </c>
      <c r="E10" s="93">
        <v>84.666666666666671</v>
      </c>
      <c r="F10" s="93">
        <v>88</v>
      </c>
      <c r="G10" s="93">
        <v>90.833333333333329</v>
      </c>
    </row>
    <row r="11" spans="2:8" ht="18">
      <c r="B11" s="19" t="s">
        <v>20</v>
      </c>
      <c r="C11" s="93">
        <v>91.666666666666671</v>
      </c>
      <c r="D11" s="93">
        <v>88.666666666666671</v>
      </c>
      <c r="E11" s="71">
        <v>84</v>
      </c>
      <c r="F11" s="93">
        <v>86.67</v>
      </c>
      <c r="G11" s="93">
        <v>86.333333333333329</v>
      </c>
    </row>
    <row r="12" spans="2:8" ht="18">
      <c r="B12" s="1" t="s">
        <v>2</v>
      </c>
      <c r="C12" s="95" t="s">
        <v>102</v>
      </c>
      <c r="D12" s="95" t="s">
        <v>108</v>
      </c>
      <c r="E12" s="95" t="s">
        <v>115</v>
      </c>
      <c r="F12" s="95" t="s">
        <v>123</v>
      </c>
      <c r="G12" s="95" t="s">
        <v>129</v>
      </c>
    </row>
    <row r="13" spans="2:8" ht="18">
      <c r="B13" s="79" t="s">
        <v>23</v>
      </c>
      <c r="C13" s="95" t="s">
        <v>103</v>
      </c>
      <c r="D13" s="95" t="s">
        <v>109</v>
      </c>
      <c r="E13" s="95" t="s">
        <v>116</v>
      </c>
      <c r="F13" s="95" t="s">
        <v>124</v>
      </c>
      <c r="G13" s="95" t="s">
        <v>130</v>
      </c>
    </row>
    <row r="14" spans="2:8" ht="18">
      <c r="B14" s="80" t="s">
        <v>24</v>
      </c>
      <c r="C14" s="96"/>
      <c r="D14" s="96"/>
      <c r="E14" s="96"/>
      <c r="F14" s="97"/>
      <c r="G14" s="96"/>
    </row>
    <row r="15" spans="2:8" ht="18">
      <c r="B15" s="1" t="s">
        <v>36</v>
      </c>
      <c r="C15" s="94" t="s">
        <v>104</v>
      </c>
      <c r="D15" s="94" t="s">
        <v>110</v>
      </c>
      <c r="E15" s="94" t="s">
        <v>117</v>
      </c>
      <c r="F15" s="94" t="s">
        <v>125</v>
      </c>
      <c r="G15" s="94" t="s">
        <v>131</v>
      </c>
    </row>
    <row r="16" spans="2:8" ht="18">
      <c r="B16" s="1" t="s">
        <v>37</v>
      </c>
      <c r="C16" s="94" t="s">
        <v>105</v>
      </c>
      <c r="D16" s="94" t="s">
        <v>111</v>
      </c>
      <c r="E16" s="94" t="s">
        <v>118</v>
      </c>
      <c r="F16" s="94" t="s">
        <v>126</v>
      </c>
      <c r="G16" s="94" t="s">
        <v>132</v>
      </c>
    </row>
    <row r="17" spans="2:7" ht="18">
      <c r="B17" s="82" t="s">
        <v>39</v>
      </c>
      <c r="C17" s="81"/>
      <c r="D17" s="81"/>
      <c r="E17" s="81"/>
      <c r="F17" s="81"/>
      <c r="G17" s="81"/>
    </row>
  </sheetData>
  <mergeCells count="6">
    <mergeCell ref="B3:B5"/>
    <mergeCell ref="E3:E5"/>
    <mergeCell ref="D3:D5"/>
    <mergeCell ref="F3:F5"/>
    <mergeCell ref="G3:G5"/>
    <mergeCell ref="C3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1DFE-0FCC-4AB1-BE0C-A7A015CC1119}">
  <dimension ref="A2:K9"/>
  <sheetViews>
    <sheetView workbookViewId="0">
      <selection activeCell="A2" sqref="A2"/>
    </sheetView>
  </sheetViews>
  <sheetFormatPr defaultRowHeight="14.4"/>
  <cols>
    <col min="1" max="1" width="13.109375" customWidth="1"/>
  </cols>
  <sheetData>
    <row r="2" spans="1:11" ht="25.05" customHeight="1">
      <c r="A2" s="27" t="s">
        <v>29</v>
      </c>
      <c r="B2" s="27" t="s">
        <v>30</v>
      </c>
      <c r="C2" s="27"/>
      <c r="D2" s="35">
        <v>5.0000000000000001E-3</v>
      </c>
      <c r="E2" s="35"/>
      <c r="F2" s="36">
        <v>0.01</v>
      </c>
      <c r="G2" s="37"/>
      <c r="H2" s="36">
        <v>0.02</v>
      </c>
      <c r="I2" s="37"/>
      <c r="J2" s="36">
        <v>0.04</v>
      </c>
      <c r="K2" s="37"/>
    </row>
    <row r="3" spans="1:11" ht="25.05" customHeight="1">
      <c r="A3" s="27"/>
      <c r="B3" s="27" t="s">
        <v>31</v>
      </c>
      <c r="C3" s="27" t="s">
        <v>32</v>
      </c>
      <c r="D3" s="27" t="s">
        <v>31</v>
      </c>
      <c r="E3" s="27" t="s">
        <v>32</v>
      </c>
      <c r="F3" s="27" t="s">
        <v>31</v>
      </c>
      <c r="G3" s="27" t="s">
        <v>32</v>
      </c>
      <c r="H3" s="27" t="s">
        <v>31</v>
      </c>
      <c r="I3" s="27" t="s">
        <v>32</v>
      </c>
      <c r="J3" s="27" t="s">
        <v>31</v>
      </c>
      <c r="K3" s="27" t="s">
        <v>32</v>
      </c>
    </row>
    <row r="4" spans="1:11" ht="25.05" customHeight="1">
      <c r="A4" s="2">
        <v>1</v>
      </c>
      <c r="B4" s="2">
        <f>27+4</f>
        <v>31</v>
      </c>
      <c r="C4" s="2">
        <f>27+4</f>
        <v>31</v>
      </c>
      <c r="D4" s="2">
        <f>42+4</f>
        <v>46</v>
      </c>
      <c r="E4" s="2">
        <f>47+4</f>
        <v>51</v>
      </c>
      <c r="F4" s="2">
        <f>19+4</f>
        <v>23</v>
      </c>
      <c r="G4" s="2">
        <f>19+4</f>
        <v>23</v>
      </c>
      <c r="H4" s="2">
        <f>4+4</f>
        <v>8</v>
      </c>
      <c r="I4" s="2">
        <f>22+4</f>
        <v>26</v>
      </c>
      <c r="J4" s="2">
        <f>22+4</f>
        <v>26</v>
      </c>
      <c r="K4" s="2">
        <f>27+4</f>
        <v>31</v>
      </c>
    </row>
    <row r="5" spans="1:11" ht="25.05" customHeight="1">
      <c r="A5" s="2">
        <v>2</v>
      </c>
      <c r="B5" s="2">
        <f>29+4</f>
        <v>33</v>
      </c>
      <c r="C5" s="2">
        <f>20+4</f>
        <v>24</v>
      </c>
      <c r="D5" s="2">
        <f>33+4</f>
        <v>37</v>
      </c>
      <c r="E5" s="2">
        <f>20+4</f>
        <v>24</v>
      </c>
      <c r="F5" s="2">
        <f>20+4</f>
        <v>24</v>
      </c>
      <c r="G5" s="2">
        <f>20+4</f>
        <v>24</v>
      </c>
      <c r="H5" s="2">
        <f>33+4</f>
        <v>37</v>
      </c>
      <c r="I5" s="2">
        <f>24+4</f>
        <v>28</v>
      </c>
      <c r="J5" s="2">
        <f>27+4</f>
        <v>31</v>
      </c>
      <c r="K5" s="2">
        <f>20+4</f>
        <v>24</v>
      </c>
    </row>
    <row r="6" spans="1:11" ht="25.05" customHeight="1">
      <c r="A6" s="2">
        <v>3</v>
      </c>
      <c r="B6" s="2">
        <f>31+4</f>
        <v>35</v>
      </c>
      <c r="C6" s="2">
        <f>31+4</f>
        <v>35</v>
      </c>
      <c r="D6" s="2">
        <f>21+4</f>
        <v>25</v>
      </c>
      <c r="E6" s="2">
        <f>4+4</f>
        <v>8</v>
      </c>
      <c r="F6" s="2"/>
      <c r="G6" s="2"/>
      <c r="H6" s="2"/>
      <c r="I6" s="2">
        <f>26+4</f>
        <v>30</v>
      </c>
      <c r="J6" s="2">
        <f>36+4</f>
        <v>40</v>
      </c>
      <c r="K6" s="2">
        <f>36+4</f>
        <v>40</v>
      </c>
    </row>
    <row r="7" spans="1:11" ht="25.05" customHeight="1">
      <c r="A7" s="2">
        <v>4</v>
      </c>
      <c r="B7" s="2">
        <f>41+4</f>
        <v>45</v>
      </c>
      <c r="C7" s="2">
        <f>25+4</f>
        <v>29</v>
      </c>
      <c r="D7" s="2">
        <f>42+4</f>
        <v>46</v>
      </c>
      <c r="E7" s="2">
        <f t="shared" ref="E7:E8" si="0">4+4</f>
        <v>8</v>
      </c>
      <c r="F7" s="2"/>
      <c r="G7" s="2"/>
      <c r="H7" s="2"/>
      <c r="I7" s="2"/>
      <c r="J7" s="2">
        <f>35+4</f>
        <v>39</v>
      </c>
      <c r="K7" s="2">
        <f>36+4</f>
        <v>40</v>
      </c>
    </row>
    <row r="8" spans="1:11" ht="25.05" customHeight="1">
      <c r="A8" s="2">
        <v>5</v>
      </c>
      <c r="B8" s="2"/>
      <c r="C8" s="2">
        <f>9+4</f>
        <v>13</v>
      </c>
      <c r="D8" s="2">
        <f>25+4</f>
        <v>29</v>
      </c>
      <c r="E8" s="2">
        <f t="shared" si="0"/>
        <v>8</v>
      </c>
      <c r="F8" s="2"/>
      <c r="G8" s="2"/>
      <c r="H8" s="2"/>
      <c r="I8" s="2"/>
      <c r="J8" s="2"/>
      <c r="K8" s="2"/>
    </row>
    <row r="9" spans="1:11">
      <c r="A9" s="27" t="s">
        <v>33</v>
      </c>
      <c r="B9" s="27">
        <f>AVERAGE(B4:B7)</f>
        <v>36</v>
      </c>
      <c r="C9" s="27">
        <f>AVERAGE(C4:C8)</f>
        <v>26.4</v>
      </c>
      <c r="D9" s="27">
        <f>AVERAGE(D4:D8)</f>
        <v>36.6</v>
      </c>
      <c r="E9" s="27">
        <f>AVERAGE(E4:E8)</f>
        <v>19.8</v>
      </c>
      <c r="F9" s="27">
        <f>AVERAGE(F4:F5)</f>
        <v>23.5</v>
      </c>
      <c r="G9" s="27">
        <f>AVERAGE(G4:G5)</f>
        <v>23.5</v>
      </c>
      <c r="H9" s="27">
        <f>AVERAGE(H4:H5)</f>
        <v>22.5</v>
      </c>
      <c r="I9" s="27">
        <f>AVERAGE(I4:I6)</f>
        <v>28</v>
      </c>
      <c r="J9" s="27">
        <f>AVERAGE(J4:J7)</f>
        <v>34</v>
      </c>
      <c r="K9" s="27">
        <f>AVERAGE(K4:K7)</f>
        <v>33.75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BBB8-43CD-43BD-A558-07A25A7D0EF4}">
  <dimension ref="A2:F7"/>
  <sheetViews>
    <sheetView workbookViewId="0">
      <selection activeCell="C5" sqref="C5"/>
    </sheetView>
  </sheetViews>
  <sheetFormatPr defaultRowHeight="14.4"/>
  <cols>
    <col min="1" max="1" width="24.6640625" customWidth="1"/>
    <col min="2" max="2" width="21" customWidth="1"/>
  </cols>
  <sheetData>
    <row r="2" spans="1:6">
      <c r="A2" s="27" t="s">
        <v>34</v>
      </c>
      <c r="B2" s="27">
        <v>1</v>
      </c>
      <c r="C2" s="27">
        <v>2</v>
      </c>
      <c r="D2" s="27">
        <v>3</v>
      </c>
      <c r="E2" s="27">
        <v>4</v>
      </c>
      <c r="F2" s="27">
        <v>5</v>
      </c>
    </row>
    <row r="3" spans="1:6">
      <c r="A3" s="38" t="s">
        <v>30</v>
      </c>
      <c r="B3" s="2"/>
      <c r="C3" s="2"/>
      <c r="D3" s="2"/>
      <c r="E3" s="2"/>
      <c r="F3" s="2"/>
    </row>
    <row r="4" spans="1:6">
      <c r="A4" s="39">
        <v>5.0000000000000001E-3</v>
      </c>
      <c r="B4" s="2"/>
      <c r="C4" s="2"/>
      <c r="D4" s="2"/>
      <c r="E4" s="2"/>
      <c r="F4" s="2"/>
    </row>
    <row r="5" spans="1:6">
      <c r="A5" s="40">
        <v>0.01</v>
      </c>
      <c r="B5" s="2"/>
      <c r="C5" s="2"/>
      <c r="D5" s="2"/>
      <c r="E5" s="2"/>
      <c r="F5" s="2"/>
    </row>
    <row r="6" spans="1:6">
      <c r="A6" s="40">
        <v>0.02</v>
      </c>
      <c r="B6" s="2"/>
      <c r="C6" s="2"/>
      <c r="D6" s="2"/>
      <c r="E6" s="2"/>
      <c r="F6" s="2"/>
    </row>
    <row r="7" spans="1:6">
      <c r="A7" s="40">
        <v>0.04</v>
      </c>
      <c r="B7" s="2"/>
      <c r="C7" s="2"/>
      <c r="D7" s="2"/>
      <c r="E7" s="2"/>
      <c r="F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190D-5914-4223-BEAC-3B6475F56C38}">
  <dimension ref="A3:F13"/>
  <sheetViews>
    <sheetView workbookViewId="0">
      <selection activeCell="F11" sqref="F11:F13"/>
    </sheetView>
  </sheetViews>
  <sheetFormatPr defaultRowHeight="14.4"/>
  <cols>
    <col min="1" max="1" width="27.5546875" customWidth="1"/>
    <col min="2" max="2" width="18.44140625" customWidth="1"/>
    <col min="3" max="3" width="13.77734375" customWidth="1"/>
    <col min="4" max="4" width="14.21875" customWidth="1"/>
    <col min="5" max="5" width="15.21875" customWidth="1"/>
    <col min="6" max="6" width="12.88671875" customWidth="1"/>
  </cols>
  <sheetData>
    <row r="3" spans="1:6" ht="18">
      <c r="A3" s="58"/>
      <c r="B3" s="60" t="s">
        <v>40</v>
      </c>
      <c r="C3" s="60" t="s">
        <v>21</v>
      </c>
      <c r="D3" s="60" t="s">
        <v>5</v>
      </c>
      <c r="E3" s="60" t="s">
        <v>6</v>
      </c>
      <c r="F3" s="60" t="s">
        <v>7</v>
      </c>
    </row>
    <row r="4" spans="1:6" ht="18">
      <c r="A4" s="58" t="s">
        <v>42</v>
      </c>
      <c r="B4" s="58">
        <v>2.81</v>
      </c>
      <c r="C4" s="58">
        <v>2.56</v>
      </c>
      <c r="D4" s="58">
        <v>2.8</v>
      </c>
      <c r="E4" s="58">
        <v>2.8</v>
      </c>
      <c r="F4" s="58">
        <v>2.69</v>
      </c>
    </row>
    <row r="5" spans="1:6" ht="18">
      <c r="A5" s="58" t="s">
        <v>43</v>
      </c>
      <c r="B5" s="58">
        <v>4.2699999999999996</v>
      </c>
      <c r="C5" s="58">
        <v>2.36</v>
      </c>
      <c r="D5" s="58">
        <v>2.2200000000000002</v>
      </c>
      <c r="E5" s="58">
        <v>3.75</v>
      </c>
      <c r="F5" s="58">
        <v>4.93</v>
      </c>
    </row>
    <row r="6" spans="1:6" ht="18">
      <c r="A6" s="58" t="s">
        <v>44</v>
      </c>
      <c r="B6" s="58">
        <v>7.98</v>
      </c>
      <c r="C6" s="58">
        <v>7.07</v>
      </c>
      <c r="D6" s="58">
        <v>5.25</v>
      </c>
      <c r="E6" s="58">
        <v>5.63</v>
      </c>
      <c r="F6" s="58">
        <v>5.91</v>
      </c>
    </row>
    <row r="7" spans="1:6" ht="18">
      <c r="A7" s="63" t="s">
        <v>41</v>
      </c>
      <c r="B7" s="58">
        <v>147.08000000000001</v>
      </c>
      <c r="C7" s="58">
        <v>164.56</v>
      </c>
      <c r="D7" s="58">
        <v>191.37</v>
      </c>
      <c r="E7" s="58">
        <v>195.9</v>
      </c>
      <c r="F7" s="63">
        <v>201.71</v>
      </c>
    </row>
    <row r="8" spans="1:6" ht="18">
      <c r="A8" s="63" t="s">
        <v>45</v>
      </c>
      <c r="B8" s="58">
        <v>8.32</v>
      </c>
      <c r="C8" s="58">
        <v>10.199999999999999</v>
      </c>
      <c r="D8" s="63">
        <v>13.13</v>
      </c>
      <c r="E8" s="58">
        <v>12.66</v>
      </c>
      <c r="F8" s="58">
        <v>12.67</v>
      </c>
    </row>
    <row r="9" spans="1:6" ht="18">
      <c r="A9" s="58" t="s">
        <v>46</v>
      </c>
      <c r="B9" s="58">
        <v>70.819999999999993</v>
      </c>
      <c r="C9" s="58">
        <v>69.05</v>
      </c>
      <c r="D9" s="58">
        <v>66.77</v>
      </c>
      <c r="E9" s="58">
        <v>64.5</v>
      </c>
      <c r="F9" s="58">
        <v>62.72</v>
      </c>
    </row>
    <row r="10" spans="1:6" ht="18">
      <c r="A10" s="58" t="s">
        <v>47</v>
      </c>
      <c r="B10" s="58">
        <v>13.78</v>
      </c>
      <c r="C10" s="58">
        <v>15.83</v>
      </c>
      <c r="D10" s="58">
        <v>16.079999999999998</v>
      </c>
      <c r="E10" s="58">
        <v>16.739999999999998</v>
      </c>
      <c r="F10" s="63">
        <v>16.989999999999998</v>
      </c>
    </row>
    <row r="11" spans="1:6" ht="18">
      <c r="A11" s="59" t="s">
        <v>51</v>
      </c>
      <c r="B11" s="63">
        <v>55.43</v>
      </c>
      <c r="C11" s="58">
        <v>12.52</v>
      </c>
      <c r="D11" s="58">
        <v>15.4</v>
      </c>
      <c r="E11" s="58">
        <v>13.43</v>
      </c>
      <c r="F11" s="58">
        <v>28.26</v>
      </c>
    </row>
    <row r="12" spans="1:6" ht="18">
      <c r="A12" s="59" t="s">
        <v>52</v>
      </c>
      <c r="B12" s="58">
        <v>994.1</v>
      </c>
      <c r="C12" s="61">
        <v>1098.6400000000001</v>
      </c>
      <c r="D12" s="61">
        <v>1756.42</v>
      </c>
      <c r="E12" s="61">
        <v>2119.13</v>
      </c>
      <c r="F12" s="62">
        <v>2731.29</v>
      </c>
    </row>
    <row r="13" spans="1:6" ht="18">
      <c r="A13" s="59" t="s">
        <v>53</v>
      </c>
      <c r="B13" s="61">
        <v>1737.15</v>
      </c>
      <c r="C13" s="61">
        <v>2270.0100000000002</v>
      </c>
      <c r="D13" s="62">
        <v>3281.3</v>
      </c>
      <c r="E13" s="61">
        <v>2622.63</v>
      </c>
      <c r="F13" s="61">
        <v>2323.65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EE47-127F-4036-BDAF-F85582259FBC}">
  <dimension ref="A3:F49"/>
  <sheetViews>
    <sheetView topLeftCell="A27" workbookViewId="0">
      <selection activeCell="K47" sqref="K47"/>
    </sheetView>
  </sheetViews>
  <sheetFormatPr defaultRowHeight="15.6"/>
  <cols>
    <col min="1" max="1" width="33.77734375" style="57" customWidth="1"/>
    <col min="2" max="2" width="16.109375" style="57" customWidth="1"/>
    <col min="3" max="3" width="14.88671875" style="57" customWidth="1"/>
    <col min="4" max="4" width="21.44140625" style="57" customWidth="1"/>
    <col min="5" max="5" width="20.44140625" style="57" customWidth="1"/>
    <col min="6" max="6" width="18" style="57" customWidth="1"/>
    <col min="7" max="16384" width="8.88671875" style="57"/>
  </cols>
  <sheetData>
    <row r="3" spans="1:6">
      <c r="A3" s="73" t="s">
        <v>96</v>
      </c>
      <c r="B3" s="69" t="s">
        <v>40</v>
      </c>
      <c r="C3" s="69" t="s">
        <v>21</v>
      </c>
      <c r="D3" s="69" t="s">
        <v>5</v>
      </c>
      <c r="E3" s="69" t="s">
        <v>6</v>
      </c>
      <c r="F3" s="69" t="s">
        <v>7</v>
      </c>
    </row>
    <row r="4" spans="1:6">
      <c r="A4" s="75" t="s">
        <v>55</v>
      </c>
      <c r="B4" s="75" t="s">
        <v>35</v>
      </c>
      <c r="C4" s="75" t="s">
        <v>35</v>
      </c>
      <c r="D4" s="75" t="s">
        <v>35</v>
      </c>
      <c r="E4" s="75" t="s">
        <v>35</v>
      </c>
      <c r="F4" s="75" t="s">
        <v>35</v>
      </c>
    </row>
    <row r="5" spans="1:6">
      <c r="A5" s="75" t="s">
        <v>56</v>
      </c>
      <c r="B5" s="75" t="s">
        <v>35</v>
      </c>
      <c r="C5" s="75" t="s">
        <v>35</v>
      </c>
      <c r="D5" s="75" t="s">
        <v>35</v>
      </c>
      <c r="E5" s="75" t="s">
        <v>35</v>
      </c>
      <c r="F5" s="75" t="s">
        <v>35</v>
      </c>
    </row>
    <row r="6" spans="1:6">
      <c r="A6" s="75" t="s">
        <v>57</v>
      </c>
      <c r="B6" s="75" t="s">
        <v>35</v>
      </c>
      <c r="C6" s="75" t="s">
        <v>35</v>
      </c>
      <c r="D6" s="75" t="s">
        <v>35</v>
      </c>
      <c r="E6" s="75" t="s">
        <v>35</v>
      </c>
      <c r="F6" s="75" t="s">
        <v>35</v>
      </c>
    </row>
    <row r="7" spans="1:6">
      <c r="A7" s="71" t="s">
        <v>58</v>
      </c>
      <c r="B7" s="71">
        <v>0.17</v>
      </c>
      <c r="C7" s="71">
        <v>0.24</v>
      </c>
      <c r="D7" s="71">
        <v>0.25</v>
      </c>
      <c r="E7" s="71">
        <v>0.24</v>
      </c>
      <c r="F7" s="71">
        <v>0.2</v>
      </c>
    </row>
    <row r="8" spans="1:6" s="76" customFormat="1">
      <c r="A8" s="75" t="s">
        <v>59</v>
      </c>
      <c r="B8" s="75" t="s">
        <v>35</v>
      </c>
      <c r="C8" s="75" t="s">
        <v>35</v>
      </c>
      <c r="D8" s="75" t="s">
        <v>35</v>
      </c>
      <c r="E8" s="75" t="s">
        <v>35</v>
      </c>
      <c r="F8" s="75" t="s">
        <v>35</v>
      </c>
    </row>
    <row r="9" spans="1:6">
      <c r="A9" s="71" t="s">
        <v>60</v>
      </c>
      <c r="B9" s="71">
        <v>3.16</v>
      </c>
      <c r="C9" s="71">
        <v>4.2300000000000004</v>
      </c>
      <c r="D9" s="71">
        <v>4.8099999999999996</v>
      </c>
      <c r="E9" s="71">
        <v>4.7699999999999996</v>
      </c>
      <c r="F9" s="71">
        <v>4.53</v>
      </c>
    </row>
    <row r="10" spans="1:6" s="76" customFormat="1">
      <c r="A10" s="75" t="s">
        <v>61</v>
      </c>
      <c r="B10" s="75" t="s">
        <v>35</v>
      </c>
      <c r="C10" s="75" t="s">
        <v>35</v>
      </c>
      <c r="D10" s="75" t="s">
        <v>35</v>
      </c>
      <c r="E10" s="75" t="s">
        <v>35</v>
      </c>
      <c r="F10" s="75" t="s">
        <v>35</v>
      </c>
    </row>
    <row r="11" spans="1:6">
      <c r="A11" s="71" t="s">
        <v>62</v>
      </c>
      <c r="B11" s="71">
        <v>0.73</v>
      </c>
      <c r="C11" s="71">
        <v>0.83</v>
      </c>
      <c r="D11" s="71">
        <v>0.98</v>
      </c>
      <c r="E11" s="71">
        <v>0.87</v>
      </c>
      <c r="F11" s="71">
        <v>0.76</v>
      </c>
    </row>
    <row r="12" spans="1:6" s="76" customFormat="1">
      <c r="A12" s="75" t="s">
        <v>63</v>
      </c>
      <c r="B12" s="75" t="s">
        <v>35</v>
      </c>
      <c r="C12" s="75" t="s">
        <v>35</v>
      </c>
      <c r="D12" s="75" t="s">
        <v>35</v>
      </c>
      <c r="E12" s="75" t="s">
        <v>35</v>
      </c>
      <c r="F12" s="75" t="s">
        <v>35</v>
      </c>
    </row>
    <row r="13" spans="1:6">
      <c r="A13" s="71" t="s">
        <v>64</v>
      </c>
      <c r="B13" s="71">
        <v>0.68</v>
      </c>
      <c r="C13" s="71">
        <v>0.85</v>
      </c>
      <c r="D13" s="71">
        <v>1.0900000000000001</v>
      </c>
      <c r="E13" s="71">
        <v>1.1000000000000001</v>
      </c>
      <c r="F13" s="71">
        <v>1.07</v>
      </c>
    </row>
    <row r="14" spans="1:6">
      <c r="A14" s="71" t="s">
        <v>65</v>
      </c>
      <c r="B14" s="71">
        <v>0.01</v>
      </c>
      <c r="C14" s="71">
        <v>0.01</v>
      </c>
      <c r="D14" s="71">
        <v>0.01</v>
      </c>
      <c r="E14" s="71">
        <v>0.01</v>
      </c>
      <c r="F14" s="71">
        <v>0.01</v>
      </c>
    </row>
    <row r="15" spans="1:6">
      <c r="A15" s="71" t="s">
        <v>66</v>
      </c>
      <c r="B15" s="71">
        <v>0.13</v>
      </c>
      <c r="C15" s="71">
        <v>0.19</v>
      </c>
      <c r="D15" s="71">
        <v>0.27</v>
      </c>
      <c r="E15" s="71">
        <v>0.27</v>
      </c>
      <c r="F15" s="71">
        <v>0.27</v>
      </c>
    </row>
    <row r="16" spans="1:6">
      <c r="A16" s="71" t="s">
        <v>67</v>
      </c>
      <c r="B16" s="71" t="s">
        <v>35</v>
      </c>
      <c r="C16" s="71" t="s">
        <v>35</v>
      </c>
      <c r="D16" s="71">
        <v>0.01</v>
      </c>
      <c r="E16" s="71">
        <v>0.01</v>
      </c>
      <c r="F16" s="71">
        <v>0.01</v>
      </c>
    </row>
    <row r="17" spans="1:6" s="76" customFormat="1">
      <c r="A17" s="75" t="s">
        <v>68</v>
      </c>
      <c r="B17" s="75" t="s">
        <v>35</v>
      </c>
      <c r="C17" s="75" t="s">
        <v>35</v>
      </c>
      <c r="D17" s="75" t="s">
        <v>35</v>
      </c>
      <c r="E17" s="75" t="s">
        <v>35</v>
      </c>
      <c r="F17" s="75" t="s">
        <v>35</v>
      </c>
    </row>
    <row r="18" spans="1:6" s="76" customFormat="1">
      <c r="A18" s="75" t="s">
        <v>69</v>
      </c>
      <c r="B18" s="75" t="s">
        <v>35</v>
      </c>
      <c r="C18" s="75" t="s">
        <v>35</v>
      </c>
      <c r="D18" s="75" t="s">
        <v>35</v>
      </c>
      <c r="E18" s="75" t="s">
        <v>35</v>
      </c>
      <c r="F18" s="75" t="s">
        <v>35</v>
      </c>
    </row>
    <row r="19" spans="1:6" s="76" customFormat="1">
      <c r="A19" s="75" t="s">
        <v>70</v>
      </c>
      <c r="B19" s="75" t="s">
        <v>35</v>
      </c>
      <c r="C19" s="75" t="s">
        <v>35</v>
      </c>
      <c r="D19" s="75" t="s">
        <v>35</v>
      </c>
      <c r="E19" s="75" t="s">
        <v>35</v>
      </c>
      <c r="F19" s="75" t="s">
        <v>35</v>
      </c>
    </row>
    <row r="20" spans="1:6" s="76" customFormat="1">
      <c r="A20" s="75" t="s">
        <v>71</v>
      </c>
      <c r="B20" s="75" t="s">
        <v>35</v>
      </c>
      <c r="C20" s="75" t="s">
        <v>35</v>
      </c>
      <c r="D20" s="75" t="s">
        <v>35</v>
      </c>
      <c r="E20" s="75" t="s">
        <v>35</v>
      </c>
      <c r="F20" s="75" t="s">
        <v>35</v>
      </c>
    </row>
    <row r="21" spans="1:6">
      <c r="A21" s="71" t="s">
        <v>72</v>
      </c>
      <c r="B21" s="71">
        <v>4.9000000000000004</v>
      </c>
      <c r="C21" s="71">
        <v>6.36</v>
      </c>
      <c r="D21" s="71">
        <v>7.42</v>
      </c>
      <c r="E21" s="71">
        <v>7.29</v>
      </c>
      <c r="F21" s="71">
        <v>6.87</v>
      </c>
    </row>
    <row r="22" spans="1:6">
      <c r="A22" s="71" t="s">
        <v>73</v>
      </c>
      <c r="B22" s="71">
        <v>0.03</v>
      </c>
      <c r="C22" s="71">
        <v>0.02</v>
      </c>
      <c r="D22" s="71">
        <v>0.02</v>
      </c>
      <c r="E22" s="71">
        <v>0.02</v>
      </c>
      <c r="F22" s="71">
        <v>0.02</v>
      </c>
    </row>
    <row r="23" spans="1:6" s="76" customFormat="1">
      <c r="A23" s="75" t="s">
        <v>74</v>
      </c>
      <c r="B23" s="75" t="s">
        <v>35</v>
      </c>
      <c r="C23" s="75" t="s">
        <v>35</v>
      </c>
      <c r="D23" s="75" t="s">
        <v>35</v>
      </c>
      <c r="E23" s="75" t="s">
        <v>35</v>
      </c>
      <c r="F23" s="75" t="s">
        <v>35</v>
      </c>
    </row>
    <row r="24" spans="1:6">
      <c r="A24" s="71" t="s">
        <v>75</v>
      </c>
      <c r="B24" s="71">
        <v>0.45</v>
      </c>
      <c r="C24" s="71">
        <v>0.33</v>
      </c>
      <c r="D24" s="71">
        <v>0.43</v>
      </c>
      <c r="E24" s="71">
        <v>0.31</v>
      </c>
      <c r="F24" s="71">
        <v>0.26</v>
      </c>
    </row>
    <row r="25" spans="1:6">
      <c r="A25" s="71" t="s">
        <v>76</v>
      </c>
      <c r="B25" s="71">
        <v>0.01</v>
      </c>
      <c r="C25" s="71">
        <v>0.01</v>
      </c>
      <c r="D25" s="71">
        <v>0.03</v>
      </c>
      <c r="E25" s="71">
        <v>0.04</v>
      </c>
      <c r="F25" s="71">
        <v>7.0000000000000007E-2</v>
      </c>
    </row>
    <row r="26" spans="1:6">
      <c r="A26" s="71" t="s">
        <v>97</v>
      </c>
      <c r="B26" s="71">
        <v>0.04</v>
      </c>
      <c r="C26" s="71">
        <v>0.01</v>
      </c>
      <c r="D26" s="71">
        <v>0.02</v>
      </c>
      <c r="E26" s="71">
        <v>0.02</v>
      </c>
      <c r="F26" s="71">
        <v>0.01</v>
      </c>
    </row>
    <row r="27" spans="1:6">
      <c r="A27" s="71" t="s">
        <v>77</v>
      </c>
      <c r="B27" s="71">
        <v>1.73</v>
      </c>
      <c r="C27" s="71">
        <v>2.2599999999999998</v>
      </c>
      <c r="D27" s="71">
        <v>3.27</v>
      </c>
      <c r="E27" s="71">
        <v>2.6</v>
      </c>
      <c r="F27" s="71">
        <v>2.29</v>
      </c>
    </row>
    <row r="28" spans="1:6">
      <c r="A28" s="71" t="s">
        <v>78</v>
      </c>
      <c r="B28" s="71">
        <v>0.09</v>
      </c>
      <c r="C28" s="71">
        <v>0.08</v>
      </c>
      <c r="D28" s="71">
        <v>0.14000000000000001</v>
      </c>
      <c r="E28" s="71">
        <v>0.22</v>
      </c>
      <c r="F28" s="71">
        <v>0.36</v>
      </c>
    </row>
    <row r="29" spans="1:6" s="76" customFormat="1">
      <c r="A29" s="75" t="s">
        <v>79</v>
      </c>
      <c r="B29" s="75" t="s">
        <v>35</v>
      </c>
      <c r="C29" s="75" t="s">
        <v>35</v>
      </c>
      <c r="D29" s="75" t="s">
        <v>35</v>
      </c>
      <c r="E29" s="75" t="s">
        <v>35</v>
      </c>
      <c r="F29" s="75" t="s">
        <v>35</v>
      </c>
    </row>
    <row r="30" spans="1:6">
      <c r="A30" s="71" t="s">
        <v>80</v>
      </c>
      <c r="B30" s="71" t="s">
        <v>35</v>
      </c>
      <c r="C30" s="71" t="s">
        <v>35</v>
      </c>
      <c r="D30" s="71" t="s">
        <v>35</v>
      </c>
      <c r="E30" s="71">
        <v>0.02</v>
      </c>
      <c r="F30" s="71">
        <v>0.03</v>
      </c>
    </row>
    <row r="31" spans="1:6">
      <c r="A31" s="71" t="s">
        <v>81</v>
      </c>
      <c r="B31" s="71">
        <v>2.37</v>
      </c>
      <c r="C31" s="71">
        <v>2.72</v>
      </c>
      <c r="D31" s="71">
        <v>3.93</v>
      </c>
      <c r="E31" s="71">
        <v>3.24</v>
      </c>
      <c r="F31" s="71">
        <v>3.03</v>
      </c>
    </row>
    <row r="32" spans="1:6" s="76" customFormat="1">
      <c r="A32" s="75" t="s">
        <v>82</v>
      </c>
      <c r="B32" s="75" t="s">
        <v>35</v>
      </c>
      <c r="C32" s="75" t="s">
        <v>35</v>
      </c>
      <c r="D32" s="75" t="s">
        <v>35</v>
      </c>
      <c r="E32" s="75" t="s">
        <v>35</v>
      </c>
      <c r="F32" s="75" t="s">
        <v>35</v>
      </c>
    </row>
    <row r="33" spans="1:6">
      <c r="A33" s="71" t="s">
        <v>84</v>
      </c>
      <c r="B33" s="71">
        <v>0.98</v>
      </c>
      <c r="C33" s="71">
        <v>1.08</v>
      </c>
      <c r="D33" s="71">
        <v>1.73</v>
      </c>
      <c r="E33" s="71">
        <v>2.1</v>
      </c>
      <c r="F33" s="71">
        <v>2.71</v>
      </c>
    </row>
    <row r="34" spans="1:6">
      <c r="A34" s="71" t="s">
        <v>83</v>
      </c>
      <c r="B34" s="71" t="s">
        <v>35</v>
      </c>
      <c r="C34" s="71" t="s">
        <v>35</v>
      </c>
      <c r="D34" s="71" t="s">
        <v>35</v>
      </c>
      <c r="E34" s="71" t="s">
        <v>35</v>
      </c>
      <c r="F34" s="71">
        <v>0.01</v>
      </c>
    </row>
    <row r="35" spans="1:6">
      <c r="A35" s="71" t="s">
        <v>85</v>
      </c>
      <c r="B35" s="71">
        <v>0.05</v>
      </c>
      <c r="C35" s="71" t="s">
        <v>35</v>
      </c>
      <c r="D35" s="71" t="s">
        <v>35</v>
      </c>
      <c r="E35" s="71" t="s">
        <v>35</v>
      </c>
      <c r="F35" s="71">
        <v>0.01</v>
      </c>
    </row>
    <row r="36" spans="1:6" s="76" customFormat="1">
      <c r="A36" s="75" t="s">
        <v>86</v>
      </c>
      <c r="B36" s="75" t="s">
        <v>35</v>
      </c>
      <c r="C36" s="75" t="s">
        <v>35</v>
      </c>
      <c r="D36" s="75" t="s">
        <v>35</v>
      </c>
      <c r="E36" s="75" t="s">
        <v>35</v>
      </c>
      <c r="F36" s="75" t="s">
        <v>35</v>
      </c>
    </row>
    <row r="37" spans="1:6">
      <c r="A37" s="71" t="s">
        <v>87</v>
      </c>
      <c r="B37" s="71">
        <v>0.01</v>
      </c>
      <c r="C37" s="71">
        <v>0.01</v>
      </c>
      <c r="D37" s="71">
        <v>0.02</v>
      </c>
      <c r="E37" s="71">
        <v>0.01</v>
      </c>
      <c r="F37" s="71">
        <v>0.01</v>
      </c>
    </row>
    <row r="38" spans="1:6" s="76" customFormat="1">
      <c r="A38" s="75" t="s">
        <v>88</v>
      </c>
      <c r="B38" s="75" t="s">
        <v>35</v>
      </c>
      <c r="C38" s="75" t="s">
        <v>35</v>
      </c>
      <c r="D38" s="75" t="s">
        <v>35</v>
      </c>
      <c r="E38" s="75" t="s">
        <v>35</v>
      </c>
      <c r="F38" s="75" t="s">
        <v>35</v>
      </c>
    </row>
    <row r="39" spans="1:6" s="76" customFormat="1">
      <c r="A39" s="75" t="s">
        <v>89</v>
      </c>
      <c r="B39" s="75" t="s">
        <v>35</v>
      </c>
      <c r="C39" s="75" t="s">
        <v>35</v>
      </c>
      <c r="D39" s="75" t="s">
        <v>35</v>
      </c>
      <c r="E39" s="75" t="s">
        <v>35</v>
      </c>
      <c r="F39" s="75" t="s">
        <v>35</v>
      </c>
    </row>
    <row r="40" spans="1:6" s="76" customFormat="1">
      <c r="A40" s="75" t="s">
        <v>90</v>
      </c>
      <c r="B40" s="75" t="s">
        <v>35</v>
      </c>
      <c r="C40" s="75" t="s">
        <v>35</v>
      </c>
      <c r="D40" s="75" t="s">
        <v>35</v>
      </c>
      <c r="E40" s="75" t="s">
        <v>35</v>
      </c>
      <c r="F40" s="75" t="s">
        <v>35</v>
      </c>
    </row>
    <row r="41" spans="1:6">
      <c r="A41" s="71" t="s">
        <v>91</v>
      </c>
      <c r="B41" s="71" t="s">
        <v>35</v>
      </c>
      <c r="C41" s="71">
        <v>0.01</v>
      </c>
      <c r="D41" s="71">
        <v>0.02</v>
      </c>
      <c r="E41" s="71">
        <v>0.01</v>
      </c>
      <c r="F41" s="71">
        <v>0.02</v>
      </c>
    </row>
    <row r="42" spans="1:6" s="76" customFormat="1">
      <c r="A42" s="75" t="s">
        <v>92</v>
      </c>
      <c r="B42" s="75" t="s">
        <v>35</v>
      </c>
      <c r="C42" s="75" t="s">
        <v>35</v>
      </c>
      <c r="D42" s="75" t="s">
        <v>35</v>
      </c>
      <c r="E42" s="75" t="s">
        <v>35</v>
      </c>
      <c r="F42" s="75" t="s">
        <v>35</v>
      </c>
    </row>
    <row r="43" spans="1:6">
      <c r="A43" s="71" t="s">
        <v>93</v>
      </c>
      <c r="B43" s="71">
        <v>1.06</v>
      </c>
      <c r="C43" s="71">
        <v>1.1200000000000001</v>
      </c>
      <c r="D43" s="71">
        <v>1.78</v>
      </c>
      <c r="E43" s="71">
        <v>2.14</v>
      </c>
      <c r="F43" s="71">
        <v>2.77</v>
      </c>
    </row>
    <row r="44" spans="1:6">
      <c r="A44" s="71" t="s">
        <v>94</v>
      </c>
      <c r="B44" s="71">
        <v>3.42</v>
      </c>
      <c r="C44" s="71">
        <v>3.84</v>
      </c>
      <c r="D44" s="71">
        <v>5.71</v>
      </c>
      <c r="E44" s="71">
        <v>5.37</v>
      </c>
      <c r="F44" s="71">
        <v>5.8</v>
      </c>
    </row>
    <row r="45" spans="1:6">
      <c r="A45" s="71" t="s">
        <v>95</v>
      </c>
      <c r="B45" s="71">
        <v>0.04</v>
      </c>
      <c r="C45" s="71">
        <v>0.01</v>
      </c>
      <c r="D45" s="71">
        <v>0.02</v>
      </c>
      <c r="E45" s="71">
        <v>0.02</v>
      </c>
      <c r="F45" s="71">
        <v>0.01</v>
      </c>
    </row>
    <row r="46" spans="1:6">
      <c r="A46" s="71" t="s">
        <v>48</v>
      </c>
      <c r="B46" s="70">
        <v>55.43</v>
      </c>
      <c r="C46" s="71">
        <v>12.52</v>
      </c>
      <c r="D46" s="71">
        <v>15.4</v>
      </c>
      <c r="E46" s="71">
        <v>13.43</v>
      </c>
      <c r="F46" s="71">
        <v>28.26</v>
      </c>
    </row>
    <row r="47" spans="1:6">
      <c r="A47" s="71" t="s">
        <v>49</v>
      </c>
      <c r="B47" s="71">
        <v>994.1</v>
      </c>
      <c r="C47" s="72">
        <v>1098.6400000000001</v>
      </c>
      <c r="D47" s="72">
        <v>1756.42</v>
      </c>
      <c r="E47" s="72">
        <v>2119.13</v>
      </c>
      <c r="F47" s="74">
        <v>2731.29</v>
      </c>
    </row>
    <row r="48" spans="1:6">
      <c r="A48" s="71" t="s">
        <v>50</v>
      </c>
      <c r="B48" s="72">
        <v>1737.15</v>
      </c>
      <c r="C48" s="72">
        <v>2270.0100000000002</v>
      </c>
      <c r="D48" s="74">
        <v>3281.3</v>
      </c>
      <c r="E48" s="72">
        <v>2622.63</v>
      </c>
      <c r="F48" s="72">
        <v>2323.65</v>
      </c>
    </row>
    <row r="49" spans="1:6">
      <c r="A49" s="71"/>
      <c r="B49" s="71"/>
      <c r="C49" s="71"/>
      <c r="D49" s="71"/>
      <c r="E49" s="71"/>
      <c r="F49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E17E-9A45-4AA6-AAE5-B323F5721831}">
  <dimension ref="A2:F32"/>
  <sheetViews>
    <sheetView topLeftCell="A8" workbookViewId="0">
      <selection activeCell="I25" sqref="I25"/>
    </sheetView>
  </sheetViews>
  <sheetFormatPr defaultRowHeight="14.4"/>
  <cols>
    <col min="1" max="1" width="21.109375" customWidth="1"/>
    <col min="2" max="2" width="19.5546875" customWidth="1"/>
    <col min="3" max="3" width="18.77734375" customWidth="1"/>
    <col min="4" max="4" width="16.77734375" customWidth="1"/>
    <col min="5" max="6" width="14.6640625" customWidth="1"/>
  </cols>
  <sheetData>
    <row r="2" spans="1:6" ht="15.6">
      <c r="A2" s="73" t="s">
        <v>96</v>
      </c>
      <c r="B2" s="69" t="s">
        <v>40</v>
      </c>
      <c r="C2" s="69" t="s">
        <v>21</v>
      </c>
      <c r="D2" s="69" t="s">
        <v>5</v>
      </c>
      <c r="E2" s="69" t="s">
        <v>6</v>
      </c>
      <c r="F2" s="69" t="s">
        <v>7</v>
      </c>
    </row>
    <row r="3" spans="1:6" ht="15.6">
      <c r="A3" s="71" t="s">
        <v>58</v>
      </c>
      <c r="B3" s="71">
        <v>0.17</v>
      </c>
      <c r="C3" s="71">
        <v>0.24</v>
      </c>
      <c r="D3" s="78">
        <v>0.25</v>
      </c>
      <c r="E3" s="71">
        <v>0.24</v>
      </c>
      <c r="F3" s="71">
        <v>0.2</v>
      </c>
    </row>
    <row r="4" spans="1:6" ht="15.6">
      <c r="A4" s="71" t="s">
        <v>60</v>
      </c>
      <c r="B4" s="71">
        <v>3.16</v>
      </c>
      <c r="C4" s="71">
        <v>4.2300000000000004</v>
      </c>
      <c r="D4" s="78">
        <v>4.8099999999999996</v>
      </c>
      <c r="E4" s="71">
        <v>4.7699999999999996</v>
      </c>
      <c r="F4" s="71">
        <v>4.53</v>
      </c>
    </row>
    <row r="5" spans="1:6" ht="15.6">
      <c r="A5" s="71" t="s">
        <v>62</v>
      </c>
      <c r="B5" s="71">
        <v>0.73</v>
      </c>
      <c r="C5" s="71">
        <v>0.83</v>
      </c>
      <c r="D5" s="78">
        <v>0.98</v>
      </c>
      <c r="E5" s="71">
        <v>0.87</v>
      </c>
      <c r="F5" s="71">
        <v>0.76</v>
      </c>
    </row>
    <row r="6" spans="1:6" ht="15.6">
      <c r="A6" s="71" t="s">
        <v>64</v>
      </c>
      <c r="B6" s="71">
        <v>0.68</v>
      </c>
      <c r="C6" s="71">
        <v>0.85</v>
      </c>
      <c r="D6" s="71">
        <v>1.0900000000000001</v>
      </c>
      <c r="E6" s="71">
        <v>1.1000000000000001</v>
      </c>
      <c r="F6" s="71">
        <v>1.07</v>
      </c>
    </row>
    <row r="7" spans="1:6" ht="15.6">
      <c r="A7" s="71" t="s">
        <v>65</v>
      </c>
      <c r="B7" s="71">
        <v>0.01</v>
      </c>
      <c r="C7" s="71">
        <v>0.01</v>
      </c>
      <c r="D7" s="71">
        <v>0.01</v>
      </c>
      <c r="E7" s="71">
        <v>0.01</v>
      </c>
      <c r="F7" s="71">
        <v>0.01</v>
      </c>
    </row>
    <row r="8" spans="1:6" ht="15.6">
      <c r="A8" s="71" t="s">
        <v>66</v>
      </c>
      <c r="B8" s="71">
        <v>0.13</v>
      </c>
      <c r="C8" s="71">
        <v>0.19</v>
      </c>
      <c r="D8" s="71">
        <v>0.27</v>
      </c>
      <c r="E8" s="71">
        <v>0.27</v>
      </c>
      <c r="F8" s="71">
        <v>0.27</v>
      </c>
    </row>
    <row r="9" spans="1:6" ht="15.6">
      <c r="A9" s="71" t="s">
        <v>67</v>
      </c>
      <c r="B9" s="71" t="s">
        <v>35</v>
      </c>
      <c r="C9" s="71" t="s">
        <v>35</v>
      </c>
      <c r="D9" s="71">
        <v>0.01</v>
      </c>
      <c r="E9" s="71">
        <v>0.01</v>
      </c>
      <c r="F9" s="71">
        <v>0.01</v>
      </c>
    </row>
    <row r="10" spans="1:6" ht="15.6">
      <c r="A10" s="71" t="s">
        <v>72</v>
      </c>
      <c r="B10" s="71">
        <v>4.9000000000000004</v>
      </c>
      <c r="C10" s="71">
        <v>6.36</v>
      </c>
      <c r="D10" s="78">
        <v>7.42</v>
      </c>
      <c r="E10" s="71">
        <v>7.29</v>
      </c>
      <c r="F10" s="71">
        <v>6.87</v>
      </c>
    </row>
    <row r="11" spans="1:6" ht="15.6">
      <c r="A11" s="71" t="s">
        <v>73</v>
      </c>
      <c r="B11" s="71">
        <v>0.03</v>
      </c>
      <c r="C11" s="71">
        <v>0.02</v>
      </c>
      <c r="D11" s="71">
        <v>0.02</v>
      </c>
      <c r="E11" s="71">
        <v>0.02</v>
      </c>
      <c r="F11" s="71">
        <v>0.02</v>
      </c>
    </row>
    <row r="12" spans="1:6" ht="15.6">
      <c r="A12" s="71" t="s">
        <v>75</v>
      </c>
      <c r="B12" s="71">
        <v>0.45</v>
      </c>
      <c r="C12" s="71">
        <v>0.33</v>
      </c>
      <c r="D12" s="71">
        <v>0.43</v>
      </c>
      <c r="E12" s="71">
        <v>0.31</v>
      </c>
      <c r="F12" s="71">
        <v>0.26</v>
      </c>
    </row>
    <row r="13" spans="1:6" ht="15.6">
      <c r="A13" s="71" t="s">
        <v>76</v>
      </c>
      <c r="B13" s="71">
        <v>0.01</v>
      </c>
      <c r="C13" s="71">
        <v>0.01</v>
      </c>
      <c r="D13" s="71">
        <v>0.03</v>
      </c>
      <c r="E13" s="71">
        <v>0.04</v>
      </c>
      <c r="F13" s="71">
        <v>7.0000000000000007E-2</v>
      </c>
    </row>
    <row r="14" spans="1:6" ht="15.6">
      <c r="A14" s="71" t="s">
        <v>97</v>
      </c>
      <c r="B14" s="71">
        <v>0.04</v>
      </c>
      <c r="C14" s="71">
        <v>0.01</v>
      </c>
      <c r="D14" s="71">
        <v>0.02</v>
      </c>
      <c r="E14" s="71">
        <v>0.02</v>
      </c>
      <c r="F14" s="71">
        <v>0.01</v>
      </c>
    </row>
    <row r="15" spans="1:6" ht="15.6">
      <c r="A15" s="71" t="s">
        <v>77</v>
      </c>
      <c r="B15" s="71">
        <v>1.73</v>
      </c>
      <c r="C15" s="71">
        <v>2.2599999999999998</v>
      </c>
      <c r="D15" s="71">
        <v>3.27</v>
      </c>
      <c r="E15" s="71">
        <v>2.6</v>
      </c>
      <c r="F15" s="71">
        <v>2.29</v>
      </c>
    </row>
    <row r="16" spans="1:6" ht="15.6">
      <c r="A16" s="71" t="s">
        <v>78</v>
      </c>
      <c r="B16" s="71">
        <v>0.09</v>
      </c>
      <c r="C16" s="71">
        <v>0.08</v>
      </c>
      <c r="D16" s="71">
        <v>0.14000000000000001</v>
      </c>
      <c r="E16" s="71">
        <v>0.22</v>
      </c>
      <c r="F16" s="71">
        <v>0.36</v>
      </c>
    </row>
    <row r="17" spans="1:6" ht="15.6">
      <c r="A17" s="71" t="s">
        <v>80</v>
      </c>
      <c r="B17" s="71" t="s">
        <v>35</v>
      </c>
      <c r="C17" s="71" t="s">
        <v>35</v>
      </c>
      <c r="D17" s="71" t="s">
        <v>35</v>
      </c>
      <c r="E17" s="71">
        <v>0.02</v>
      </c>
      <c r="F17" s="71">
        <v>0.03</v>
      </c>
    </row>
    <row r="18" spans="1:6" ht="15.6">
      <c r="A18" s="71" t="s">
        <v>81</v>
      </c>
      <c r="B18" s="71">
        <v>2.37</v>
      </c>
      <c r="C18" s="71">
        <v>2.72</v>
      </c>
      <c r="D18" s="78">
        <v>3.93</v>
      </c>
      <c r="E18" s="71">
        <v>3.24</v>
      </c>
      <c r="F18" s="71">
        <v>3.03</v>
      </c>
    </row>
    <row r="19" spans="1:6" ht="15.6">
      <c r="A19" s="71" t="s">
        <v>84</v>
      </c>
      <c r="B19" s="71">
        <v>0.98</v>
      </c>
      <c r="C19" s="71">
        <v>1.08</v>
      </c>
      <c r="D19" s="71">
        <v>1.73</v>
      </c>
      <c r="E19" s="71">
        <v>2.1</v>
      </c>
      <c r="F19" s="71">
        <v>2.71</v>
      </c>
    </row>
    <row r="20" spans="1:6" ht="15.6">
      <c r="A20" s="71" t="s">
        <v>83</v>
      </c>
      <c r="B20" s="71" t="s">
        <v>35</v>
      </c>
      <c r="C20" s="71" t="s">
        <v>35</v>
      </c>
      <c r="D20" s="71" t="s">
        <v>35</v>
      </c>
      <c r="E20" s="71" t="s">
        <v>35</v>
      </c>
      <c r="F20" s="71">
        <v>0.01</v>
      </c>
    </row>
    <row r="21" spans="1:6" ht="15.6">
      <c r="A21" s="71" t="s">
        <v>85</v>
      </c>
      <c r="B21" s="71">
        <v>0.05</v>
      </c>
      <c r="C21" s="71" t="s">
        <v>35</v>
      </c>
      <c r="D21" s="71" t="s">
        <v>35</v>
      </c>
      <c r="E21" s="71" t="s">
        <v>35</v>
      </c>
      <c r="F21" s="71">
        <v>0.01</v>
      </c>
    </row>
    <row r="22" spans="1:6" ht="15.6">
      <c r="A22" s="71" t="s">
        <v>87</v>
      </c>
      <c r="B22" s="71">
        <v>0.01</v>
      </c>
      <c r="C22" s="71">
        <v>0.01</v>
      </c>
      <c r="D22" s="71">
        <v>0.02</v>
      </c>
      <c r="E22" s="71">
        <v>0.01</v>
      </c>
      <c r="F22" s="71">
        <v>0.01</v>
      </c>
    </row>
    <row r="23" spans="1:6" ht="15.6">
      <c r="A23" s="71" t="s">
        <v>91</v>
      </c>
      <c r="B23" s="71" t="s">
        <v>35</v>
      </c>
      <c r="C23" s="71">
        <v>0.01</v>
      </c>
      <c r="D23" s="71">
        <v>0.02</v>
      </c>
      <c r="E23" s="71">
        <v>0.01</v>
      </c>
      <c r="F23" s="71">
        <v>0.02</v>
      </c>
    </row>
    <row r="24" spans="1:6" ht="15.6">
      <c r="A24" s="71" t="s">
        <v>93</v>
      </c>
      <c r="B24" s="71">
        <v>1.06</v>
      </c>
      <c r="C24" s="71">
        <v>1.1200000000000001</v>
      </c>
      <c r="D24" s="71">
        <v>1.78</v>
      </c>
      <c r="E24" s="71">
        <v>2.14</v>
      </c>
      <c r="F24" s="71">
        <v>2.77</v>
      </c>
    </row>
    <row r="25" spans="1:6" ht="15.6">
      <c r="A25" s="71" t="s">
        <v>94</v>
      </c>
      <c r="B25" s="71">
        <v>3.42</v>
      </c>
      <c r="C25" s="71">
        <v>3.84</v>
      </c>
      <c r="D25" s="71">
        <v>5.71</v>
      </c>
      <c r="E25" s="71">
        <v>5.37</v>
      </c>
      <c r="F25" s="71">
        <v>5.8</v>
      </c>
    </row>
    <row r="26" spans="1:6" ht="15.6">
      <c r="A26" s="71" t="s">
        <v>95</v>
      </c>
      <c r="B26" s="71">
        <v>0.04</v>
      </c>
      <c r="C26" s="71">
        <v>0.01</v>
      </c>
      <c r="D26" s="71">
        <v>0.02</v>
      </c>
      <c r="E26" s="71">
        <v>0.02</v>
      </c>
      <c r="F26" s="71">
        <v>0.01</v>
      </c>
    </row>
    <row r="27" spans="1:6" ht="15.6">
      <c r="A27" s="71" t="s">
        <v>48</v>
      </c>
      <c r="B27" s="70">
        <v>55.43</v>
      </c>
      <c r="C27" s="71">
        <v>12.52</v>
      </c>
      <c r="D27" s="71">
        <v>15.4</v>
      </c>
      <c r="E27" s="71">
        <v>13.43</v>
      </c>
      <c r="F27" s="71">
        <v>28.26</v>
      </c>
    </row>
    <row r="28" spans="1:6" ht="15.6">
      <c r="A28" s="71" t="s">
        <v>49</v>
      </c>
      <c r="B28" s="71">
        <v>994.1</v>
      </c>
      <c r="C28" s="72">
        <v>1098.6400000000001</v>
      </c>
      <c r="D28" s="72">
        <v>1756.42</v>
      </c>
      <c r="E28" s="72">
        <v>2119.13</v>
      </c>
      <c r="F28" s="74">
        <v>2731.29</v>
      </c>
    </row>
    <row r="29" spans="1:6" ht="15.6">
      <c r="A29" s="71" t="s">
        <v>50</v>
      </c>
      <c r="B29" s="72">
        <v>1737.15</v>
      </c>
      <c r="C29" s="72">
        <v>2270.0100000000002</v>
      </c>
      <c r="D29" s="74">
        <v>3281.3</v>
      </c>
      <c r="E29" s="72">
        <v>2622.63</v>
      </c>
      <c r="F29" s="72">
        <v>2323.65</v>
      </c>
    </row>
    <row r="32" spans="1:6" ht="15.6">
      <c r="A32" s="7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Life table</vt:lpstr>
      <vt:lpstr>Sheet2</vt:lpstr>
      <vt:lpstr>adult longevity</vt:lpstr>
      <vt:lpstr>No. of eggs</vt:lpstr>
      <vt:lpstr>Proximate analysis</vt:lpstr>
      <vt:lpstr>fatty acid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ASUS TUF GAMING</cp:lastModifiedBy>
  <cp:lastPrinted>2022-11-24T06:15:09Z</cp:lastPrinted>
  <dcterms:created xsi:type="dcterms:W3CDTF">2022-11-15T07:04:31Z</dcterms:created>
  <dcterms:modified xsi:type="dcterms:W3CDTF">2023-05-30T09:50:08Z</dcterms:modified>
</cp:coreProperties>
</file>