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S:\Inventar\Inventar Weine\"/>
    </mc:Choice>
  </mc:AlternateContent>
  <xr:revisionPtr revIDLastSave="0" documentId="13_ncr:1_{B327CF62-3504-4B8C-9CDC-877A7A0BEE3F}" xr6:coauthVersionLast="47" xr6:coauthVersionMax="47" xr10:uidLastSave="{00000000-0000-0000-0000-000000000000}"/>
  <bookViews>
    <workbookView xWindow="-120" yWindow="-120" windowWidth="29040" windowHeight="15840" xr2:uid="{B90C82E2-BD89-4921-AA35-36441E36FBFF}"/>
  </bookViews>
  <sheets>
    <sheet name="Inventar" sheetId="1" r:id="rId1"/>
  </sheets>
  <definedNames>
    <definedName name="_xlnm._FilterDatabase" localSheetId="0" hidden="1">Inventar!$A$1:$BQ$489</definedName>
    <definedName name="_xlnm.Print_Area" localSheetId="0">Inventar!$AS$319:$BI$480</definedName>
    <definedName name="_xlnm.Print_Titles" localSheetId="0">Inventar!$1:$1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1" l="1"/>
  <c r="S138" i="1"/>
  <c r="S110" i="1"/>
  <c r="S253" i="1"/>
  <c r="S63" i="1"/>
  <c r="S23" i="1"/>
  <c r="S225" i="1"/>
  <c r="S286" i="1"/>
  <c r="S322" i="1"/>
  <c r="S384" i="1"/>
  <c r="S292" i="1"/>
  <c r="S361" i="1"/>
  <c r="S291" i="1"/>
  <c r="S406" i="1"/>
  <c r="S93" i="1"/>
  <c r="S288" i="1"/>
  <c r="S309" i="1"/>
  <c r="S167" i="1"/>
  <c r="S151" i="1"/>
  <c r="S105" i="1"/>
  <c r="S260" i="1"/>
  <c r="S127" i="1"/>
  <c r="CA477" i="1"/>
  <c r="BZ477" i="1"/>
  <c r="BY477" i="1"/>
  <c r="BX477" i="1"/>
  <c r="BW477" i="1"/>
  <c r="BV477" i="1"/>
  <c r="BU477" i="1"/>
  <c r="BT477" i="1"/>
  <c r="S130" i="1"/>
  <c r="S113" i="1"/>
  <c r="S293" i="1"/>
  <c r="S321" i="1"/>
  <c r="S156" i="1"/>
  <c r="S25" i="1"/>
  <c r="S78" i="1"/>
  <c r="S271" i="1"/>
  <c r="S158" i="1"/>
  <c r="S84" i="1"/>
  <c r="S182" i="1"/>
  <c r="S96" i="1"/>
  <c r="S108" i="1"/>
  <c r="S254" i="1"/>
  <c r="S258" i="1"/>
  <c r="K153" i="1"/>
  <c r="L153" i="1"/>
  <c r="M153" i="1"/>
  <c r="O153" i="1"/>
  <c r="P153" i="1"/>
  <c r="Q153" i="1"/>
  <c r="T153" i="1"/>
  <c r="U153" i="1"/>
  <c r="S380" i="1"/>
  <c r="S379" i="1"/>
  <c r="S90" i="1"/>
  <c r="S67" i="1"/>
  <c r="S340" i="1"/>
  <c r="S13" i="1"/>
  <c r="K64" i="1"/>
  <c r="L64" i="1"/>
  <c r="M64" i="1"/>
  <c r="O64" i="1"/>
  <c r="P64" i="1"/>
  <c r="Q64" i="1"/>
  <c r="T64" i="1"/>
  <c r="U64" i="1"/>
  <c r="K457" i="1"/>
  <c r="L457" i="1"/>
  <c r="M457" i="1"/>
  <c r="P457" i="1"/>
  <c r="O457" i="1"/>
  <c r="Q457" i="1"/>
  <c r="T457" i="1"/>
  <c r="U457" i="1"/>
  <c r="BR477" i="1"/>
  <c r="S80" i="1"/>
  <c r="S430" i="1"/>
  <c r="S149" i="1"/>
  <c r="S265" i="1"/>
  <c r="S91" i="1"/>
  <c r="S21" i="1"/>
  <c r="S33" i="1"/>
  <c r="S98" i="1"/>
  <c r="S303" i="1"/>
  <c r="O259" i="1"/>
  <c r="Q259" i="1"/>
  <c r="U259" i="1"/>
  <c r="J118" i="1"/>
  <c r="K118" i="1"/>
  <c r="O118" i="1"/>
  <c r="Q118" i="1"/>
  <c r="T118" i="1"/>
  <c r="U118" i="1"/>
  <c r="J115" i="1"/>
  <c r="O115" i="1"/>
  <c r="Q115" i="1"/>
  <c r="T115" i="1"/>
  <c r="U115" i="1"/>
  <c r="J116" i="1"/>
  <c r="K116" i="1"/>
  <c r="O116" i="1"/>
  <c r="Q116" i="1"/>
  <c r="T116" i="1"/>
  <c r="U116" i="1"/>
  <c r="J117" i="1"/>
  <c r="K117" i="1"/>
  <c r="L117" i="1"/>
  <c r="M117" i="1"/>
  <c r="P117" i="1"/>
  <c r="O117" i="1"/>
  <c r="Q117" i="1"/>
  <c r="T117" i="1"/>
  <c r="U117" i="1"/>
  <c r="K259" i="1"/>
  <c r="L259" i="1"/>
  <c r="M259" i="1"/>
  <c r="P259" i="1"/>
  <c r="L118" i="1"/>
  <c r="M118" i="1"/>
  <c r="P118" i="1"/>
  <c r="L116" i="1"/>
  <c r="M116" i="1"/>
  <c r="P116" i="1"/>
  <c r="K115" i="1"/>
  <c r="L115" i="1"/>
  <c r="M115" i="1"/>
  <c r="P115" i="1"/>
  <c r="BN477" i="1"/>
  <c r="BO477" i="1"/>
  <c r="BP477" i="1"/>
  <c r="BQ477" i="1"/>
  <c r="BS477" i="1"/>
  <c r="K173" i="1"/>
  <c r="L173" i="1"/>
  <c r="M173" i="1"/>
  <c r="P173" i="1"/>
  <c r="O173" i="1"/>
  <c r="Q173" i="1"/>
  <c r="T173" i="1"/>
  <c r="U173" i="1"/>
  <c r="S100" i="1"/>
  <c r="S70" i="1"/>
  <c r="S213" i="1"/>
  <c r="S146" i="1"/>
  <c r="S243" i="1"/>
  <c r="S255" i="1"/>
  <c r="S95" i="1"/>
  <c r="S312" i="1"/>
  <c r="S129" i="1"/>
  <c r="S302" i="1"/>
  <c r="S300" i="1"/>
  <c r="S324" i="1"/>
  <c r="S103" i="1"/>
  <c r="S106" i="1"/>
  <c r="S339" i="1"/>
  <c r="K78" i="1"/>
  <c r="L78" i="1"/>
  <c r="M78" i="1"/>
  <c r="P78" i="1"/>
  <c r="O78" i="1"/>
  <c r="Q78" i="1"/>
  <c r="T78" i="1"/>
  <c r="U78" i="1"/>
  <c r="K320" i="1"/>
  <c r="L320" i="1"/>
  <c r="M320" i="1"/>
  <c r="P320" i="1"/>
  <c r="O320" i="1"/>
  <c r="Q320" i="1"/>
  <c r="T320" i="1"/>
  <c r="U320" i="1"/>
  <c r="S157" i="1"/>
  <c r="S121" i="1"/>
  <c r="S307" i="1"/>
  <c r="S298" i="1"/>
  <c r="S123" i="1"/>
  <c r="S83" i="1"/>
  <c r="S76" i="1"/>
  <c r="S126" i="1"/>
  <c r="S179" i="1"/>
  <c r="S36" i="1"/>
  <c r="S281" i="1"/>
  <c r="S299" i="1"/>
  <c r="J241" i="1"/>
  <c r="K241" i="1"/>
  <c r="L241" i="1"/>
  <c r="M241" i="1"/>
  <c r="P241" i="1"/>
  <c r="O241" i="1"/>
  <c r="Q241" i="1"/>
  <c r="T241" i="1"/>
  <c r="U241" i="1"/>
  <c r="S177" i="1"/>
  <c r="S315" i="1"/>
  <c r="S295" i="1"/>
  <c r="S17" i="1"/>
  <c r="S209" i="1"/>
  <c r="S170" i="1"/>
  <c r="K148" i="1"/>
  <c r="L148" i="1"/>
  <c r="M148" i="1"/>
  <c r="P148" i="1"/>
  <c r="O148" i="1"/>
  <c r="Q148" i="1"/>
  <c r="T148" i="1"/>
  <c r="U148" i="1"/>
  <c r="S86" i="1"/>
  <c r="S180" i="1"/>
  <c r="S109" i="1"/>
  <c r="S176" i="1"/>
  <c r="S246" i="1"/>
  <c r="S10" i="1"/>
  <c r="K475" i="1"/>
  <c r="L475" i="1"/>
  <c r="M475" i="1"/>
  <c r="P475" i="1"/>
  <c r="O475" i="1"/>
  <c r="Q475" i="1"/>
  <c r="T475" i="1"/>
  <c r="U475" i="1"/>
  <c r="S325" i="1"/>
  <c r="J451" i="1"/>
  <c r="K451" i="1"/>
  <c r="L451" i="1"/>
  <c r="M451" i="1"/>
  <c r="P451" i="1"/>
  <c r="O451" i="1"/>
  <c r="Q451" i="1"/>
  <c r="T451" i="1"/>
  <c r="U451" i="1"/>
  <c r="J450" i="1"/>
  <c r="K189" i="1"/>
  <c r="L189" i="1"/>
  <c r="M189" i="1"/>
  <c r="P189" i="1"/>
  <c r="O189" i="1"/>
  <c r="Q189" i="1"/>
  <c r="T189" i="1"/>
  <c r="U189" i="1"/>
  <c r="K188" i="1"/>
  <c r="L188" i="1"/>
  <c r="M188" i="1"/>
  <c r="P188" i="1"/>
  <c r="O188" i="1"/>
  <c r="Q188" i="1"/>
  <c r="T188" i="1"/>
  <c r="U188" i="1"/>
  <c r="S136" i="1"/>
  <c r="S162" i="1"/>
  <c r="S111" i="1"/>
  <c r="S154" i="1"/>
  <c r="S308" i="1"/>
  <c r="O479" i="1"/>
  <c r="S22" i="1"/>
  <c r="S273" i="1"/>
  <c r="S119" i="1"/>
  <c r="S262" i="1"/>
  <c r="S327" i="1"/>
  <c r="S331" i="1"/>
  <c r="K332" i="1"/>
  <c r="L332" i="1"/>
  <c r="M332" i="1"/>
  <c r="P332" i="1"/>
  <c r="O332" i="1"/>
  <c r="Q332" i="1"/>
  <c r="S332" i="1"/>
  <c r="T332" i="1"/>
  <c r="J200" i="1"/>
  <c r="K200" i="1"/>
  <c r="O200" i="1"/>
  <c r="Q200" i="1"/>
  <c r="T200" i="1"/>
  <c r="U200" i="1"/>
  <c r="S400" i="1"/>
  <c r="U400" i="1"/>
  <c r="S399" i="1"/>
  <c r="S88" i="1"/>
  <c r="S28" i="1"/>
  <c r="S37" i="1"/>
  <c r="S345" i="1"/>
  <c r="S344" i="1"/>
  <c r="J345" i="1"/>
  <c r="K345" i="1"/>
  <c r="O345" i="1"/>
  <c r="Q345" i="1"/>
  <c r="T345" i="1"/>
  <c r="K442" i="1"/>
  <c r="L442" i="1"/>
  <c r="M442" i="1"/>
  <c r="P442" i="1"/>
  <c r="O442" i="1"/>
  <c r="Q442" i="1"/>
  <c r="T442" i="1"/>
  <c r="U442" i="1"/>
  <c r="K443" i="1"/>
  <c r="L443" i="1"/>
  <c r="M443" i="1"/>
  <c r="P443" i="1"/>
  <c r="O443" i="1"/>
  <c r="Q443" i="1"/>
  <c r="T443" i="1"/>
  <c r="U443" i="1"/>
  <c r="S184" i="1"/>
  <c r="S183" i="1"/>
  <c r="S141" i="1"/>
  <c r="S140" i="1"/>
  <c r="S347" i="1"/>
  <c r="K92" i="1"/>
  <c r="L92" i="1"/>
  <c r="O92" i="1"/>
  <c r="P92" i="1"/>
  <c r="Q92" i="1"/>
  <c r="T92" i="1"/>
  <c r="K462" i="1"/>
  <c r="L462" i="1"/>
  <c r="M462" i="1"/>
  <c r="P462" i="1"/>
  <c r="O462" i="1"/>
  <c r="Q462" i="1"/>
  <c r="T462" i="1"/>
  <c r="U462" i="1"/>
  <c r="S240" i="1"/>
  <c r="S4" i="1"/>
  <c r="S145" i="1"/>
  <c r="S468" i="1"/>
  <c r="S75" i="1"/>
  <c r="S134" i="1"/>
  <c r="S66" i="1"/>
  <c r="K403" i="1"/>
  <c r="L403" i="1"/>
  <c r="M403" i="1"/>
  <c r="P403" i="1"/>
  <c r="O403" i="1"/>
  <c r="Q403" i="1"/>
  <c r="T403" i="1"/>
  <c r="U403" i="1"/>
  <c r="K404" i="1"/>
  <c r="L404" i="1"/>
  <c r="M404" i="1"/>
  <c r="P404" i="1"/>
  <c r="O404" i="1"/>
  <c r="Q404" i="1"/>
  <c r="T404" i="1"/>
  <c r="U404" i="1"/>
  <c r="K67" i="1"/>
  <c r="L67" i="1"/>
  <c r="M67" i="1"/>
  <c r="P67" i="1"/>
  <c r="O67" i="1"/>
  <c r="Q67" i="1"/>
  <c r="U67" i="1"/>
  <c r="S391" i="1"/>
  <c r="S14" i="1"/>
  <c r="K249" i="1"/>
  <c r="L249" i="1"/>
  <c r="M249" i="1"/>
  <c r="P249" i="1"/>
  <c r="O249" i="1"/>
  <c r="Q249" i="1"/>
  <c r="T249" i="1"/>
  <c r="U249" i="1"/>
  <c r="S71" i="1"/>
  <c r="K19" i="1"/>
  <c r="L19" i="1"/>
  <c r="M19" i="1"/>
  <c r="P19" i="1"/>
  <c r="O19" i="1"/>
  <c r="Q19" i="1"/>
  <c r="T19" i="1"/>
  <c r="U19" i="1"/>
  <c r="S318" i="1"/>
  <c r="S326" i="1"/>
  <c r="S287" i="1"/>
  <c r="S248" i="1"/>
  <c r="J199" i="1"/>
  <c r="O199" i="1"/>
  <c r="Q199" i="1"/>
  <c r="T199" i="1"/>
  <c r="U199" i="1"/>
  <c r="K285" i="1"/>
  <c r="L285" i="1"/>
  <c r="M285" i="1"/>
  <c r="P285" i="1"/>
  <c r="O285" i="1"/>
  <c r="Q285" i="1"/>
  <c r="T285" i="1"/>
  <c r="U285" i="1"/>
  <c r="S194" i="1"/>
  <c r="BB478" i="1"/>
  <c r="S57" i="1"/>
  <c r="S99" i="1"/>
  <c r="S358" i="1"/>
  <c r="S178" i="1"/>
  <c r="K14" i="1"/>
  <c r="L14" i="1"/>
  <c r="M14" i="1"/>
  <c r="P14" i="1"/>
  <c r="O14" i="1"/>
  <c r="Q14" i="1"/>
  <c r="T14" i="1"/>
  <c r="S139" i="1"/>
  <c r="BA478" i="1"/>
  <c r="S337" i="1"/>
  <c r="S297" i="1"/>
  <c r="AZ478" i="1"/>
  <c r="S388" i="1"/>
  <c r="S296" i="1"/>
  <c r="S159" i="1"/>
  <c r="S313" i="1"/>
  <c r="AY478" i="1"/>
  <c r="O478" i="1"/>
  <c r="S79" i="1"/>
  <c r="AW478" i="1"/>
  <c r="K61" i="1"/>
  <c r="L61" i="1"/>
  <c r="M61" i="1"/>
  <c r="P61" i="1"/>
  <c r="O61" i="1"/>
  <c r="Q61" i="1"/>
  <c r="T61" i="1"/>
  <c r="U61" i="1"/>
  <c r="K207" i="1"/>
  <c r="L207" i="1"/>
  <c r="O207" i="1"/>
  <c r="P207" i="1"/>
  <c r="Q207" i="1"/>
  <c r="T207" i="1"/>
  <c r="U207" i="1"/>
  <c r="K208" i="1"/>
  <c r="L208" i="1"/>
  <c r="O208" i="1"/>
  <c r="P208" i="1"/>
  <c r="Q208" i="1"/>
  <c r="T208" i="1"/>
  <c r="U208" i="1"/>
  <c r="K263" i="1"/>
  <c r="L263" i="1"/>
  <c r="M263" i="1"/>
  <c r="P263" i="1"/>
  <c r="O263" i="1"/>
  <c r="Q263" i="1"/>
  <c r="T263" i="1"/>
  <c r="U263" i="1"/>
  <c r="S264" i="1"/>
  <c r="S392" i="1"/>
  <c r="S282" i="1"/>
  <c r="AV478" i="1"/>
  <c r="K275" i="1"/>
  <c r="L275" i="1"/>
  <c r="M275" i="1"/>
  <c r="P275" i="1"/>
  <c r="Q275" i="1"/>
  <c r="T275" i="1"/>
  <c r="U275" i="1"/>
  <c r="K279" i="1"/>
  <c r="L279" i="1"/>
  <c r="O279" i="1"/>
  <c r="P279" i="1"/>
  <c r="Q279" i="1"/>
  <c r="T279" i="1"/>
  <c r="U279" i="1"/>
  <c r="K280" i="1"/>
  <c r="L280" i="1"/>
  <c r="O280" i="1"/>
  <c r="P280" i="1"/>
  <c r="Q280" i="1"/>
  <c r="T280" i="1"/>
  <c r="U280" i="1"/>
  <c r="AU478" i="1"/>
  <c r="S174" i="1"/>
  <c r="S304" i="1"/>
  <c r="AT478" i="1"/>
  <c r="S122" i="1"/>
  <c r="AS478" i="1"/>
  <c r="R79" i="1"/>
  <c r="R477" i="1"/>
  <c r="AR478" i="1"/>
  <c r="S152" i="1"/>
  <c r="AQ478" i="1"/>
  <c r="AP478" i="1"/>
  <c r="AP57" i="1"/>
  <c r="AP477" i="1"/>
  <c r="K149" i="1"/>
  <c r="L149" i="1"/>
  <c r="M149" i="1"/>
  <c r="P149" i="1"/>
  <c r="O149" i="1"/>
  <c r="Q149" i="1"/>
  <c r="T149" i="1"/>
  <c r="U149" i="1"/>
  <c r="K400" i="1"/>
  <c r="L400" i="1"/>
  <c r="M400" i="1"/>
  <c r="P400" i="1"/>
  <c r="O400" i="1"/>
  <c r="Q400" i="1"/>
  <c r="K397" i="1"/>
  <c r="L397" i="1"/>
  <c r="M397" i="1"/>
  <c r="P397" i="1"/>
  <c r="O397" i="1"/>
  <c r="Q397" i="1"/>
  <c r="T397" i="1"/>
  <c r="U397" i="1"/>
  <c r="J179" i="1"/>
  <c r="K179" i="1"/>
  <c r="L179" i="1"/>
  <c r="M179" i="1"/>
  <c r="P179" i="1"/>
  <c r="O179" i="1"/>
  <c r="Q179" i="1"/>
  <c r="T179" i="1"/>
  <c r="K25" i="1"/>
  <c r="L25" i="1"/>
  <c r="M25" i="1"/>
  <c r="P25" i="1"/>
  <c r="O25" i="1"/>
  <c r="Q25" i="1"/>
  <c r="T25" i="1"/>
  <c r="K58" i="1"/>
  <c r="L58" i="1"/>
  <c r="M58" i="1"/>
  <c r="P58" i="1"/>
  <c r="O58" i="1"/>
  <c r="Q58" i="1"/>
  <c r="T58" i="1"/>
  <c r="U58" i="1"/>
  <c r="J425" i="1"/>
  <c r="K425" i="1"/>
  <c r="O425" i="1"/>
  <c r="Q425" i="1"/>
  <c r="T425" i="1"/>
  <c r="U425" i="1"/>
  <c r="J80" i="1"/>
  <c r="K80" i="1"/>
  <c r="L80" i="1"/>
  <c r="M80" i="1"/>
  <c r="P80" i="1"/>
  <c r="O80" i="1"/>
  <c r="Q80" i="1"/>
  <c r="T80" i="1"/>
  <c r="K152" i="1"/>
  <c r="L152" i="1"/>
  <c r="M152" i="1"/>
  <c r="P152" i="1"/>
  <c r="O152" i="1"/>
  <c r="Q152" i="1"/>
  <c r="T152" i="1"/>
  <c r="K167" i="1"/>
  <c r="L167" i="1"/>
  <c r="M167" i="1"/>
  <c r="P167" i="1"/>
  <c r="O167" i="1"/>
  <c r="Q167" i="1"/>
  <c r="T167" i="1"/>
  <c r="U167" i="1"/>
  <c r="T178" i="1"/>
  <c r="J178" i="1"/>
  <c r="K178" i="1"/>
  <c r="L178" i="1"/>
  <c r="M178" i="1"/>
  <c r="P178" i="1"/>
  <c r="O178" i="1"/>
  <c r="Q178" i="1"/>
  <c r="K151" i="1"/>
  <c r="L151" i="1"/>
  <c r="M151" i="1"/>
  <c r="P151" i="1"/>
  <c r="O151" i="1"/>
  <c r="Q151" i="1"/>
  <c r="T151" i="1"/>
  <c r="U151" i="1"/>
  <c r="S343" i="1"/>
  <c r="K158" i="1"/>
  <c r="L158" i="1"/>
  <c r="M158" i="1"/>
  <c r="P158" i="1"/>
  <c r="O158" i="1"/>
  <c r="Q158" i="1"/>
  <c r="T158" i="1"/>
  <c r="K69" i="1"/>
  <c r="L69" i="1"/>
  <c r="M69" i="1"/>
  <c r="P69" i="1"/>
  <c r="O69" i="1"/>
  <c r="Q69" i="1"/>
  <c r="T69" i="1"/>
  <c r="U69" i="1"/>
  <c r="K165" i="1"/>
  <c r="L165" i="1"/>
  <c r="M165" i="1"/>
  <c r="P165" i="1"/>
  <c r="O165" i="1"/>
  <c r="Q165" i="1"/>
  <c r="T165" i="1"/>
  <c r="U165" i="1"/>
  <c r="J72" i="1"/>
  <c r="K72" i="1"/>
  <c r="L72" i="1"/>
  <c r="M72" i="1"/>
  <c r="P72" i="1"/>
  <c r="S161" i="1"/>
  <c r="K380" i="1"/>
  <c r="L380" i="1"/>
  <c r="M380" i="1"/>
  <c r="P380" i="1"/>
  <c r="O380" i="1"/>
  <c r="Q380" i="1"/>
  <c r="T380" i="1"/>
  <c r="K57" i="1"/>
  <c r="L57" i="1"/>
  <c r="M57" i="1"/>
  <c r="P57" i="1"/>
  <c r="O57" i="1"/>
  <c r="Q57" i="1"/>
  <c r="J6" i="1"/>
  <c r="K6" i="1"/>
  <c r="L6" i="1"/>
  <c r="M6" i="1"/>
  <c r="P6" i="1"/>
  <c r="J180" i="1"/>
  <c r="K180" i="1"/>
  <c r="O180" i="1"/>
  <c r="Q180" i="1"/>
  <c r="J17" i="1"/>
  <c r="K17" i="1"/>
  <c r="J463" i="1"/>
  <c r="K463" i="1"/>
  <c r="L463" i="1"/>
  <c r="M463" i="1"/>
  <c r="P463" i="1"/>
  <c r="K372" i="1"/>
  <c r="L372" i="1"/>
  <c r="M372" i="1"/>
  <c r="P372" i="1"/>
  <c r="O372" i="1"/>
  <c r="Q372" i="1"/>
  <c r="T372" i="1"/>
  <c r="U372" i="1"/>
  <c r="AH478" i="1"/>
  <c r="AH480" i="1"/>
  <c r="AG478" i="1"/>
  <c r="AG480" i="1"/>
  <c r="J23" i="1"/>
  <c r="K23" i="1"/>
  <c r="O23" i="1"/>
  <c r="Q23" i="1"/>
  <c r="T23" i="1"/>
  <c r="K461" i="1"/>
  <c r="L461" i="1"/>
  <c r="M461" i="1"/>
  <c r="P461" i="1"/>
  <c r="O461" i="1"/>
  <c r="Q461" i="1"/>
  <c r="T461" i="1"/>
  <c r="U461" i="1"/>
  <c r="AF478" i="1"/>
  <c r="AF480" i="1"/>
  <c r="K277" i="1"/>
  <c r="L277" i="1"/>
  <c r="M277" i="1"/>
  <c r="P277" i="1"/>
  <c r="O277" i="1"/>
  <c r="Q277" i="1"/>
  <c r="T277" i="1"/>
  <c r="U277" i="1"/>
  <c r="K172" i="1"/>
  <c r="L172" i="1"/>
  <c r="M172" i="1"/>
  <c r="P172" i="1"/>
  <c r="O172" i="1"/>
  <c r="Q172" i="1"/>
  <c r="T172" i="1"/>
  <c r="U172" i="1"/>
  <c r="J143" i="1"/>
  <c r="O143" i="1"/>
  <c r="Q143" i="1"/>
  <c r="T143" i="1"/>
  <c r="U143" i="1"/>
  <c r="J384" i="1"/>
  <c r="K384" i="1"/>
  <c r="O384" i="1"/>
  <c r="Q384" i="1"/>
  <c r="T384" i="1"/>
  <c r="AE478" i="1"/>
  <c r="AE480" i="1"/>
  <c r="AE260" i="1"/>
  <c r="T260" i="1"/>
  <c r="S272" i="1"/>
  <c r="AD478" i="1"/>
  <c r="AD480" i="1"/>
  <c r="J20" i="1"/>
  <c r="K20" i="1"/>
  <c r="O20" i="1"/>
  <c r="Q20" i="1"/>
  <c r="T20" i="1"/>
  <c r="U20" i="1"/>
  <c r="AC478" i="1"/>
  <c r="AC480" i="1"/>
  <c r="AB478" i="1"/>
  <c r="AB480" i="1"/>
  <c r="K217" i="1"/>
  <c r="L217" i="1"/>
  <c r="M217" i="1"/>
  <c r="P217" i="1"/>
  <c r="O217" i="1"/>
  <c r="T217" i="1"/>
  <c r="U217" i="1"/>
  <c r="K102" i="1"/>
  <c r="L102" i="1"/>
  <c r="M102" i="1"/>
  <c r="P102" i="1"/>
  <c r="O102" i="1"/>
  <c r="Q102" i="1"/>
  <c r="T102" i="1"/>
  <c r="U102" i="1"/>
  <c r="T379" i="1"/>
  <c r="T445" i="1"/>
  <c r="U445" i="1"/>
  <c r="K445" i="1"/>
  <c r="L445" i="1"/>
  <c r="M445" i="1"/>
  <c r="P445" i="1"/>
  <c r="O445" i="1"/>
  <c r="Q445" i="1"/>
  <c r="K238" i="1"/>
  <c r="L238" i="1"/>
  <c r="M238" i="1"/>
  <c r="P238" i="1"/>
  <c r="O238" i="1"/>
  <c r="Q238" i="1"/>
  <c r="T238" i="1"/>
  <c r="U238" i="1"/>
  <c r="Q217" i="1"/>
  <c r="J423" i="1"/>
  <c r="K423" i="1"/>
  <c r="O423" i="1"/>
  <c r="Q423" i="1"/>
  <c r="U423" i="1"/>
  <c r="K433" i="1"/>
  <c r="L433" i="1"/>
  <c r="M433" i="1"/>
  <c r="P433" i="1"/>
  <c r="O433" i="1"/>
  <c r="Q433" i="1"/>
  <c r="T433" i="1"/>
  <c r="U433" i="1"/>
  <c r="AA478" i="1"/>
  <c r="AA480" i="1"/>
  <c r="K366" i="1"/>
  <c r="L366" i="1"/>
  <c r="M366" i="1"/>
  <c r="P366" i="1"/>
  <c r="O366" i="1"/>
  <c r="Q366" i="1"/>
  <c r="T366" i="1"/>
  <c r="U366" i="1"/>
  <c r="Z478" i="1"/>
  <c r="Z480" i="1"/>
  <c r="K465" i="1"/>
  <c r="L465" i="1"/>
  <c r="M465" i="1"/>
  <c r="P465" i="1"/>
  <c r="O465" i="1"/>
  <c r="Q465" i="1"/>
  <c r="T465" i="1"/>
  <c r="U465" i="1"/>
  <c r="J340" i="1"/>
  <c r="K340" i="1"/>
  <c r="O340" i="1"/>
  <c r="Q340" i="1"/>
  <c r="T340" i="1"/>
  <c r="K147" i="1"/>
  <c r="L147" i="1"/>
  <c r="M147" i="1"/>
  <c r="P147" i="1"/>
  <c r="O147" i="1"/>
  <c r="Q147" i="1"/>
  <c r="T147" i="1"/>
  <c r="U147" i="1"/>
  <c r="Y478" i="1"/>
  <c r="Y480" i="1"/>
  <c r="Q436" i="1"/>
  <c r="J344" i="1"/>
  <c r="K344" i="1"/>
  <c r="O344" i="1"/>
  <c r="Q344" i="1"/>
  <c r="T344" i="1"/>
  <c r="X478" i="1"/>
  <c r="X480" i="1"/>
  <c r="W478" i="1"/>
  <c r="W480" i="1"/>
  <c r="X477" i="1"/>
  <c r="Y477" i="1"/>
  <c r="Z477" i="1"/>
  <c r="AA477" i="1"/>
  <c r="AB477" i="1"/>
  <c r="AC477" i="1"/>
  <c r="AD477" i="1"/>
  <c r="AF477" i="1"/>
  <c r="AG477" i="1"/>
  <c r="AH477" i="1"/>
  <c r="AI477" i="1"/>
  <c r="AJ477" i="1"/>
  <c r="AK477" i="1"/>
  <c r="AL477" i="1"/>
  <c r="AM477" i="1"/>
  <c r="AN477" i="1"/>
  <c r="AO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W477" i="1"/>
  <c r="T5" i="1"/>
  <c r="U5" i="1"/>
  <c r="T6" i="1"/>
  <c r="U6" i="1"/>
  <c r="T7" i="1"/>
  <c r="U7" i="1"/>
  <c r="T9" i="1"/>
  <c r="U9" i="1"/>
  <c r="T10" i="1"/>
  <c r="T11" i="1"/>
  <c r="U11" i="1"/>
  <c r="T12" i="1"/>
  <c r="U12" i="1"/>
  <c r="T13" i="1"/>
  <c r="U13" i="1"/>
  <c r="T15" i="1"/>
  <c r="U15" i="1"/>
  <c r="T16" i="1"/>
  <c r="U16" i="1"/>
  <c r="T17" i="1"/>
  <c r="T18" i="1"/>
  <c r="U18" i="1"/>
  <c r="T21" i="1"/>
  <c r="T22" i="1"/>
  <c r="T24" i="1"/>
  <c r="U24" i="1"/>
  <c r="T26" i="1"/>
  <c r="U26" i="1"/>
  <c r="T27" i="1"/>
  <c r="U27" i="1"/>
  <c r="T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T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9" i="1"/>
  <c r="U59" i="1"/>
  <c r="T60" i="1"/>
  <c r="U60" i="1"/>
  <c r="T62" i="1"/>
  <c r="U62" i="1"/>
  <c r="T63" i="1"/>
  <c r="T65" i="1"/>
  <c r="U65" i="1"/>
  <c r="T66" i="1"/>
  <c r="T68" i="1"/>
  <c r="U68" i="1"/>
  <c r="T70" i="1"/>
  <c r="T71" i="1"/>
  <c r="T72" i="1"/>
  <c r="U72" i="1"/>
  <c r="T73" i="1"/>
  <c r="U73" i="1"/>
  <c r="T74" i="1"/>
  <c r="U74" i="1"/>
  <c r="T75" i="1"/>
  <c r="T76" i="1"/>
  <c r="T77" i="1"/>
  <c r="U77" i="1"/>
  <c r="T79" i="1"/>
  <c r="T81" i="1"/>
  <c r="U81" i="1"/>
  <c r="T82" i="1"/>
  <c r="U82" i="1"/>
  <c r="T83" i="1"/>
  <c r="T84" i="1"/>
  <c r="T85" i="1"/>
  <c r="U85" i="1"/>
  <c r="T86" i="1"/>
  <c r="T87" i="1"/>
  <c r="U87" i="1"/>
  <c r="T88" i="1"/>
  <c r="T89" i="1"/>
  <c r="T90" i="1"/>
  <c r="T91" i="1"/>
  <c r="T93" i="1"/>
  <c r="T94" i="1"/>
  <c r="U94" i="1"/>
  <c r="T95" i="1"/>
  <c r="T96" i="1"/>
  <c r="T97" i="1"/>
  <c r="U97" i="1"/>
  <c r="T98" i="1"/>
  <c r="T99" i="1"/>
  <c r="T100" i="1"/>
  <c r="T101" i="1"/>
  <c r="U101" i="1"/>
  <c r="T103" i="1"/>
  <c r="T104" i="1"/>
  <c r="U104" i="1"/>
  <c r="T105" i="1"/>
  <c r="T106" i="1"/>
  <c r="T107" i="1"/>
  <c r="U107" i="1"/>
  <c r="T108" i="1"/>
  <c r="T109" i="1"/>
  <c r="T110" i="1"/>
  <c r="T111" i="1"/>
  <c r="T112" i="1"/>
  <c r="U112" i="1"/>
  <c r="T113" i="1"/>
  <c r="T114" i="1"/>
  <c r="U114" i="1"/>
  <c r="T119" i="1"/>
  <c r="T120" i="1"/>
  <c r="U120" i="1"/>
  <c r="T121" i="1"/>
  <c r="T122" i="1"/>
  <c r="T123" i="1"/>
  <c r="T124" i="1"/>
  <c r="U124" i="1"/>
  <c r="T125" i="1"/>
  <c r="U125" i="1"/>
  <c r="T126" i="1"/>
  <c r="T127" i="1"/>
  <c r="T128" i="1"/>
  <c r="U128" i="1"/>
  <c r="T129" i="1"/>
  <c r="T130" i="1"/>
  <c r="T131" i="1"/>
  <c r="U131" i="1"/>
  <c r="T132" i="1"/>
  <c r="U132" i="1"/>
  <c r="T133" i="1"/>
  <c r="U133" i="1"/>
  <c r="T134" i="1"/>
  <c r="T135" i="1"/>
  <c r="U135" i="1"/>
  <c r="T136" i="1"/>
  <c r="T137" i="1"/>
  <c r="U137" i="1"/>
  <c r="T138" i="1"/>
  <c r="T139" i="1"/>
  <c r="T140" i="1"/>
  <c r="T141" i="1"/>
  <c r="T142" i="1"/>
  <c r="U142" i="1"/>
  <c r="T144" i="1"/>
  <c r="U144" i="1"/>
  <c r="T145" i="1"/>
  <c r="T146" i="1"/>
  <c r="T150" i="1"/>
  <c r="U150" i="1"/>
  <c r="T156" i="1"/>
  <c r="T154" i="1"/>
  <c r="T155" i="1"/>
  <c r="U155" i="1"/>
  <c r="T157" i="1"/>
  <c r="T159" i="1"/>
  <c r="T160" i="1"/>
  <c r="U160" i="1"/>
  <c r="T161" i="1"/>
  <c r="T162" i="1"/>
  <c r="T163" i="1"/>
  <c r="U163" i="1"/>
  <c r="T164" i="1"/>
  <c r="U164" i="1"/>
  <c r="T166" i="1"/>
  <c r="U166" i="1"/>
  <c r="T168" i="1"/>
  <c r="U168" i="1"/>
  <c r="T169" i="1"/>
  <c r="U169" i="1"/>
  <c r="T170" i="1"/>
  <c r="T171" i="1"/>
  <c r="U171" i="1"/>
  <c r="T175" i="1"/>
  <c r="U175" i="1"/>
  <c r="T176" i="1"/>
  <c r="T177" i="1"/>
  <c r="T181" i="1"/>
  <c r="U181" i="1"/>
  <c r="T182" i="1"/>
  <c r="T183" i="1"/>
  <c r="T184" i="1"/>
  <c r="T185" i="1"/>
  <c r="U185" i="1"/>
  <c r="T186" i="1"/>
  <c r="U186" i="1"/>
  <c r="T187" i="1"/>
  <c r="U187" i="1"/>
  <c r="T190" i="1"/>
  <c r="U190" i="1"/>
  <c r="T191" i="1"/>
  <c r="U191" i="1"/>
  <c r="T192" i="1"/>
  <c r="U192" i="1"/>
  <c r="T193" i="1"/>
  <c r="U193" i="1"/>
  <c r="T194" i="1"/>
  <c r="T195" i="1"/>
  <c r="U195" i="1"/>
  <c r="T196" i="1"/>
  <c r="U196" i="1"/>
  <c r="T197" i="1"/>
  <c r="U197" i="1"/>
  <c r="T198" i="1"/>
  <c r="U198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9" i="1"/>
  <c r="T210" i="1"/>
  <c r="U210" i="1"/>
  <c r="T211" i="1"/>
  <c r="U211" i="1"/>
  <c r="T212" i="1"/>
  <c r="U212" i="1"/>
  <c r="T213" i="1"/>
  <c r="T214" i="1"/>
  <c r="U214" i="1"/>
  <c r="T215" i="1"/>
  <c r="U215" i="1"/>
  <c r="T216" i="1"/>
  <c r="U216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9" i="1"/>
  <c r="U239" i="1"/>
  <c r="T240" i="1"/>
  <c r="T242" i="1"/>
  <c r="U242" i="1"/>
  <c r="T243" i="1"/>
  <c r="T244" i="1"/>
  <c r="U244" i="1"/>
  <c r="T245" i="1"/>
  <c r="U245" i="1"/>
  <c r="T246" i="1"/>
  <c r="T247" i="1"/>
  <c r="U247" i="1"/>
  <c r="T248" i="1"/>
  <c r="T250" i="1"/>
  <c r="U250" i="1"/>
  <c r="T251" i="1"/>
  <c r="U251" i="1"/>
  <c r="T252" i="1"/>
  <c r="U252" i="1"/>
  <c r="T253" i="1"/>
  <c r="T254" i="1"/>
  <c r="T255" i="1"/>
  <c r="U256" i="1"/>
  <c r="T257" i="1"/>
  <c r="U257" i="1"/>
  <c r="T261" i="1"/>
  <c r="U261" i="1"/>
  <c r="T262" i="1"/>
  <c r="T264" i="1"/>
  <c r="T265" i="1"/>
  <c r="T258" i="1"/>
  <c r="T266" i="1"/>
  <c r="U266" i="1"/>
  <c r="T267" i="1"/>
  <c r="U267" i="1"/>
  <c r="T268" i="1"/>
  <c r="U268" i="1"/>
  <c r="T269" i="1"/>
  <c r="U269" i="1"/>
  <c r="T270" i="1"/>
  <c r="U270" i="1"/>
  <c r="T271" i="1"/>
  <c r="T272" i="1"/>
  <c r="T273" i="1"/>
  <c r="T274" i="1"/>
  <c r="U274" i="1"/>
  <c r="T276" i="1"/>
  <c r="U276" i="1"/>
  <c r="T278" i="1"/>
  <c r="U278" i="1"/>
  <c r="T281" i="1"/>
  <c r="T282" i="1"/>
  <c r="T283" i="1"/>
  <c r="U283" i="1"/>
  <c r="T284" i="1"/>
  <c r="U284" i="1"/>
  <c r="T286" i="1"/>
  <c r="T287" i="1"/>
  <c r="T288" i="1"/>
  <c r="T289" i="1"/>
  <c r="U289" i="1"/>
  <c r="T290" i="1"/>
  <c r="U290" i="1"/>
  <c r="T291" i="1"/>
  <c r="T292" i="1"/>
  <c r="T293" i="1"/>
  <c r="T294" i="1"/>
  <c r="U294" i="1"/>
  <c r="T295" i="1"/>
  <c r="T296" i="1"/>
  <c r="T297" i="1"/>
  <c r="T298" i="1"/>
  <c r="T299" i="1"/>
  <c r="T300" i="1"/>
  <c r="T301" i="1"/>
  <c r="U301" i="1"/>
  <c r="T302" i="1"/>
  <c r="T303" i="1"/>
  <c r="T304" i="1"/>
  <c r="T305" i="1"/>
  <c r="U305" i="1"/>
  <c r="T306" i="1"/>
  <c r="U306" i="1"/>
  <c r="T307" i="1"/>
  <c r="T308" i="1"/>
  <c r="T309" i="1"/>
  <c r="T310" i="1"/>
  <c r="U310" i="1"/>
  <c r="T311" i="1"/>
  <c r="U311" i="1"/>
  <c r="T312" i="1"/>
  <c r="T313" i="1"/>
  <c r="T314" i="1"/>
  <c r="U314" i="1"/>
  <c r="T315" i="1"/>
  <c r="T316" i="1"/>
  <c r="U316" i="1"/>
  <c r="T317" i="1"/>
  <c r="U317" i="1"/>
  <c r="T318" i="1"/>
  <c r="T321" i="1"/>
  <c r="T322" i="1"/>
  <c r="T323" i="1"/>
  <c r="U323" i="1"/>
  <c r="T324" i="1"/>
  <c r="T325" i="1"/>
  <c r="T326" i="1"/>
  <c r="T327" i="1"/>
  <c r="T328" i="1"/>
  <c r="U328" i="1"/>
  <c r="T329" i="1"/>
  <c r="U329" i="1"/>
  <c r="T330" i="1"/>
  <c r="U330" i="1"/>
  <c r="T331" i="1"/>
  <c r="U333" i="1"/>
  <c r="T334" i="1"/>
  <c r="U334" i="1"/>
  <c r="T335" i="1"/>
  <c r="U335" i="1"/>
  <c r="T336" i="1"/>
  <c r="U336" i="1"/>
  <c r="T337" i="1"/>
  <c r="T338" i="1"/>
  <c r="U338" i="1"/>
  <c r="T339" i="1"/>
  <c r="T341" i="1"/>
  <c r="U341" i="1"/>
  <c r="T343" i="1"/>
  <c r="T346" i="1"/>
  <c r="U346" i="1"/>
  <c r="T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174" i="1"/>
  <c r="T354" i="1"/>
  <c r="U354" i="1"/>
  <c r="T355" i="1"/>
  <c r="U355" i="1"/>
  <c r="T356" i="1"/>
  <c r="U356" i="1"/>
  <c r="T357" i="1"/>
  <c r="U357" i="1"/>
  <c r="T358" i="1"/>
  <c r="T359" i="1"/>
  <c r="U359" i="1"/>
  <c r="T360" i="1"/>
  <c r="U360" i="1"/>
  <c r="T361" i="1"/>
  <c r="T362" i="1"/>
  <c r="U362" i="1"/>
  <c r="T363" i="1"/>
  <c r="U363" i="1"/>
  <c r="T364" i="1"/>
  <c r="U364" i="1"/>
  <c r="T365" i="1"/>
  <c r="U365" i="1"/>
  <c r="T367" i="1"/>
  <c r="U367" i="1"/>
  <c r="T368" i="1"/>
  <c r="U368" i="1"/>
  <c r="T369" i="1"/>
  <c r="U369" i="1"/>
  <c r="T370" i="1"/>
  <c r="U370" i="1"/>
  <c r="T371" i="1"/>
  <c r="U371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81" i="1"/>
  <c r="U381" i="1"/>
  <c r="T382" i="1"/>
  <c r="U382" i="1"/>
  <c r="T383" i="1"/>
  <c r="U383" i="1"/>
  <c r="T385" i="1"/>
  <c r="U385" i="1"/>
  <c r="T386" i="1"/>
  <c r="U386" i="1"/>
  <c r="T387" i="1"/>
  <c r="U387" i="1"/>
  <c r="T388" i="1"/>
  <c r="T389" i="1"/>
  <c r="U389" i="1"/>
  <c r="T390" i="1"/>
  <c r="U390" i="1"/>
  <c r="T391" i="1"/>
  <c r="T392" i="1"/>
  <c r="T393" i="1"/>
  <c r="U393" i="1"/>
  <c r="T394" i="1"/>
  <c r="U394" i="1"/>
  <c r="T395" i="1"/>
  <c r="U395" i="1"/>
  <c r="T396" i="1"/>
  <c r="U396" i="1"/>
  <c r="T398" i="1"/>
  <c r="U398" i="1"/>
  <c r="T399" i="1"/>
  <c r="T401" i="1"/>
  <c r="U401" i="1"/>
  <c r="T402" i="1"/>
  <c r="U402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8" i="1"/>
  <c r="U418" i="1"/>
  <c r="T419" i="1"/>
  <c r="U419" i="1"/>
  <c r="T420" i="1"/>
  <c r="U420" i="1"/>
  <c r="T421" i="1"/>
  <c r="U421" i="1"/>
  <c r="T422" i="1"/>
  <c r="U422" i="1"/>
  <c r="T424" i="1"/>
  <c r="U424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4" i="1"/>
  <c r="U444" i="1"/>
  <c r="T446" i="1"/>
  <c r="U446" i="1"/>
  <c r="T447" i="1"/>
  <c r="U447" i="1"/>
  <c r="T448" i="1"/>
  <c r="U448" i="1"/>
  <c r="T449" i="1"/>
  <c r="U449" i="1"/>
  <c r="T450" i="1"/>
  <c r="U450" i="1"/>
  <c r="T452" i="1"/>
  <c r="U452" i="1"/>
  <c r="T453" i="1"/>
  <c r="U453" i="1"/>
  <c r="T454" i="1"/>
  <c r="U454" i="1"/>
  <c r="T455" i="1"/>
  <c r="U455" i="1"/>
  <c r="T456" i="1"/>
  <c r="U456" i="1"/>
  <c r="T458" i="1"/>
  <c r="U458" i="1"/>
  <c r="T459" i="1"/>
  <c r="U459" i="1"/>
  <c r="T460" i="1"/>
  <c r="U460" i="1"/>
  <c r="T463" i="1"/>
  <c r="U463" i="1"/>
  <c r="T464" i="1"/>
  <c r="U464" i="1"/>
  <c r="T466" i="1"/>
  <c r="U466" i="1"/>
  <c r="T467" i="1"/>
  <c r="U467" i="1"/>
  <c r="T468" i="1"/>
  <c r="T413" i="1"/>
  <c r="U413" i="1"/>
  <c r="T414" i="1"/>
  <c r="U414" i="1"/>
  <c r="T441" i="1"/>
  <c r="U441" i="1"/>
  <c r="T415" i="1"/>
  <c r="U415" i="1"/>
  <c r="T416" i="1"/>
  <c r="U416" i="1"/>
  <c r="T417" i="1"/>
  <c r="U417" i="1"/>
  <c r="T469" i="1"/>
  <c r="U469" i="1"/>
  <c r="T470" i="1"/>
  <c r="U470" i="1"/>
  <c r="T471" i="1"/>
  <c r="U471" i="1"/>
  <c r="T472" i="1"/>
  <c r="U472" i="1"/>
  <c r="T342" i="1"/>
  <c r="U342" i="1"/>
  <c r="T8" i="1"/>
  <c r="U8" i="1"/>
  <c r="T473" i="1"/>
  <c r="U473" i="1"/>
  <c r="T474" i="1"/>
  <c r="U474" i="1"/>
  <c r="T319" i="1"/>
  <c r="U319" i="1"/>
  <c r="T476" i="1"/>
  <c r="T4" i="1"/>
  <c r="K91" i="1"/>
  <c r="L91" i="1"/>
  <c r="O91" i="1"/>
  <c r="P91" i="1"/>
  <c r="Q91" i="1"/>
  <c r="K77" i="1"/>
  <c r="L77" i="1"/>
  <c r="M77" i="1"/>
  <c r="P77" i="1"/>
  <c r="O77" i="1"/>
  <c r="Q77" i="1"/>
  <c r="J278" i="1"/>
  <c r="K278" i="1"/>
  <c r="P278" i="1"/>
  <c r="O278" i="1"/>
  <c r="Q278" i="1"/>
  <c r="K264" i="1"/>
  <c r="L264" i="1"/>
  <c r="M264" i="1"/>
  <c r="P264" i="1"/>
  <c r="O264" i="1"/>
  <c r="Q264" i="1"/>
  <c r="K121" i="1"/>
  <c r="L121" i="1"/>
  <c r="M121" i="1"/>
  <c r="P121" i="1"/>
  <c r="Q121" i="1"/>
  <c r="K395" i="1"/>
  <c r="L395" i="1"/>
  <c r="M395" i="1"/>
  <c r="P395" i="1"/>
  <c r="O395" i="1"/>
  <c r="Q395" i="1"/>
  <c r="J110" i="1"/>
  <c r="K110" i="1"/>
  <c r="L110" i="1"/>
  <c r="M110" i="1"/>
  <c r="P110" i="1"/>
  <c r="O110" i="1"/>
  <c r="Q110" i="1"/>
  <c r="K134" i="1"/>
  <c r="L134" i="1"/>
  <c r="M134" i="1"/>
  <c r="P134" i="1"/>
  <c r="O134" i="1"/>
  <c r="Q134" i="1"/>
  <c r="J467" i="1"/>
  <c r="K467" i="1"/>
  <c r="J226" i="1"/>
  <c r="K226" i="1"/>
  <c r="L226" i="1"/>
  <c r="M226" i="1"/>
  <c r="P226" i="1"/>
  <c r="O226" i="1"/>
  <c r="Q226" i="1"/>
  <c r="K203" i="1"/>
  <c r="L203" i="1"/>
  <c r="M203" i="1"/>
  <c r="P203" i="1"/>
  <c r="Q203" i="1"/>
  <c r="J228" i="1"/>
  <c r="K228" i="1"/>
  <c r="L228" i="1"/>
  <c r="M228" i="1"/>
  <c r="P228" i="1"/>
  <c r="O228" i="1"/>
  <c r="Q228" i="1"/>
  <c r="K82" i="1"/>
  <c r="L82" i="1"/>
  <c r="M82" i="1"/>
  <c r="P82" i="1"/>
  <c r="O82" i="1"/>
  <c r="Q82" i="1"/>
  <c r="K218" i="1"/>
  <c r="L218" i="1"/>
  <c r="M218" i="1"/>
  <c r="N218" i="1"/>
  <c r="P218" i="1"/>
  <c r="O218" i="1"/>
  <c r="K219" i="1"/>
  <c r="L219" i="1"/>
  <c r="M219" i="1"/>
  <c r="N219" i="1"/>
  <c r="Q219" i="1"/>
  <c r="O219" i="1"/>
  <c r="K237" i="1"/>
  <c r="L237" i="1"/>
  <c r="M237" i="1"/>
  <c r="P237" i="1"/>
  <c r="O237" i="1"/>
  <c r="Q237" i="1"/>
  <c r="K55" i="1"/>
  <c r="L55" i="1"/>
  <c r="O55" i="1"/>
  <c r="P55" i="1"/>
  <c r="Q55" i="1"/>
  <c r="K42" i="1"/>
  <c r="L42" i="1"/>
  <c r="M42" i="1"/>
  <c r="P42" i="1"/>
  <c r="O42" i="1"/>
  <c r="Q42" i="1"/>
  <c r="K235" i="1"/>
  <c r="L235" i="1"/>
  <c r="M235" i="1"/>
  <c r="P235" i="1"/>
  <c r="O235" i="1"/>
  <c r="Q235" i="1"/>
  <c r="K90" i="1"/>
  <c r="L90" i="1"/>
  <c r="P90" i="1"/>
  <c r="O90" i="1"/>
  <c r="Q90" i="1"/>
  <c r="K184" i="1"/>
  <c r="L184" i="1"/>
  <c r="M184" i="1"/>
  <c r="P184" i="1"/>
  <c r="O184" i="1"/>
  <c r="Q184" i="1"/>
  <c r="K328" i="1"/>
  <c r="L328" i="1"/>
  <c r="M328" i="1"/>
  <c r="P328" i="1"/>
  <c r="O328" i="1"/>
  <c r="Q328" i="1"/>
  <c r="K409" i="1"/>
  <c r="L409" i="1"/>
  <c r="M409" i="1"/>
  <c r="P409" i="1"/>
  <c r="O409" i="1"/>
  <c r="Q409" i="1"/>
  <c r="K379" i="1"/>
  <c r="L379" i="1"/>
  <c r="M379" i="1"/>
  <c r="P379" i="1"/>
  <c r="O379" i="1"/>
  <c r="Q379" i="1"/>
  <c r="J240" i="1"/>
  <c r="K240" i="1"/>
  <c r="L240" i="1"/>
  <c r="M240" i="1"/>
  <c r="P240" i="1"/>
  <c r="O240" i="1"/>
  <c r="Q240" i="1"/>
  <c r="J223" i="1"/>
  <c r="K223" i="1"/>
  <c r="L223" i="1"/>
  <c r="M223" i="1"/>
  <c r="P223" i="1"/>
  <c r="O223" i="1"/>
  <c r="Q223" i="1"/>
  <c r="K269" i="1"/>
  <c r="L269" i="1"/>
  <c r="M269" i="1"/>
  <c r="P269" i="1"/>
  <c r="O269" i="1"/>
  <c r="Q269" i="1"/>
  <c r="K338" i="1"/>
  <c r="L338" i="1"/>
  <c r="M338" i="1"/>
  <c r="P338" i="1"/>
  <c r="O338" i="1"/>
  <c r="Q338" i="1"/>
  <c r="K327" i="1"/>
  <c r="L327" i="1"/>
  <c r="M327" i="1"/>
  <c r="P327" i="1"/>
  <c r="O327" i="1"/>
  <c r="Q327" i="1"/>
  <c r="K399" i="1"/>
  <c r="L399" i="1"/>
  <c r="M399" i="1"/>
  <c r="P399" i="1"/>
  <c r="O399" i="1"/>
  <c r="Q399" i="1"/>
  <c r="K59" i="1"/>
  <c r="L59" i="1"/>
  <c r="M59" i="1"/>
  <c r="P59" i="1"/>
  <c r="O59" i="1"/>
  <c r="Q59" i="1"/>
  <c r="J284" i="1"/>
  <c r="K284" i="1"/>
  <c r="J177" i="1"/>
  <c r="K177" i="1"/>
  <c r="L177" i="1"/>
  <c r="M177" i="1"/>
  <c r="P177" i="1"/>
  <c r="O177" i="1"/>
  <c r="Q177" i="1"/>
  <c r="K438" i="1"/>
  <c r="L438" i="1"/>
  <c r="M438" i="1"/>
  <c r="P438" i="1"/>
  <c r="O438" i="1"/>
  <c r="Q438" i="1"/>
  <c r="K439" i="1"/>
  <c r="L439" i="1"/>
  <c r="M439" i="1"/>
  <c r="P439" i="1"/>
  <c r="O439" i="1"/>
  <c r="Q439" i="1"/>
  <c r="K456" i="1"/>
  <c r="L456" i="1"/>
  <c r="M456" i="1"/>
  <c r="P456" i="1"/>
  <c r="O456" i="1"/>
  <c r="Q456" i="1"/>
  <c r="K182" i="1"/>
  <c r="L182" i="1"/>
  <c r="M182" i="1"/>
  <c r="P182" i="1"/>
  <c r="O182" i="1"/>
  <c r="Q182" i="1"/>
  <c r="K324" i="1"/>
  <c r="L324" i="1"/>
  <c r="M324" i="1"/>
  <c r="P324" i="1"/>
  <c r="O324" i="1"/>
  <c r="Q324" i="1"/>
  <c r="BF478" i="1"/>
  <c r="K94" i="1"/>
  <c r="L94" i="1"/>
  <c r="M94" i="1"/>
  <c r="P94" i="1"/>
  <c r="O94" i="1"/>
  <c r="Q94" i="1"/>
  <c r="K95" i="1"/>
  <c r="L95" i="1"/>
  <c r="M95" i="1"/>
  <c r="P95" i="1"/>
  <c r="O95" i="1"/>
  <c r="Q95" i="1"/>
  <c r="J142" i="1"/>
  <c r="K142" i="1"/>
  <c r="L142" i="1"/>
  <c r="M142" i="1"/>
  <c r="P142" i="1"/>
  <c r="O142" i="1"/>
  <c r="Q142" i="1"/>
  <c r="K416" i="1"/>
  <c r="L416" i="1"/>
  <c r="M416" i="1"/>
  <c r="P416" i="1"/>
  <c r="O416" i="1"/>
  <c r="Q416" i="1"/>
  <c r="K375" i="1"/>
  <c r="L375" i="1"/>
  <c r="M375" i="1"/>
  <c r="P375" i="1"/>
  <c r="O375" i="1"/>
  <c r="Q375" i="1"/>
  <c r="K371" i="1"/>
  <c r="L371" i="1"/>
  <c r="M371" i="1"/>
  <c r="P371" i="1"/>
  <c r="O371" i="1"/>
  <c r="Q371" i="1"/>
  <c r="K44" i="1"/>
  <c r="L44" i="1"/>
  <c r="M44" i="1"/>
  <c r="P44" i="1"/>
  <c r="O44" i="1"/>
  <c r="Q44" i="1"/>
  <c r="K40" i="1"/>
  <c r="L40" i="1"/>
  <c r="M40" i="1"/>
  <c r="P40" i="1"/>
  <c r="O40" i="1"/>
  <c r="Q40" i="1"/>
  <c r="K295" i="1"/>
  <c r="L295" i="1"/>
  <c r="M295" i="1"/>
  <c r="P295" i="1"/>
  <c r="O295" i="1"/>
  <c r="Q295" i="1"/>
  <c r="K412" i="1"/>
  <c r="L412" i="1"/>
  <c r="M412" i="1"/>
  <c r="P412" i="1"/>
  <c r="O412" i="1"/>
  <c r="Q412" i="1"/>
  <c r="K323" i="1"/>
  <c r="L323" i="1"/>
  <c r="M323" i="1"/>
  <c r="P323" i="1"/>
  <c r="O323" i="1"/>
  <c r="Q323" i="1"/>
  <c r="Q30" i="1"/>
  <c r="O30" i="1"/>
  <c r="K30" i="1"/>
  <c r="L30" i="1"/>
  <c r="M30" i="1"/>
  <c r="P30" i="1"/>
  <c r="K313" i="1"/>
  <c r="L313" i="1"/>
  <c r="M313" i="1"/>
  <c r="P313" i="1"/>
  <c r="O313" i="1"/>
  <c r="Q313" i="1"/>
  <c r="K306" i="1"/>
  <c r="L306" i="1"/>
  <c r="M306" i="1"/>
  <c r="P306" i="1"/>
  <c r="O306" i="1"/>
  <c r="Q306" i="1"/>
  <c r="K312" i="1"/>
  <c r="L312" i="1"/>
  <c r="M312" i="1"/>
  <c r="P312" i="1"/>
  <c r="O312" i="1"/>
  <c r="Q312" i="1"/>
  <c r="K274" i="1"/>
  <c r="L274" i="1"/>
  <c r="M274" i="1"/>
  <c r="P274" i="1"/>
  <c r="Q274" i="1"/>
  <c r="K185" i="1"/>
  <c r="L185" i="1"/>
  <c r="M185" i="1"/>
  <c r="P185" i="1"/>
  <c r="O185" i="1"/>
  <c r="Q185" i="1"/>
  <c r="J197" i="1"/>
  <c r="K197" i="1"/>
  <c r="O197" i="1"/>
  <c r="Q197" i="1"/>
  <c r="K349" i="1"/>
  <c r="L349" i="1"/>
  <c r="M349" i="1"/>
  <c r="P349" i="1"/>
  <c r="O349" i="1"/>
  <c r="Q349" i="1"/>
  <c r="K56" i="1"/>
  <c r="L56" i="1"/>
  <c r="M56" i="1"/>
  <c r="P56" i="1"/>
  <c r="O56" i="1"/>
  <c r="Q56" i="1"/>
  <c r="K232" i="1"/>
  <c r="L232" i="1"/>
  <c r="M232" i="1"/>
  <c r="P232" i="1"/>
  <c r="O232" i="1"/>
  <c r="Q232" i="1"/>
  <c r="K296" i="1"/>
  <c r="L296" i="1"/>
  <c r="M296" i="1"/>
  <c r="P296" i="1"/>
  <c r="O296" i="1"/>
  <c r="Q296" i="1"/>
  <c r="K261" i="1"/>
  <c r="L261" i="1"/>
  <c r="M261" i="1"/>
  <c r="P261" i="1"/>
  <c r="O261" i="1"/>
  <c r="Q261" i="1"/>
  <c r="K34" i="1"/>
  <c r="L34" i="1"/>
  <c r="M34" i="1"/>
  <c r="P34" i="1"/>
  <c r="O34" i="1"/>
  <c r="Q34" i="1"/>
  <c r="K36" i="1"/>
  <c r="L36" i="1"/>
  <c r="O36" i="1"/>
  <c r="P36" i="1"/>
  <c r="Q36" i="1"/>
  <c r="K88" i="1"/>
  <c r="L88" i="1"/>
  <c r="M88" i="1"/>
  <c r="P88" i="1"/>
  <c r="O88" i="1"/>
  <c r="Q88" i="1"/>
  <c r="J322" i="1"/>
  <c r="K322" i="1"/>
  <c r="O322" i="1"/>
  <c r="Q322" i="1"/>
  <c r="J242" i="1"/>
  <c r="K242" i="1"/>
  <c r="L242" i="1"/>
  <c r="M242" i="1"/>
  <c r="P242" i="1"/>
  <c r="K231" i="1"/>
  <c r="L231" i="1"/>
  <c r="M231" i="1"/>
  <c r="P231" i="1"/>
  <c r="O231" i="1"/>
  <c r="Q231" i="1"/>
  <c r="K230" i="1"/>
  <c r="L230" i="1"/>
  <c r="M230" i="1"/>
  <c r="P230" i="1"/>
  <c r="O230" i="1"/>
  <c r="Q230" i="1"/>
  <c r="K453" i="1"/>
  <c r="L453" i="1"/>
  <c r="M453" i="1"/>
  <c r="P453" i="1"/>
  <c r="O453" i="1"/>
  <c r="Q453" i="1"/>
  <c r="K74" i="1"/>
  <c r="L74" i="1"/>
  <c r="M74" i="1"/>
  <c r="P74" i="1"/>
  <c r="O74" i="1"/>
  <c r="Q74" i="1"/>
  <c r="K283" i="1"/>
  <c r="L283" i="1"/>
  <c r="M283" i="1"/>
  <c r="P283" i="1"/>
  <c r="O283" i="1"/>
  <c r="Q283" i="1"/>
  <c r="K368" i="1"/>
  <c r="L368" i="1"/>
  <c r="M368" i="1"/>
  <c r="P368" i="1"/>
  <c r="O368" i="1"/>
  <c r="Q368" i="1"/>
  <c r="K369" i="1"/>
  <c r="L369" i="1"/>
  <c r="M369" i="1"/>
  <c r="P369" i="1"/>
  <c r="O369" i="1"/>
  <c r="Q369" i="1"/>
  <c r="L401" i="1"/>
  <c r="M401" i="1"/>
  <c r="P401" i="1"/>
  <c r="Q401" i="1"/>
  <c r="K402" i="1"/>
  <c r="L402" i="1"/>
  <c r="M402" i="1"/>
  <c r="P402" i="1"/>
  <c r="O402" i="1"/>
  <c r="Q402" i="1"/>
  <c r="K469" i="1"/>
  <c r="L469" i="1"/>
  <c r="M469" i="1"/>
  <c r="P469" i="1"/>
  <c r="Q469" i="1"/>
  <c r="K470" i="1"/>
  <c r="L470" i="1"/>
  <c r="M470" i="1"/>
  <c r="P470" i="1"/>
  <c r="Q470" i="1"/>
  <c r="K471" i="1"/>
  <c r="L471" i="1"/>
  <c r="M471" i="1"/>
  <c r="P471" i="1"/>
  <c r="O471" i="1"/>
  <c r="Q471" i="1"/>
  <c r="K164" i="1"/>
  <c r="L164" i="1"/>
  <c r="P164" i="1"/>
  <c r="O164" i="1"/>
  <c r="Q164" i="1"/>
  <c r="K307" i="1"/>
  <c r="L307" i="1"/>
  <c r="M307" i="1"/>
  <c r="P307" i="1"/>
  <c r="O307" i="1"/>
  <c r="Q307" i="1"/>
  <c r="J227" i="1"/>
  <c r="K227" i="1"/>
  <c r="O227" i="1"/>
  <c r="Q227" i="1"/>
  <c r="J198" i="1"/>
  <c r="K198" i="1"/>
  <c r="L198" i="1"/>
  <c r="M198" i="1"/>
  <c r="P198" i="1"/>
  <c r="O198" i="1"/>
  <c r="Q198" i="1"/>
  <c r="K75" i="1"/>
  <c r="L75" i="1"/>
  <c r="M75" i="1"/>
  <c r="P75" i="1"/>
  <c r="O75" i="1"/>
  <c r="Q75" i="1"/>
  <c r="J455" i="1"/>
  <c r="K455" i="1"/>
  <c r="O455" i="1"/>
  <c r="Q455" i="1"/>
  <c r="K236" i="1"/>
  <c r="L236" i="1"/>
  <c r="M236" i="1"/>
  <c r="P236" i="1"/>
  <c r="O236" i="1"/>
  <c r="Q236" i="1"/>
  <c r="K212" i="1"/>
  <c r="L212" i="1"/>
  <c r="O212" i="1"/>
  <c r="P212" i="1"/>
  <c r="Q212" i="1"/>
  <c r="K211" i="1"/>
  <c r="L211" i="1"/>
  <c r="O211" i="1"/>
  <c r="P211" i="1"/>
  <c r="Q211" i="1"/>
  <c r="J213" i="1"/>
  <c r="K213" i="1"/>
  <c r="L213" i="1"/>
  <c r="M213" i="1"/>
  <c r="N213" i="1"/>
  <c r="O213" i="1"/>
  <c r="K210" i="1"/>
  <c r="L210" i="1"/>
  <c r="O210" i="1"/>
  <c r="P210" i="1"/>
  <c r="Q210" i="1"/>
  <c r="K209" i="1"/>
  <c r="L209" i="1"/>
  <c r="O209" i="1"/>
  <c r="P209" i="1"/>
  <c r="Q209" i="1"/>
  <c r="K183" i="1"/>
  <c r="L183" i="1"/>
  <c r="M183" i="1"/>
  <c r="P183" i="1"/>
  <c r="O183" i="1"/>
  <c r="Q183" i="1"/>
  <c r="K54" i="1"/>
  <c r="L54" i="1"/>
  <c r="P54" i="1"/>
  <c r="O54" i="1"/>
  <c r="Q54" i="1"/>
  <c r="K53" i="1"/>
  <c r="L53" i="1"/>
  <c r="M53" i="1"/>
  <c r="P53" i="1"/>
  <c r="O53" i="1"/>
  <c r="Q53" i="1"/>
  <c r="K62" i="1"/>
  <c r="L62" i="1"/>
  <c r="M62" i="1"/>
  <c r="P62" i="1"/>
  <c r="O62" i="1"/>
  <c r="Q62" i="1"/>
  <c r="K60" i="1"/>
  <c r="L60" i="1"/>
  <c r="M60" i="1"/>
  <c r="P60" i="1"/>
  <c r="O60" i="1"/>
  <c r="Q60" i="1"/>
  <c r="J131" i="1"/>
  <c r="O131" i="1"/>
  <c r="Q131" i="1"/>
  <c r="K459" i="1"/>
  <c r="L459" i="1"/>
  <c r="M459" i="1"/>
  <c r="P459" i="1"/>
  <c r="O459" i="1"/>
  <c r="Q459" i="1"/>
  <c r="K378" i="1"/>
  <c r="L378" i="1"/>
  <c r="M378" i="1"/>
  <c r="P378" i="1"/>
  <c r="O378" i="1"/>
  <c r="Q378" i="1"/>
  <c r="J464" i="1"/>
  <c r="K464" i="1"/>
  <c r="L464" i="1"/>
  <c r="M464" i="1"/>
  <c r="P464" i="1"/>
  <c r="O464" i="1"/>
  <c r="Q464" i="1"/>
  <c r="K351" i="1"/>
  <c r="L351" i="1"/>
  <c r="M351" i="1"/>
  <c r="P351" i="1"/>
  <c r="O351" i="1"/>
  <c r="Q351" i="1"/>
  <c r="J181" i="1"/>
  <c r="K181" i="1"/>
  <c r="O181" i="1"/>
  <c r="Q181" i="1"/>
  <c r="K317" i="1"/>
  <c r="L317" i="1"/>
  <c r="M317" i="1"/>
  <c r="P317" i="1"/>
  <c r="O317" i="1"/>
  <c r="Q317" i="1"/>
  <c r="O477" i="1"/>
  <c r="K398" i="1"/>
  <c r="L398" i="1"/>
  <c r="M398" i="1"/>
  <c r="P398" i="1"/>
  <c r="O398" i="1"/>
  <c r="Q398" i="1"/>
  <c r="J21" i="1"/>
  <c r="K21" i="1"/>
  <c r="J139" i="1"/>
  <c r="K139" i="1"/>
  <c r="L139" i="1"/>
  <c r="M139" i="1"/>
  <c r="P139" i="1"/>
  <c r="O139" i="1"/>
  <c r="Q139" i="1"/>
  <c r="J126" i="1"/>
  <c r="O126" i="1"/>
  <c r="Q126" i="1"/>
  <c r="O76" i="1"/>
  <c r="Q76" i="1"/>
  <c r="K214" i="1"/>
  <c r="L214" i="1"/>
  <c r="M214" i="1"/>
  <c r="N214" i="1"/>
  <c r="Q214" i="1"/>
  <c r="O214" i="1"/>
  <c r="K215" i="1"/>
  <c r="L215" i="1"/>
  <c r="M215" i="1"/>
  <c r="N215" i="1"/>
  <c r="P215" i="1"/>
  <c r="O215" i="1"/>
  <c r="K216" i="1"/>
  <c r="L216" i="1"/>
  <c r="M216" i="1"/>
  <c r="N216" i="1"/>
  <c r="P216" i="1"/>
  <c r="O216" i="1"/>
  <c r="K76" i="1"/>
  <c r="L76" i="1"/>
  <c r="M76" i="1"/>
  <c r="P76" i="1"/>
  <c r="K389" i="1"/>
  <c r="L389" i="1"/>
  <c r="M389" i="1"/>
  <c r="P389" i="1"/>
  <c r="O389" i="1"/>
  <c r="Q389" i="1"/>
  <c r="K122" i="1"/>
  <c r="L122" i="1"/>
  <c r="M122" i="1"/>
  <c r="P122" i="1"/>
  <c r="O122" i="1"/>
  <c r="Q122" i="1"/>
  <c r="K89" i="1"/>
  <c r="L89" i="1"/>
  <c r="M89" i="1"/>
  <c r="P89" i="1"/>
  <c r="O89" i="1"/>
  <c r="Q89" i="1"/>
  <c r="J276" i="1"/>
  <c r="K276" i="1"/>
  <c r="L276" i="1"/>
  <c r="M276" i="1"/>
  <c r="P276" i="1"/>
  <c r="O276" i="1"/>
  <c r="Q276" i="1"/>
  <c r="K202" i="1"/>
  <c r="L202" i="1"/>
  <c r="M202" i="1"/>
  <c r="P202" i="1"/>
  <c r="Q202" i="1"/>
  <c r="O467" i="1"/>
  <c r="Q467" i="1"/>
  <c r="J247" i="1"/>
  <c r="O247" i="1"/>
  <c r="Q247" i="1"/>
  <c r="K45" i="1"/>
  <c r="L45" i="1"/>
  <c r="M45" i="1"/>
  <c r="P45" i="1"/>
  <c r="O45" i="1"/>
  <c r="Q45" i="1"/>
  <c r="J386" i="1"/>
  <c r="K386" i="1"/>
  <c r="O386" i="1"/>
  <c r="Q386" i="1"/>
  <c r="J132" i="1"/>
  <c r="K132" i="1"/>
  <c r="O132" i="1"/>
  <c r="Q132" i="1"/>
  <c r="J114" i="1"/>
  <c r="K114" i="1"/>
  <c r="L114" i="1"/>
  <c r="M114" i="1"/>
  <c r="P114" i="1"/>
  <c r="J420" i="1"/>
  <c r="O420" i="1"/>
  <c r="Q420" i="1"/>
  <c r="J466" i="1"/>
  <c r="K466" i="1"/>
  <c r="K460" i="1"/>
  <c r="L460" i="1"/>
  <c r="M460" i="1"/>
  <c r="P460" i="1"/>
  <c r="O460" i="1"/>
  <c r="Q460" i="1"/>
  <c r="K347" i="1"/>
  <c r="L347" i="1"/>
  <c r="M347" i="1"/>
  <c r="P347" i="1"/>
  <c r="O347" i="1"/>
  <c r="Q347" i="1"/>
  <c r="K120" i="1"/>
  <c r="L120" i="1"/>
  <c r="M120" i="1"/>
  <c r="P120" i="1"/>
  <c r="Q120" i="1"/>
  <c r="J262" i="1"/>
  <c r="K262" i="1"/>
  <c r="O262" i="1"/>
  <c r="Q262" i="1"/>
  <c r="J330" i="1"/>
  <c r="K330" i="1"/>
  <c r="O330" i="1"/>
  <c r="Q330" i="1"/>
  <c r="J73" i="1"/>
  <c r="K73" i="1"/>
  <c r="L73" i="1"/>
  <c r="M73" i="1"/>
  <c r="P73" i="1"/>
  <c r="O73" i="1"/>
  <c r="Q73" i="1"/>
  <c r="K268" i="1"/>
  <c r="L268" i="1"/>
  <c r="M268" i="1"/>
  <c r="P268" i="1"/>
  <c r="O268" i="1"/>
  <c r="Q268" i="1"/>
  <c r="J315" i="1"/>
  <c r="K315" i="1"/>
  <c r="O315" i="1"/>
  <c r="Q315" i="1"/>
  <c r="J243" i="1"/>
  <c r="K243" i="1"/>
  <c r="O243" i="1"/>
  <c r="Q243" i="1"/>
  <c r="J170" i="1"/>
  <c r="K170" i="1"/>
  <c r="L170" i="1"/>
  <c r="M170" i="1"/>
  <c r="P170" i="1"/>
  <c r="O170" i="1"/>
  <c r="Q170" i="1"/>
  <c r="K43" i="1"/>
  <c r="L43" i="1"/>
  <c r="M43" i="1"/>
  <c r="P43" i="1"/>
  <c r="O43" i="1"/>
  <c r="Q43" i="1"/>
  <c r="K234" i="1"/>
  <c r="L234" i="1"/>
  <c r="M234" i="1"/>
  <c r="P234" i="1"/>
  <c r="O234" i="1"/>
  <c r="Q234" i="1"/>
  <c r="J105" i="1"/>
  <c r="O105" i="1"/>
  <c r="Q105" i="1"/>
  <c r="K329" i="1"/>
  <c r="L329" i="1"/>
  <c r="M329" i="1"/>
  <c r="P329" i="1"/>
  <c r="O329" i="1"/>
  <c r="Q329" i="1"/>
  <c r="K388" i="1"/>
  <c r="L388" i="1"/>
  <c r="M388" i="1"/>
  <c r="P388" i="1"/>
  <c r="O388" i="1"/>
  <c r="Q388" i="1"/>
  <c r="Q448" i="1"/>
  <c r="O448" i="1"/>
  <c r="K448" i="1"/>
  <c r="L448" i="1"/>
  <c r="M448" i="1"/>
  <c r="P448" i="1"/>
  <c r="O5" i="1"/>
  <c r="O6" i="1"/>
  <c r="O7" i="1"/>
  <c r="O9" i="1"/>
  <c r="O10" i="1"/>
  <c r="O11" i="1"/>
  <c r="O12" i="1"/>
  <c r="O13" i="1"/>
  <c r="O15" i="1"/>
  <c r="O16" i="1"/>
  <c r="O17" i="1"/>
  <c r="O18" i="1"/>
  <c r="O21" i="1"/>
  <c r="O22" i="1"/>
  <c r="O24" i="1"/>
  <c r="O26" i="1"/>
  <c r="O27" i="1"/>
  <c r="O28" i="1"/>
  <c r="O29" i="1"/>
  <c r="O32" i="1"/>
  <c r="O33" i="1"/>
  <c r="O35" i="1"/>
  <c r="O37" i="1"/>
  <c r="O38" i="1"/>
  <c r="O39" i="1"/>
  <c r="O41" i="1"/>
  <c r="O46" i="1"/>
  <c r="O47" i="1"/>
  <c r="O48" i="1"/>
  <c r="O49" i="1"/>
  <c r="O50" i="1"/>
  <c r="O51" i="1"/>
  <c r="O52" i="1"/>
  <c r="O63" i="1"/>
  <c r="O65" i="1"/>
  <c r="O66" i="1"/>
  <c r="O68" i="1"/>
  <c r="O70" i="1"/>
  <c r="O71" i="1"/>
  <c r="O72" i="1"/>
  <c r="O79" i="1"/>
  <c r="O81" i="1"/>
  <c r="O193" i="1"/>
  <c r="O83" i="1"/>
  <c r="O84" i="1"/>
  <c r="O85" i="1"/>
  <c r="O86" i="1"/>
  <c r="O87" i="1"/>
  <c r="O93" i="1"/>
  <c r="O96" i="1"/>
  <c r="O97" i="1"/>
  <c r="O98" i="1"/>
  <c r="O99" i="1"/>
  <c r="O100" i="1"/>
  <c r="O101" i="1"/>
  <c r="O103" i="1"/>
  <c r="O104" i="1"/>
  <c r="O106" i="1"/>
  <c r="O107" i="1"/>
  <c r="O108" i="1"/>
  <c r="O109" i="1"/>
  <c r="O111" i="1"/>
  <c r="O112" i="1"/>
  <c r="O113" i="1"/>
  <c r="O114" i="1"/>
  <c r="O119" i="1"/>
  <c r="O123" i="1"/>
  <c r="O124" i="1"/>
  <c r="O125" i="1"/>
  <c r="O127" i="1"/>
  <c r="O128" i="1"/>
  <c r="O129" i="1"/>
  <c r="O130" i="1"/>
  <c r="O133" i="1"/>
  <c r="O135" i="1"/>
  <c r="O136" i="1"/>
  <c r="O137" i="1"/>
  <c r="O138" i="1"/>
  <c r="O140" i="1"/>
  <c r="O141" i="1"/>
  <c r="O144" i="1"/>
  <c r="O145" i="1"/>
  <c r="O146" i="1"/>
  <c r="O150" i="1"/>
  <c r="O156" i="1"/>
  <c r="O154" i="1"/>
  <c r="O155" i="1"/>
  <c r="O157" i="1"/>
  <c r="O159" i="1"/>
  <c r="O160" i="1"/>
  <c r="O161" i="1"/>
  <c r="O162" i="1"/>
  <c r="O163" i="1"/>
  <c r="O166" i="1"/>
  <c r="O168" i="1"/>
  <c r="O169" i="1"/>
  <c r="O171" i="1"/>
  <c r="O175" i="1"/>
  <c r="O176" i="1"/>
  <c r="O186" i="1"/>
  <c r="O187" i="1"/>
  <c r="O190" i="1"/>
  <c r="O191" i="1"/>
  <c r="O192" i="1"/>
  <c r="O194" i="1"/>
  <c r="O195" i="1"/>
  <c r="O196" i="1"/>
  <c r="O201" i="1"/>
  <c r="O204" i="1"/>
  <c r="O205" i="1"/>
  <c r="O206" i="1"/>
  <c r="O220" i="1"/>
  <c r="O229" i="1"/>
  <c r="O233" i="1"/>
  <c r="O239" i="1"/>
  <c r="O242" i="1"/>
  <c r="O244" i="1"/>
  <c r="O245" i="1"/>
  <c r="O246" i="1"/>
  <c r="O248" i="1"/>
  <c r="O250" i="1"/>
  <c r="O251" i="1"/>
  <c r="O252" i="1"/>
  <c r="O253" i="1"/>
  <c r="O254" i="1"/>
  <c r="O255" i="1"/>
  <c r="O256" i="1"/>
  <c r="O257" i="1"/>
  <c r="O260" i="1"/>
  <c r="O265" i="1"/>
  <c r="O258" i="1"/>
  <c r="O266" i="1"/>
  <c r="O267" i="1"/>
  <c r="O270" i="1"/>
  <c r="O271" i="1"/>
  <c r="O272" i="1"/>
  <c r="O273" i="1"/>
  <c r="O281" i="1"/>
  <c r="O282" i="1"/>
  <c r="O284" i="1"/>
  <c r="O286" i="1"/>
  <c r="O287" i="1"/>
  <c r="O288" i="1"/>
  <c r="O289" i="1"/>
  <c r="O290" i="1"/>
  <c r="O291" i="1"/>
  <c r="O292" i="1"/>
  <c r="O293" i="1"/>
  <c r="O294" i="1"/>
  <c r="O298" i="1"/>
  <c r="O299" i="1"/>
  <c r="O300" i="1"/>
  <c r="O301" i="1"/>
  <c r="O302" i="1"/>
  <c r="O303" i="1"/>
  <c r="O304" i="1"/>
  <c r="O305" i="1"/>
  <c r="O308" i="1"/>
  <c r="O309" i="1"/>
  <c r="O310" i="1"/>
  <c r="O311" i="1"/>
  <c r="O314" i="1"/>
  <c r="O316" i="1"/>
  <c r="O318" i="1"/>
  <c r="O321" i="1"/>
  <c r="O325" i="1"/>
  <c r="O326" i="1"/>
  <c r="O331" i="1"/>
  <c r="O333" i="1"/>
  <c r="O334" i="1"/>
  <c r="O335" i="1"/>
  <c r="O336" i="1"/>
  <c r="O337" i="1"/>
  <c r="O297" i="1"/>
  <c r="O339" i="1"/>
  <c r="O341" i="1"/>
  <c r="O343" i="1"/>
  <c r="O346" i="1"/>
  <c r="O348" i="1"/>
  <c r="O350" i="1"/>
  <c r="O352" i="1"/>
  <c r="O353" i="1"/>
  <c r="O174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7" i="1"/>
  <c r="O370" i="1"/>
  <c r="O373" i="1"/>
  <c r="O374" i="1"/>
  <c r="O376" i="1"/>
  <c r="O377" i="1"/>
  <c r="O381" i="1"/>
  <c r="O382" i="1"/>
  <c r="O383" i="1"/>
  <c r="O385" i="1"/>
  <c r="O387" i="1"/>
  <c r="O390" i="1"/>
  <c r="O391" i="1"/>
  <c r="O392" i="1"/>
  <c r="O393" i="1"/>
  <c r="O394" i="1"/>
  <c r="O396" i="1"/>
  <c r="O405" i="1"/>
  <c r="O406" i="1"/>
  <c r="O407" i="1"/>
  <c r="O408" i="1"/>
  <c r="O410" i="1"/>
  <c r="O411" i="1"/>
  <c r="O418" i="1"/>
  <c r="O419" i="1"/>
  <c r="O421" i="1"/>
  <c r="O422" i="1"/>
  <c r="O424" i="1"/>
  <c r="O426" i="1"/>
  <c r="O427" i="1"/>
  <c r="O428" i="1"/>
  <c r="O429" i="1"/>
  <c r="O430" i="1"/>
  <c r="O431" i="1"/>
  <c r="O432" i="1"/>
  <c r="O440" i="1"/>
  <c r="O221" i="1"/>
  <c r="O222" i="1"/>
  <c r="O224" i="1"/>
  <c r="O225" i="1"/>
  <c r="O444" i="1"/>
  <c r="O446" i="1"/>
  <c r="O447" i="1"/>
  <c r="O449" i="1"/>
  <c r="O450" i="1"/>
  <c r="O452" i="1"/>
  <c r="O454" i="1"/>
  <c r="O458" i="1"/>
  <c r="O463" i="1"/>
  <c r="O466" i="1"/>
  <c r="O468" i="1"/>
  <c r="O413" i="1"/>
  <c r="O414" i="1"/>
  <c r="O441" i="1"/>
  <c r="O415" i="1"/>
  <c r="O417" i="1"/>
  <c r="O472" i="1"/>
  <c r="O342" i="1"/>
  <c r="O434" i="1"/>
  <c r="O435" i="1"/>
  <c r="O436" i="1"/>
  <c r="O437" i="1"/>
  <c r="O8" i="1"/>
  <c r="O473" i="1"/>
  <c r="O474" i="1"/>
  <c r="O319" i="1"/>
  <c r="O476" i="1"/>
  <c r="P206" i="1"/>
  <c r="J225" i="1"/>
  <c r="K225" i="1"/>
  <c r="J86" i="1"/>
  <c r="K86" i="1"/>
  <c r="L86" i="1"/>
  <c r="M86" i="1"/>
  <c r="P86" i="1"/>
  <c r="Q86" i="1"/>
  <c r="J99" i="1"/>
  <c r="K99" i="1"/>
  <c r="L99" i="1"/>
  <c r="M99" i="1"/>
  <c r="P99" i="1"/>
  <c r="Q99" i="1"/>
  <c r="Q225" i="1"/>
  <c r="K187" i="1"/>
  <c r="L187" i="1"/>
  <c r="M187" i="1"/>
  <c r="P187" i="1"/>
  <c r="Q187" i="1"/>
  <c r="Q21" i="1"/>
  <c r="K396" i="1"/>
  <c r="L396" i="1"/>
  <c r="M396" i="1"/>
  <c r="P396" i="1"/>
  <c r="Q396" i="1"/>
  <c r="K454" i="1"/>
  <c r="L454" i="1"/>
  <c r="M454" i="1"/>
  <c r="P454" i="1"/>
  <c r="Q454" i="1"/>
  <c r="J333" i="1"/>
  <c r="K333" i="1"/>
  <c r="Q333" i="1"/>
  <c r="K205" i="1"/>
  <c r="L205" i="1"/>
  <c r="M205" i="1"/>
  <c r="P205" i="1"/>
  <c r="Q205" i="1"/>
  <c r="K204" i="1"/>
  <c r="L204" i="1"/>
  <c r="M204" i="1"/>
  <c r="P204" i="1"/>
  <c r="Q204" i="1"/>
  <c r="J109" i="1"/>
  <c r="K109" i="1"/>
  <c r="L109" i="1"/>
  <c r="M109" i="1"/>
  <c r="P109" i="1"/>
  <c r="Q109" i="1"/>
  <c r="K452" i="1"/>
  <c r="L452" i="1"/>
  <c r="M452" i="1"/>
  <c r="P452" i="1"/>
  <c r="Q452" i="1"/>
  <c r="J273" i="1"/>
  <c r="K273" i="1"/>
  <c r="K32" i="1"/>
  <c r="L32" i="1"/>
  <c r="M32" i="1"/>
  <c r="P32" i="1"/>
  <c r="Q32" i="1"/>
  <c r="J302" i="1"/>
  <c r="K302" i="1"/>
  <c r="Q302" i="1"/>
  <c r="K300" i="1"/>
  <c r="L300" i="1"/>
  <c r="M300" i="1"/>
  <c r="P300" i="1"/>
  <c r="Q300" i="1"/>
  <c r="K394" i="1"/>
  <c r="L394" i="1"/>
  <c r="M394" i="1"/>
  <c r="P394" i="1"/>
  <c r="Q394" i="1"/>
  <c r="J290" i="1"/>
  <c r="K290" i="1"/>
  <c r="Q141" i="1"/>
  <c r="J141" i="1"/>
  <c r="K141" i="1"/>
  <c r="K193" i="1"/>
  <c r="L193" i="1"/>
  <c r="M193" i="1"/>
  <c r="P193" i="1"/>
  <c r="Q193" i="1"/>
  <c r="J70" i="1"/>
  <c r="K70" i="1"/>
  <c r="Q70" i="1"/>
  <c r="K220" i="1"/>
  <c r="L220" i="1"/>
  <c r="M220" i="1"/>
  <c r="P220" i="1"/>
  <c r="Q220" i="1"/>
  <c r="K201" i="1"/>
  <c r="L201" i="1"/>
  <c r="M201" i="1"/>
  <c r="P201" i="1"/>
  <c r="Q201" i="1"/>
  <c r="J22" i="1"/>
  <c r="K22" i="1"/>
  <c r="Q22" i="1"/>
  <c r="J356" i="1"/>
  <c r="K356" i="1"/>
  <c r="Q356" i="1"/>
  <c r="J353" i="1"/>
  <c r="K353" i="1"/>
  <c r="Q353" i="1"/>
  <c r="J174" i="1"/>
  <c r="Q174" i="1"/>
  <c r="J354" i="1"/>
  <c r="Q354" i="1"/>
  <c r="J355" i="1"/>
  <c r="K355" i="1"/>
  <c r="Q355" i="1"/>
  <c r="J162" i="1"/>
  <c r="K162" i="1"/>
  <c r="J308" i="1"/>
  <c r="K308" i="1"/>
  <c r="Q308" i="1"/>
  <c r="J291" i="1"/>
  <c r="K291" i="1"/>
  <c r="L291" i="1"/>
  <c r="M291" i="1"/>
  <c r="P291" i="1"/>
  <c r="Q291" i="1"/>
  <c r="J101" i="1"/>
  <c r="K101" i="1"/>
  <c r="Q101" i="1"/>
  <c r="J377" i="1"/>
  <c r="K206" i="1"/>
  <c r="L206" i="1"/>
  <c r="J138" i="1"/>
  <c r="K138" i="1"/>
  <c r="L138" i="1"/>
  <c r="M138" i="1"/>
  <c r="P138" i="1"/>
  <c r="K127" i="1"/>
  <c r="L127" i="1"/>
  <c r="M127" i="1"/>
  <c r="P127" i="1"/>
  <c r="K98" i="1"/>
  <c r="L98" i="1"/>
  <c r="M98" i="1"/>
  <c r="P98" i="1"/>
  <c r="J50" i="1"/>
  <c r="K50" i="1"/>
  <c r="J48" i="1"/>
  <c r="J46" i="1"/>
  <c r="K46" i="1"/>
  <c r="K39" i="1"/>
  <c r="L39" i="1"/>
  <c r="M39" i="1"/>
  <c r="P39" i="1"/>
  <c r="J15" i="1"/>
  <c r="K15" i="1"/>
  <c r="K13" i="1"/>
  <c r="L13" i="1"/>
  <c r="M13" i="1"/>
  <c r="P13" i="1"/>
  <c r="K27" i="1"/>
  <c r="L27" i="1"/>
  <c r="M27" i="1"/>
  <c r="P27" i="1"/>
  <c r="K29" i="1"/>
  <c r="L29" i="1"/>
  <c r="M29" i="1"/>
  <c r="P29" i="1"/>
  <c r="K41" i="1"/>
  <c r="L41" i="1"/>
  <c r="M41" i="1"/>
  <c r="P41" i="1"/>
  <c r="K49" i="1"/>
  <c r="L49" i="1"/>
  <c r="M49" i="1"/>
  <c r="P49" i="1"/>
  <c r="K51" i="1"/>
  <c r="L51" i="1"/>
  <c r="M51" i="1"/>
  <c r="P51" i="1"/>
  <c r="K65" i="1"/>
  <c r="L65" i="1"/>
  <c r="M65" i="1"/>
  <c r="P65" i="1"/>
  <c r="K68" i="1"/>
  <c r="L68" i="1"/>
  <c r="M68" i="1"/>
  <c r="P68" i="1"/>
  <c r="K81" i="1"/>
  <c r="L81" i="1"/>
  <c r="M81" i="1"/>
  <c r="P81" i="1"/>
  <c r="K87" i="1"/>
  <c r="L87" i="1"/>
  <c r="M87" i="1"/>
  <c r="P87" i="1"/>
  <c r="K133" i="1"/>
  <c r="L133" i="1"/>
  <c r="M133" i="1"/>
  <c r="P133" i="1"/>
  <c r="K160" i="1"/>
  <c r="L160" i="1"/>
  <c r="M160" i="1"/>
  <c r="P160" i="1"/>
  <c r="K163" i="1"/>
  <c r="L163" i="1"/>
  <c r="M163" i="1"/>
  <c r="P163" i="1"/>
  <c r="K166" i="1"/>
  <c r="L166" i="1"/>
  <c r="M166" i="1"/>
  <c r="P166" i="1"/>
  <c r="K168" i="1"/>
  <c r="L168" i="1"/>
  <c r="M168" i="1"/>
  <c r="P168" i="1"/>
  <c r="K229" i="1"/>
  <c r="L229" i="1"/>
  <c r="M229" i="1"/>
  <c r="P229" i="1"/>
  <c r="K257" i="1"/>
  <c r="L257" i="1"/>
  <c r="M257" i="1"/>
  <c r="P257" i="1"/>
  <c r="K267" i="1"/>
  <c r="L267" i="1"/>
  <c r="M267" i="1"/>
  <c r="P267" i="1"/>
  <c r="K272" i="1"/>
  <c r="L272" i="1"/>
  <c r="M272" i="1"/>
  <c r="P272" i="1"/>
  <c r="K293" i="1"/>
  <c r="L293" i="1"/>
  <c r="M293" i="1"/>
  <c r="P293" i="1"/>
  <c r="K294" i="1"/>
  <c r="L294" i="1"/>
  <c r="M294" i="1"/>
  <c r="P294" i="1"/>
  <c r="K305" i="1"/>
  <c r="L305" i="1"/>
  <c r="M305" i="1"/>
  <c r="P305" i="1"/>
  <c r="K311" i="1"/>
  <c r="L311" i="1"/>
  <c r="M311" i="1"/>
  <c r="P311" i="1"/>
  <c r="K316" i="1"/>
  <c r="L316" i="1"/>
  <c r="M316" i="1"/>
  <c r="P316" i="1"/>
  <c r="K319" i="1"/>
  <c r="L319" i="1"/>
  <c r="M319" i="1"/>
  <c r="P319" i="1"/>
  <c r="K297" i="1"/>
  <c r="L297" i="1"/>
  <c r="M297" i="1"/>
  <c r="P297" i="1"/>
  <c r="K341" i="1"/>
  <c r="L341" i="1"/>
  <c r="M341" i="1"/>
  <c r="P341" i="1"/>
  <c r="K346" i="1"/>
  <c r="L346" i="1"/>
  <c r="M346" i="1"/>
  <c r="P346" i="1"/>
  <c r="K362" i="1"/>
  <c r="L362" i="1"/>
  <c r="M362" i="1"/>
  <c r="P362" i="1"/>
  <c r="K363" i="1"/>
  <c r="L363" i="1"/>
  <c r="M363" i="1"/>
  <c r="P363" i="1"/>
  <c r="K364" i="1"/>
  <c r="L364" i="1"/>
  <c r="M364" i="1"/>
  <c r="P364" i="1"/>
  <c r="K365" i="1"/>
  <c r="L365" i="1"/>
  <c r="M365" i="1"/>
  <c r="P365" i="1"/>
  <c r="K367" i="1"/>
  <c r="L367" i="1"/>
  <c r="M367" i="1"/>
  <c r="P367" i="1"/>
  <c r="K370" i="1"/>
  <c r="L370" i="1"/>
  <c r="M370" i="1"/>
  <c r="P370" i="1"/>
  <c r="K373" i="1"/>
  <c r="L373" i="1"/>
  <c r="M373" i="1"/>
  <c r="P373" i="1"/>
  <c r="K374" i="1"/>
  <c r="L374" i="1"/>
  <c r="M374" i="1"/>
  <c r="P374" i="1"/>
  <c r="K376" i="1"/>
  <c r="L376" i="1"/>
  <c r="M376" i="1"/>
  <c r="P376" i="1"/>
  <c r="K381" i="1"/>
  <c r="L381" i="1"/>
  <c r="M381" i="1"/>
  <c r="P381" i="1"/>
  <c r="K390" i="1"/>
  <c r="L390" i="1"/>
  <c r="M390" i="1"/>
  <c r="P390" i="1"/>
  <c r="K393" i="1"/>
  <c r="L393" i="1"/>
  <c r="M393" i="1"/>
  <c r="P393" i="1"/>
  <c r="K405" i="1"/>
  <c r="L405" i="1"/>
  <c r="M405" i="1"/>
  <c r="P405" i="1"/>
  <c r="K408" i="1"/>
  <c r="L408" i="1"/>
  <c r="M408" i="1"/>
  <c r="P408" i="1"/>
  <c r="K418" i="1"/>
  <c r="L418" i="1"/>
  <c r="M418" i="1"/>
  <c r="P418" i="1"/>
  <c r="K426" i="1"/>
  <c r="L426" i="1"/>
  <c r="M426" i="1"/>
  <c r="P426" i="1"/>
  <c r="K428" i="1"/>
  <c r="L428" i="1"/>
  <c r="M428" i="1"/>
  <c r="P428" i="1"/>
  <c r="K431" i="1"/>
  <c r="L431" i="1"/>
  <c r="M431" i="1"/>
  <c r="P431" i="1"/>
  <c r="K432" i="1"/>
  <c r="L432" i="1"/>
  <c r="M432" i="1"/>
  <c r="P432" i="1"/>
  <c r="K446" i="1"/>
  <c r="L446" i="1"/>
  <c r="M446" i="1"/>
  <c r="P446" i="1"/>
  <c r="K447" i="1"/>
  <c r="L447" i="1"/>
  <c r="M447" i="1"/>
  <c r="P447" i="1"/>
  <c r="K458" i="1"/>
  <c r="L458" i="1"/>
  <c r="M458" i="1"/>
  <c r="P458" i="1"/>
  <c r="K413" i="1"/>
  <c r="L413" i="1"/>
  <c r="M413" i="1"/>
  <c r="P413" i="1"/>
  <c r="K414" i="1"/>
  <c r="L414" i="1"/>
  <c r="M414" i="1"/>
  <c r="P414" i="1"/>
  <c r="K441" i="1"/>
  <c r="L441" i="1"/>
  <c r="M441" i="1"/>
  <c r="P441" i="1"/>
  <c r="K415" i="1"/>
  <c r="L415" i="1"/>
  <c r="M415" i="1"/>
  <c r="P415" i="1"/>
  <c r="K417" i="1"/>
  <c r="L417" i="1"/>
  <c r="M417" i="1"/>
  <c r="P417" i="1"/>
  <c r="K434" i="1"/>
  <c r="L434" i="1"/>
  <c r="M434" i="1"/>
  <c r="P434" i="1"/>
  <c r="K8" i="1"/>
  <c r="L8" i="1"/>
  <c r="M8" i="1"/>
  <c r="P8" i="1"/>
  <c r="Q98" i="1"/>
  <c r="K33" i="1"/>
  <c r="L33" i="1"/>
  <c r="M33" i="1"/>
  <c r="P33" i="1"/>
  <c r="J449" i="1"/>
  <c r="K449" i="1"/>
  <c r="L449" i="1"/>
  <c r="M449" i="1"/>
  <c r="P449" i="1"/>
  <c r="K444" i="1"/>
  <c r="L444" i="1"/>
  <c r="M444" i="1"/>
  <c r="P444" i="1"/>
  <c r="J221" i="1"/>
  <c r="J424" i="1"/>
  <c r="K424" i="1"/>
  <c r="K336" i="1"/>
  <c r="L336" i="1"/>
  <c r="M336" i="1"/>
  <c r="P336" i="1"/>
  <c r="J233" i="1"/>
  <c r="K233" i="1"/>
  <c r="K190" i="1"/>
  <c r="L190" i="1"/>
  <c r="M190" i="1"/>
  <c r="P190" i="1"/>
  <c r="K157" i="1"/>
  <c r="L157" i="1"/>
  <c r="M157" i="1"/>
  <c r="P157" i="1"/>
  <c r="K119" i="1"/>
  <c r="L119" i="1"/>
  <c r="M119" i="1"/>
  <c r="P119" i="1"/>
  <c r="Q444" i="1"/>
  <c r="Q424" i="1"/>
  <c r="Q346" i="1"/>
  <c r="J358" i="1"/>
  <c r="K358" i="1"/>
  <c r="Q358" i="1"/>
  <c r="J251" i="1"/>
  <c r="K251" i="1"/>
  <c r="J258" i="1"/>
  <c r="Q233" i="1"/>
  <c r="Q190" i="1"/>
  <c r="Q163" i="1"/>
  <c r="J145" i="1"/>
  <c r="K145" i="1"/>
  <c r="Q145" i="1"/>
  <c r="J100" i="1"/>
  <c r="K100" i="1"/>
  <c r="Q100" i="1"/>
  <c r="Q51" i="1"/>
  <c r="Q33" i="1"/>
  <c r="Q290" i="1"/>
  <c r="Q221" i="1"/>
  <c r="Q168" i="1"/>
  <c r="Q24" i="1"/>
  <c r="K24" i="1"/>
  <c r="L24" i="1"/>
  <c r="M24" i="1"/>
  <c r="P24" i="1"/>
  <c r="Q339" i="1"/>
  <c r="J339" i="1"/>
  <c r="K339" i="1"/>
  <c r="Q68" i="1"/>
  <c r="Q383" i="1"/>
  <c r="J383" i="1"/>
  <c r="K383" i="1"/>
  <c r="Q370" i="1"/>
  <c r="Q447" i="1"/>
  <c r="Q206" i="1"/>
  <c r="Q196" i="1"/>
  <c r="Q138" i="1"/>
  <c r="Q319" i="1"/>
  <c r="Q136" i="1"/>
  <c r="J136" i="1"/>
  <c r="K136" i="1"/>
  <c r="Q336" i="1"/>
  <c r="Q258" i="1"/>
  <c r="J169" i="1"/>
  <c r="K169" i="1"/>
  <c r="Q169" i="1"/>
  <c r="Q248" i="1"/>
  <c r="K248" i="1"/>
  <c r="L248" i="1"/>
  <c r="M248" i="1"/>
  <c r="P248" i="1"/>
  <c r="Q449" i="1"/>
  <c r="Q224" i="1"/>
  <c r="J270" i="1"/>
  <c r="K270" i="1"/>
  <c r="J468" i="1"/>
  <c r="K468" i="1"/>
  <c r="J224" i="1"/>
  <c r="K224" i="1"/>
  <c r="J222" i="1"/>
  <c r="K222" i="1"/>
  <c r="Q222" i="1"/>
  <c r="Q468" i="1"/>
  <c r="Q450" i="1"/>
  <c r="J361" i="1"/>
  <c r="K361" i="1"/>
  <c r="L361" i="1"/>
  <c r="M361" i="1"/>
  <c r="P361" i="1"/>
  <c r="Q361" i="1"/>
  <c r="J343" i="1"/>
  <c r="K343" i="1"/>
  <c r="Q343" i="1"/>
  <c r="J303" i="1"/>
  <c r="K303" i="1"/>
  <c r="Q303" i="1"/>
  <c r="Q270" i="1"/>
  <c r="J176" i="1"/>
  <c r="K176" i="1"/>
  <c r="Q176" i="1"/>
  <c r="J171" i="1"/>
  <c r="K171" i="1"/>
  <c r="Q305" i="1"/>
  <c r="Q171" i="1"/>
  <c r="Q365" i="1"/>
  <c r="J360" i="1"/>
  <c r="K360" i="1"/>
  <c r="L360" i="1"/>
  <c r="M360" i="1"/>
  <c r="P360" i="1"/>
  <c r="Q360" i="1"/>
  <c r="Q417" i="1"/>
  <c r="J282" i="1"/>
  <c r="K282" i="1"/>
  <c r="L282" i="1"/>
  <c r="M282" i="1"/>
  <c r="P282" i="1"/>
  <c r="K281" i="1"/>
  <c r="L281" i="1"/>
  <c r="M281" i="1"/>
  <c r="P281" i="1"/>
  <c r="Q27" i="1"/>
  <c r="J108" i="1"/>
  <c r="K108" i="1"/>
  <c r="Q108" i="1"/>
  <c r="J161" i="1"/>
  <c r="K161" i="1"/>
  <c r="L161" i="1"/>
  <c r="M161" i="1"/>
  <c r="P161" i="1"/>
  <c r="J289" i="1"/>
  <c r="K289" i="1"/>
  <c r="Q289" i="1"/>
  <c r="J186" i="1"/>
  <c r="K186" i="1"/>
  <c r="Q186" i="1"/>
  <c r="J299" i="1"/>
  <c r="K299" i="1"/>
  <c r="L299" i="1"/>
  <c r="M299" i="1"/>
  <c r="P299" i="1"/>
  <c r="Q299" i="1"/>
  <c r="Q29" i="1"/>
  <c r="J104" i="1"/>
  <c r="K104" i="1"/>
  <c r="Q104" i="1"/>
  <c r="J106" i="1"/>
  <c r="Q106" i="1"/>
  <c r="Q422" i="1"/>
  <c r="J422" i="1"/>
  <c r="O4" i="1"/>
  <c r="K410" i="1"/>
  <c r="L410" i="1"/>
  <c r="M410" i="1"/>
  <c r="P410" i="1"/>
  <c r="J436" i="1"/>
  <c r="K436" i="1"/>
  <c r="J437" i="1"/>
  <c r="K437" i="1"/>
  <c r="L437" i="1"/>
  <c r="M437" i="1"/>
  <c r="P437" i="1"/>
  <c r="Q458" i="1"/>
  <c r="Q377" i="1"/>
  <c r="Q393" i="1"/>
  <c r="Q81" i="1"/>
  <c r="Q133" i="1"/>
  <c r="Q428" i="1"/>
  <c r="Q166" i="1"/>
  <c r="Q311" i="1"/>
  <c r="J430" i="1"/>
  <c r="K430" i="1"/>
  <c r="J35" i="1"/>
  <c r="K35" i="1"/>
  <c r="L35" i="1"/>
  <c r="M35" i="1"/>
  <c r="P35" i="1"/>
  <c r="K18" i="1"/>
  <c r="L18" i="1"/>
  <c r="M18" i="1"/>
  <c r="P18" i="1"/>
  <c r="J12" i="1"/>
  <c r="K12" i="1"/>
  <c r="J304" i="1"/>
  <c r="J28" i="1"/>
  <c r="K28" i="1"/>
  <c r="J129" i="1"/>
  <c r="K129" i="1"/>
  <c r="K301" i="1"/>
  <c r="J246" i="1"/>
  <c r="K246" i="1"/>
  <c r="J196" i="1"/>
  <c r="K196" i="1"/>
  <c r="L196" i="1"/>
  <c r="M196" i="1"/>
  <c r="P196" i="1"/>
  <c r="J113" i="1"/>
  <c r="K113" i="1"/>
  <c r="J124" i="1"/>
  <c r="K124" i="1"/>
  <c r="J419" i="1"/>
  <c r="J125" i="1"/>
  <c r="K125" i="1"/>
  <c r="J112" i="1"/>
  <c r="K112" i="1"/>
  <c r="L112" i="1"/>
  <c r="M112" i="1"/>
  <c r="P112" i="1"/>
  <c r="J435" i="1"/>
  <c r="K435" i="1"/>
  <c r="J342" i="1"/>
  <c r="K342" i="1"/>
  <c r="J10" i="1"/>
  <c r="K10" i="1"/>
  <c r="L10" i="1"/>
  <c r="M10" i="1"/>
  <c r="P10" i="1"/>
  <c r="J292" i="1"/>
  <c r="K292" i="1"/>
  <c r="J195" i="1"/>
  <c r="K195" i="1"/>
  <c r="J107" i="1"/>
  <c r="K107" i="1"/>
  <c r="J194" i="1"/>
  <c r="K194" i="1"/>
  <c r="J37" i="1"/>
  <c r="K37" i="1"/>
  <c r="L37" i="1"/>
  <c r="M37" i="1"/>
  <c r="P37" i="1"/>
  <c r="J47" i="1"/>
  <c r="K47" i="1"/>
  <c r="J137" i="1"/>
  <c r="K137" i="1"/>
  <c r="J256" i="1"/>
  <c r="K256" i="1"/>
  <c r="L256" i="1"/>
  <c r="M256" i="1"/>
  <c r="P256" i="1"/>
  <c r="J245" i="1"/>
  <c r="K245" i="1"/>
  <c r="J9" i="1"/>
  <c r="K9" i="1"/>
  <c r="J440" i="1"/>
  <c r="J421" i="1"/>
  <c r="K421" i="1"/>
  <c r="J192" i="1"/>
  <c r="K192" i="1"/>
  <c r="J191" i="1"/>
  <c r="K191" i="1"/>
  <c r="J123" i="1"/>
  <c r="K123" i="1"/>
  <c r="K352" i="1"/>
  <c r="L352" i="1"/>
  <c r="M352" i="1"/>
  <c r="P352" i="1"/>
  <c r="J271" i="1"/>
  <c r="K271" i="1"/>
  <c r="L271" i="1"/>
  <c r="M271" i="1"/>
  <c r="P271" i="1"/>
  <c r="J286" i="1"/>
  <c r="K286" i="1"/>
  <c r="J52" i="1"/>
  <c r="J85" i="1"/>
  <c r="K85" i="1"/>
  <c r="L85" i="1"/>
  <c r="M85" i="1"/>
  <c r="P85" i="1"/>
  <c r="J472" i="1"/>
  <c r="K472" i="1"/>
  <c r="L472" i="1"/>
  <c r="M472" i="1"/>
  <c r="P472" i="1"/>
  <c r="J392" i="1"/>
  <c r="K392" i="1"/>
  <c r="J310" i="1"/>
  <c r="K310" i="1"/>
  <c r="L310" i="1"/>
  <c r="M310" i="1"/>
  <c r="P310" i="1"/>
  <c r="J382" i="1"/>
  <c r="K382" i="1"/>
  <c r="J66" i="1"/>
  <c r="K66" i="1"/>
  <c r="J429" i="1"/>
  <c r="K429" i="1"/>
  <c r="J427" i="1"/>
  <c r="K427" i="1"/>
  <c r="O31" i="1"/>
  <c r="J474" i="1"/>
  <c r="K474" i="1"/>
  <c r="J473" i="1"/>
  <c r="K473" i="1"/>
  <c r="L473" i="1"/>
  <c r="M473" i="1"/>
  <c r="P473" i="1"/>
  <c r="K255" i="1"/>
  <c r="L255" i="1"/>
  <c r="M255" i="1"/>
  <c r="P255" i="1"/>
  <c r="J318" i="1"/>
  <c r="K318" i="1"/>
  <c r="J253" i="1"/>
  <c r="K253" i="1"/>
  <c r="J71" i="1"/>
  <c r="K71" i="1"/>
  <c r="L71" i="1"/>
  <c r="M71" i="1"/>
  <c r="P71" i="1"/>
  <c r="J130" i="1"/>
  <c r="K130" i="1"/>
  <c r="L130" i="1"/>
  <c r="M130" i="1"/>
  <c r="P130" i="1"/>
  <c r="J350" i="1"/>
  <c r="K350" i="1"/>
  <c r="J252" i="1"/>
  <c r="K252" i="1"/>
  <c r="J140" i="1"/>
  <c r="K140" i="1"/>
  <c r="J7" i="1"/>
  <c r="K93" i="1"/>
  <c r="L93" i="1"/>
  <c r="M93" i="1"/>
  <c r="P93" i="1"/>
  <c r="J357" i="1"/>
  <c r="K357" i="1"/>
  <c r="J331" i="1"/>
  <c r="K331" i="1"/>
  <c r="L331" i="1"/>
  <c r="M331" i="1"/>
  <c r="P331" i="1"/>
  <c r="J16" i="1"/>
  <c r="K16" i="1"/>
  <c r="J31" i="1"/>
  <c r="K26" i="1"/>
  <c r="L26" i="1"/>
  <c r="M26" i="1"/>
  <c r="P26" i="1"/>
  <c r="J38" i="1"/>
  <c r="K38" i="1"/>
  <c r="L38" i="1"/>
  <c r="M38" i="1"/>
  <c r="P38" i="1"/>
  <c r="K63" i="1"/>
  <c r="L63" i="1"/>
  <c r="M63" i="1"/>
  <c r="P63" i="1"/>
  <c r="K79" i="1"/>
  <c r="L79" i="1"/>
  <c r="M79" i="1"/>
  <c r="P79" i="1"/>
  <c r="J83" i="1"/>
  <c r="K83" i="1"/>
  <c r="J84" i="1"/>
  <c r="J96" i="1"/>
  <c r="J97" i="1"/>
  <c r="K97" i="1"/>
  <c r="J156" i="1"/>
  <c r="J154" i="1"/>
  <c r="K154" i="1"/>
  <c r="J155" i="1"/>
  <c r="K155" i="1"/>
  <c r="K159" i="1"/>
  <c r="L159" i="1"/>
  <c r="M159" i="1"/>
  <c r="P159" i="1"/>
  <c r="J111" i="1"/>
  <c r="K111" i="1"/>
  <c r="J103" i="1"/>
  <c r="K103" i="1"/>
  <c r="K150" i="1"/>
  <c r="L150" i="1"/>
  <c r="M150" i="1"/>
  <c r="P150" i="1"/>
  <c r="J128" i="1"/>
  <c r="K128" i="1"/>
  <c r="J135" i="1"/>
  <c r="K135" i="1"/>
  <c r="J146" i="1"/>
  <c r="J144" i="1"/>
  <c r="K144" i="1"/>
  <c r="J175" i="1"/>
  <c r="K175" i="1"/>
  <c r="J239" i="1"/>
  <c r="K239" i="1"/>
  <c r="L239" i="1"/>
  <c r="M239" i="1"/>
  <c r="P239" i="1"/>
  <c r="J244" i="1"/>
  <c r="K244" i="1"/>
  <c r="J250" i="1"/>
  <c r="K250" i="1"/>
  <c r="K254" i="1"/>
  <c r="L254" i="1"/>
  <c r="M254" i="1"/>
  <c r="P254" i="1"/>
  <c r="J260" i="1"/>
  <c r="J265" i="1"/>
  <c r="K265" i="1"/>
  <c r="J266" i="1"/>
  <c r="K266" i="1"/>
  <c r="L266" i="1"/>
  <c r="M266" i="1"/>
  <c r="P266" i="1"/>
  <c r="J287" i="1"/>
  <c r="K287" i="1"/>
  <c r="J288" i="1"/>
  <c r="K288" i="1"/>
  <c r="K298" i="1"/>
  <c r="L298" i="1"/>
  <c r="M298" i="1"/>
  <c r="P298" i="1"/>
  <c r="K309" i="1"/>
  <c r="L309" i="1"/>
  <c r="M309" i="1"/>
  <c r="P309" i="1"/>
  <c r="J314" i="1"/>
  <c r="K314" i="1"/>
  <c r="J321" i="1"/>
  <c r="K321" i="1"/>
  <c r="L321" i="1"/>
  <c r="M321" i="1"/>
  <c r="P321" i="1"/>
  <c r="J325" i="1"/>
  <c r="K325" i="1"/>
  <c r="L325" i="1"/>
  <c r="M325" i="1"/>
  <c r="P325" i="1"/>
  <c r="J326" i="1"/>
  <c r="K326" i="1"/>
  <c r="J334" i="1"/>
  <c r="K334" i="1"/>
  <c r="L334" i="1"/>
  <c r="M334" i="1"/>
  <c r="P334" i="1"/>
  <c r="J335" i="1"/>
  <c r="K335" i="1"/>
  <c r="K337" i="1"/>
  <c r="L337" i="1"/>
  <c r="M337" i="1"/>
  <c r="P337" i="1"/>
  <c r="K348" i="1"/>
  <c r="L348" i="1"/>
  <c r="M348" i="1"/>
  <c r="P348" i="1"/>
  <c r="J359" i="1"/>
  <c r="K359" i="1"/>
  <c r="J385" i="1"/>
  <c r="K385" i="1"/>
  <c r="J387" i="1"/>
  <c r="K387" i="1"/>
  <c r="J391" i="1"/>
  <c r="K391" i="1"/>
  <c r="K406" i="1"/>
  <c r="L406" i="1"/>
  <c r="M406" i="1"/>
  <c r="P406" i="1"/>
  <c r="J407" i="1"/>
  <c r="K407" i="1"/>
  <c r="K411" i="1"/>
  <c r="L411" i="1"/>
  <c r="M411" i="1"/>
  <c r="P411" i="1"/>
  <c r="K4" i="1"/>
  <c r="L4" i="1"/>
  <c r="M4" i="1"/>
  <c r="P4" i="1"/>
  <c r="J5" i="1"/>
  <c r="K5" i="1"/>
  <c r="L5" i="1"/>
  <c r="M5" i="1"/>
  <c r="P5" i="1"/>
  <c r="J11" i="1"/>
  <c r="K11" i="1"/>
  <c r="Q288" i="1"/>
  <c r="Q281" i="1"/>
  <c r="Q257" i="1"/>
  <c r="Q250" i="1"/>
  <c r="Q128" i="1"/>
  <c r="Q111" i="1"/>
  <c r="Q155" i="1"/>
  <c r="Q87" i="1"/>
  <c r="Q63" i="1"/>
  <c r="Q31" i="1"/>
  <c r="Q267" i="1"/>
  <c r="Q244" i="1"/>
  <c r="Q127" i="1"/>
  <c r="Q154" i="1"/>
  <c r="Q84" i="1"/>
  <c r="Q385" i="1"/>
  <c r="Q11" i="1"/>
  <c r="Q337" i="1"/>
  <c r="Q321" i="1"/>
  <c r="Q341" i="1"/>
  <c r="Q284" i="1"/>
  <c r="Q254" i="1"/>
  <c r="Q242" i="1"/>
  <c r="Q175" i="1"/>
  <c r="Q162" i="1"/>
  <c r="Q156" i="1"/>
  <c r="Q83" i="1"/>
  <c r="Q72" i="1"/>
  <c r="Q41" i="1"/>
  <c r="Q359" i="1"/>
  <c r="Q426" i="1"/>
  <c r="Q286" i="1"/>
  <c r="Q5" i="1"/>
  <c r="Q410" i="1"/>
  <c r="Q391" i="1"/>
  <c r="Q335" i="1"/>
  <c r="Q314" i="1"/>
  <c r="Q287" i="1"/>
  <c r="Q266" i="1"/>
  <c r="Q239" i="1"/>
  <c r="Q144" i="1"/>
  <c r="Q119" i="1"/>
  <c r="Q160" i="1"/>
  <c r="Q79" i="1"/>
  <c r="Q39" i="1"/>
  <c r="Q406" i="1"/>
  <c r="Q405" i="1"/>
  <c r="Q325" i="1"/>
  <c r="Q4" i="1"/>
  <c r="Q408" i="1"/>
  <c r="Q390" i="1"/>
  <c r="Q367" i="1"/>
  <c r="Q348" i="1"/>
  <c r="Q334" i="1"/>
  <c r="Q265" i="1"/>
  <c r="Q146" i="1"/>
  <c r="Q135" i="1"/>
  <c r="Q150" i="1"/>
  <c r="Q159" i="1"/>
  <c r="Q97" i="1"/>
  <c r="Q38" i="1"/>
  <c r="Q17" i="1"/>
  <c r="Q309" i="1"/>
  <c r="Q6" i="1"/>
  <c r="Q15" i="1"/>
  <c r="Q411" i="1"/>
  <c r="Q407" i="1"/>
  <c r="Q387" i="1"/>
  <c r="Q326" i="1"/>
  <c r="Q298" i="1"/>
  <c r="Q282" i="1"/>
  <c r="Q260" i="1"/>
  <c r="Q251" i="1"/>
  <c r="Q103" i="1"/>
  <c r="Q157" i="1"/>
  <c r="Q96" i="1"/>
  <c r="Q65" i="1"/>
  <c r="Q26" i="1"/>
  <c r="Q16" i="1"/>
  <c r="Q331" i="1"/>
  <c r="Q363" i="1"/>
  <c r="Q362" i="1"/>
  <c r="Q357" i="1"/>
  <c r="Q93" i="1"/>
  <c r="Q161" i="1"/>
  <c r="Q140" i="1"/>
  <c r="Q7" i="1"/>
  <c r="Q71" i="1"/>
  <c r="Q130" i="1"/>
  <c r="Q350" i="1"/>
  <c r="Q252" i="1"/>
  <c r="Q253" i="1"/>
  <c r="Q255" i="1"/>
  <c r="Q316" i="1"/>
  <c r="Q318" i="1"/>
  <c r="Q473" i="1"/>
  <c r="Q474" i="1"/>
  <c r="Q293" i="1"/>
  <c r="Q429" i="1"/>
  <c r="Q427" i="1"/>
  <c r="Q66" i="1"/>
  <c r="Q382" i="1"/>
  <c r="Q294" i="1"/>
  <c r="Q418" i="1"/>
  <c r="Q364" i="1"/>
  <c r="Q392" i="1"/>
  <c r="Q310" i="1"/>
  <c r="Q463" i="1"/>
  <c r="Q472" i="1"/>
  <c r="Q85" i="1"/>
  <c r="Q446" i="1"/>
  <c r="Q229" i="1"/>
  <c r="Q52" i="1"/>
  <c r="Q271" i="1"/>
  <c r="Q352" i="1"/>
  <c r="Q123" i="1"/>
  <c r="Q440" i="1"/>
  <c r="Q192" i="1"/>
  <c r="Q421" i="1"/>
  <c r="Q191" i="1"/>
  <c r="Q431" i="1"/>
  <c r="Q9" i="1"/>
  <c r="Q137" i="1"/>
  <c r="Q273" i="1"/>
  <c r="Q194" i="1"/>
  <c r="Q48" i="1"/>
  <c r="Q49" i="1"/>
  <c r="Q114" i="1"/>
  <c r="Q245" i="1"/>
  <c r="Q47" i="1"/>
  <c r="Q272" i="1"/>
  <c r="Q256" i="1"/>
  <c r="Q46" i="1"/>
  <c r="Q37" i="1"/>
  <c r="Q13" i="1"/>
  <c r="Q50" i="1"/>
  <c r="Q107" i="1"/>
  <c r="Q195" i="1"/>
  <c r="Q292" i="1"/>
  <c r="Q10" i="1"/>
  <c r="Q342" i="1"/>
  <c r="Q435" i="1"/>
  <c r="Q297" i="1"/>
  <c r="Q112" i="1"/>
  <c r="Q125" i="1"/>
  <c r="Q376" i="1"/>
  <c r="Q374" i="1"/>
  <c r="Q419" i="1"/>
  <c r="Q373" i="1"/>
  <c r="Q124" i="1"/>
  <c r="Q113" i="1"/>
  <c r="Q441" i="1"/>
  <c r="Q413" i="1"/>
  <c r="Q414" i="1"/>
  <c r="Q434" i="1"/>
  <c r="Q432" i="1"/>
  <c r="Q381" i="1"/>
  <c r="Q28" i="1"/>
  <c r="Q246" i="1"/>
  <c r="Q301" i="1"/>
  <c r="Q12" i="1"/>
  <c r="Q304" i="1"/>
  <c r="Q129" i="1"/>
  <c r="Q18" i="1"/>
  <c r="Q430" i="1"/>
  <c r="Q35" i="1"/>
  <c r="Q415" i="1"/>
  <c r="Q8" i="1"/>
  <c r="U331" i="1"/>
  <c r="U100" i="1"/>
  <c r="U246" i="1"/>
  <c r="U213" i="1"/>
  <c r="U312" i="1"/>
  <c r="U300" i="1"/>
  <c r="U106" i="1"/>
  <c r="U113" i="1"/>
  <c r="U105" i="1"/>
  <c r="U76" i="1"/>
  <c r="U281" i="1"/>
  <c r="U288" i="1"/>
  <c r="U307" i="1"/>
  <c r="U343" i="1"/>
  <c r="U295" i="1"/>
  <c r="U209" i="1"/>
  <c r="U299" i="1"/>
  <c r="U121" i="1"/>
  <c r="T57" i="1"/>
  <c r="U57" i="1"/>
  <c r="U108" i="1"/>
  <c r="U10" i="1"/>
  <c r="U296" i="1"/>
  <c r="U134" i="1"/>
  <c r="U25" i="1"/>
  <c r="U286" i="1"/>
  <c r="U75" i="1"/>
  <c r="U384" i="1"/>
  <c r="U322" i="1"/>
  <c r="U146" i="1"/>
  <c r="U83" i="1"/>
  <c r="U324" i="1"/>
  <c r="U240" i="1"/>
  <c r="U194" i="1"/>
  <c r="U170" i="1"/>
  <c r="U145" i="1"/>
  <c r="U136" i="1"/>
  <c r="U313" i="1"/>
  <c r="U248" i="1"/>
  <c r="U119" i="1"/>
  <c r="U80" i="1"/>
  <c r="U291" i="1"/>
  <c r="U127" i="1"/>
  <c r="U345" i="1"/>
  <c r="L20" i="1"/>
  <c r="M20" i="1"/>
  <c r="P20" i="1"/>
  <c r="AE477" i="1"/>
  <c r="U468" i="1"/>
  <c r="L330" i="1"/>
  <c r="M330" i="1"/>
  <c r="P330" i="1"/>
  <c r="U141" i="1"/>
  <c r="U21" i="1"/>
  <c r="L423" i="1"/>
  <c r="M423" i="1"/>
  <c r="P423" i="1"/>
  <c r="U318" i="1"/>
  <c r="U254" i="1"/>
  <c r="U154" i="1"/>
  <c r="U158" i="1"/>
  <c r="U88" i="1"/>
  <c r="U302" i="1"/>
  <c r="L176" i="1"/>
  <c r="M176" i="1"/>
  <c r="P176" i="1"/>
  <c r="U139" i="1"/>
  <c r="U123" i="1"/>
  <c r="U111" i="1"/>
  <c r="U103" i="1"/>
  <c r="U17" i="1"/>
  <c r="U157" i="1"/>
  <c r="U79" i="1"/>
  <c r="U337" i="1"/>
  <c r="U258" i="1"/>
  <c r="U140" i="1"/>
  <c r="U95" i="1"/>
  <c r="U66" i="1"/>
  <c r="L191" i="1"/>
  <c r="M191" i="1"/>
  <c r="P191" i="1"/>
  <c r="L391" i="1"/>
  <c r="M391" i="1"/>
  <c r="P391" i="1"/>
  <c r="U361" i="1"/>
  <c r="U347" i="1"/>
  <c r="U326" i="1"/>
  <c r="U264" i="1"/>
  <c r="U130" i="1"/>
  <c r="U122" i="1"/>
  <c r="U63" i="1"/>
  <c r="U36" i="1"/>
  <c r="U332" i="1"/>
  <c r="L303" i="1"/>
  <c r="M303" i="1"/>
  <c r="P303" i="1"/>
  <c r="L326" i="1"/>
  <c r="M326" i="1"/>
  <c r="P326" i="1"/>
  <c r="L466" i="1"/>
  <c r="M466" i="1"/>
  <c r="P466" i="1"/>
  <c r="U14" i="1"/>
  <c r="L123" i="1"/>
  <c r="M123" i="1"/>
  <c r="P123" i="1"/>
  <c r="L356" i="1"/>
  <c r="M356" i="1"/>
  <c r="P356" i="1"/>
  <c r="L251" i="1"/>
  <c r="M251" i="1"/>
  <c r="P251" i="1"/>
  <c r="Q215" i="1"/>
  <c r="K420" i="1"/>
  <c r="L420" i="1"/>
  <c r="M420" i="1"/>
  <c r="P420" i="1"/>
  <c r="P219" i="1"/>
  <c r="L425" i="1"/>
  <c r="M425" i="1"/>
  <c r="P425" i="1"/>
  <c r="L407" i="1"/>
  <c r="M407" i="1"/>
  <c r="P407" i="1"/>
  <c r="L427" i="1"/>
  <c r="M427" i="1"/>
  <c r="P427" i="1"/>
  <c r="U327" i="1"/>
  <c r="U273" i="1"/>
  <c r="U182" i="1"/>
  <c r="L141" i="1"/>
  <c r="M141" i="1"/>
  <c r="P141" i="1"/>
  <c r="L17" i="1"/>
  <c r="M17" i="1"/>
  <c r="P17" i="1"/>
  <c r="L137" i="1"/>
  <c r="M137" i="1"/>
  <c r="P137" i="1"/>
  <c r="L171" i="1"/>
  <c r="M171" i="1"/>
  <c r="P171" i="1"/>
  <c r="L132" i="1"/>
  <c r="M132" i="1"/>
  <c r="P132" i="1"/>
  <c r="L468" i="1"/>
  <c r="M468" i="1"/>
  <c r="P468" i="1"/>
  <c r="K260" i="1"/>
  <c r="L260" i="1"/>
  <c r="M260" i="1"/>
  <c r="P260" i="1"/>
  <c r="L83" i="1"/>
  <c r="M83" i="1"/>
  <c r="P83" i="1"/>
  <c r="L292" i="1"/>
  <c r="M292" i="1"/>
  <c r="P292" i="1"/>
  <c r="L339" i="1"/>
  <c r="M339" i="1"/>
  <c r="P339" i="1"/>
  <c r="U126" i="1"/>
  <c r="P213" i="1"/>
  <c r="Q213" i="1"/>
  <c r="L243" i="1"/>
  <c r="M243" i="1"/>
  <c r="P243" i="1"/>
  <c r="L424" i="1"/>
  <c r="M424" i="1"/>
  <c r="P424" i="1"/>
  <c r="L467" i="1"/>
  <c r="M467" i="1"/>
  <c r="P467" i="1"/>
  <c r="L250" i="1"/>
  <c r="M250" i="1"/>
  <c r="P250" i="1"/>
  <c r="L135" i="1"/>
  <c r="M135" i="1"/>
  <c r="P135" i="1"/>
  <c r="K96" i="1"/>
  <c r="L96" i="1"/>
  <c r="M96" i="1"/>
  <c r="P96" i="1"/>
  <c r="L253" i="1"/>
  <c r="M253" i="1"/>
  <c r="P253" i="1"/>
  <c r="U174" i="1"/>
  <c r="U138" i="1"/>
  <c r="U70" i="1"/>
  <c r="U84" i="1"/>
  <c r="L335" i="1"/>
  <c r="M335" i="1"/>
  <c r="P335" i="1"/>
  <c r="U184" i="1"/>
  <c r="U321" i="1"/>
  <c r="U262" i="1"/>
  <c r="U292" i="1"/>
  <c r="L344" i="1"/>
  <c r="M344" i="1"/>
  <c r="P344" i="1"/>
  <c r="L16" i="1"/>
  <c r="M16" i="1"/>
  <c r="P16" i="1"/>
  <c r="L169" i="1"/>
  <c r="M169" i="1"/>
  <c r="P169" i="1"/>
  <c r="L288" i="1"/>
  <c r="M288" i="1"/>
  <c r="P288" i="1"/>
  <c r="L392" i="1"/>
  <c r="M392" i="1"/>
  <c r="P392" i="1"/>
  <c r="L194" i="1"/>
  <c r="M194" i="1"/>
  <c r="P194" i="1"/>
  <c r="L284" i="1"/>
  <c r="M284" i="1"/>
  <c r="P284" i="1"/>
  <c r="L278" i="1"/>
  <c r="U265" i="1"/>
  <c r="U388" i="1"/>
  <c r="U271" i="1"/>
  <c r="U96" i="1"/>
  <c r="L314" i="1"/>
  <c r="M314" i="1"/>
  <c r="P314" i="1"/>
  <c r="L287" i="1"/>
  <c r="M287" i="1"/>
  <c r="P287" i="1"/>
  <c r="L290" i="1"/>
  <c r="M290" i="1"/>
  <c r="P290" i="1"/>
  <c r="L227" i="1"/>
  <c r="M227" i="1"/>
  <c r="P227" i="1"/>
  <c r="U380" i="1"/>
  <c r="L154" i="1"/>
  <c r="M154" i="1"/>
  <c r="P154" i="1"/>
  <c r="L357" i="1"/>
  <c r="M357" i="1"/>
  <c r="P357" i="1"/>
  <c r="L340" i="1"/>
  <c r="M340" i="1"/>
  <c r="P340" i="1"/>
  <c r="U156" i="1"/>
  <c r="U297" i="1"/>
  <c r="U287" i="1"/>
  <c r="L359" i="1"/>
  <c r="M359" i="1"/>
  <c r="P359" i="1"/>
  <c r="L436" i="1"/>
  <c r="M436" i="1"/>
  <c r="P436" i="1"/>
  <c r="L384" i="1"/>
  <c r="M384" i="1"/>
  <c r="P384" i="1"/>
  <c r="U282" i="1"/>
  <c r="U23" i="1"/>
  <c r="L222" i="1"/>
  <c r="M222" i="1"/>
  <c r="P222" i="1"/>
  <c r="U71" i="1"/>
  <c r="U340" i="1"/>
  <c r="U98" i="1"/>
  <c r="U399" i="1"/>
  <c r="U298" i="1"/>
  <c r="U99" i="1"/>
  <c r="U183" i="1"/>
  <c r="K7" i="1"/>
  <c r="L7" i="1"/>
  <c r="M7" i="1"/>
  <c r="P7" i="1"/>
  <c r="Q216" i="1"/>
  <c r="U37" i="1"/>
  <c r="U86" i="1"/>
  <c r="K156" i="1"/>
  <c r="L156" i="1"/>
  <c r="M156" i="1"/>
  <c r="P156" i="1"/>
  <c r="L108" i="1"/>
  <c r="M108" i="1"/>
  <c r="P108" i="1"/>
  <c r="K354" i="1"/>
  <c r="L354" i="1"/>
  <c r="M354" i="1"/>
  <c r="P354" i="1"/>
  <c r="U129" i="1"/>
  <c r="U253" i="1"/>
  <c r="U176" i="1"/>
  <c r="L474" i="1"/>
  <c r="M474" i="1"/>
  <c r="P474" i="1"/>
  <c r="L233" i="1"/>
  <c r="M233" i="1"/>
  <c r="P233" i="1"/>
  <c r="L97" i="1"/>
  <c r="M97" i="1"/>
  <c r="P97" i="1"/>
  <c r="L22" i="1"/>
  <c r="M22" i="1"/>
  <c r="P22" i="1"/>
  <c r="U255" i="1"/>
  <c r="L128" i="1"/>
  <c r="M128" i="1"/>
  <c r="P128" i="1"/>
  <c r="L246" i="1"/>
  <c r="M246" i="1"/>
  <c r="P246" i="1"/>
  <c r="U4" i="1"/>
  <c r="U339" i="1"/>
  <c r="AN485" i="1"/>
  <c r="U315" i="1"/>
  <c r="U392" i="1"/>
  <c r="U159" i="1"/>
  <c r="L286" i="1"/>
  <c r="M286" i="1"/>
  <c r="P286" i="1"/>
  <c r="L343" i="1"/>
  <c r="M343" i="1"/>
  <c r="P343" i="1"/>
  <c r="L15" i="1"/>
  <c r="M15" i="1"/>
  <c r="P15" i="1"/>
  <c r="L355" i="1"/>
  <c r="M355" i="1"/>
  <c r="P355" i="1"/>
  <c r="U22" i="1"/>
  <c r="K422" i="1"/>
  <c r="L422" i="1"/>
  <c r="M422" i="1"/>
  <c r="P422" i="1"/>
  <c r="L136" i="1"/>
  <c r="M136" i="1"/>
  <c r="P136" i="1"/>
  <c r="U358" i="1"/>
  <c r="L252" i="1"/>
  <c r="M252" i="1"/>
  <c r="P252" i="1"/>
  <c r="L66" i="1"/>
  <c r="M66" i="1"/>
  <c r="P66" i="1"/>
  <c r="L180" i="1"/>
  <c r="M180" i="1"/>
  <c r="P180" i="1"/>
  <c r="U379" i="1"/>
  <c r="U308" i="1"/>
  <c r="L225" i="1"/>
  <c r="M225" i="1"/>
  <c r="P225" i="1"/>
  <c r="L175" i="1"/>
  <c r="M175" i="1"/>
  <c r="P175" i="1"/>
  <c r="L129" i="1"/>
  <c r="M129" i="1"/>
  <c r="P129" i="1"/>
  <c r="L342" i="1"/>
  <c r="M342" i="1"/>
  <c r="P342" i="1"/>
  <c r="L46" i="1"/>
  <c r="M46" i="1"/>
  <c r="P46" i="1"/>
  <c r="L333" i="1"/>
  <c r="M333" i="1"/>
  <c r="P333" i="1"/>
  <c r="L11" i="1"/>
  <c r="M11" i="1"/>
  <c r="P11" i="1"/>
  <c r="L387" i="1"/>
  <c r="M387" i="1"/>
  <c r="P387" i="1"/>
  <c r="L125" i="1"/>
  <c r="M125" i="1"/>
  <c r="P125" i="1"/>
  <c r="L28" i="1"/>
  <c r="M28" i="1"/>
  <c r="P28" i="1"/>
  <c r="Q218" i="1"/>
  <c r="K450" i="1"/>
  <c r="L450" i="1"/>
  <c r="M450" i="1"/>
  <c r="P450" i="1"/>
  <c r="L302" i="1"/>
  <c r="M302" i="1"/>
  <c r="P302" i="1"/>
  <c r="L262" i="1"/>
  <c r="M262" i="1"/>
  <c r="P262" i="1"/>
  <c r="L322" i="1"/>
  <c r="M322" i="1"/>
  <c r="P322" i="1"/>
  <c r="U161" i="1"/>
  <c r="L353" i="1"/>
  <c r="M353" i="1"/>
  <c r="P353" i="1"/>
  <c r="L455" i="1"/>
  <c r="M455" i="1"/>
  <c r="P455" i="1"/>
  <c r="K199" i="1"/>
  <c r="L199" i="1"/>
  <c r="M199" i="1"/>
  <c r="P199" i="1"/>
  <c r="U344" i="1"/>
  <c r="U243" i="1"/>
  <c r="L50" i="1"/>
  <c r="M50" i="1"/>
  <c r="P50" i="1"/>
  <c r="L273" i="1"/>
  <c r="M273" i="1"/>
  <c r="P273" i="1"/>
  <c r="K126" i="1"/>
  <c r="L126" i="1"/>
  <c r="M126" i="1"/>
  <c r="P126" i="1"/>
  <c r="U304" i="1"/>
  <c r="U293" i="1"/>
  <c r="U93" i="1"/>
  <c r="U272" i="1"/>
  <c r="U152" i="1"/>
  <c r="L104" i="1"/>
  <c r="M104" i="1"/>
  <c r="P104" i="1"/>
  <c r="L289" i="1"/>
  <c r="M289" i="1"/>
  <c r="P289" i="1"/>
  <c r="U260" i="1"/>
  <c r="L301" i="1"/>
  <c r="M301" i="1"/>
  <c r="P301" i="1"/>
  <c r="K48" i="1"/>
  <c r="L48" i="1"/>
  <c r="M48" i="1"/>
  <c r="P48" i="1"/>
  <c r="L308" i="1"/>
  <c r="M308" i="1"/>
  <c r="P308" i="1"/>
  <c r="L200" i="1"/>
  <c r="M200" i="1"/>
  <c r="P200" i="1"/>
  <c r="L145" i="1"/>
  <c r="M145" i="1"/>
  <c r="P145" i="1"/>
  <c r="S477" i="1"/>
  <c r="L101" i="1"/>
  <c r="M101" i="1"/>
  <c r="P101" i="1"/>
  <c r="L435" i="1"/>
  <c r="M435" i="1"/>
  <c r="P435" i="1"/>
  <c r="L383" i="1"/>
  <c r="M383" i="1"/>
  <c r="P383" i="1"/>
  <c r="L429" i="1"/>
  <c r="M429" i="1"/>
  <c r="P429" i="1"/>
  <c r="L315" i="1"/>
  <c r="M315" i="1"/>
  <c r="P315" i="1"/>
  <c r="L155" i="1"/>
  <c r="M155" i="1"/>
  <c r="P155" i="1"/>
  <c r="L385" i="1"/>
  <c r="M385" i="1"/>
  <c r="P385" i="1"/>
  <c r="L111" i="1"/>
  <c r="M111" i="1"/>
  <c r="P111" i="1"/>
  <c r="K258" i="1"/>
  <c r="L258" i="1"/>
  <c r="M258" i="1"/>
  <c r="P258" i="1"/>
  <c r="U325" i="1"/>
  <c r="L345" i="1"/>
  <c r="M345" i="1"/>
  <c r="P345" i="1"/>
  <c r="L421" i="1"/>
  <c r="M421" i="1"/>
  <c r="P421" i="1"/>
  <c r="L47" i="1"/>
  <c r="M47" i="1"/>
  <c r="P47" i="1"/>
  <c r="K105" i="1"/>
  <c r="L105" i="1"/>
  <c r="M105" i="1"/>
  <c r="P105" i="1"/>
  <c r="L113" i="1"/>
  <c r="M113" i="1"/>
  <c r="P113" i="1"/>
  <c r="K304" i="1"/>
  <c r="L304" i="1"/>
  <c r="M304" i="1"/>
  <c r="P304" i="1"/>
  <c r="L140" i="1"/>
  <c r="M140" i="1"/>
  <c r="P140" i="1"/>
  <c r="L9" i="1"/>
  <c r="M9" i="1"/>
  <c r="P9" i="1"/>
  <c r="K440" i="1"/>
  <c r="L440" i="1"/>
  <c r="M440" i="1"/>
  <c r="P440" i="1"/>
  <c r="L100" i="1"/>
  <c r="M100" i="1"/>
  <c r="P100" i="1"/>
  <c r="L224" i="1"/>
  <c r="M224" i="1"/>
  <c r="P224" i="1"/>
  <c r="L244" i="1"/>
  <c r="M244" i="1"/>
  <c r="P244" i="1"/>
  <c r="K84" i="1"/>
  <c r="L84" i="1"/>
  <c r="M84" i="1"/>
  <c r="P84" i="1"/>
  <c r="L318" i="1"/>
  <c r="M318" i="1"/>
  <c r="P318" i="1"/>
  <c r="L192" i="1"/>
  <c r="M192" i="1"/>
  <c r="P192" i="1"/>
  <c r="L12" i="1"/>
  <c r="M12" i="1"/>
  <c r="P12" i="1"/>
  <c r="K174" i="1"/>
  <c r="L174" i="1"/>
  <c r="M174" i="1"/>
  <c r="P174" i="1"/>
  <c r="L386" i="1"/>
  <c r="M386" i="1"/>
  <c r="P386" i="1"/>
  <c r="K143" i="1"/>
  <c r="L143" i="1"/>
  <c r="M143" i="1"/>
  <c r="P143" i="1"/>
  <c r="K131" i="1"/>
  <c r="L131" i="1"/>
  <c r="M131" i="1"/>
  <c r="P131" i="1"/>
  <c r="L186" i="1"/>
  <c r="M186" i="1"/>
  <c r="P186" i="1"/>
  <c r="L103" i="1"/>
  <c r="M103" i="1"/>
  <c r="P103" i="1"/>
  <c r="P214" i="1"/>
  <c r="L350" i="1"/>
  <c r="M350" i="1"/>
  <c r="P350" i="1"/>
  <c r="L107" i="1"/>
  <c r="M107" i="1"/>
  <c r="P107" i="1"/>
  <c r="L270" i="1"/>
  <c r="M270" i="1"/>
  <c r="P270" i="1"/>
  <c r="K377" i="1"/>
  <c r="L377" i="1"/>
  <c r="M377" i="1"/>
  <c r="P377" i="1"/>
  <c r="L181" i="1"/>
  <c r="M181" i="1"/>
  <c r="P181" i="1"/>
  <c r="L21" i="1"/>
  <c r="M21" i="1"/>
  <c r="P21" i="1"/>
  <c r="L144" i="1"/>
  <c r="M144" i="1"/>
  <c r="P144" i="1"/>
  <c r="L245" i="1"/>
  <c r="M245" i="1"/>
  <c r="P245" i="1"/>
  <c r="L195" i="1"/>
  <c r="M195" i="1"/>
  <c r="P195" i="1"/>
  <c r="K419" i="1"/>
  <c r="L419" i="1"/>
  <c r="M419" i="1"/>
  <c r="P419" i="1"/>
  <c r="K221" i="1"/>
  <c r="L221" i="1"/>
  <c r="M221" i="1"/>
  <c r="P221" i="1"/>
  <c r="L197" i="1"/>
  <c r="M197" i="1"/>
  <c r="P197" i="1"/>
  <c r="K146" i="1"/>
  <c r="L146" i="1"/>
  <c r="M146" i="1"/>
  <c r="P146" i="1"/>
  <c r="L70" i="1"/>
  <c r="M70" i="1"/>
  <c r="P70" i="1"/>
  <c r="L382" i="1"/>
  <c r="M382" i="1"/>
  <c r="P382" i="1"/>
  <c r="L265" i="1"/>
  <c r="M265" i="1"/>
  <c r="P265" i="1"/>
  <c r="K31" i="1"/>
  <c r="L31" i="1"/>
  <c r="M31" i="1"/>
  <c r="P31" i="1"/>
  <c r="K52" i="1"/>
  <c r="L52" i="1"/>
  <c r="M52" i="1"/>
  <c r="P52" i="1"/>
  <c r="L124" i="1"/>
  <c r="M124" i="1"/>
  <c r="P124" i="1"/>
  <c r="L430" i="1"/>
  <c r="M430" i="1"/>
  <c r="P430" i="1"/>
  <c r="K106" i="1"/>
  <c r="L106" i="1"/>
  <c r="M106" i="1"/>
  <c r="P106" i="1"/>
  <c r="K247" i="1"/>
  <c r="L247" i="1"/>
  <c r="M247" i="1"/>
  <c r="P247" i="1"/>
  <c r="L358" i="1"/>
  <c r="M358" i="1"/>
  <c r="P358" i="1"/>
  <c r="L162" i="1"/>
  <c r="M162" i="1"/>
  <c r="P162" i="1"/>
  <c r="U391" i="1"/>
  <c r="L23" i="1"/>
  <c r="M23" i="1"/>
  <c r="P23" i="1"/>
  <c r="U309" i="1"/>
  <c r="U28" i="1"/>
  <c r="U162" i="1"/>
  <c r="T477" i="1"/>
  <c r="U4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Mahlknecht</author>
  </authors>
  <commentList>
    <comment ref="D458" authorId="0" shapeId="0" xr:uid="{4D4824C7-4F55-40F2-BA88-3A4A979B0512}">
      <text>
        <r>
          <rPr>
            <b/>
            <sz val="9"/>
            <color indexed="81"/>
            <rFont val="Segoe UI"/>
            <family val="2"/>
          </rPr>
          <t>Daniel Mahlknecht:</t>
        </r>
        <r>
          <rPr>
            <sz val="9"/>
            <color indexed="81"/>
            <rFont val="Segoe UI"/>
            <family val="2"/>
          </rPr>
          <t xml:space="preserve">
lieferung vom 31.12. --&gt; Jahrgang 2009</t>
        </r>
      </text>
    </comment>
  </commentList>
</comments>
</file>

<file path=xl/sharedStrings.xml><?xml version="1.0" encoding="utf-8"?>
<sst xmlns="http://schemas.openxmlformats.org/spreadsheetml/2006/main" count="2490" uniqueCount="913">
  <si>
    <t>Bestellung</t>
  </si>
  <si>
    <t>Weinkarte Pos.</t>
  </si>
  <si>
    <t>Klassifizierung</t>
  </si>
  <si>
    <t>Jahrgang</t>
  </si>
  <si>
    <t>Name</t>
  </si>
  <si>
    <t>Hersteller</t>
  </si>
  <si>
    <t>Gebiet</t>
  </si>
  <si>
    <t>Lieferant</t>
  </si>
  <si>
    <t>Ek-Preis</t>
  </si>
  <si>
    <t>Aufschlag</t>
  </si>
  <si>
    <t>MwSt.</t>
  </si>
  <si>
    <t>VK-Preis kalk.</t>
  </si>
  <si>
    <t>VK-Preise berechnet neu</t>
  </si>
  <si>
    <t>VK-Preise Weinkarte ab 14.06.2020</t>
  </si>
  <si>
    <t>Önothekenpreis</t>
  </si>
  <si>
    <t>Preis Glas</t>
  </si>
  <si>
    <t>Lager Start</t>
  </si>
  <si>
    <t>Zugang/arrivi2023</t>
  </si>
  <si>
    <t>Abgang</t>
  </si>
  <si>
    <t>Lager</t>
  </si>
  <si>
    <t>W52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</si>
  <si>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</si>
  <si>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</si>
  <si>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</si>
  <si>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</si>
  <si>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</si>
  <si>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</si>
  <si>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</si>
  <si>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</si>
  <si>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</si>
  <si>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</si>
  <si>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</si>
  <si>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</si>
  <si>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</si>
  <si>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</si>
  <si>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</si>
  <si>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</si>
  <si>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</si>
  <si>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</si>
  <si>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</si>
  <si>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</si>
  <si>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</si>
  <si>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</si>
  <si>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W23/24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</si>
  <si>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</si>
  <si>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</si>
  <si>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</si>
  <si>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</si>
  <si>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</si>
  <si>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</si>
  <si>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</si>
  <si>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</si>
  <si>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</si>
  <si>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</si>
  <si>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</si>
  <si>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</si>
  <si>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</si>
  <si>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</si>
  <si>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</si>
  <si>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</si>
  <si>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</si>
  <si>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</si>
  <si>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</si>
  <si>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</si>
  <si>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</si>
  <si>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</si>
  <si>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</si>
  <si>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</si>
  <si>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W52 u W01</t>
  </si>
  <si>
    <t>Inventar Wein</t>
  </si>
  <si>
    <t xml:space="preserve">Abgänge </t>
  </si>
  <si>
    <t>Aufschlag bis 15 Euro</t>
  </si>
  <si>
    <t>Aufschlag über 15 Euro</t>
  </si>
  <si>
    <t>Abgänge</t>
  </si>
  <si>
    <t>Passito</t>
  </si>
  <si>
    <t>Le Petit</t>
  </si>
  <si>
    <t>Weingut Manincor</t>
  </si>
  <si>
    <t>Überetsch</t>
  </si>
  <si>
    <t>WD</t>
  </si>
  <si>
    <t>Gewürztraminer Passito "Cresta"</t>
  </si>
  <si>
    <t>Weingut Hans Rottensteiner</t>
  </si>
  <si>
    <t>Bozen</t>
  </si>
  <si>
    <t>Rosenmuskateller Rosis</t>
  </si>
  <si>
    <t>Kellerei Bozen</t>
  </si>
  <si>
    <t>FW</t>
  </si>
  <si>
    <t xml:space="preserve">Sweet Claire </t>
  </si>
  <si>
    <t>Weingut Lieselehof</t>
  </si>
  <si>
    <t>Liesele</t>
  </si>
  <si>
    <t>Sweet Claire Quintessenz</t>
  </si>
  <si>
    <t>19,07</t>
  </si>
  <si>
    <t>Merlino 19,07</t>
  </si>
  <si>
    <t>Pojer &amp; Sandri</t>
  </si>
  <si>
    <t>Trentino</t>
  </si>
  <si>
    <t>Moscato D´Asti Santo Stefano</t>
  </si>
  <si>
    <t>Ceretto</t>
  </si>
  <si>
    <t>Piemonte</t>
  </si>
  <si>
    <t>Ben Rye Passito di Pantelleria</t>
  </si>
  <si>
    <t>Donnafugata</t>
  </si>
  <si>
    <t>Sicilia</t>
  </si>
  <si>
    <t>Kracher Beerenauslese Non vintage</t>
  </si>
  <si>
    <t>Kracher</t>
  </si>
  <si>
    <t>Österreich</t>
  </si>
  <si>
    <t>Schaumweine</t>
  </si>
  <si>
    <t xml:space="preserve">Palladius Pfösl Prosecco Millesimato  (inkl. Etikett) </t>
  </si>
  <si>
    <t>Palladius</t>
  </si>
  <si>
    <t>Veneto</t>
  </si>
  <si>
    <t>Valdobbiadene Superiore</t>
  </si>
  <si>
    <t>Canella</t>
  </si>
  <si>
    <t>ob</t>
  </si>
  <si>
    <t>Lieselehof Brut - Bio I SG</t>
  </si>
  <si>
    <t>Südtirol</t>
  </si>
  <si>
    <t>Arunda Cuvée Marianne Extra Brut I PN</t>
  </si>
  <si>
    <t>Arunda</t>
  </si>
  <si>
    <t>Arunda Rosè Brut I PB, PN</t>
  </si>
  <si>
    <t>Arunda 0,375 Brut sekt (minibar)</t>
  </si>
  <si>
    <t>Brut Nature</t>
  </si>
  <si>
    <t>Stocker</t>
  </si>
  <si>
    <t>Miau, Methodo Ancestrale</t>
  </si>
  <si>
    <t>Pranzegg</t>
  </si>
  <si>
    <t>Kettmeir Riserva Extra Brut 1919</t>
  </si>
  <si>
    <t>Kettmeir</t>
  </si>
  <si>
    <t>Haderburg brut</t>
  </si>
  <si>
    <t>haderburg</t>
  </si>
  <si>
    <t>Salurn</t>
  </si>
  <si>
    <t>Blanc de Blanc 600 Pas Dose</t>
  </si>
  <si>
    <t>Kellerei Kurtatsch</t>
  </si>
  <si>
    <t>Kurtatsch</t>
  </si>
  <si>
    <t>Quirinus Brut</t>
  </si>
  <si>
    <t>Weingut St. Quirinus</t>
  </si>
  <si>
    <t>Nature Trento DOC</t>
  </si>
  <si>
    <t>Corvée</t>
  </si>
  <si>
    <t>Trient</t>
  </si>
  <si>
    <t>Akos</t>
  </si>
  <si>
    <t>Brut Perlè - Ferrari I CH</t>
  </si>
  <si>
    <t>Ferrari</t>
  </si>
  <si>
    <t>O</t>
  </si>
  <si>
    <t>Riserva Lunelli  - Ferrari</t>
  </si>
  <si>
    <t>Karner</t>
  </si>
  <si>
    <t xml:space="preserve">Blauwal Riserva </t>
  </si>
  <si>
    <t>Cesconi</t>
  </si>
  <si>
    <t>Ferrari Riserva (2007 -79,00€)</t>
  </si>
  <si>
    <t>Giulio Ferrari</t>
  </si>
  <si>
    <t>Fertig</t>
  </si>
  <si>
    <t>Ferrari Riserva 2009 Magnum</t>
  </si>
  <si>
    <t>Franciacorta Nature Blanc de Blanc</t>
  </si>
  <si>
    <t>Cavalleri</t>
  </si>
  <si>
    <t>Lombardei</t>
  </si>
  <si>
    <t>Farfalla Collection noir</t>
  </si>
  <si>
    <t>Ballabio</t>
  </si>
  <si>
    <t>Barbalonga Saten</t>
  </si>
  <si>
    <t>Barbalonga</t>
  </si>
  <si>
    <t>Cuvee 60 Blanc de blancs</t>
  </si>
  <si>
    <t>Casa Caterina</t>
  </si>
  <si>
    <t>Bellavista Alma Gran Cuvee Brut</t>
  </si>
  <si>
    <t>Bellavista</t>
  </si>
  <si>
    <t xml:space="preserve">Rose </t>
  </si>
  <si>
    <t>Contadi Castaldi</t>
  </si>
  <si>
    <t>A Lorenzo 180 Millesimato 2°Edizione DOC</t>
  </si>
  <si>
    <t>L. Bellani</t>
  </si>
  <si>
    <t>Champagner Premier Cru - Guy Larmandier I CH, PN</t>
  </si>
  <si>
    <t>Guy Larmandier</t>
  </si>
  <si>
    <t>Frankreich</t>
  </si>
  <si>
    <t>Champagne rose  majeur Ayala I CH, PN, PM</t>
  </si>
  <si>
    <t>Ayala</t>
  </si>
  <si>
    <t>WS</t>
  </si>
  <si>
    <t>Champagner Brut Rose</t>
  </si>
  <si>
    <t>Billecart Salmon</t>
  </si>
  <si>
    <t>Champagne Ruinart Brut I PN, CH, PM</t>
  </si>
  <si>
    <t>Ruinart</t>
  </si>
  <si>
    <t>Coup de Coer Extra Brut</t>
  </si>
  <si>
    <t>Monmarthe</t>
  </si>
  <si>
    <t>Cuzziol</t>
  </si>
  <si>
    <t>Champagne Cristal</t>
  </si>
  <si>
    <t>Louis Roederer</t>
  </si>
  <si>
    <t>Champagne Dom Ruinart Blanc de Blanc</t>
  </si>
  <si>
    <t>Champagne Coutier</t>
  </si>
  <si>
    <t>Coutier</t>
  </si>
  <si>
    <t>Michl</t>
  </si>
  <si>
    <t>Champagne 1er Cru Tradtion I PN, CH, PM</t>
  </si>
  <si>
    <t>Gosset-Brabant</t>
  </si>
  <si>
    <t>Champagne Carte Blanche 1er Cru I PN, CH, PM</t>
  </si>
  <si>
    <t>L. Bénard-Pituois</t>
  </si>
  <si>
    <t>Champagne Origin.al I PN</t>
  </si>
  <si>
    <t>Henri Dosnon</t>
  </si>
  <si>
    <t>Champagne Memoire Extra Brut I PN, PM, CH</t>
  </si>
  <si>
    <t>Huré Frères</t>
  </si>
  <si>
    <t>Champagne  Tradition</t>
  </si>
  <si>
    <t>Michel Laval</t>
  </si>
  <si>
    <t>Champagne Legras Haas Extra Brut Chouilly grand cru</t>
  </si>
  <si>
    <t>Legras Haas</t>
  </si>
  <si>
    <t>Cremant de Loire non dosè / CB</t>
  </si>
  <si>
    <t>Chateau Pierre-Bise</t>
  </si>
  <si>
    <t>Premiere Cuvee Extra brut</t>
  </si>
  <si>
    <t>Bruno Paillard</t>
  </si>
  <si>
    <t>Premiere Cuvee Rose Extra brut</t>
  </si>
  <si>
    <t>Assemblage Millesime</t>
  </si>
  <si>
    <t>Kalkspitz</t>
  </si>
  <si>
    <t>Christoph Hoch</t>
  </si>
  <si>
    <t>Austria</t>
  </si>
  <si>
    <t>Zero Infinito</t>
  </si>
  <si>
    <t>Marsili Rosato</t>
  </si>
  <si>
    <t>Tenuta di castellare</t>
  </si>
  <si>
    <t>L´Incantatrice</t>
  </si>
  <si>
    <t>Cantina Lunae</t>
  </si>
  <si>
    <t>Ligurien</t>
  </si>
  <si>
    <t>Pure and Naked</t>
  </si>
  <si>
    <t>Weingut am Stein</t>
  </si>
  <si>
    <t>Deutschland</t>
  </si>
  <si>
    <t xml:space="preserve">Brut Reserve </t>
  </si>
  <si>
    <t>Bründelmayer</t>
  </si>
  <si>
    <t>Fantasie der Schieferterassen</t>
  </si>
  <si>
    <t>Heymann-Löwenstein</t>
  </si>
  <si>
    <t>Weißburgunder</t>
  </si>
  <si>
    <t>Weissburgunder Sirmian</t>
  </si>
  <si>
    <t>Kellerei Nals Margreid</t>
  </si>
  <si>
    <t>Unterland</t>
  </si>
  <si>
    <t xml:space="preserve">Weissburgunder </t>
  </si>
  <si>
    <t>Romen</t>
  </si>
  <si>
    <t>Weißburgunder Tecum (Magnum)</t>
  </si>
  <si>
    <t>Weingut Castelfeder</t>
  </si>
  <si>
    <t>Castelfeder</t>
  </si>
  <si>
    <t>Weissburgunder Vorberg Riserva</t>
  </si>
  <si>
    <t xml:space="preserve">Kellerei Terlan </t>
  </si>
  <si>
    <t>Terlan</t>
  </si>
  <si>
    <t>Weissburgunder Vorberg Magnum</t>
  </si>
  <si>
    <t>Weissburgunder Rarity</t>
  </si>
  <si>
    <t>OBK</t>
  </si>
  <si>
    <t>Weißburgunder Riserva St. Sebastian</t>
  </si>
  <si>
    <t>Schloss Englar</t>
  </si>
  <si>
    <t xml:space="preserve">Weißburgunder </t>
  </si>
  <si>
    <t>Weingut Wassererhof</t>
  </si>
  <si>
    <t>Eisacktal</t>
  </si>
  <si>
    <t>Weißburgunder Art</t>
  </si>
  <si>
    <t>Weingut Abraham</t>
  </si>
  <si>
    <t>Weißburgunder Renaissance</t>
  </si>
  <si>
    <t>Gumphof</t>
  </si>
  <si>
    <t>Weißburgunder muschelkalk magnum</t>
  </si>
  <si>
    <t>Abraham</t>
  </si>
  <si>
    <t>Eppan</t>
  </si>
  <si>
    <t>Weißburgunder Muschelkalk</t>
  </si>
  <si>
    <t>Weißburgunder Amphora</t>
  </si>
  <si>
    <t>Weingut Hochklaus</t>
  </si>
  <si>
    <t>Hochklaus</t>
  </si>
  <si>
    <t>Weißburgunder Himmelsleiter</t>
  </si>
  <si>
    <t>castel Juval</t>
  </si>
  <si>
    <t>Vinschgau</t>
  </si>
  <si>
    <t>Weißburgunder Kardatsch</t>
  </si>
  <si>
    <t>Untermoserhof - Georg Ramoser</t>
  </si>
  <si>
    <t>Chardonnay</t>
  </si>
  <si>
    <t>Chardonnay Löwengang</t>
  </si>
  <si>
    <t>Weingut Alois Lageder</t>
  </si>
  <si>
    <t>Chardonnay Gottesacker</t>
  </si>
  <si>
    <t>Martin Abraham</t>
  </si>
  <si>
    <t>Chardonnay AU</t>
  </si>
  <si>
    <t>Kellerei Tiefenbrunner</t>
  </si>
  <si>
    <t>AT Tempus</t>
  </si>
  <si>
    <t>Chardonnay AU AT Tempus (2014,15 u 16)</t>
  </si>
  <si>
    <t>Chardonnay Riserva "Burgum Novum"</t>
  </si>
  <si>
    <t>Karner/Castelfeder</t>
  </si>
  <si>
    <t>Chardonnay Riserva Lina</t>
  </si>
  <si>
    <t>Weingut Bergmannhof</t>
  </si>
  <si>
    <t>Chardonnay Lafoà</t>
  </si>
  <si>
    <t>Kellerei Schreckbichl</t>
  </si>
  <si>
    <t xml:space="preserve">Chardonnay Ateyon  </t>
  </si>
  <si>
    <t>Weingut Loacker</t>
  </si>
  <si>
    <t>2011/13</t>
  </si>
  <si>
    <t>Chardonnay Donà d'Or</t>
  </si>
  <si>
    <t>Weingut Hartmann Donà</t>
  </si>
  <si>
    <t>Chardonnay Fluch und Segen</t>
  </si>
  <si>
    <t>Martin Gschraffer</t>
  </si>
  <si>
    <t>Feritg</t>
  </si>
  <si>
    <t>Chardonnay Alte Reben</t>
  </si>
  <si>
    <t>Berhard Huber</t>
  </si>
  <si>
    <t>Chardonnay Foll</t>
  </si>
  <si>
    <t>Cantina Toblino</t>
  </si>
  <si>
    <t>Trento</t>
  </si>
  <si>
    <t>Chardonnay Moraine</t>
  </si>
  <si>
    <t>Chardonnay Kreuzweg</t>
  </si>
  <si>
    <t>Castelferder</t>
  </si>
  <si>
    <t>Pino Grigio</t>
  </si>
  <si>
    <t xml:space="preserve">Pinot Grigio - Castel Ringberg </t>
  </si>
  <si>
    <t>Weingut Elena Walch</t>
  </si>
  <si>
    <t>Pinot Grigio - Aristos</t>
  </si>
  <si>
    <t>Eisacktaler kellerei</t>
  </si>
  <si>
    <t>Pinot Grigio - Punggl</t>
  </si>
  <si>
    <t>Nals Margreid</t>
  </si>
  <si>
    <t>Pinot Grigio Porer</t>
  </si>
  <si>
    <t xml:space="preserve">Pinot Grigio Puiten </t>
  </si>
  <si>
    <t>Pinot Grigio</t>
  </si>
  <si>
    <t>Pinot Grigio Riserva Giatl</t>
  </si>
  <si>
    <t>Weingut Peter Zemmer</t>
  </si>
  <si>
    <t>Müller Thurgau</t>
  </si>
  <si>
    <t>Müller Thurgau Sass Rigais</t>
  </si>
  <si>
    <t>Weingut Manni Nössing</t>
  </si>
  <si>
    <t>Müller Thurgau Vigna Feldmarschall</t>
  </si>
  <si>
    <t>Schlosskellerei Tiefenbrunner</t>
  </si>
  <si>
    <t>Entiklar</t>
  </si>
  <si>
    <t>Vigna Feldmarschall Vendemia Tardiva</t>
  </si>
  <si>
    <t>Kerner</t>
  </si>
  <si>
    <t>Kerner Karneid</t>
  </si>
  <si>
    <t>Weingut Franz Gojer</t>
  </si>
  <si>
    <t>Eggental</t>
  </si>
  <si>
    <t>Kerner Aurona</t>
  </si>
  <si>
    <t>Kellerei Laimburg</t>
  </si>
  <si>
    <t xml:space="preserve">Kerner </t>
  </si>
  <si>
    <t>Rielinger</t>
  </si>
  <si>
    <t>Weingut Villscheiderhof</t>
  </si>
  <si>
    <t>Grüner Veltliner</t>
  </si>
  <si>
    <t>Grüner Veltliner Hautnah</t>
  </si>
  <si>
    <t>Weingut Garlider</t>
  </si>
  <si>
    <t xml:space="preserve">Grüner Veltliner </t>
  </si>
  <si>
    <t>Grüner Veltliner R</t>
  </si>
  <si>
    <t>Köfererhof</t>
  </si>
  <si>
    <t>Pacherhof</t>
  </si>
  <si>
    <t>Sylvaner</t>
  </si>
  <si>
    <t>Sylvaner Alte Rebe</t>
  </si>
  <si>
    <t>Weingut Pacherhof</t>
  </si>
  <si>
    <t>Sylvaner Praepositus</t>
  </si>
  <si>
    <t>Stiftskellerei Neustift</t>
  </si>
  <si>
    <t>Neustift</t>
  </si>
  <si>
    <t>Weingut Thomas Dorfmann</t>
  </si>
  <si>
    <t>Etschtal</t>
  </si>
  <si>
    <t>Sylvaner Hautnah</t>
  </si>
  <si>
    <t>Silvaner</t>
  </si>
  <si>
    <t>Daniel Sigmund</t>
  </si>
  <si>
    <t>Lebewein</t>
  </si>
  <si>
    <t>Zöhlhof</t>
  </si>
  <si>
    <t>Einstein Sylvaner</t>
  </si>
  <si>
    <t>Riesling</t>
  </si>
  <si>
    <t>Weingut Falkenstein</t>
  </si>
  <si>
    <r>
      <t xml:space="preserve">Riesling </t>
    </r>
    <r>
      <rPr>
        <b/>
        <i/>
        <sz val="12"/>
        <color theme="1"/>
        <rFont val="Calibri"/>
        <family val="2"/>
        <scheme val="minor"/>
      </rPr>
      <t>private reserve</t>
    </r>
    <r>
      <rPr>
        <sz val="12"/>
        <color theme="1"/>
        <rFont val="Calibri"/>
        <family val="2"/>
        <scheme val="minor"/>
      </rPr>
      <t xml:space="preserve"> (reserviert)</t>
    </r>
  </si>
  <si>
    <t>Riesling Anadûron</t>
  </si>
  <si>
    <t>Riesling Windbichl</t>
  </si>
  <si>
    <t>Riesling Lehengut</t>
  </si>
  <si>
    <t>Weingut Lehengut</t>
  </si>
  <si>
    <t>Riesling Dorfmann</t>
  </si>
  <si>
    <t>Riesling Praepositus</t>
  </si>
  <si>
    <t xml:space="preserve">Riesling </t>
  </si>
  <si>
    <t>Sauvignon</t>
  </si>
  <si>
    <t xml:space="preserve">Sauvignon Voglar </t>
  </si>
  <si>
    <t>Weingut Peter Dipoli</t>
  </si>
  <si>
    <t xml:space="preserve">Sauvignon St. Valentin </t>
  </si>
  <si>
    <t>Kellerei St. Michael Eppan</t>
  </si>
  <si>
    <t>Sauvignon Lafoà</t>
  </si>
  <si>
    <t>Schreckbichl</t>
  </si>
  <si>
    <t>Sauvignon Riserva</t>
  </si>
  <si>
    <t>Sauvignon Private reserve</t>
  </si>
  <si>
    <t>Sauvignon Rachtl</t>
  </si>
  <si>
    <t>Sauvignon Lieben Aich</t>
  </si>
  <si>
    <t>Manincor</t>
  </si>
  <si>
    <t>Kaltern</t>
  </si>
  <si>
    <t>Sauvignon Quarz</t>
  </si>
  <si>
    <t>Sauvignon Oberberg</t>
  </si>
  <si>
    <t>Weingut Kornell</t>
  </si>
  <si>
    <t>Sauvignon Tasnim Bio</t>
  </si>
  <si>
    <t>Cosmas</t>
  </si>
  <si>
    <t>Sauvignon Mathias</t>
  </si>
  <si>
    <t>Weingut Pfitscher</t>
  </si>
  <si>
    <t>Montan</t>
  </si>
  <si>
    <t>Gewürztraminer</t>
  </si>
  <si>
    <t>Gewürztraminer Selida</t>
  </si>
  <si>
    <t>Kellerei Tramin</t>
  </si>
  <si>
    <t>Gewürztraminer Nussbaumer</t>
  </si>
  <si>
    <t>Gewürztraminer  Orange</t>
  </si>
  <si>
    <t>Gewürztraminer Upupa Orange</t>
  </si>
  <si>
    <t>Gewürztraminer Riserva Exilissi</t>
  </si>
  <si>
    <t>Baron di Pauli</t>
  </si>
  <si>
    <t>Gewürztraminer Tardus</t>
  </si>
  <si>
    <t>Gewürztraminer St. Valentin</t>
  </si>
  <si>
    <t>Gewürztraminer Epokale (1x Daniel 2011)</t>
  </si>
  <si>
    <t>Alka</t>
  </si>
  <si>
    <t>Gewürztraminer am Sand</t>
  </si>
  <si>
    <t>Alois Lageder</t>
  </si>
  <si>
    <t>Piwi</t>
  </si>
  <si>
    <t>Solaris Anterui</t>
  </si>
  <si>
    <t>Urban Visintin</t>
  </si>
  <si>
    <t>Vino del Passo - Green Mountain Wine</t>
  </si>
  <si>
    <t>Le Viogn</t>
  </si>
  <si>
    <t>Tröpfltalhof</t>
  </si>
  <si>
    <t>Shades of Gris Project XXX</t>
  </si>
  <si>
    <t>Kellerei Kaltern</t>
  </si>
  <si>
    <t>Muscaris Sulis</t>
  </si>
  <si>
    <t>Weingut Edmund Pomella</t>
  </si>
  <si>
    <t>Pomella</t>
  </si>
  <si>
    <t>Julian - Bio</t>
  </si>
  <si>
    <t>Julian Orange - Bio</t>
  </si>
  <si>
    <t>Cuvèe</t>
  </si>
  <si>
    <t>De Vite (bestellt)</t>
  </si>
  <si>
    <t>Weingut Hofstätter</t>
  </si>
  <si>
    <t>Manna</t>
  </si>
  <si>
    <t>Franz Haas</t>
  </si>
  <si>
    <t>Aichberg</t>
  </si>
  <si>
    <t>Kornell</t>
  </si>
  <si>
    <t>Beyond The Clouds</t>
  </si>
  <si>
    <t>Beyond the Clouds Argentum Bonum</t>
  </si>
  <si>
    <t xml:space="preserve">Reserve della Contessa  </t>
  </si>
  <si>
    <t>OB</t>
  </si>
  <si>
    <t>Private Cuvèe</t>
  </si>
  <si>
    <t>TERLANER Cuvee rarity 2008</t>
  </si>
  <si>
    <t>TERLANER Primo Grande Cuvee</t>
  </si>
  <si>
    <t>LR</t>
  </si>
  <si>
    <t>Appius</t>
  </si>
  <si>
    <t>Kellerei St. Michael eppan</t>
  </si>
  <si>
    <t>Caroline</t>
  </si>
  <si>
    <t>Weingut Pranzegg</t>
  </si>
  <si>
    <t>Eart</t>
  </si>
  <si>
    <t>Bergmannhof</t>
  </si>
  <si>
    <t>Dolomytos Weiss</t>
  </si>
  <si>
    <t>Ansitz Dolomythos</t>
  </si>
  <si>
    <t>Ritten</t>
  </si>
  <si>
    <t>Dona Blanc</t>
  </si>
  <si>
    <t>Hartmann Dona</t>
  </si>
  <si>
    <t>Rosèwein</t>
  </si>
  <si>
    <t>Ros`Anna Lacrima di Morro dÀlba</t>
  </si>
  <si>
    <t xml:space="preserve">Tenuta di Fra  </t>
  </si>
  <si>
    <t>Marken</t>
  </si>
  <si>
    <t>Daniel</t>
  </si>
  <si>
    <t>Rosé</t>
  </si>
  <si>
    <t>Le Rose de Manincor</t>
  </si>
  <si>
    <t>upupa Rosa</t>
  </si>
  <si>
    <t>Rose Si</t>
  </si>
  <si>
    <t>Duemani</t>
  </si>
  <si>
    <t>Toskana</t>
  </si>
  <si>
    <t>Lagrein Rosé</t>
  </si>
  <si>
    <t>Hochklasus</t>
  </si>
  <si>
    <t>Lagrein Rose</t>
  </si>
  <si>
    <t>Rottensteiner</t>
  </si>
  <si>
    <t>italienische Weine</t>
  </si>
  <si>
    <t>Nosiola Bio</t>
  </si>
  <si>
    <t>Salvetta</t>
  </si>
  <si>
    <t>Pinot Grigio - bio</t>
  </si>
  <si>
    <t>Massifitti Trebbiano di Soave</t>
  </si>
  <si>
    <t>Suavia</t>
  </si>
  <si>
    <t>Monte Carbonare</t>
  </si>
  <si>
    <t>Opera Semplice</t>
  </si>
  <si>
    <t>Pinot Grigio Sturm</t>
  </si>
  <si>
    <t>Tenuta Sturm</t>
  </si>
  <si>
    <t>Friaul</t>
  </si>
  <si>
    <t>Adelchi Ribolla Gialla</t>
  </si>
  <si>
    <t>Venica e Venica</t>
  </si>
  <si>
    <t>Ribolla</t>
  </si>
  <si>
    <t>Gravner</t>
  </si>
  <si>
    <t>Friulano</t>
  </si>
  <si>
    <t>Ronco Severo</t>
  </si>
  <si>
    <t>Greco di Tufo - Cutizzi</t>
  </si>
  <si>
    <t>Feudi San Gregorio</t>
  </si>
  <si>
    <t>Campania</t>
  </si>
  <si>
    <t>Fiano di Avellino - Pietra calda</t>
  </si>
  <si>
    <t xml:space="preserve">Chardonnay </t>
  </si>
  <si>
    <t>Monteverro</t>
  </si>
  <si>
    <t>Vermentino BIO</t>
  </si>
  <si>
    <t>Toscana</t>
  </si>
  <si>
    <t>Riesling Herzu</t>
  </si>
  <si>
    <t>Germano Ettore</t>
  </si>
  <si>
    <t>Grillo</t>
  </si>
  <si>
    <t>Caruso &amp; M</t>
  </si>
  <si>
    <t>Arneis  Camestri</t>
  </si>
  <si>
    <t>Marco Porello</t>
  </si>
  <si>
    <t>Derthona Timorasso</t>
  </si>
  <si>
    <t>Borgogno</t>
  </si>
  <si>
    <t>Derthona Timorasso Colli Torinesi</t>
  </si>
  <si>
    <t>Mariotto</t>
  </si>
  <si>
    <t>Cairossa Bianco</t>
  </si>
  <si>
    <t>Caiarossa</t>
  </si>
  <si>
    <t>Reiterpfad</t>
  </si>
  <si>
    <t>Von Winning</t>
  </si>
  <si>
    <t>Pfals</t>
  </si>
  <si>
    <t>Riesling Spätlese Trocken</t>
  </si>
  <si>
    <t>Karthäuserhof</t>
  </si>
  <si>
    <t>Mosel</t>
  </si>
  <si>
    <t>Riesling Alte Rebe</t>
  </si>
  <si>
    <t>Alte Reben Riesling</t>
  </si>
  <si>
    <t>Van Volxem</t>
  </si>
  <si>
    <t>Saar</t>
  </si>
  <si>
    <t>Riesling Scharzhofberger</t>
  </si>
  <si>
    <t>Riesling Röttgen</t>
  </si>
  <si>
    <t>Riesling Bernkasteller Badstube Kabi</t>
  </si>
  <si>
    <t>J.J.Prüm</t>
  </si>
  <si>
    <t>Riesling Graacher Himmelreich Auslese</t>
  </si>
  <si>
    <t>Riesling Quarzit</t>
  </si>
  <si>
    <t>Peter Jakob Kühn</t>
  </si>
  <si>
    <t>Rheingau</t>
  </si>
  <si>
    <t>Riesling Nikolaus</t>
  </si>
  <si>
    <t>Riesling Stettener stein GG</t>
  </si>
  <si>
    <t>Franken</t>
  </si>
  <si>
    <t>Riesling Teufelskopf Erste Lage</t>
  </si>
  <si>
    <t>W.E. Frank</t>
  </si>
  <si>
    <t>Rheinhessen</t>
  </si>
  <si>
    <t>Riesling Tonschiefer</t>
  </si>
  <si>
    <t>Weingut Dönnhof</t>
  </si>
  <si>
    <t>Riesling hermannhöhle GG</t>
  </si>
  <si>
    <t>Riesling Dellchen magnum</t>
  </si>
  <si>
    <t>Riesling Frühlingsplätzchen GG</t>
  </si>
  <si>
    <t>Schönleber</t>
  </si>
  <si>
    <t>Weissburgunder RS</t>
  </si>
  <si>
    <t>Salwey</t>
  </si>
  <si>
    <t>Grauburgunder Henkenberg GG</t>
  </si>
  <si>
    <t>Graue Freyheit</t>
  </si>
  <si>
    <t>Heinrich</t>
  </si>
  <si>
    <t>Burgenland</t>
  </si>
  <si>
    <t>2014/18</t>
  </si>
  <si>
    <t>Sauvignon Sernau</t>
  </si>
  <si>
    <t>Tement</t>
  </si>
  <si>
    <t>Steiermark</t>
  </si>
  <si>
    <t xml:space="preserve">Grüner Veltliner Vogelsang </t>
  </si>
  <si>
    <t>Kamptal</t>
  </si>
  <si>
    <t>Ried Pfeningberg Riesling 1 Lage</t>
  </si>
  <si>
    <t>Proidl</t>
  </si>
  <si>
    <t>Kremstal</t>
  </si>
  <si>
    <t>Riesling federspiel</t>
  </si>
  <si>
    <t>Weingut Knoll</t>
  </si>
  <si>
    <t>Wachau</t>
  </si>
  <si>
    <t>Riesling Himmelreich Kabinett 16,95</t>
  </si>
  <si>
    <t>Markus Molitor</t>
  </si>
  <si>
    <t>Riesling Trabener Würzgarten Kabinett Feinherb</t>
  </si>
  <si>
    <t>Martin Müllen</t>
  </si>
  <si>
    <t>Amerika</t>
  </si>
  <si>
    <t>Chardonnay Santa Barbara</t>
  </si>
  <si>
    <t>Joel Gott</t>
  </si>
  <si>
    <t>California</t>
  </si>
  <si>
    <t>Sandhi</t>
  </si>
  <si>
    <t>Chablis Bearoy 1er Cru</t>
  </si>
  <si>
    <t>Geoffroy</t>
  </si>
  <si>
    <t>Borgogne Les Sétilles</t>
  </si>
  <si>
    <t>Olivier Leflaive</t>
  </si>
  <si>
    <t>2018/19</t>
  </si>
  <si>
    <t>Meursault Charrons</t>
  </si>
  <si>
    <t>Michel bouzereau</t>
  </si>
  <si>
    <t xml:space="preserve">Pouilly Fumé Cuvee riquette </t>
  </si>
  <si>
    <t>Domaine de Bel Air</t>
  </si>
  <si>
    <t>Pouilly Fumé</t>
  </si>
  <si>
    <t>Ladoucette</t>
  </si>
  <si>
    <t>2015/15</t>
  </si>
  <si>
    <t>Sancerre Etienne Silex</t>
  </si>
  <si>
    <t>H Bourgois</t>
  </si>
  <si>
    <t>2015/16</t>
  </si>
  <si>
    <t>Clos David Chenin Blanc</t>
  </si>
  <si>
    <t>Arnaud Lambert</t>
  </si>
  <si>
    <t>Chassagne Montrachet Les Fairendes 1er Cru</t>
  </si>
  <si>
    <t>Domaine Coffinet-Duvernay</t>
  </si>
  <si>
    <t>Viré Clessé</t>
  </si>
  <si>
    <t>Comte Lafon</t>
  </si>
  <si>
    <t>Mercurey Les Rochelles</t>
  </si>
  <si>
    <t>Domaine Mia</t>
  </si>
  <si>
    <t>Vernatsch</t>
  </si>
  <si>
    <t xml:space="preserve">Isarcus </t>
  </si>
  <si>
    <t>Griesbauerhof</t>
  </si>
  <si>
    <t xml:space="preserve">Vernatsch 69` </t>
  </si>
  <si>
    <t>Mitter Vernatsch</t>
  </si>
  <si>
    <t>Upupa rot</t>
  </si>
  <si>
    <t>Hoamet</t>
  </si>
  <si>
    <t>Dona Rouge</t>
  </si>
  <si>
    <t>Sankt Anna</t>
  </si>
  <si>
    <t>Weingut in der Eben</t>
  </si>
  <si>
    <t>Gschleier - Magnum 28,60€</t>
  </si>
  <si>
    <t>Kellerei Girlan</t>
  </si>
  <si>
    <t>beato me</t>
  </si>
  <si>
    <t>Erbe und auftrag</t>
  </si>
  <si>
    <t>Andi Sölva</t>
  </si>
  <si>
    <t>Campill</t>
  </si>
  <si>
    <t>Vino rosso leggero</t>
  </si>
  <si>
    <t>Kalterersee Auslese Römigberg</t>
  </si>
  <si>
    <t>Kalterersee Auslese Leuchtenberg</t>
  </si>
  <si>
    <t>Kalterersee Auslese Kalkofen</t>
  </si>
  <si>
    <t>Weingut Baron di Pauli</t>
  </si>
  <si>
    <t>St. Magdalener</t>
  </si>
  <si>
    <t>Magdalener klassisch HUB - 1,5  31,5</t>
  </si>
  <si>
    <t>Magdalener Vigna Premstrallerhof</t>
  </si>
  <si>
    <t xml:space="preserve">Gran Marie Magdalener klassisch </t>
  </si>
  <si>
    <t>Weingut Fliederhof</t>
  </si>
  <si>
    <t>Prior Rot</t>
  </si>
  <si>
    <t>Wingut Edmund Pomella</t>
  </si>
  <si>
    <t>Blauburgunder</t>
  </si>
  <si>
    <t>Blauburgunder Matan Riserva - Magnum 54,00€</t>
  </si>
  <si>
    <t>Blauburgunder Fuxleiten</t>
  </si>
  <si>
    <t>Blauburgunder Vigna das Langenfeld</t>
  </si>
  <si>
    <t xml:space="preserve">Blauburgunder </t>
  </si>
  <si>
    <t>Weingut Gottardi</t>
  </si>
  <si>
    <t>Mazzon Blauburgunder Magnum</t>
  </si>
  <si>
    <t>Blauburgunder Riserva</t>
  </si>
  <si>
    <t>Blauburgunder Riserva 1,5l</t>
  </si>
  <si>
    <t>Blauburgunder selection</t>
  </si>
  <si>
    <t>Blauburgunder Riserva Mazon</t>
  </si>
  <si>
    <t>Blauburgunder Riserva Oxenreiter</t>
  </si>
  <si>
    <t>Weingut Steinhaushof</t>
  </si>
  <si>
    <t xml:space="preserve">Blauburgunder Doná Noir </t>
  </si>
  <si>
    <t>Blauburgunder Riserva limited edition</t>
  </si>
  <si>
    <t>Weingut Plonerhof</t>
  </si>
  <si>
    <t>Blauburgunder Riserva Exklusiv</t>
  </si>
  <si>
    <t>Blauburgunder Schwarze Madonna</t>
  </si>
  <si>
    <t>Weingut Klosterhof</t>
  </si>
  <si>
    <t>Pinot Nero Riserva Burgum Novum</t>
  </si>
  <si>
    <t>Blauburgunder Art</t>
  </si>
  <si>
    <t>Spätburgunder</t>
  </si>
  <si>
    <t>Blauburgunder Violette</t>
  </si>
  <si>
    <t>Von winning</t>
  </si>
  <si>
    <t>Pfalz</t>
  </si>
  <si>
    <t xml:space="preserve">Pinot Noir </t>
  </si>
  <si>
    <t>Gantenbein</t>
  </si>
  <si>
    <t>Fläsch/Schweiz</t>
  </si>
  <si>
    <t>2017/18</t>
  </si>
  <si>
    <t>Spätburgunder Alte reben</t>
  </si>
  <si>
    <t>Baden</t>
  </si>
  <si>
    <t>Frühburgunder</t>
  </si>
  <si>
    <t>Maddalena Nera</t>
  </si>
  <si>
    <t>Langut Buchner - Rainer Uhl</t>
  </si>
  <si>
    <t>Wallfahrtsweg Maria Weissenstein</t>
  </si>
  <si>
    <t>Uhl</t>
  </si>
  <si>
    <t>Trattmann riserva</t>
  </si>
  <si>
    <t>Curlan riserva</t>
  </si>
  <si>
    <t>Vigna Ganger riserva</t>
  </si>
  <si>
    <t>Lagrein</t>
  </si>
  <si>
    <t>Lagrein Porphyr Riserva</t>
  </si>
  <si>
    <t>Lagrein Riserva Taber</t>
  </si>
  <si>
    <t>Lagrein Riserva Taber Magnum</t>
  </si>
  <si>
    <t xml:space="preserve">Lagrein Mirell </t>
  </si>
  <si>
    <t>Ansitz Waldgries</t>
  </si>
  <si>
    <t>Lagrein Mirell 1,5l</t>
  </si>
  <si>
    <t>Lagrein Riserva</t>
  </si>
  <si>
    <t>Abtei Muri-Gries</t>
  </si>
  <si>
    <t>Lagrein Carano Riserva</t>
  </si>
  <si>
    <t>Lagrein Linticlarus Riserva</t>
  </si>
  <si>
    <t>Tiefenbrunner</t>
  </si>
  <si>
    <r>
      <t>Lagrein Riserva</t>
    </r>
    <r>
      <rPr>
        <b/>
        <sz val="12"/>
        <color rgb="FFFF0000"/>
        <rFont val="Calibri"/>
        <family val="2"/>
        <scheme val="minor"/>
      </rPr>
      <t xml:space="preserve"> bist Herbst 2023 ausverkauft</t>
    </r>
  </si>
  <si>
    <t>Nusser</t>
  </si>
  <si>
    <t>2019/20</t>
  </si>
  <si>
    <t>Lagrein Icona</t>
  </si>
  <si>
    <t>Weingut Heiner</t>
  </si>
  <si>
    <t>Heiner</t>
  </si>
  <si>
    <t xml:space="preserve">Lagrein Burgum Novum </t>
  </si>
  <si>
    <t>Lagrein Riserva Klosteranger</t>
  </si>
  <si>
    <t>Lagrein Riserva Klosteranger (Magnum)</t>
  </si>
  <si>
    <t>Lagrein Ottanta</t>
  </si>
  <si>
    <t>Egger ramer</t>
  </si>
  <si>
    <t>Lamarein Magnum</t>
  </si>
  <si>
    <t>Erbhof Unterganzner</t>
  </si>
  <si>
    <t>WS/O</t>
  </si>
  <si>
    <t>Lamarein</t>
  </si>
  <si>
    <t>Merlot</t>
  </si>
  <si>
    <t>Merlot Riserva Siebeneich</t>
  </si>
  <si>
    <t>Merlot XV BIO</t>
  </si>
  <si>
    <t>MR 20</t>
  </si>
  <si>
    <t>Pitzner</t>
  </si>
  <si>
    <t>Brenntal</t>
  </si>
  <si>
    <t>Merlot Riserva Bio</t>
  </si>
  <si>
    <t>Stachelburg</t>
  </si>
  <si>
    <t>Merlot Riserva</t>
  </si>
  <si>
    <t>Clemens Waldthaler</t>
  </si>
  <si>
    <t>Staffes Merlot Riserva</t>
  </si>
  <si>
    <t>2016/19</t>
  </si>
  <si>
    <t>MCM Merlot</t>
  </si>
  <si>
    <t>Merlot Kressfeld</t>
  </si>
  <si>
    <t>Riserva Gant</t>
  </si>
  <si>
    <t>Kellerei Andrian</t>
  </si>
  <si>
    <t>Cabernet</t>
  </si>
  <si>
    <t>Cabernet Sauvignon CS</t>
  </si>
  <si>
    <t>Istrice Cabernet Sauvignon</t>
  </si>
  <si>
    <t xml:space="preserve">Cabernet  Sauvignon Riserva </t>
  </si>
  <si>
    <t>Toren Cabernet Sauvignon</t>
  </si>
  <si>
    <t>Cabernet Staffes</t>
  </si>
  <si>
    <t>Cabernet Freienfeld</t>
  </si>
  <si>
    <t>Kellerei Kuirtatsch</t>
  </si>
  <si>
    <t>2014/16</t>
  </si>
  <si>
    <t>Feldherr</t>
  </si>
  <si>
    <t>Planties Rot</t>
  </si>
  <si>
    <t>St. Quirinus</t>
  </si>
  <si>
    <t>Cabernet Sauvignon Lafoà</t>
  </si>
  <si>
    <t>Rarum</t>
  </si>
  <si>
    <t>Cabernet Löwengang Rarum (gem Kiste, 70,00€ pro Flasche) 1998,1996, 2003, 2005, 2007, 2010;</t>
  </si>
  <si>
    <t>Lageder</t>
  </si>
  <si>
    <t>Turmhof Cabernet Sauvignon</t>
  </si>
  <si>
    <t>Cuzziol/FW</t>
  </si>
  <si>
    <t>Risorgimento</t>
  </si>
  <si>
    <t>LPR</t>
  </si>
  <si>
    <t>Unterand</t>
  </si>
  <si>
    <t>Syrah</t>
  </si>
  <si>
    <t>Syrah Marra</t>
  </si>
  <si>
    <t>Niedrist</t>
  </si>
  <si>
    <t>Reserve del Conte - Bio</t>
  </si>
  <si>
    <t>Palestina</t>
  </si>
  <si>
    <t>Lentsch</t>
  </si>
  <si>
    <t>Palestina (reserviert)</t>
  </si>
  <si>
    <t>Learn</t>
  </si>
  <si>
    <t>Glassierhof</t>
  </si>
  <si>
    <t>Iugum</t>
  </si>
  <si>
    <t>Frauenriegel</t>
  </si>
  <si>
    <t>Tres</t>
  </si>
  <si>
    <t>2019/21</t>
  </si>
  <si>
    <t>Hexagon</t>
  </si>
  <si>
    <t>Linticlarus Cuvee</t>
  </si>
  <si>
    <t>Linticlarus Cuvee Magnum</t>
  </si>
  <si>
    <t>Anticus Riserva</t>
  </si>
  <si>
    <t>WD/O</t>
  </si>
  <si>
    <t xml:space="preserve">Cornelius </t>
  </si>
  <si>
    <t>Centa Merlot Cabernet</t>
  </si>
  <si>
    <t>Weingut Gerd Pomella</t>
  </si>
  <si>
    <t>Soma Merlot Cabernet Franc</t>
  </si>
  <si>
    <t xml:space="preserve">Composition Reif </t>
  </si>
  <si>
    <t>FW / Karner</t>
  </si>
  <si>
    <t>Composition Reif Magnum</t>
  </si>
  <si>
    <t>Cuvee</t>
  </si>
  <si>
    <t>Athos</t>
  </si>
  <si>
    <t>Ansitz Dolomytos Sacker</t>
  </si>
  <si>
    <t>Skythos</t>
  </si>
  <si>
    <t>Castel Campan - Bio</t>
  </si>
  <si>
    <t>Merlot Campo al Lago</t>
  </si>
  <si>
    <t>Tenuta Inama</t>
  </si>
  <si>
    <t>Teroldego dannato</t>
  </si>
  <si>
    <t>Redondel</t>
  </si>
  <si>
    <t>Teroldego Beatome</t>
  </si>
  <si>
    <t>San Leonardo</t>
  </si>
  <si>
    <t>Erminio cabernet Franc</t>
  </si>
  <si>
    <t>Grigolli Bruno</t>
  </si>
  <si>
    <t>Granato</t>
  </si>
  <si>
    <t>Foradori Elisabetta</t>
  </si>
  <si>
    <t>Sassirossi</t>
  </si>
  <si>
    <t>Masut de Rive</t>
  </si>
  <si>
    <t>Amarone Vigneto Ravazoll</t>
  </si>
  <si>
    <t>Cà la Bionda</t>
  </si>
  <si>
    <t xml:space="preserve">Amarone </t>
  </si>
  <si>
    <t>Bertani</t>
  </si>
  <si>
    <r>
      <t xml:space="preserve">Valpolicella Classico </t>
    </r>
    <r>
      <rPr>
        <b/>
        <sz val="12"/>
        <color theme="1"/>
        <rFont val="Calibri"/>
        <family val="2"/>
        <scheme val="minor"/>
      </rPr>
      <t>Superiore</t>
    </r>
  </si>
  <si>
    <t>Lorenzo - Verdichio dei Castelli di Jesi</t>
  </si>
  <si>
    <t>Lacrima di Morro d´Alba</t>
  </si>
  <si>
    <t xml:space="preserve">Cuvee </t>
  </si>
  <si>
    <t>Primo Ballo- Verdicchio die castelli die Jesi</t>
  </si>
  <si>
    <t>Dolcetto d'Alba</t>
  </si>
  <si>
    <t>Conterno Fantino</t>
  </si>
  <si>
    <t>karner</t>
  </si>
  <si>
    <t>Quatr nas</t>
  </si>
  <si>
    <t>Rocche die manzoni</t>
  </si>
  <si>
    <t>Nebbiolo d'Alba V. sibi et paucis</t>
  </si>
  <si>
    <t>Sandrone Luciano</t>
  </si>
  <si>
    <t xml:space="preserve">Nebbiolo d'Alba Valmaggiore </t>
  </si>
  <si>
    <t>Nebbiolo Langhe</t>
  </si>
  <si>
    <t xml:space="preserve"> San Biagio</t>
  </si>
  <si>
    <t>Barolo Vigna Sori Ginestra</t>
  </si>
  <si>
    <t>Barolo Vigna Pressenda</t>
  </si>
  <si>
    <t>Barolo Vigna del Gris</t>
  </si>
  <si>
    <t>Barolo Le Vigne</t>
  </si>
  <si>
    <t>Barolo Le Vigne s.e.p.</t>
  </si>
  <si>
    <t>Barolo Le Vigne sibi et paucis</t>
  </si>
  <si>
    <t>Barolo Aleste</t>
  </si>
  <si>
    <t>Barolo Cannubi Boschis sibi et paucis</t>
  </si>
  <si>
    <t>Barolo Marcenasco</t>
  </si>
  <si>
    <t>Ratti Renato</t>
  </si>
  <si>
    <t>Barolo Falletto</t>
  </si>
  <si>
    <t>Bruno Giacosa</t>
  </si>
  <si>
    <t>Matma</t>
  </si>
  <si>
    <t>Barolo Gattera</t>
  </si>
  <si>
    <t>Mauro Veglio</t>
  </si>
  <si>
    <t>Barbera d´alba Cascina</t>
  </si>
  <si>
    <t>Barolo Cannubi Boschis sibi et paucis Magnum</t>
  </si>
  <si>
    <t>Barbaresco Rabajà</t>
  </si>
  <si>
    <t>Giuseppe Cortese</t>
  </si>
  <si>
    <t>Barbaresco Ovello</t>
  </si>
  <si>
    <t>Produttori di Barbaresco</t>
  </si>
  <si>
    <t>Barbaresco Riserva Basarin BIO</t>
  </si>
  <si>
    <t>Punset</t>
  </si>
  <si>
    <t>Chianti Classico</t>
  </si>
  <si>
    <t>Isole e Olena</t>
  </si>
  <si>
    <t>Chianti Classico Riserva</t>
  </si>
  <si>
    <t>Caparsa</t>
  </si>
  <si>
    <t xml:space="preserve">Chianti Classico </t>
  </si>
  <si>
    <t>Fontodi</t>
  </si>
  <si>
    <t>Chianti Classico Vigna del Sorbo</t>
  </si>
  <si>
    <t>Flaccianello</t>
  </si>
  <si>
    <t>Chianti Classico Castello Fonterutoli</t>
  </si>
  <si>
    <t>Mazzei</t>
  </si>
  <si>
    <t>Rosso di Montalcino</t>
  </si>
  <si>
    <t>Tenuta Collosorbo</t>
  </si>
  <si>
    <t>Brunello di Montalcino</t>
  </si>
  <si>
    <t>Tenuta Mastrojanni</t>
  </si>
  <si>
    <t>Brunello di Montalcino Cupano BIO</t>
  </si>
  <si>
    <t xml:space="preserve">Tenuta Cupano </t>
  </si>
  <si>
    <t>Poggio di Sotto</t>
  </si>
  <si>
    <t>2012/13</t>
  </si>
  <si>
    <t>Aria di Caiarossa</t>
  </si>
  <si>
    <t>Le Pergole Torte</t>
  </si>
  <si>
    <t>Montevertine</t>
  </si>
  <si>
    <t>La Massa</t>
  </si>
  <si>
    <t>Giorgio Primo</t>
  </si>
  <si>
    <t>Brunello di Montalcino "Le Lucere"</t>
  </si>
  <si>
    <t>San Filippo</t>
  </si>
  <si>
    <t>Mahatma</t>
  </si>
  <si>
    <t>Insoglio del Cinghiale</t>
  </si>
  <si>
    <t>Tenuta di Biserno</t>
  </si>
  <si>
    <t>Il Pino di Biserno</t>
  </si>
  <si>
    <t xml:space="preserve">Tignanello </t>
  </si>
  <si>
    <t>Antinori</t>
  </si>
  <si>
    <t>Sassicaia</t>
  </si>
  <si>
    <t>Tenuta San Guido</t>
  </si>
  <si>
    <t>Cabernet Franc</t>
  </si>
  <si>
    <t xml:space="preserve">Barolo Cannubi Boschis </t>
  </si>
  <si>
    <t>Vite talin</t>
  </si>
  <si>
    <t>Masseto</t>
  </si>
  <si>
    <t>Tenuta dell'Ornellaia</t>
  </si>
  <si>
    <t>2018/15</t>
  </si>
  <si>
    <t>Concerto Fonterutoli</t>
  </si>
  <si>
    <t>2016/2017</t>
  </si>
  <si>
    <t>Verruzzo</t>
  </si>
  <si>
    <t>Terra di monteverro</t>
  </si>
  <si>
    <t>Aglianico del Vulture Superiore - Fontanelle Riserva</t>
  </si>
  <si>
    <t>Basilisco</t>
  </si>
  <si>
    <t>Basilicata</t>
  </si>
  <si>
    <t>Montepulciano Riserva</t>
  </si>
  <si>
    <t>Castorani</t>
  </si>
  <si>
    <t>Abruzzen</t>
  </si>
  <si>
    <t>Rocce e fiori</t>
  </si>
  <si>
    <t>Gianni Sinesi</t>
  </si>
  <si>
    <t>Puglia</t>
  </si>
  <si>
    <t xml:space="preserve"> Primitivo di Manduria Dunico</t>
  </si>
  <si>
    <t>Feline</t>
  </si>
  <si>
    <t xml:space="preserve">Es </t>
  </si>
  <si>
    <t>Fino Gianfranco</t>
  </si>
  <si>
    <t>Tancredi</t>
  </si>
  <si>
    <t>2012/16</t>
  </si>
  <si>
    <t>Mille e una notte</t>
  </si>
  <si>
    <t>Zisola Doppiozeta Noto Rosso</t>
  </si>
  <si>
    <t>Nero D´Avola Bio</t>
  </si>
  <si>
    <t>Caruso e M</t>
  </si>
  <si>
    <t>Etna Rosso - Calderara Sottana</t>
  </si>
  <si>
    <t>Tenuta delle Terre Nere</t>
  </si>
  <si>
    <t>Etna Rosso - Prephylloxera</t>
  </si>
  <si>
    <t>Etna Rosso - Santo Spirito</t>
  </si>
  <si>
    <t>Etna Rosso - Feudo di Mezzo "santo spirito"</t>
  </si>
  <si>
    <t>Etna Rosso - Feudo di Mezzo "Moganazzi"</t>
  </si>
  <si>
    <t>Etna Rosso - Feudo di Mezzo (nicht gekommen letztes mal)</t>
  </si>
  <si>
    <t>Alta Mora</t>
  </si>
  <si>
    <t>Etna Bianco</t>
  </si>
  <si>
    <t>Etna Rosso - Feudo di Mezzo "Il quadro delle rose"</t>
  </si>
  <si>
    <t>Etna Rosso -Archineri</t>
  </si>
  <si>
    <t>Pietrdolce</t>
  </si>
  <si>
    <t>Gevrey Chambertin</t>
  </si>
  <si>
    <t>Lucien Boillot</t>
  </si>
  <si>
    <t>Bourgogne Pinot Noir</t>
  </si>
  <si>
    <t>Rossignol</t>
  </si>
  <si>
    <t>2015/12</t>
  </si>
  <si>
    <t>Pinot Noir Nuits St. Georg Vaucrains 1. Cru</t>
  </si>
  <si>
    <t>Chezeaux</t>
  </si>
  <si>
    <t>Chateau Clinet</t>
  </si>
  <si>
    <t>Bordeaux</t>
  </si>
  <si>
    <t>Chateau La Fleur Peyrabon</t>
  </si>
  <si>
    <t>Chateau Tour Haut Caussan</t>
  </si>
  <si>
    <t>Medoc</t>
  </si>
  <si>
    <t>Chateau Citran Haut medoc</t>
  </si>
  <si>
    <t>Haut Medo</t>
  </si>
  <si>
    <t>Chateau Dassault</t>
  </si>
  <si>
    <t>Chateau Pontet Canet</t>
  </si>
  <si>
    <t>Chateau La Couspaude</t>
  </si>
  <si>
    <t>Clos Moleton - Saumur Champigny</t>
  </si>
  <si>
    <t>Arnauld Lambert</t>
  </si>
  <si>
    <t>Loire</t>
  </si>
  <si>
    <t>Les Bonneveaux</t>
  </si>
  <si>
    <t>P´Tit Domain</t>
  </si>
  <si>
    <t>La Rocheuse</t>
  </si>
  <si>
    <t>Domaine d`Accent</t>
  </si>
  <si>
    <t>Vinum</t>
  </si>
  <si>
    <t>Libanon</t>
  </si>
  <si>
    <t>Chateau Musar Red</t>
  </si>
  <si>
    <t>Chateau Musar</t>
  </si>
  <si>
    <t>Grande reserve</t>
  </si>
  <si>
    <t>Ixsir</t>
  </si>
  <si>
    <t>Argentinien</t>
  </si>
  <si>
    <t>le dix de Los vasos</t>
  </si>
  <si>
    <t>Los vasos</t>
  </si>
  <si>
    <t>Chile</t>
  </si>
  <si>
    <t>Caro Malbec Cab. S.</t>
  </si>
  <si>
    <t>Bodegas Caro</t>
  </si>
  <si>
    <t>Argentinia</t>
  </si>
  <si>
    <t>Malbec Riserva</t>
  </si>
  <si>
    <t>Prodiga</t>
  </si>
  <si>
    <t>Spanien</t>
  </si>
  <si>
    <t xml:space="preserve">Rioja Riserva </t>
  </si>
  <si>
    <t>Heredia Tondonia</t>
  </si>
  <si>
    <t>Rioja Riserva Vina Ardanza</t>
  </si>
  <si>
    <t>la Rioja Alta</t>
  </si>
  <si>
    <t>Ribera del Duero</t>
  </si>
  <si>
    <t>AALTO</t>
  </si>
  <si>
    <t>Australien</t>
  </si>
  <si>
    <t>Mother's Milk Shiraz</t>
  </si>
  <si>
    <t>First Drop</t>
  </si>
  <si>
    <t>Barossa Valley</t>
  </si>
  <si>
    <t>Cabernet Cuvee Alexandra</t>
  </si>
  <si>
    <t>Lapostolle</t>
  </si>
  <si>
    <t>Kalifornien</t>
  </si>
  <si>
    <t>Dancing Crow Cabernet Sauvignon</t>
  </si>
  <si>
    <t>Dancing Crow Vineyard</t>
  </si>
  <si>
    <t>Patrick</t>
  </si>
  <si>
    <t>Gevrey Chambertin Premier Cru</t>
  </si>
  <si>
    <t>Jaques Prieur</t>
  </si>
  <si>
    <t>Castillo Y Gay Gran Reserve Especial</t>
  </si>
  <si>
    <t>Marqués de Murietta</t>
  </si>
  <si>
    <t>Chateau Mouton Rothschild</t>
  </si>
  <si>
    <t>Auserhalb d Karte</t>
  </si>
  <si>
    <t>Blauburgunder Noir Nina 0,5L</t>
  </si>
  <si>
    <t>Blauburgunder Noir Carina 0,5L</t>
  </si>
  <si>
    <t>Raritätenkiste  65,00 pro Flasche</t>
  </si>
  <si>
    <t>Coravin pck. 24  Capsule</t>
  </si>
  <si>
    <t>Coravin</t>
  </si>
  <si>
    <t>Coravin Model 6plus Black</t>
  </si>
  <si>
    <t>Coravinnadel Schwarz</t>
  </si>
  <si>
    <t>Tragetaschen 1er Schwarz</t>
  </si>
  <si>
    <t>12 + 10 x 41 cm</t>
  </si>
  <si>
    <t>Decanter</t>
  </si>
  <si>
    <t>Ovarius</t>
  </si>
  <si>
    <t>Gesmatumsatz Sommersaison Wein</t>
  </si>
  <si>
    <t>Zalto Axium</t>
  </si>
  <si>
    <t>Riedel Weisswein Decanter</t>
  </si>
  <si>
    <t xml:space="preserve"> </t>
  </si>
  <si>
    <t>F</t>
  </si>
  <si>
    <t>Val d´Oca Asolo Prosecco Superiore Bio</t>
  </si>
  <si>
    <t>Weissweindekanter Riedel 21,00€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</si>
</sst>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_ ;[Red]\-0\ "/>
    <numFmt numFmtId="166" formatCode="_-* #,##0\ _€_-;\-* #,##0\ _€_-;_-* &quot;-&quot;??\ _€_-;_-@_-"/>
    <numFmt numFmtId="167" formatCode="0.0%"/>
    <numFmt numFmtId="168" formatCode="_-* #,##0.00\ [$€-407]_-;\-* #,##0.00\ [$€-407]_-;_-* &quot;-&quot;??\ [$€-407]_-;_-@_-"/>
    <numFmt numFmtId="170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3F3F3F"/>
      <name val="Calibri"/>
      <family val="2"/>
      <scheme val="minor"/>
    </font>
    <font>
      <b/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9" borderId="4" applyNumberFormat="0" applyAlignment="0" applyProtection="0"/>
    <xf numFmtId="0" fontId="6" fillId="28" borderId="0" applyNumberFormat="0" applyBorder="0" applyAlignment="0" applyProtection="0"/>
    <xf numFmtId="0" fontId="7" fillId="29" borderId="21" applyNumberFormat="0" applyAlignment="0" applyProtection="0"/>
    <xf numFmtId="0" fontId="1" fillId="30" borderId="0" applyNumberFormat="0" applyBorder="0" applyAlignment="0" applyProtection="0"/>
  </cellStyleXfs>
  <cellXfs count="211">
    <xf numFmtId="0" fontId="0" fillId="0" borderId="0" xfId="0"/>
    <xf numFmtId="0" fontId="8" fillId="7" borderId="0" xfId="0" applyFont="1" applyFill="1"/>
    <xf numFmtId="168" fontId="8" fillId="7" borderId="0" xfId="0" applyNumberFormat="1" applyFont="1" applyFill="1"/>
    <xf numFmtId="0" fontId="9" fillId="0" borderId="3" xfId="0" applyFont="1" applyBorder="1"/>
    <xf numFmtId="0" fontId="10" fillId="0" borderId="10" xfId="0" applyFont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8" fontId="10" fillId="0" borderId="10" xfId="0" applyNumberFormat="1" applyFont="1" applyBorder="1" applyAlignment="1">
      <alignment horizontal="center" vertical="center" wrapText="1"/>
    </xf>
    <xf numFmtId="170" fontId="10" fillId="2" borderId="10" xfId="0" applyNumberFormat="1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165" fontId="10" fillId="3" borderId="10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17" borderId="10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3" xfId="0" applyFont="1" applyBorder="1"/>
    <xf numFmtId="0" fontId="10" fillId="0" borderId="3" xfId="0" applyFont="1" applyBorder="1"/>
    <xf numFmtId="167" fontId="8" fillId="7" borderId="3" xfId="3" applyNumberFormat="1" applyFont="1" applyFill="1" applyBorder="1"/>
    <xf numFmtId="0" fontId="8" fillId="8" borderId="3" xfId="0" applyFont="1" applyFill="1" applyBorder="1"/>
    <xf numFmtId="8" fontId="8" fillId="0" borderId="3" xfId="0" applyNumberFormat="1" applyFont="1" applyBorder="1"/>
    <xf numFmtId="170" fontId="8" fillId="0" borderId="3" xfId="0" applyNumberFormat="1" applyFont="1" applyBorder="1"/>
    <xf numFmtId="165" fontId="8" fillId="0" borderId="3" xfId="0" applyNumberFormat="1" applyFont="1" applyBorder="1"/>
    <xf numFmtId="0" fontId="8" fillId="0" borderId="11" xfId="0" applyFont="1" applyBorder="1"/>
    <xf numFmtId="0" fontId="8" fillId="4" borderId="3" xfId="0" applyFont="1" applyFill="1" applyBorder="1"/>
    <xf numFmtId="0" fontId="8" fillId="5" borderId="3" xfId="0" applyFont="1" applyFill="1" applyBorder="1"/>
    <xf numFmtId="0" fontId="8" fillId="17" borderId="3" xfId="0" applyFont="1" applyFill="1" applyBorder="1"/>
    <xf numFmtId="0" fontId="8" fillId="7" borderId="3" xfId="0" applyFont="1" applyFill="1" applyBorder="1"/>
    <xf numFmtId="0" fontId="8" fillId="31" borderId="3" xfId="0" applyFont="1" applyFill="1" applyBorder="1"/>
    <xf numFmtId="0" fontId="10" fillId="5" borderId="3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31" borderId="3" xfId="0" applyFont="1" applyFill="1" applyBorder="1" applyAlignment="1">
      <alignment horizontal="center"/>
    </xf>
    <xf numFmtId="0" fontId="8" fillId="5" borderId="11" xfId="0" applyFont="1" applyFill="1" applyBorder="1"/>
    <xf numFmtId="44" fontId="8" fillId="0" borderId="11" xfId="1" applyFont="1" applyFill="1" applyBorder="1"/>
    <xf numFmtId="44" fontId="8" fillId="7" borderId="11" xfId="1" applyFont="1" applyFill="1" applyBorder="1"/>
    <xf numFmtId="44" fontId="8" fillId="10" borderId="11" xfId="1" applyFont="1" applyFill="1" applyBorder="1"/>
    <xf numFmtId="8" fontId="8" fillId="0" borderId="11" xfId="1" applyNumberFormat="1" applyFont="1" applyBorder="1"/>
    <xf numFmtId="170" fontId="8" fillId="2" borderId="11" xfId="1" applyNumberFormat="1" applyFont="1" applyFill="1" applyBorder="1"/>
    <xf numFmtId="0" fontId="8" fillId="3" borderId="11" xfId="0" applyFont="1" applyFill="1" applyBorder="1"/>
    <xf numFmtId="165" fontId="10" fillId="3" borderId="11" xfId="0" applyNumberFormat="1" applyFont="1" applyFill="1" applyBorder="1"/>
    <xf numFmtId="166" fontId="8" fillId="0" borderId="11" xfId="2" applyNumberFormat="1" applyFont="1" applyBorder="1"/>
    <xf numFmtId="0" fontId="8" fillId="4" borderId="11" xfId="0" applyFont="1" applyFill="1" applyBorder="1"/>
    <xf numFmtId="0" fontId="8" fillId="17" borderId="11" xfId="0" applyFont="1" applyFill="1" applyBorder="1"/>
    <xf numFmtId="0" fontId="8" fillId="7" borderId="11" xfId="0" applyFont="1" applyFill="1" applyBorder="1"/>
    <xf numFmtId="0" fontId="8" fillId="31" borderId="11" xfId="7" applyFont="1" applyFill="1" applyBorder="1"/>
    <xf numFmtId="0" fontId="8" fillId="31" borderId="11" xfId="0" applyFont="1" applyFill="1" applyBorder="1"/>
    <xf numFmtId="0" fontId="8" fillId="31" borderId="28" xfId="0" applyFont="1" applyFill="1" applyBorder="1"/>
    <xf numFmtId="0" fontId="11" fillId="0" borderId="0" xfId="0" applyFont="1"/>
    <xf numFmtId="44" fontId="8" fillId="0" borderId="3" xfId="1" applyFont="1" applyFill="1" applyBorder="1"/>
    <xf numFmtId="44" fontId="8" fillId="7" borderId="3" xfId="1" applyFont="1" applyFill="1" applyBorder="1"/>
    <xf numFmtId="44" fontId="8" fillId="10" borderId="3" xfId="1" applyFont="1" applyFill="1" applyBorder="1"/>
    <xf numFmtId="8" fontId="8" fillId="0" borderId="3" xfId="1" applyNumberFormat="1" applyFont="1" applyBorder="1"/>
    <xf numFmtId="170" fontId="8" fillId="2" borderId="3" xfId="1" applyNumberFormat="1" applyFont="1" applyFill="1" applyBorder="1"/>
    <xf numFmtId="0" fontId="8" fillId="3" borderId="3" xfId="0" applyFont="1" applyFill="1" applyBorder="1"/>
    <xf numFmtId="165" fontId="10" fillId="3" borderId="3" xfId="0" applyNumberFormat="1" applyFont="1" applyFill="1" applyBorder="1"/>
    <xf numFmtId="166" fontId="8" fillId="0" borderId="3" xfId="2" applyNumberFormat="1" applyFont="1" applyBorder="1"/>
    <xf numFmtId="0" fontId="8" fillId="31" borderId="3" xfId="7" applyFont="1" applyFill="1" applyBorder="1"/>
    <xf numFmtId="0" fontId="8" fillId="31" borderId="9" xfId="0" applyFont="1" applyFill="1" applyBorder="1"/>
    <xf numFmtId="0" fontId="8" fillId="4" borderId="23" xfId="0" applyFont="1" applyFill="1" applyBorder="1"/>
    <xf numFmtId="0" fontId="8" fillId="0" borderId="0" xfId="0" applyFont="1"/>
    <xf numFmtId="0" fontId="11" fillId="0" borderId="3" xfId="0" applyFont="1" applyBorder="1"/>
    <xf numFmtId="0" fontId="8" fillId="0" borderId="10" xfId="0" applyFont="1" applyBorder="1"/>
    <xf numFmtId="166" fontId="8" fillId="8" borderId="3" xfId="2" applyNumberFormat="1" applyFont="1" applyFill="1" applyBorder="1"/>
    <xf numFmtId="0" fontId="8" fillId="22" borderId="3" xfId="0" applyFont="1" applyFill="1" applyBorder="1"/>
    <xf numFmtId="0" fontId="12" fillId="0" borderId="3" xfId="0" applyFont="1" applyBorder="1"/>
    <xf numFmtId="0" fontId="8" fillId="20" borderId="3" xfId="0" applyFont="1" applyFill="1" applyBorder="1"/>
    <xf numFmtId="165" fontId="13" fillId="3" borderId="3" xfId="0" applyNumberFormat="1" applyFont="1" applyFill="1" applyBorder="1"/>
    <xf numFmtId="0" fontId="8" fillId="16" borderId="3" xfId="0" applyFont="1" applyFill="1" applyBorder="1"/>
    <xf numFmtId="0" fontId="8" fillId="14" borderId="3" xfId="0" applyFont="1" applyFill="1" applyBorder="1"/>
    <xf numFmtId="0" fontId="8" fillId="21" borderId="3" xfId="0" applyFont="1" applyFill="1" applyBorder="1"/>
    <xf numFmtId="0" fontId="8" fillId="23" borderId="3" xfId="0" applyFont="1" applyFill="1" applyBorder="1"/>
    <xf numFmtId="0" fontId="14" fillId="31" borderId="21" xfId="6" applyFont="1" applyFill="1"/>
    <xf numFmtId="0" fontId="8" fillId="24" borderId="3" xfId="0" applyFont="1" applyFill="1" applyBorder="1"/>
    <xf numFmtId="0" fontId="8" fillId="25" borderId="3" xfId="0" applyFont="1" applyFill="1" applyBorder="1"/>
    <xf numFmtId="44" fontId="8" fillId="5" borderId="3" xfId="1" applyFont="1" applyFill="1" applyBorder="1"/>
    <xf numFmtId="8" fontId="8" fillId="0" borderId="3" xfId="1" applyNumberFormat="1" applyFont="1" applyFill="1" applyBorder="1"/>
    <xf numFmtId="0" fontId="16" fillId="28" borderId="3" xfId="5" applyFont="1" applyBorder="1"/>
    <xf numFmtId="0" fontId="8" fillId="8" borderId="0" xfId="0" applyFont="1" applyFill="1"/>
    <xf numFmtId="8" fontId="8" fillId="8" borderId="3" xfId="1" applyNumberFormat="1" applyFont="1" applyFill="1" applyBorder="1"/>
    <xf numFmtId="0" fontId="11" fillId="6" borderId="0" xfId="0" applyFont="1" applyFill="1"/>
    <xf numFmtId="44" fontId="9" fillId="0" borderId="3" xfId="1" applyFont="1" applyFill="1" applyBorder="1"/>
    <xf numFmtId="166" fontId="11" fillId="0" borderId="3" xfId="2" applyNumberFormat="1" applyFont="1" applyBorder="1"/>
    <xf numFmtId="0" fontId="11" fillId="4" borderId="3" xfId="0" applyFont="1" applyFill="1" applyBorder="1"/>
    <xf numFmtId="0" fontId="11" fillId="5" borderId="3" xfId="0" applyFont="1" applyFill="1" applyBorder="1"/>
    <xf numFmtId="0" fontId="11" fillId="17" borderId="3" xfId="0" applyFont="1" applyFill="1" applyBorder="1"/>
    <xf numFmtId="0" fontId="11" fillId="7" borderId="3" xfId="0" applyFont="1" applyFill="1" applyBorder="1"/>
    <xf numFmtId="0" fontId="11" fillId="31" borderId="3" xfId="0" applyFont="1" applyFill="1" applyBorder="1"/>
    <xf numFmtId="0" fontId="11" fillId="31" borderId="9" xfId="0" applyFont="1" applyFill="1" applyBorder="1"/>
    <xf numFmtId="0" fontId="8" fillId="19" borderId="3" xfId="0" applyFont="1" applyFill="1" applyBorder="1"/>
    <xf numFmtId="0" fontId="11" fillId="7" borderId="0" xfId="0" applyFont="1" applyFill="1"/>
    <xf numFmtId="0" fontId="8" fillId="26" borderId="3" xfId="0" applyFont="1" applyFill="1" applyBorder="1"/>
    <xf numFmtId="0" fontId="8" fillId="26" borderId="10" xfId="0" applyFont="1" applyFill="1" applyBorder="1"/>
    <xf numFmtId="44" fontId="8" fillId="0" borderId="10" xfId="1" applyFont="1" applyFill="1" applyBorder="1"/>
    <xf numFmtId="44" fontId="8" fillId="7" borderId="10" xfId="1" applyFont="1" applyFill="1" applyBorder="1"/>
    <xf numFmtId="44" fontId="8" fillId="10" borderId="10" xfId="1" applyFont="1" applyFill="1" applyBorder="1"/>
    <xf numFmtId="8" fontId="8" fillId="0" borderId="10" xfId="1" applyNumberFormat="1" applyFont="1" applyBorder="1"/>
    <xf numFmtId="170" fontId="8" fillId="2" borderId="10" xfId="1" applyNumberFormat="1" applyFont="1" applyFill="1" applyBorder="1"/>
    <xf numFmtId="0" fontId="8" fillId="3" borderId="10" xfId="0" applyFont="1" applyFill="1" applyBorder="1"/>
    <xf numFmtId="165" fontId="10" fillId="3" borderId="10" xfId="0" applyNumberFormat="1" applyFont="1" applyFill="1" applyBorder="1"/>
    <xf numFmtId="166" fontId="8" fillId="0" borderId="10" xfId="2" applyNumberFormat="1" applyFont="1" applyBorder="1"/>
    <xf numFmtId="0" fontId="8" fillId="4" borderId="10" xfId="0" applyFont="1" applyFill="1" applyBorder="1"/>
    <xf numFmtId="0" fontId="8" fillId="5" borderId="10" xfId="0" applyFont="1" applyFill="1" applyBorder="1"/>
    <xf numFmtId="0" fontId="8" fillId="17" borderId="10" xfId="0" applyFont="1" applyFill="1" applyBorder="1"/>
    <xf numFmtId="0" fontId="8" fillId="7" borderId="10" xfId="0" applyFont="1" applyFill="1" applyBorder="1"/>
    <xf numFmtId="0" fontId="8" fillId="31" borderId="10" xfId="7" applyFont="1" applyFill="1" applyBorder="1"/>
    <xf numFmtId="0" fontId="8" fillId="31" borderId="10" xfId="0" applyFont="1" applyFill="1" applyBorder="1"/>
    <xf numFmtId="0" fontId="8" fillId="31" borderId="18" xfId="0" applyFont="1" applyFill="1" applyBorder="1"/>
    <xf numFmtId="0" fontId="8" fillId="4" borderId="0" xfId="0" applyFont="1" applyFill="1"/>
    <xf numFmtId="0" fontId="8" fillId="6" borderId="3" xfId="0" applyFont="1" applyFill="1" applyBorder="1"/>
    <xf numFmtId="0" fontId="11" fillId="0" borderId="17" xfId="0" applyFont="1" applyBorder="1"/>
    <xf numFmtId="0" fontId="8" fillId="18" borderId="3" xfId="0" applyFont="1" applyFill="1" applyBorder="1"/>
    <xf numFmtId="0" fontId="8" fillId="12" borderId="3" xfId="0" applyFont="1" applyFill="1" applyBorder="1"/>
    <xf numFmtId="0" fontId="11" fillId="15" borderId="0" xfId="0" applyFont="1" applyFill="1"/>
    <xf numFmtId="0" fontId="18" fillId="0" borderId="3" xfId="4" applyFont="1" applyFill="1" applyBorder="1"/>
    <xf numFmtId="0" fontId="8" fillId="27" borderId="3" xfId="0" applyFont="1" applyFill="1" applyBorder="1"/>
    <xf numFmtId="0" fontId="11" fillId="27" borderId="3" xfId="0" applyFont="1" applyFill="1" applyBorder="1"/>
    <xf numFmtId="44" fontId="11" fillId="0" borderId="3" xfId="1" applyFont="1" applyFill="1" applyBorder="1"/>
    <xf numFmtId="44" fontId="11" fillId="7" borderId="3" xfId="1" applyFont="1" applyFill="1" applyBorder="1"/>
    <xf numFmtId="44" fontId="11" fillId="10" borderId="3" xfId="1" applyFont="1" applyFill="1" applyBorder="1"/>
    <xf numFmtId="8" fontId="11" fillId="0" borderId="3" xfId="1" applyNumberFormat="1" applyFont="1" applyBorder="1"/>
    <xf numFmtId="170" fontId="11" fillId="2" borderId="3" xfId="1" applyNumberFormat="1" applyFont="1" applyFill="1" applyBorder="1"/>
    <xf numFmtId="0" fontId="11" fillId="3" borderId="3" xfId="0" applyFont="1" applyFill="1" applyBorder="1"/>
    <xf numFmtId="165" fontId="19" fillId="3" borderId="3" xfId="0" applyNumberFormat="1" applyFont="1" applyFill="1" applyBorder="1"/>
    <xf numFmtId="0" fontId="11" fillId="31" borderId="3" xfId="7" applyFont="1" applyFill="1" applyBorder="1"/>
    <xf numFmtId="0" fontId="8" fillId="13" borderId="3" xfId="0" applyFont="1" applyFill="1" applyBorder="1"/>
    <xf numFmtId="0" fontId="17" fillId="0" borderId="3" xfId="0" applyFont="1" applyBorder="1"/>
    <xf numFmtId="0" fontId="11" fillId="8" borderId="0" xfId="0" applyFont="1" applyFill="1"/>
    <xf numFmtId="44" fontId="10" fillId="0" borderId="26" xfId="1" applyFont="1" applyFill="1" applyBorder="1"/>
    <xf numFmtId="44" fontId="8" fillId="0" borderId="20" xfId="1" applyFont="1" applyFill="1" applyBorder="1"/>
    <xf numFmtId="44" fontId="10" fillId="0" borderId="22" xfId="1" applyFont="1" applyFill="1" applyBorder="1"/>
    <xf numFmtId="44" fontId="10" fillId="0" borderId="19" xfId="1" applyFont="1" applyFill="1" applyBorder="1"/>
    <xf numFmtId="44" fontId="10" fillId="0" borderId="10" xfId="1" applyFont="1" applyFill="1" applyBorder="1"/>
    <xf numFmtId="44" fontId="10" fillId="7" borderId="10" xfId="1" applyFont="1" applyFill="1" applyBorder="1"/>
    <xf numFmtId="44" fontId="10" fillId="10" borderId="10" xfId="1" applyFont="1" applyFill="1" applyBorder="1"/>
    <xf numFmtId="170" fontId="10" fillId="2" borderId="10" xfId="1" applyNumberFormat="1" applyFont="1" applyFill="1" applyBorder="1"/>
    <xf numFmtId="0" fontId="10" fillId="3" borderId="10" xfId="0" applyFont="1" applyFill="1" applyBorder="1"/>
    <xf numFmtId="0" fontId="10" fillId="4" borderId="3" xfId="0" applyFont="1" applyFill="1" applyBorder="1"/>
    <xf numFmtId="0" fontId="10" fillId="5" borderId="3" xfId="0" applyFont="1" applyFill="1" applyBorder="1"/>
    <xf numFmtId="0" fontId="10" fillId="17" borderId="3" xfId="0" applyFont="1" applyFill="1" applyBorder="1"/>
    <xf numFmtId="0" fontId="10" fillId="7" borderId="3" xfId="0" applyFont="1" applyFill="1" applyBorder="1"/>
    <xf numFmtId="0" fontId="10" fillId="31" borderId="3" xfId="0" applyFont="1" applyFill="1" applyBorder="1"/>
    <xf numFmtId="0" fontId="8" fillId="0" borderId="1" xfId="0" applyFont="1" applyBorder="1"/>
    <xf numFmtId="0" fontId="8" fillId="0" borderId="2" xfId="0" applyFont="1" applyBorder="1"/>
    <xf numFmtId="44" fontId="8" fillId="0" borderId="0" xfId="1" applyFont="1"/>
    <xf numFmtId="168" fontId="8" fillId="5" borderId="0" xfId="0" applyNumberFormat="1" applyFont="1" applyFill="1"/>
    <xf numFmtId="168" fontId="8" fillId="17" borderId="0" xfId="0" applyNumberFormat="1" applyFont="1" applyFill="1"/>
    <xf numFmtId="168" fontId="8" fillId="31" borderId="0" xfId="0" applyNumberFormat="1" applyFont="1" applyFill="1"/>
    <xf numFmtId="168" fontId="8" fillId="31" borderId="18" xfId="0" applyNumberFormat="1" applyFont="1" applyFill="1" applyBorder="1"/>
    <xf numFmtId="44" fontId="8" fillId="0" borderId="0" xfId="1" applyFont="1" applyFill="1" applyBorder="1"/>
    <xf numFmtId="8" fontId="8" fillId="0" borderId="0" xfId="1" applyNumberFormat="1" applyFont="1" applyFill="1" applyBorder="1"/>
    <xf numFmtId="170" fontId="8" fillId="0" borderId="0" xfId="1" applyNumberFormat="1" applyFont="1" applyFill="1" applyBorder="1"/>
    <xf numFmtId="165" fontId="8" fillId="0" borderId="0" xfId="1" applyNumberFormat="1" applyFont="1" applyFill="1" applyBorder="1"/>
    <xf numFmtId="0" fontId="8" fillId="0" borderId="0" xfId="0" applyFont="1" applyAlignment="1">
      <alignment horizontal="right"/>
    </xf>
    <xf numFmtId="0" fontId="8" fillId="5" borderId="0" xfId="0" applyFont="1" applyFill="1"/>
    <xf numFmtId="0" fontId="8" fillId="17" borderId="0" xfId="0" applyFont="1" applyFill="1"/>
    <xf numFmtId="0" fontId="8" fillId="31" borderId="0" xfId="0" applyFont="1" applyFill="1"/>
    <xf numFmtId="0" fontId="8" fillId="0" borderId="23" xfId="0" applyFont="1" applyBorder="1"/>
    <xf numFmtId="8" fontId="8" fillId="0" borderId="0" xfId="0" applyNumberFormat="1" applyFont="1"/>
    <xf numFmtId="170" fontId="8" fillId="0" borderId="0" xfId="0" applyNumberFormat="1" applyFont="1"/>
    <xf numFmtId="165" fontId="8" fillId="0" borderId="0" xfId="0" applyNumberFormat="1" applyFont="1"/>
    <xf numFmtId="44" fontId="8" fillId="0" borderId="0" xfId="0" applyNumberFormat="1" applyFont="1"/>
    <xf numFmtId="0" fontId="8" fillId="5" borderId="3" xfId="0" applyFont="1" applyFill="1" applyBorder="1" applyAlignment="1">
      <alignment horizontal="center"/>
    </xf>
    <xf numFmtId="44" fontId="10" fillId="0" borderId="3" xfId="1" applyFont="1" applyFill="1" applyBorder="1"/>
    <xf numFmtId="0" fontId="8" fillId="0" borderId="29" xfId="0" applyFont="1" applyBorder="1"/>
    <xf numFmtId="0" fontId="8" fillId="0" borderId="6" xfId="0" applyFont="1" applyBorder="1"/>
    <xf numFmtId="170" fontId="8" fillId="0" borderId="6" xfId="0" applyNumberFormat="1" applyFont="1" applyBorder="1"/>
    <xf numFmtId="44" fontId="8" fillId="0" borderId="5" xfId="1" applyFont="1" applyFill="1" applyBorder="1"/>
    <xf numFmtId="0" fontId="8" fillId="0" borderId="3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0" fontId="8" fillId="0" borderId="27" xfId="0" applyFont="1" applyBorder="1"/>
    <xf numFmtId="0" fontId="8" fillId="0" borderId="8" xfId="0" applyFont="1" applyBorder="1"/>
    <xf numFmtId="0" fontId="8" fillId="0" borderId="30" xfId="0" applyFont="1" applyBorder="1"/>
    <xf numFmtId="0" fontId="8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8" fillId="32" borderId="3" xfId="0" applyFont="1" applyFill="1" applyBorder="1"/>
    <xf numFmtId="0" fontId="8" fillId="18" borderId="3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right"/>
    </xf>
    <xf numFmtId="44" fontId="8" fillId="0" borderId="3" xfId="0" applyNumberFormat="1" applyFont="1" applyBorder="1"/>
    <xf numFmtId="0" fontId="8" fillId="0" borderId="24" xfId="0" applyFont="1" applyBorder="1"/>
    <xf numFmtId="0" fontId="8" fillId="0" borderId="31" xfId="0" applyFont="1" applyBorder="1"/>
    <xf numFmtId="0" fontId="8" fillId="0" borderId="32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7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10" fillId="0" borderId="25" xfId="0" applyFont="1" applyBorder="1"/>
    <xf numFmtId="0" fontId="10" fillId="0" borderId="11" xfId="0" applyFont="1" applyBorder="1"/>
    <xf numFmtId="0" fontId="10" fillId="0" borderId="10" xfId="0" applyFont="1" applyBorder="1"/>
    <xf numFmtId="44" fontId="10" fillId="0" borderId="3" xfId="0" applyNumberFormat="1" applyFont="1" applyBorder="1"/>
    <xf numFmtId="0" fontId="8" fillId="0" borderId="33" xfId="0" applyFont="1" applyBorder="1"/>
    <xf numFmtId="0" fontId="12" fillId="5" borderId="9" xfId="0" applyFont="1" applyFill="1" applyBorder="1" applyAlignment="1">
      <alignment horizontal="center"/>
    </xf>
    <xf numFmtId="0" fontId="8" fillId="18" borderId="9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31" borderId="9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</cellXfs>
  <cellStyles count="8">
    <cellStyle name="40 % - Akzent2" xfId="7" builtinId="35"/>
    <cellStyle name="Ausgabe" xfId="4" builtinId="21"/>
    <cellStyle name="Eingabe" xfId="6" builtinId="20"/>
    <cellStyle name="Komma" xfId="2" builtinId="3"/>
    <cellStyle name="Neutral" xfId="5" builtinId="28"/>
    <cellStyle name="Prozent" xfId="3" builtinId="5"/>
    <cellStyle name="Standard" xfId="0" builtinId="0"/>
    <cellStyle name="Währung" xfId="1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090B-BE8A-4845-B775-A5AC4BAF0CAB}">
  <sheetPr filterMode="1"/>
  <dimension ref="A1:EF737"/>
  <sheetViews>
    <sheetView tabSelected="1" zoomScale="83" zoomScaleNormal="50" workbookViewId="0">
      <pane ySplit="1" topLeftCell="A398" activePane="bottomLeft" state="frozen"/>
      <selection activeCell="B1" sqref="B1"/>
      <selection pane="bottomLeft" activeCell="M18" sqref="M18"/>
    </sheetView>
  </sheetViews>
  <sheetFormatPr baseColWidth="10" defaultColWidth="11.42578125" defaultRowHeight="15.75" outlineLevelCol="2" x14ac:dyDescent="0.25"/>
  <cols>
    <col min="1" max="1" width="7.7109375" style="66" customWidth="1" outlineLevel="1"/>
    <col min="2" max="2" width="9.7109375" style="66" customWidth="1" outlineLevel="1"/>
    <col min="3" max="3" width="17.85546875" style="66" bestFit="1" customWidth="1"/>
    <col min="4" max="4" width="8" style="180" bestFit="1" customWidth="1"/>
    <col min="5" max="5" width="31" style="66" customWidth="1"/>
    <col min="6" max="6" width="24.28515625" style="66" customWidth="1"/>
    <col min="7" max="7" width="6.28515625" style="66" customWidth="1"/>
    <col min="8" max="9" width="12.28515625" style="66" customWidth="1" outlineLevel="1"/>
    <col min="10" max="10" width="9.42578125" style="66" customWidth="1" outlineLevel="2"/>
    <col min="11" max="11" width="8.28515625" style="66" customWidth="1" outlineLevel="2"/>
    <col min="12" max="12" width="10.7109375" style="66" customWidth="1" outlineLevel="2"/>
    <col min="13" max="13" width="10.28515625" style="66" customWidth="1" outlineLevel="2"/>
    <col min="14" max="14" width="12.140625" style="84" customWidth="1" outlineLevel="2"/>
    <col min="15" max="15" width="13.28515625" style="84" customWidth="1" outlineLevel="2"/>
    <col min="16" max="16" width="7.7109375" style="164" customWidth="1" outlineLevel="2"/>
    <col min="17" max="17" width="12.7109375" style="165" customWidth="1" outlineLevel="1"/>
    <col min="18" max="19" width="7.7109375" style="66" customWidth="1" outlineLevel="1"/>
    <col min="20" max="20" width="10" style="66" customWidth="1" outlineLevel="1"/>
    <col min="21" max="21" width="11" style="166" bestFit="1" customWidth="1"/>
    <col min="22" max="22" width="11.7109375" style="66" bestFit="1" customWidth="1"/>
    <col min="23" max="23" width="12.28515625" style="66" hidden="1" customWidth="1"/>
    <col min="24" max="33" width="11.140625" style="66" hidden="1" customWidth="1"/>
    <col min="34" max="34" width="9.28515625" style="66" hidden="1" customWidth="1"/>
    <col min="35" max="35" width="9.140625" style="66" hidden="1" customWidth="1"/>
    <col min="36" max="40" width="6" style="114" hidden="1" customWidth="1"/>
    <col min="41" max="41" width="6" style="114" customWidth="1"/>
    <col min="42" max="42" width="12.7109375" style="160" hidden="1" customWidth="1"/>
    <col min="43" max="43" width="11.7109375" style="161" hidden="1" customWidth="1"/>
    <col min="44" max="44" width="11.28515625" style="1" hidden="1" customWidth="1"/>
    <col min="45" max="45" width="10.28515625" style="160" hidden="1" customWidth="1"/>
    <col min="46" max="46" width="10.28515625" style="162" hidden="1" customWidth="1"/>
    <col min="47" max="48" width="11.28515625" style="162" hidden="1" customWidth="1"/>
    <col min="49" max="49" width="9.42578125" style="162" hidden="1" customWidth="1"/>
    <col min="50" max="50" width="10.28515625" style="162" hidden="1" customWidth="1"/>
    <col min="51" max="51" width="8.85546875" style="162" hidden="1" customWidth="1"/>
    <col min="52" max="52" width="7" style="162" hidden="1" customWidth="1"/>
    <col min="53" max="53" width="6" style="162" hidden="1" customWidth="1"/>
    <col min="54" max="55" width="6.42578125" style="162" hidden="1" customWidth="1"/>
    <col min="56" max="56" width="6" style="162" hidden="1" customWidth="1"/>
    <col min="57" max="57" width="8.85546875" style="162" hidden="1" customWidth="1"/>
    <col min="58" max="58" width="7.5703125" style="162" customWidth="1"/>
    <col min="59" max="59" width="8" style="64" customWidth="1"/>
    <col min="60" max="60" width="7" style="64" customWidth="1"/>
    <col min="61" max="61" width="7.28515625" style="64" customWidth="1"/>
    <col min="62" max="62" width="6.28515625" style="64" customWidth="1"/>
    <col min="63" max="63" width="4.140625" style="64" customWidth="1"/>
    <col min="64" max="64" width="5.7109375" style="64" customWidth="1"/>
    <col min="65" max="65" width="4.85546875" style="64" customWidth="1"/>
    <col min="66" max="66" width="7.42578125" style="64" customWidth="1"/>
    <col min="67" max="67" width="6.5703125" style="64" customWidth="1"/>
    <col min="68" max="68" width="5.7109375" style="64" customWidth="1"/>
    <col min="69" max="69" width="7.42578125" style="64" customWidth="1"/>
    <col min="70" max="70" width="7.85546875" style="64" customWidth="1"/>
    <col min="71" max="71" width="6" style="64" customWidth="1"/>
    <col min="72" max="72" width="14.85546875" style="163" customWidth="1"/>
    <col min="73" max="73" width="12" style="66" bestFit="1" customWidth="1"/>
    <col min="74" max="16384" width="11.42578125" style="66"/>
  </cols>
  <sheetData>
    <row r="1" spans="1:79" s="21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/>
      <c r="Q1" s="8" t="s">
        <v>15</v>
      </c>
      <c r="R1" s="9" t="s">
        <v>16</v>
      </c>
      <c r="S1" s="9" t="s">
        <v>17</v>
      </c>
      <c r="T1" s="9" t="s">
        <v>18</v>
      </c>
      <c r="U1" s="10" t="s">
        <v>19</v>
      </c>
      <c r="V1" s="4"/>
      <c r="W1" s="11" t="s">
        <v>20</v>
      </c>
      <c r="X1" s="11" t="s">
        <v>21</v>
      </c>
      <c r="Y1" s="11" t="s">
        <v>22</v>
      </c>
      <c r="Z1" s="11" t="s">
        <v>23</v>
      </c>
      <c r="AA1" s="11" t="s">
        <v>24</v>
      </c>
      <c r="AB1" s="11" t="s">
        <v>25</v>
      </c>
      <c r="AC1" s="11" t="s">
        <v>26</v>
      </c>
      <c r="AD1" s="11" t="s">
        <v>27</v>
      </c>
      <c r="AE1" s="12" t="s">
        <v>28</v>
      </c>
      <c r="AF1" s="13" t="s">
        <v>29</v>
      </c>
      <c r="AG1" s="14" t="s">
        <v>30</v>
      </c>
      <c r="AH1" s="15" t="s">
        <v>31</v>
      </c>
      <c r="AI1" s="16" t="s">
        <v>32</v>
      </c>
      <c r="AJ1" s="11" t="s">
        <v>33</v>
      </c>
      <c r="AK1" s="11" t="s">
        <v>34</v>
      </c>
      <c r="AL1" s="11" t="s">
        <v>35</v>
      </c>
      <c r="AM1" s="11" t="s">
        <v>36</v>
      </c>
      <c r="AN1" s="11" t="s">
        <v>37</v>
      </c>
      <c r="AO1" s="11" t="s">
        <v>38</v>
      </c>
      <c r="AP1" s="17" t="s">
        <v>39</v>
      </c>
      <c r="AQ1" s="18" t="s">
        <v>40</v>
      </c>
      <c r="AR1" s="19" t="s">
        <v>41</v>
      </c>
      <c r="AS1" s="17" t="s">
        <v>42</v>
      </c>
      <c r="AT1" s="20" t="s">
        <v>43</v>
      </c>
      <c r="AU1" s="20" t="s">
        <v>44</v>
      </c>
      <c r="AV1" s="20" t="s">
        <v>45</v>
      </c>
      <c r="AW1" s="20" t="s">
        <v>46</v>
      </c>
      <c r="AX1" s="20" t="s">
        <v>47</v>
      </c>
      <c r="AY1" s="20" t="s">
        <v>48</v>
      </c>
      <c r="AZ1" s="20" t="s">
        <v>49</v>
      </c>
      <c r="BA1" s="20" t="s">
        <v>50</v>
      </c>
      <c r="BB1" s="20" t="s">
        <v>51</v>
      </c>
      <c r="BC1" s="20" t="s">
        <v>52</v>
      </c>
      <c r="BD1" s="20" t="s">
        <v>53</v>
      </c>
      <c r="BE1" s="20" t="s">
        <v>54</v>
      </c>
      <c r="BF1" s="20" t="s">
        <v>55</v>
      </c>
      <c r="BG1" s="20" t="s">
        <v>56</v>
      </c>
      <c r="BH1" s="20" t="s">
        <v>57</v>
      </c>
      <c r="BI1" s="20" t="s">
        <v>58</v>
      </c>
      <c r="BJ1" s="20" t="s">
        <v>59</v>
      </c>
      <c r="BK1" s="20" t="s">
        <v>60</v>
      </c>
      <c r="BL1" s="20" t="s">
        <v>61</v>
      </c>
      <c r="BM1" s="20" t="s">
        <v>62</v>
      </c>
      <c r="BN1" s="20" t="s">
        <v>63</v>
      </c>
      <c r="BO1" s="20" t="s">
        <v>64</v>
      </c>
      <c r="BP1" s="20" t="s">
        <v>65</v>
      </c>
      <c r="BQ1" s="20" t="s">
        <v>66</v>
      </c>
      <c r="BR1" s="20" t="s">
        <v>67</v>
      </c>
      <c r="BS1" s="209" t="s">
        <v>68</v>
      </c>
      <c r="BT1" s="210"/>
      <c r="BU1" s="20" t="s">
        <v>22</v>
      </c>
      <c r="BV1" s="20" t="s">
        <v>23</v>
      </c>
      <c r="BW1" s="20" t="s">
        <v>24</v>
      </c>
      <c r="BX1" s="20" t="s">
        <v>25</v>
      </c>
      <c r="BY1" s="20" t="s">
        <v>26</v>
      </c>
      <c r="BZ1" s="20" t="s">
        <v>27</v>
      </c>
      <c r="CA1" s="20" t="s">
        <v>28</v>
      </c>
    </row>
    <row r="2" spans="1:79" s="22" customFormat="1" x14ac:dyDescent="0.25">
      <c r="B2" s="23" t="s">
        <v>69</v>
      </c>
      <c r="C2" s="23" t="s">
        <v>70</v>
      </c>
      <c r="D2" s="174"/>
      <c r="K2" s="188" t="s">
        <v>71</v>
      </c>
      <c r="L2" s="22">
        <v>25</v>
      </c>
      <c r="M2" s="189"/>
      <c r="N2" s="24"/>
      <c r="O2" s="25">
        <v>1.65</v>
      </c>
      <c r="P2" s="26"/>
      <c r="Q2" s="27"/>
      <c r="U2" s="28"/>
      <c r="AF2" s="29"/>
      <c r="AG2" s="29"/>
      <c r="AH2" s="29"/>
      <c r="AJ2" s="30"/>
      <c r="AK2" s="30"/>
      <c r="AL2" s="30"/>
      <c r="AM2" s="30"/>
      <c r="AN2" s="30"/>
      <c r="AO2" s="30"/>
      <c r="AP2" s="31"/>
      <c r="AQ2" s="32"/>
      <c r="AR2" s="33"/>
      <c r="AS2" s="31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</row>
    <row r="3" spans="1:79" s="22" customFormat="1" ht="15" customHeight="1" x14ac:dyDescent="0.25">
      <c r="D3" s="174"/>
      <c r="K3" s="188" t="s">
        <v>72</v>
      </c>
      <c r="L3" s="22">
        <v>30</v>
      </c>
      <c r="N3" s="33"/>
      <c r="O3" s="25"/>
      <c r="P3" s="26"/>
      <c r="Q3" s="27">
        <v>6</v>
      </c>
      <c r="U3" s="28"/>
      <c r="W3" s="208" t="s">
        <v>73</v>
      </c>
      <c r="X3" s="208"/>
      <c r="Y3" s="208"/>
      <c r="Z3" s="208"/>
      <c r="AA3" s="208"/>
      <c r="AB3" s="208"/>
      <c r="AC3" s="208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35"/>
      <c r="AQ3" s="36"/>
      <c r="AR3" s="37"/>
      <c r="AS3" s="35"/>
      <c r="AT3" s="38"/>
      <c r="AU3" s="38"/>
      <c r="AV3" s="38"/>
      <c r="AW3" s="38"/>
      <c r="AX3" s="38"/>
      <c r="AY3" s="38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</row>
    <row r="4" spans="1:79" s="54" customFormat="1" ht="15" customHeight="1" x14ac:dyDescent="0.25">
      <c r="A4" s="29"/>
      <c r="B4" s="29">
        <v>1</v>
      </c>
      <c r="C4" s="39" t="s">
        <v>74</v>
      </c>
      <c r="D4" s="175">
        <v>2018</v>
      </c>
      <c r="E4" s="29" t="s">
        <v>75</v>
      </c>
      <c r="F4" s="29" t="s">
        <v>76</v>
      </c>
      <c r="G4" s="29" t="s">
        <v>77</v>
      </c>
      <c r="H4" s="29" t="s">
        <v>78</v>
      </c>
      <c r="I4" s="40">
        <v>37.4</v>
      </c>
      <c r="J4" s="40">
        <v>35</v>
      </c>
      <c r="K4" s="40">
        <f>(I4+J4)*0.1</f>
        <v>7.2400000000000011</v>
      </c>
      <c r="L4" s="40">
        <f>SUM(I4:K4)</f>
        <v>79.64</v>
      </c>
      <c r="M4" s="40">
        <f>ROUND(L4,0)</f>
        <v>80</v>
      </c>
      <c r="N4" s="41">
        <v>80</v>
      </c>
      <c r="O4" s="42">
        <f>I4*$O$2*1.22</f>
        <v>75.286199999999994</v>
      </c>
      <c r="P4" s="43">
        <f>N4-M4</f>
        <v>0</v>
      </c>
      <c r="Q4" s="44">
        <f>N4/$Q$3</f>
        <v>13.333333333333334</v>
      </c>
      <c r="R4" s="45">
        <v>3</v>
      </c>
      <c r="S4" s="45">
        <f>4+3</f>
        <v>7</v>
      </c>
      <c r="T4" s="45">
        <f>W4+X4+Y4+Z4+AA4+AB4+AC4+AD4+AE4+AF4+AG4+AH4+AI4+AJ4+AK4+AL4+AM4+AN4+AO4+AP4+AQ4+AR4+AS4+AT4+AU4+AV4+AW4+AX4+AY4+AZ4+BA4+BB4+BC4+BD4+BE4+BF4+BG4+BH4+BI4+BJ4+BK4+BL4+BM4+BQ4+BR4+BS4+BT4</f>
        <v>4</v>
      </c>
      <c r="U4" s="46">
        <f>R4+S4-T4</f>
        <v>6</v>
      </c>
      <c r="V4" s="47"/>
      <c r="W4" s="48"/>
      <c r="X4" s="48"/>
      <c r="Y4" s="48"/>
      <c r="Z4" s="48"/>
      <c r="AA4" s="48">
        <v>1</v>
      </c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39"/>
      <c r="AQ4" s="49"/>
      <c r="AR4" s="50"/>
      <c r="AS4" s="39"/>
      <c r="AT4" s="51"/>
      <c r="AU4" s="52"/>
      <c r="AV4" s="52">
        <v>1</v>
      </c>
      <c r="AW4" s="52"/>
      <c r="AX4" s="52"/>
      <c r="AY4" s="52"/>
      <c r="AZ4" s="52"/>
      <c r="BA4" s="52"/>
      <c r="BB4" s="52"/>
      <c r="BC4" s="52"/>
      <c r="BD4" s="52"/>
      <c r="BE4" s="52"/>
      <c r="BF4" s="53"/>
      <c r="BG4" s="53"/>
      <c r="BH4" s="53"/>
      <c r="BI4" s="53"/>
      <c r="BJ4" s="53">
        <v>1</v>
      </c>
      <c r="BK4" s="53"/>
      <c r="BL4" s="53"/>
      <c r="BM4" s="53"/>
      <c r="BN4" s="53"/>
      <c r="BO4" s="53"/>
      <c r="BP4" s="53"/>
      <c r="BQ4" s="53"/>
      <c r="BR4" s="53"/>
      <c r="BS4" s="53"/>
      <c r="BT4" s="53">
        <v>1</v>
      </c>
      <c r="BU4" s="53"/>
      <c r="BV4" s="53"/>
      <c r="BW4" s="53"/>
      <c r="BX4" s="53"/>
      <c r="BY4" s="53"/>
      <c r="BZ4" s="53"/>
      <c r="CA4" s="53"/>
    </row>
    <row r="5" spans="1:79" s="54" customFormat="1" ht="15" customHeight="1" x14ac:dyDescent="0.25">
      <c r="A5" s="22"/>
      <c r="B5" s="22">
        <v>2</v>
      </c>
      <c r="C5" s="31" t="s">
        <v>74</v>
      </c>
      <c r="D5" s="174">
        <v>2017</v>
      </c>
      <c r="E5" s="22" t="s">
        <v>79</v>
      </c>
      <c r="F5" s="22" t="s">
        <v>80</v>
      </c>
      <c r="G5" s="22" t="s">
        <v>81</v>
      </c>
      <c r="H5" s="29" t="s">
        <v>78</v>
      </c>
      <c r="I5" s="55">
        <v>20.9</v>
      </c>
      <c r="J5" s="55">
        <f>IF(I5&lt;=15,$L$2,$L$3)</f>
        <v>30</v>
      </c>
      <c r="K5" s="55">
        <f t="shared" ref="K5:K87" si="0">(I5+J5)*0.1</f>
        <v>5.09</v>
      </c>
      <c r="L5" s="55">
        <f t="shared" ref="L5:L87" si="1">SUM(I5:K5)</f>
        <v>55.989999999999995</v>
      </c>
      <c r="M5" s="55">
        <f t="shared" ref="M5:M39" si="2">ROUND(L5,0)</f>
        <v>56</v>
      </c>
      <c r="N5" s="56">
        <v>57</v>
      </c>
      <c r="O5" s="57">
        <f t="shared" ref="O5:O37" si="3">I5*$O$2*1.22</f>
        <v>42.071699999999993</v>
      </c>
      <c r="P5" s="58">
        <f t="shared" ref="P5:P87" si="4">N5-M5</f>
        <v>1</v>
      </c>
      <c r="Q5" s="59">
        <f t="shared" ref="Q5:Q37" si="5">N5/$Q$3</f>
        <v>9.5</v>
      </c>
      <c r="R5" s="60">
        <v>3</v>
      </c>
      <c r="S5" s="60">
        <v>6</v>
      </c>
      <c r="T5" s="60">
        <f t="shared" ref="T5:T73" si="6">W5+X5+Y5+Z5+AA5+AB5+AC5+AD5+AE5+AF5+AG5+AH5+AI5+AJ5+AK5+AL5+AM5+AN5+AO5+AP5+AQ5+AR5+AS5+AT5+AU5+AV5+AW5+AX5+AY5+AZ5+BA5+BB5+BC5+BD5+BE5+BF5+BG5+BH5+BI5+BJ5+BK5+BL5+BM5+BQ5+BR5+BS5+BT5</f>
        <v>0</v>
      </c>
      <c r="U5" s="61">
        <f t="shared" ref="U5:U39" si="7">R5+S5-T5</f>
        <v>9</v>
      </c>
      <c r="V5" s="62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1"/>
      <c r="AQ5" s="32"/>
      <c r="AR5" s="33"/>
      <c r="AS5" s="31"/>
      <c r="AT5" s="63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</row>
    <row r="6" spans="1:79" ht="15" customHeight="1" x14ac:dyDescent="0.25">
      <c r="A6" s="22"/>
      <c r="B6" s="22">
        <v>3</v>
      </c>
      <c r="C6" s="31" t="s">
        <v>74</v>
      </c>
      <c r="D6" s="174">
        <v>2020</v>
      </c>
      <c r="E6" s="22" t="s">
        <v>82</v>
      </c>
      <c r="F6" s="22" t="s">
        <v>83</v>
      </c>
      <c r="G6" s="22" t="s">
        <v>81</v>
      </c>
      <c r="H6" s="22" t="s">
        <v>84</v>
      </c>
      <c r="I6" s="55">
        <v>18</v>
      </c>
      <c r="J6" s="55">
        <f>IF(I6&lt;=15,$L$2,$L$3)</f>
        <v>30</v>
      </c>
      <c r="K6" s="55">
        <f t="shared" si="0"/>
        <v>4.8000000000000007</v>
      </c>
      <c r="L6" s="55">
        <f t="shared" si="1"/>
        <v>52.8</v>
      </c>
      <c r="M6" s="55">
        <f t="shared" si="2"/>
        <v>53</v>
      </c>
      <c r="N6" s="56">
        <v>53</v>
      </c>
      <c r="O6" s="57">
        <f t="shared" si="3"/>
        <v>36.234000000000002</v>
      </c>
      <c r="P6" s="58">
        <f t="shared" si="4"/>
        <v>0</v>
      </c>
      <c r="Q6" s="59">
        <f t="shared" si="5"/>
        <v>8.8333333333333339</v>
      </c>
      <c r="R6" s="60">
        <v>4</v>
      </c>
      <c r="S6" s="60">
        <v>6</v>
      </c>
      <c r="T6" s="60">
        <f t="shared" si="6"/>
        <v>1</v>
      </c>
      <c r="U6" s="61">
        <f t="shared" si="7"/>
        <v>9</v>
      </c>
      <c r="V6" s="62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1"/>
      <c r="AQ6" s="32"/>
      <c r="AR6" s="33"/>
      <c r="AS6" s="31"/>
      <c r="AT6" s="63"/>
      <c r="AU6" s="34"/>
      <c r="AV6" s="34"/>
      <c r="AW6" s="34"/>
      <c r="AX6" s="34"/>
      <c r="AY6" s="34"/>
      <c r="AZ6" s="34"/>
      <c r="BA6" s="34"/>
      <c r="BB6" s="34"/>
      <c r="BC6" s="34">
        <v>1</v>
      </c>
      <c r="BD6" s="34"/>
      <c r="BE6" s="34"/>
      <c r="BF6" s="64"/>
      <c r="BT6" s="64"/>
      <c r="BU6" s="64"/>
      <c r="BV6" s="64"/>
      <c r="BW6" s="64"/>
      <c r="BX6" s="64"/>
      <c r="BY6" s="64"/>
      <c r="BZ6" s="64"/>
      <c r="CA6" s="64"/>
    </row>
    <row r="7" spans="1:79" ht="15" customHeight="1" x14ac:dyDescent="0.25">
      <c r="A7" s="22"/>
      <c r="B7" s="22">
        <v>4</v>
      </c>
      <c r="C7" s="31" t="s">
        <v>74</v>
      </c>
      <c r="D7" s="174">
        <v>2017</v>
      </c>
      <c r="E7" s="22" t="s">
        <v>85</v>
      </c>
      <c r="F7" s="22" t="s">
        <v>86</v>
      </c>
      <c r="G7" s="22" t="s">
        <v>77</v>
      </c>
      <c r="H7" s="22" t="s">
        <v>87</v>
      </c>
      <c r="I7" s="55">
        <v>39.9</v>
      </c>
      <c r="J7" s="55">
        <f>IF(I7&lt;=15,$L$2,$L$3)</f>
        <v>30</v>
      </c>
      <c r="K7" s="55">
        <f t="shared" si="0"/>
        <v>6.9900000000000011</v>
      </c>
      <c r="L7" s="55">
        <f t="shared" si="1"/>
        <v>76.89</v>
      </c>
      <c r="M7" s="55">
        <f t="shared" si="2"/>
        <v>77</v>
      </c>
      <c r="N7" s="81">
        <v>77</v>
      </c>
      <c r="O7" s="57">
        <f t="shared" si="3"/>
        <v>80.318699999999993</v>
      </c>
      <c r="P7" s="58">
        <f t="shared" si="4"/>
        <v>0</v>
      </c>
      <c r="Q7" s="59">
        <f t="shared" si="5"/>
        <v>12.833333333333334</v>
      </c>
      <c r="R7" s="60">
        <v>3</v>
      </c>
      <c r="S7" s="60">
        <v>3</v>
      </c>
      <c r="T7" s="60">
        <f t="shared" si="6"/>
        <v>1</v>
      </c>
      <c r="U7" s="61">
        <f t="shared" si="7"/>
        <v>5</v>
      </c>
      <c r="V7" s="62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1"/>
      <c r="AQ7" s="32"/>
      <c r="AR7" s="33"/>
      <c r="AS7" s="31"/>
      <c r="AT7" s="63">
        <v>1</v>
      </c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64"/>
      <c r="BT7" s="64"/>
      <c r="BU7" s="64"/>
      <c r="BV7" s="64"/>
      <c r="BW7" s="64"/>
      <c r="BX7" s="64"/>
      <c r="BY7" s="64"/>
      <c r="BZ7" s="64"/>
      <c r="CA7" s="64"/>
    </row>
    <row r="8" spans="1:79" ht="15" customHeight="1" x14ac:dyDescent="0.25">
      <c r="A8" s="67"/>
      <c r="B8" s="29">
        <v>5</v>
      </c>
      <c r="C8" s="31" t="s">
        <v>74</v>
      </c>
      <c r="D8" s="174">
        <v>2015</v>
      </c>
      <c r="E8" s="22" t="s">
        <v>88</v>
      </c>
      <c r="F8" s="22" t="s">
        <v>86</v>
      </c>
      <c r="G8" s="22" t="s">
        <v>77</v>
      </c>
      <c r="H8" s="22" t="s">
        <v>87</v>
      </c>
      <c r="I8" s="55">
        <v>94.73</v>
      </c>
      <c r="J8" s="55">
        <v>70</v>
      </c>
      <c r="K8" s="55">
        <f>(I8+J8)*0.1</f>
        <v>16.473000000000003</v>
      </c>
      <c r="L8" s="55">
        <f>SUM(I8:K8)</f>
        <v>181.20300000000003</v>
      </c>
      <c r="M8" s="55">
        <f>ROUND(L8,0)</f>
        <v>181</v>
      </c>
      <c r="N8" s="56">
        <v>199</v>
      </c>
      <c r="O8" s="57">
        <f t="shared" si="3"/>
        <v>190.69148999999999</v>
      </c>
      <c r="P8" s="58">
        <f>N8-M8</f>
        <v>18</v>
      </c>
      <c r="Q8" s="59">
        <f t="shared" si="5"/>
        <v>33.166666666666664</v>
      </c>
      <c r="R8" s="60">
        <v>2</v>
      </c>
      <c r="S8" s="60"/>
      <c r="T8" s="60">
        <f>W8+X8+Y8+Z8+AA8+AB8+AC8+AD8+AE8+AF8+AG8+AH8+AI8+AJ8+AK8+AL8+AM8+AN8+AO8+AP8+AQ8+AR8+AS8+AT8+AU8+AV8+AW8+AX8+AY8+AZ8+BA8+BB8+BC8+BD8+BE8+BF8+BG8+BH8+BI8+BJ8+BK8+BL8+BM8+BQ8+BR8+BS8+BT8</f>
        <v>0</v>
      </c>
      <c r="U8" s="61">
        <f>R8+S8-T8</f>
        <v>2</v>
      </c>
      <c r="V8" s="62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1"/>
      <c r="AQ8" s="32"/>
      <c r="AR8" s="33"/>
      <c r="AS8" s="31"/>
      <c r="AT8" s="63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64"/>
      <c r="BT8" s="64"/>
      <c r="BU8" s="64"/>
      <c r="BV8" s="64"/>
      <c r="BW8" s="64"/>
      <c r="BX8" s="64"/>
      <c r="BY8" s="64"/>
      <c r="BZ8" s="64"/>
      <c r="CA8" s="64"/>
    </row>
    <row r="9" spans="1:79" ht="15" customHeight="1" x14ac:dyDescent="0.25">
      <c r="A9" s="22"/>
      <c r="B9" s="22">
        <v>6</v>
      </c>
      <c r="C9" s="31" t="s">
        <v>74</v>
      </c>
      <c r="D9" s="176" t="s">
        <v>89</v>
      </c>
      <c r="E9" s="22" t="s">
        <v>90</v>
      </c>
      <c r="F9" s="22" t="s">
        <v>91</v>
      </c>
      <c r="G9" s="22" t="s">
        <v>92</v>
      </c>
      <c r="H9" s="22" t="s">
        <v>84</v>
      </c>
      <c r="I9" s="55">
        <v>19.850000000000001</v>
      </c>
      <c r="J9" s="55">
        <f>IF(I9&lt;=15,$L$2,$L$3)</f>
        <v>30</v>
      </c>
      <c r="K9" s="55">
        <f t="shared" si="0"/>
        <v>4.9850000000000003</v>
      </c>
      <c r="L9" s="55">
        <f t="shared" si="1"/>
        <v>54.835000000000001</v>
      </c>
      <c r="M9" s="55">
        <f t="shared" si="2"/>
        <v>55</v>
      </c>
      <c r="N9" s="56">
        <v>55</v>
      </c>
      <c r="O9" s="57">
        <f t="shared" si="3"/>
        <v>39.958049999999993</v>
      </c>
      <c r="P9" s="58">
        <f t="shared" si="4"/>
        <v>0</v>
      </c>
      <c r="Q9" s="59">
        <f t="shared" si="5"/>
        <v>9.1666666666666661</v>
      </c>
      <c r="R9" s="60">
        <v>1</v>
      </c>
      <c r="S9" s="60">
        <v>7</v>
      </c>
      <c r="T9" s="60">
        <f t="shared" si="6"/>
        <v>2</v>
      </c>
      <c r="U9" s="61">
        <f t="shared" si="7"/>
        <v>6</v>
      </c>
      <c r="V9" s="62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1"/>
      <c r="AQ9" s="32"/>
      <c r="AR9" s="33"/>
      <c r="AS9" s="31"/>
      <c r="AT9" s="63">
        <v>1</v>
      </c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64"/>
      <c r="BQ9" s="64">
        <v>1</v>
      </c>
      <c r="BT9" s="64"/>
      <c r="BU9" s="64"/>
      <c r="BV9" s="64"/>
      <c r="BW9" s="64"/>
      <c r="BX9" s="64"/>
      <c r="BY9" s="64"/>
      <c r="BZ9" s="64"/>
      <c r="CA9" s="64"/>
    </row>
    <row r="10" spans="1:79" ht="15" customHeight="1" x14ac:dyDescent="0.25">
      <c r="A10" s="22"/>
      <c r="B10" s="22">
        <v>7</v>
      </c>
      <c r="C10" s="31" t="s">
        <v>74</v>
      </c>
      <c r="D10" s="174">
        <v>2019</v>
      </c>
      <c r="E10" s="22" t="s">
        <v>93</v>
      </c>
      <c r="F10" s="22" t="s">
        <v>94</v>
      </c>
      <c r="G10" s="22" t="s">
        <v>95</v>
      </c>
      <c r="H10" s="22" t="s">
        <v>84</v>
      </c>
      <c r="I10" s="55">
        <v>10.199999999999999</v>
      </c>
      <c r="J10" s="55">
        <f>IF(I10&lt;=15,$L$2,$L$3)</f>
        <v>25</v>
      </c>
      <c r="K10" s="55">
        <f t="shared" si="0"/>
        <v>3.5200000000000005</v>
      </c>
      <c r="L10" s="55">
        <f t="shared" si="1"/>
        <v>38.720000000000006</v>
      </c>
      <c r="M10" s="55">
        <f t="shared" si="2"/>
        <v>39</v>
      </c>
      <c r="N10" s="56">
        <v>39</v>
      </c>
      <c r="O10" s="57">
        <f t="shared" si="3"/>
        <v>20.532599999999999</v>
      </c>
      <c r="P10" s="58">
        <f t="shared" si="4"/>
        <v>0</v>
      </c>
      <c r="Q10" s="59">
        <f t="shared" si="5"/>
        <v>6.5</v>
      </c>
      <c r="R10" s="60">
        <v>6</v>
      </c>
      <c r="S10" s="60">
        <f>6+12</f>
        <v>18</v>
      </c>
      <c r="T10" s="60">
        <f t="shared" si="6"/>
        <v>6</v>
      </c>
      <c r="U10" s="61">
        <f t="shared" si="7"/>
        <v>18</v>
      </c>
      <c r="V10" s="62"/>
      <c r="W10" s="30"/>
      <c r="X10" s="30"/>
      <c r="Y10" s="30"/>
      <c r="Z10" s="30"/>
      <c r="AA10" s="30"/>
      <c r="AB10" s="30"/>
      <c r="AC10" s="30"/>
      <c r="AD10" s="30"/>
      <c r="AE10" s="30">
        <v>1</v>
      </c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1"/>
      <c r="AQ10" s="32"/>
      <c r="AR10" s="33"/>
      <c r="AS10" s="31"/>
      <c r="AT10" s="63"/>
      <c r="AU10" s="34"/>
      <c r="AV10" s="34"/>
      <c r="AW10" s="34"/>
      <c r="AX10" s="34"/>
      <c r="AY10" s="34"/>
      <c r="AZ10" s="34"/>
      <c r="BA10" s="34"/>
      <c r="BB10" s="34">
        <v>1</v>
      </c>
      <c r="BC10" s="34"/>
      <c r="BD10" s="34"/>
      <c r="BE10" s="34">
        <v>1</v>
      </c>
      <c r="BF10" s="64">
        <v>1</v>
      </c>
      <c r="BG10" s="64">
        <v>1</v>
      </c>
      <c r="BH10" s="64">
        <v>1</v>
      </c>
      <c r="BN10" s="64">
        <v>1</v>
      </c>
      <c r="BO10" s="64">
        <v>1</v>
      </c>
      <c r="BT10" s="64"/>
      <c r="BU10" s="64"/>
      <c r="BV10" s="64"/>
      <c r="BW10" s="64"/>
      <c r="BX10" s="64"/>
      <c r="BY10" s="64"/>
      <c r="BZ10" s="64"/>
      <c r="CA10" s="64"/>
    </row>
    <row r="11" spans="1:79" ht="15" customHeight="1" x14ac:dyDescent="0.25">
      <c r="A11" s="67"/>
      <c r="B11" s="22">
        <v>8</v>
      </c>
      <c r="C11" s="31" t="s">
        <v>74</v>
      </c>
      <c r="D11" s="174">
        <v>2020</v>
      </c>
      <c r="E11" s="22" t="s">
        <v>96</v>
      </c>
      <c r="F11" s="22" t="s">
        <v>97</v>
      </c>
      <c r="G11" s="22" t="s">
        <v>98</v>
      </c>
      <c r="H11" s="22" t="s">
        <v>78</v>
      </c>
      <c r="I11" s="55">
        <v>24.9</v>
      </c>
      <c r="J11" s="55">
        <f>IF(I11&lt;=15,$L$2,$L$3)</f>
        <v>30</v>
      </c>
      <c r="K11" s="55">
        <f t="shared" si="0"/>
        <v>5.49</v>
      </c>
      <c r="L11" s="55">
        <f t="shared" si="1"/>
        <v>60.39</v>
      </c>
      <c r="M11" s="55">
        <f t="shared" si="2"/>
        <v>60</v>
      </c>
      <c r="N11" s="56">
        <v>66</v>
      </c>
      <c r="O11" s="57">
        <f t="shared" si="3"/>
        <v>50.123699999999992</v>
      </c>
      <c r="P11" s="58">
        <f t="shared" si="4"/>
        <v>6</v>
      </c>
      <c r="Q11" s="59">
        <f t="shared" si="5"/>
        <v>11</v>
      </c>
      <c r="R11" s="60">
        <v>4</v>
      </c>
      <c r="S11" s="60">
        <v>3</v>
      </c>
      <c r="T11" s="60">
        <f t="shared" si="6"/>
        <v>3</v>
      </c>
      <c r="U11" s="61">
        <f t="shared" si="7"/>
        <v>4</v>
      </c>
      <c r="V11" s="62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1"/>
      <c r="AQ11" s="32"/>
      <c r="AR11" s="33"/>
      <c r="AS11" s="31"/>
      <c r="AT11" s="63"/>
      <c r="AU11" s="34"/>
      <c r="AV11" s="34">
        <v>1</v>
      </c>
      <c r="AW11" s="34"/>
      <c r="AX11" s="34"/>
      <c r="AY11" s="34"/>
      <c r="AZ11" s="34">
        <v>1</v>
      </c>
      <c r="BA11" s="34"/>
      <c r="BB11" s="34"/>
      <c r="BC11" s="34"/>
      <c r="BD11" s="34"/>
      <c r="BE11" s="34"/>
      <c r="BF11" s="64"/>
      <c r="BT11" s="64">
        <v>1</v>
      </c>
      <c r="BU11" s="64"/>
      <c r="BV11" s="64"/>
      <c r="BW11" s="64"/>
      <c r="BX11" s="64"/>
      <c r="BY11" s="64"/>
      <c r="BZ11" s="64"/>
      <c r="CA11" s="64"/>
    </row>
    <row r="12" spans="1:79" ht="15" customHeight="1" thickBot="1" x14ac:dyDescent="0.3">
      <c r="A12" s="22"/>
      <c r="B12" s="29">
        <v>9</v>
      </c>
      <c r="C12" s="31" t="s">
        <v>74</v>
      </c>
      <c r="D12" s="174">
        <v>0</v>
      </c>
      <c r="E12" s="68" t="s">
        <v>99</v>
      </c>
      <c r="F12" s="22" t="s">
        <v>100</v>
      </c>
      <c r="G12" s="22" t="s">
        <v>101</v>
      </c>
      <c r="H12" s="22" t="s">
        <v>78</v>
      </c>
      <c r="I12" s="55">
        <v>15.9</v>
      </c>
      <c r="J12" s="55">
        <f>IF(I12&lt;=15,$L$2,$L$3)</f>
        <v>30</v>
      </c>
      <c r="K12" s="55">
        <f t="shared" si="0"/>
        <v>4.59</v>
      </c>
      <c r="L12" s="55">
        <f t="shared" si="1"/>
        <v>50.489999999999995</v>
      </c>
      <c r="M12" s="55">
        <f t="shared" si="2"/>
        <v>50</v>
      </c>
      <c r="N12" s="56">
        <v>49</v>
      </c>
      <c r="O12" s="57">
        <f t="shared" si="3"/>
        <v>32.006700000000002</v>
      </c>
      <c r="P12" s="58">
        <f t="shared" si="4"/>
        <v>-1</v>
      </c>
      <c r="Q12" s="59">
        <f t="shared" si="5"/>
        <v>8.1666666666666661</v>
      </c>
      <c r="R12" s="60">
        <v>2</v>
      </c>
      <c r="S12" s="60"/>
      <c r="T12" s="60">
        <f t="shared" si="6"/>
        <v>0</v>
      </c>
      <c r="U12" s="61">
        <f t="shared" si="7"/>
        <v>2</v>
      </c>
      <c r="V12" s="69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1"/>
      <c r="AQ12" s="32"/>
      <c r="AR12" s="33"/>
      <c r="AS12" s="31"/>
      <c r="AT12" s="63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64"/>
      <c r="BT12" s="64"/>
      <c r="BU12" s="64"/>
      <c r="BV12" s="64"/>
      <c r="BW12" s="64"/>
      <c r="BX12" s="64"/>
      <c r="BY12" s="64"/>
      <c r="BZ12" s="64"/>
      <c r="CA12" s="64"/>
    </row>
    <row r="13" spans="1:79" ht="15" customHeight="1" thickBot="1" x14ac:dyDescent="0.3">
      <c r="A13" s="22"/>
      <c r="B13" s="22">
        <v>10</v>
      </c>
      <c r="C13" s="70" t="s">
        <v>102</v>
      </c>
      <c r="D13" s="174">
        <v>2021</v>
      </c>
      <c r="E13" s="177" t="s">
        <v>103</v>
      </c>
      <c r="F13" s="178" t="s">
        <v>104</v>
      </c>
      <c r="G13" s="22" t="s">
        <v>105</v>
      </c>
      <c r="H13" s="22" t="s">
        <v>84</v>
      </c>
      <c r="I13" s="55">
        <v>5.5</v>
      </c>
      <c r="J13" s="55">
        <v>15</v>
      </c>
      <c r="K13" s="55">
        <f t="shared" si="0"/>
        <v>2.0500000000000003</v>
      </c>
      <c r="L13" s="55">
        <f t="shared" si="1"/>
        <v>22.55</v>
      </c>
      <c r="M13" s="55">
        <f t="shared" si="2"/>
        <v>23</v>
      </c>
      <c r="N13" s="56">
        <v>25</v>
      </c>
      <c r="O13" s="57">
        <f t="shared" si="3"/>
        <v>11.071499999999999</v>
      </c>
      <c r="P13" s="58">
        <f t="shared" si="4"/>
        <v>2</v>
      </c>
      <c r="Q13" s="59">
        <f t="shared" si="5"/>
        <v>4.166666666666667</v>
      </c>
      <c r="R13" s="60">
        <v>390</v>
      </c>
      <c r="S13" s="60">
        <f>480+576</f>
        <v>1056</v>
      </c>
      <c r="T13" s="60">
        <f t="shared" si="6"/>
        <v>870</v>
      </c>
      <c r="U13" s="61">
        <f>R13+S13-T13</f>
        <v>576</v>
      </c>
      <c r="V13" s="62"/>
      <c r="W13" s="30">
        <v>310</v>
      </c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1"/>
      <c r="AQ13" s="32"/>
      <c r="AR13" s="33"/>
      <c r="AS13" s="31"/>
      <c r="AT13" s="63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64">
        <v>560</v>
      </c>
      <c r="BT13" s="64"/>
      <c r="BU13" s="64"/>
      <c r="BV13" s="64"/>
      <c r="BW13" s="64"/>
      <c r="BX13" s="64"/>
      <c r="BY13" s="64"/>
      <c r="BZ13" s="64"/>
      <c r="CA13" s="64"/>
    </row>
    <row r="14" spans="1:79" ht="15" customHeight="1" thickBot="1" x14ac:dyDescent="0.3">
      <c r="A14" s="22"/>
      <c r="B14" s="22">
        <v>11</v>
      </c>
      <c r="C14" s="70" t="s">
        <v>102</v>
      </c>
      <c r="D14" s="174"/>
      <c r="E14" s="177" t="s">
        <v>106</v>
      </c>
      <c r="F14" s="178" t="s">
        <v>107</v>
      </c>
      <c r="G14" s="22" t="s">
        <v>105</v>
      </c>
      <c r="H14" s="22" t="s">
        <v>108</v>
      </c>
      <c r="I14" s="55">
        <v>7.86</v>
      </c>
      <c r="J14" s="55">
        <v>20</v>
      </c>
      <c r="K14" s="55">
        <f t="shared" ref="K14" si="8">(I14+J14)*0.1</f>
        <v>2.786</v>
      </c>
      <c r="L14" s="55">
        <f t="shared" ref="L14" si="9">SUM(I14:K14)</f>
        <v>30.646000000000001</v>
      </c>
      <c r="M14" s="55">
        <f t="shared" ref="M14" si="10">ROUND(L14,0)</f>
        <v>31</v>
      </c>
      <c r="N14" s="56">
        <v>29</v>
      </c>
      <c r="O14" s="57">
        <f t="shared" ref="O14" si="11">I14*$O$2*1.22</f>
        <v>15.822179999999999</v>
      </c>
      <c r="P14" s="58">
        <f t="shared" ref="P14" si="12">N14-M14</f>
        <v>-2</v>
      </c>
      <c r="Q14" s="59">
        <f t="shared" ref="Q14" si="13">N14/$Q$3</f>
        <v>4.833333333333333</v>
      </c>
      <c r="R14" s="60"/>
      <c r="S14" s="60">
        <f>28+48</f>
        <v>76</v>
      </c>
      <c r="T14" s="60">
        <f t="shared" ref="T14" si="14">W14+X14+Y14+Z14+AA14+AB14+AC14+AD14+AE14+AF14+AG14+AH14+AI14+AJ14+AK14+AL14+AM14+AN14+AO14+AP14+AQ14+AR14+AS14+AT14+AU14+AV14+AW14+AX14+AY14+AZ14+BA14+BB14+BC14+BD14+BE14+BF14+BG14+BH14+BI14+BJ14+BK14+BL14+BM14+BQ14+BR14+BS14+BT14</f>
        <v>0</v>
      </c>
      <c r="U14" s="61">
        <f>R14+S14-T14</f>
        <v>76</v>
      </c>
      <c r="V14" s="62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1"/>
      <c r="AQ14" s="32"/>
      <c r="AR14" s="33"/>
      <c r="AS14" s="31"/>
      <c r="AT14" s="63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64"/>
      <c r="BT14" s="64"/>
      <c r="BU14" s="64"/>
      <c r="BV14" s="64"/>
      <c r="BW14" s="64"/>
      <c r="BX14" s="64"/>
      <c r="BY14" s="64"/>
      <c r="BZ14" s="64"/>
      <c r="CA14" s="64"/>
    </row>
    <row r="15" spans="1:79" ht="15" customHeight="1" x14ac:dyDescent="0.25">
      <c r="A15" s="22"/>
      <c r="B15" s="22">
        <v>11</v>
      </c>
      <c r="C15" s="70" t="s">
        <v>102</v>
      </c>
      <c r="D15" s="174">
        <v>2017</v>
      </c>
      <c r="E15" s="29" t="s">
        <v>109</v>
      </c>
      <c r="F15" s="22" t="s">
        <v>86</v>
      </c>
      <c r="G15" s="22" t="s">
        <v>110</v>
      </c>
      <c r="H15" s="22" t="s">
        <v>87</v>
      </c>
      <c r="I15" s="55">
        <v>34.5</v>
      </c>
      <c r="J15" s="55">
        <f t="shared" ref="J15:J22" si="15">IF(I15&lt;=15,$L$2,$L$3)</f>
        <v>30</v>
      </c>
      <c r="K15" s="55">
        <f t="shared" si="0"/>
        <v>6.45</v>
      </c>
      <c r="L15" s="55">
        <f t="shared" si="1"/>
        <v>70.95</v>
      </c>
      <c r="M15" s="55">
        <f t="shared" si="2"/>
        <v>71</v>
      </c>
      <c r="N15" s="56">
        <v>75</v>
      </c>
      <c r="O15" s="57">
        <f t="shared" si="3"/>
        <v>69.448499999999996</v>
      </c>
      <c r="P15" s="58">
        <f t="shared" si="4"/>
        <v>4</v>
      </c>
      <c r="Q15" s="59">
        <f t="shared" si="5"/>
        <v>12.5</v>
      </c>
      <c r="R15" s="60">
        <v>4</v>
      </c>
      <c r="S15" s="60">
        <v>6</v>
      </c>
      <c r="T15" s="60">
        <f t="shared" si="6"/>
        <v>4</v>
      </c>
      <c r="U15" s="61">
        <f>R15+S15-T15</f>
        <v>6</v>
      </c>
      <c r="V15" s="62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1"/>
      <c r="AQ15" s="32"/>
      <c r="AR15" s="33"/>
      <c r="AS15" s="31"/>
      <c r="AT15" s="63"/>
      <c r="AU15" s="34"/>
      <c r="AV15" s="34"/>
      <c r="AW15" s="34"/>
      <c r="AX15" s="34"/>
      <c r="AY15" s="34"/>
      <c r="AZ15" s="34">
        <v>1</v>
      </c>
      <c r="BA15" s="34"/>
      <c r="BB15" s="34"/>
      <c r="BC15" s="34"/>
      <c r="BD15" s="34"/>
      <c r="BE15" s="34"/>
      <c r="BF15" s="64"/>
      <c r="BL15" s="64">
        <v>2</v>
      </c>
      <c r="BT15" s="64">
        <v>1</v>
      </c>
      <c r="BU15" s="64">
        <v>1</v>
      </c>
      <c r="BV15" s="64"/>
      <c r="BW15" s="64"/>
      <c r="BX15" s="64"/>
      <c r="BY15" s="64"/>
      <c r="BZ15" s="64"/>
      <c r="CA15" s="64"/>
    </row>
    <row r="16" spans="1:79" s="54" customFormat="1" ht="15" customHeight="1" thickBot="1" x14ac:dyDescent="0.3">
      <c r="A16" s="22"/>
      <c r="B16" s="22">
        <v>12</v>
      </c>
      <c r="C16" s="70" t="s">
        <v>102</v>
      </c>
      <c r="D16" s="174"/>
      <c r="E16" s="68" t="s">
        <v>111</v>
      </c>
      <c r="F16" s="22" t="s">
        <v>112</v>
      </c>
      <c r="G16" s="22" t="s">
        <v>110</v>
      </c>
      <c r="H16" s="22" t="s">
        <v>84</v>
      </c>
      <c r="I16" s="55">
        <v>20</v>
      </c>
      <c r="J16" s="55">
        <f t="shared" si="15"/>
        <v>30</v>
      </c>
      <c r="K16" s="55">
        <f t="shared" si="0"/>
        <v>5</v>
      </c>
      <c r="L16" s="55">
        <f t="shared" si="1"/>
        <v>55</v>
      </c>
      <c r="M16" s="55">
        <f t="shared" si="2"/>
        <v>55</v>
      </c>
      <c r="N16" s="56">
        <v>53</v>
      </c>
      <c r="O16" s="57">
        <f t="shared" si="3"/>
        <v>40.26</v>
      </c>
      <c r="P16" s="58">
        <f t="shared" si="4"/>
        <v>-2</v>
      </c>
      <c r="Q16" s="59">
        <f t="shared" si="5"/>
        <v>8.8333333333333339</v>
      </c>
      <c r="R16" s="60">
        <v>10</v>
      </c>
      <c r="S16" s="60"/>
      <c r="T16" s="60">
        <f t="shared" si="6"/>
        <v>7</v>
      </c>
      <c r="U16" s="61">
        <f t="shared" si="7"/>
        <v>3</v>
      </c>
      <c r="V16" s="62"/>
      <c r="W16" s="30"/>
      <c r="X16" s="30">
        <v>2</v>
      </c>
      <c r="Y16" s="30"/>
      <c r="Z16" s="30"/>
      <c r="AA16" s="30"/>
      <c r="AB16" s="30"/>
      <c r="AC16" s="30"/>
      <c r="AD16" s="30">
        <v>2</v>
      </c>
      <c r="AE16" s="30">
        <v>1</v>
      </c>
      <c r="AF16" s="30">
        <v>2</v>
      </c>
      <c r="AG16" s="30"/>
      <c r="AH16" s="30"/>
      <c r="AI16" s="30"/>
      <c r="AJ16" s="30"/>
      <c r="AK16" s="30"/>
      <c r="AL16" s="30"/>
      <c r="AM16" s="30"/>
      <c r="AN16" s="30"/>
      <c r="AO16" s="30"/>
      <c r="AP16" s="31"/>
      <c r="AQ16" s="32"/>
      <c r="AR16" s="33"/>
      <c r="AS16" s="31"/>
      <c r="AT16" s="63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</row>
    <row r="17" spans="1:79" s="54" customFormat="1" ht="15" customHeight="1" thickBot="1" x14ac:dyDescent="0.3">
      <c r="A17" s="22"/>
      <c r="B17" s="29">
        <v>13</v>
      </c>
      <c r="C17" s="70" t="s">
        <v>102</v>
      </c>
      <c r="D17" s="174"/>
      <c r="E17" s="177" t="s">
        <v>113</v>
      </c>
      <c r="F17" s="178" t="s">
        <v>112</v>
      </c>
      <c r="G17" s="22" t="s">
        <v>110</v>
      </c>
      <c r="H17" s="22" t="s">
        <v>78</v>
      </c>
      <c r="I17" s="55">
        <v>20</v>
      </c>
      <c r="J17" s="55">
        <f t="shared" si="15"/>
        <v>30</v>
      </c>
      <c r="K17" s="55">
        <f t="shared" si="0"/>
        <v>5</v>
      </c>
      <c r="L17" s="55">
        <f t="shared" si="1"/>
        <v>55</v>
      </c>
      <c r="M17" s="55">
        <f t="shared" si="2"/>
        <v>55</v>
      </c>
      <c r="N17" s="56">
        <v>55</v>
      </c>
      <c r="O17" s="57">
        <f t="shared" si="3"/>
        <v>40.26</v>
      </c>
      <c r="P17" s="58">
        <f t="shared" si="4"/>
        <v>0</v>
      </c>
      <c r="Q17" s="59">
        <f t="shared" si="5"/>
        <v>9.1666666666666661</v>
      </c>
      <c r="R17" s="60">
        <v>8</v>
      </c>
      <c r="S17" s="60">
        <f>6+6+12+6+6+12+12+6+6</f>
        <v>72</v>
      </c>
      <c r="T17" s="60">
        <f t="shared" si="6"/>
        <v>58</v>
      </c>
      <c r="U17" s="61">
        <f t="shared" si="7"/>
        <v>22</v>
      </c>
      <c r="V17" s="62"/>
      <c r="W17" s="30">
        <v>2</v>
      </c>
      <c r="X17" s="30">
        <v>1</v>
      </c>
      <c r="Y17" s="30"/>
      <c r="Z17" s="30">
        <v>1</v>
      </c>
      <c r="AA17" s="30"/>
      <c r="AB17" s="30"/>
      <c r="AC17" s="30">
        <v>1</v>
      </c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1">
        <v>3</v>
      </c>
      <c r="AQ17" s="32"/>
      <c r="AR17" s="33">
        <v>1</v>
      </c>
      <c r="AS17" s="31">
        <v>2</v>
      </c>
      <c r="AT17" s="63">
        <v>2</v>
      </c>
      <c r="AU17" s="34">
        <v>2</v>
      </c>
      <c r="AV17" s="34">
        <v>5</v>
      </c>
      <c r="AW17" s="34"/>
      <c r="AX17" s="34"/>
      <c r="AY17" s="34">
        <v>2</v>
      </c>
      <c r="AZ17" s="34">
        <v>3</v>
      </c>
      <c r="BA17" s="34">
        <v>9</v>
      </c>
      <c r="BB17" s="34"/>
      <c r="BC17" s="34">
        <v>4</v>
      </c>
      <c r="BD17" s="34"/>
      <c r="BE17" s="34">
        <v>3</v>
      </c>
      <c r="BF17" s="64">
        <v>5</v>
      </c>
      <c r="BG17" s="64">
        <v>3</v>
      </c>
      <c r="BH17" s="64">
        <v>2</v>
      </c>
      <c r="BI17" s="64"/>
      <c r="BJ17" s="64">
        <v>2</v>
      </c>
      <c r="BK17" s="64">
        <v>1</v>
      </c>
      <c r="BL17" s="64"/>
      <c r="BM17" s="64">
        <v>2</v>
      </c>
      <c r="BN17" s="64">
        <v>3</v>
      </c>
      <c r="BO17" s="64">
        <v>2</v>
      </c>
      <c r="BP17" s="64"/>
      <c r="BQ17" s="64"/>
      <c r="BR17" s="64">
        <v>2</v>
      </c>
      <c r="BS17" s="64"/>
      <c r="BT17" s="64"/>
      <c r="BU17" s="64"/>
      <c r="BV17" s="64"/>
      <c r="BW17" s="64"/>
      <c r="BX17" s="64"/>
      <c r="BY17" s="64"/>
      <c r="BZ17" s="64"/>
      <c r="CA17" s="64"/>
    </row>
    <row r="18" spans="1:79" s="54" customFormat="1" ht="15" customHeight="1" x14ac:dyDescent="0.25">
      <c r="A18" s="22"/>
      <c r="B18" s="22">
        <v>14</v>
      </c>
      <c r="C18" s="70" t="s">
        <v>102</v>
      </c>
      <c r="D18" s="174"/>
      <c r="E18" s="29" t="s">
        <v>114</v>
      </c>
      <c r="F18" s="22" t="s">
        <v>112</v>
      </c>
      <c r="G18" s="22" t="s">
        <v>110</v>
      </c>
      <c r="H18" s="22" t="s">
        <v>78</v>
      </c>
      <c r="I18" s="55">
        <v>8.6</v>
      </c>
      <c r="J18" s="55">
        <v>20</v>
      </c>
      <c r="K18" s="55">
        <f t="shared" si="0"/>
        <v>2.8600000000000003</v>
      </c>
      <c r="L18" s="55">
        <f t="shared" si="1"/>
        <v>31.46</v>
      </c>
      <c r="M18" s="55">
        <f t="shared" si="2"/>
        <v>31</v>
      </c>
      <c r="N18" s="56">
        <v>29</v>
      </c>
      <c r="O18" s="57">
        <f t="shared" si="3"/>
        <v>17.311799999999998</v>
      </c>
      <c r="P18" s="58">
        <f t="shared" si="4"/>
        <v>-2</v>
      </c>
      <c r="Q18" s="59">
        <f t="shared" si="5"/>
        <v>4.833333333333333</v>
      </c>
      <c r="R18" s="60">
        <v>4</v>
      </c>
      <c r="S18" s="60">
        <v>3</v>
      </c>
      <c r="T18" s="60">
        <f t="shared" si="6"/>
        <v>2</v>
      </c>
      <c r="U18" s="61">
        <f t="shared" si="7"/>
        <v>5</v>
      </c>
      <c r="V18" s="62"/>
      <c r="W18" s="30">
        <v>2</v>
      </c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1"/>
      <c r="AQ18" s="32"/>
      <c r="AR18" s="33"/>
      <c r="AS18" s="31"/>
      <c r="AT18" s="63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</row>
    <row r="19" spans="1:79" s="54" customFormat="1" ht="15" customHeight="1" x14ac:dyDescent="0.25">
      <c r="A19" s="22"/>
      <c r="B19" s="22">
        <v>14.4</v>
      </c>
      <c r="C19" s="70" t="s">
        <v>102</v>
      </c>
      <c r="D19" s="174">
        <v>2017</v>
      </c>
      <c r="E19" s="29" t="s">
        <v>115</v>
      </c>
      <c r="F19" s="22" t="s">
        <v>116</v>
      </c>
      <c r="G19" s="22" t="s">
        <v>110</v>
      </c>
      <c r="H19" s="22" t="s">
        <v>78</v>
      </c>
      <c r="I19" s="55">
        <v>24</v>
      </c>
      <c r="J19" s="55">
        <v>30</v>
      </c>
      <c r="K19" s="55">
        <f t="shared" ref="K19" si="16">(I19+J19)*0.1</f>
        <v>5.4</v>
      </c>
      <c r="L19" s="55">
        <f t="shared" ref="L19" si="17">SUM(I19:K19)</f>
        <v>59.4</v>
      </c>
      <c r="M19" s="55">
        <f t="shared" ref="M19" si="18">ROUND(L19,0)</f>
        <v>59</v>
      </c>
      <c r="N19" s="56">
        <v>59</v>
      </c>
      <c r="O19" s="57">
        <f t="shared" ref="O19" si="19">I19*$O$2*1.22</f>
        <v>48.311999999999991</v>
      </c>
      <c r="P19" s="58">
        <f t="shared" ref="P19" si="20">N19-M19</f>
        <v>0</v>
      </c>
      <c r="Q19" s="59">
        <f t="shared" ref="Q19" si="21">N19/$Q$3</f>
        <v>9.8333333333333339</v>
      </c>
      <c r="R19" s="60"/>
      <c r="S19" s="60">
        <v>9</v>
      </c>
      <c r="T19" s="60">
        <f t="shared" ref="T19" si="22">W19+X19+Y19+Z19+AA19+AB19+AC19+AD19+AE19+AF19+AG19+AH19+AI19+AJ19+AK19+AL19+AM19+AN19+AO19+AP19+AQ19+AR19+AS19+AT19+AU19+AV19+AW19+AX19+AY19+AZ19+BA19+BB19+BC19+BD19+BE19+BF19+BG19+BH19+BI19+BJ19+BK19+BL19+BM19+BQ19+BR19+BS19+BT19</f>
        <v>0</v>
      </c>
      <c r="U19" s="61">
        <f t="shared" ref="U19" si="23">R19+S19-T19</f>
        <v>9</v>
      </c>
      <c r="V19" s="62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1"/>
      <c r="AQ19" s="32"/>
      <c r="AR19" s="33"/>
      <c r="AS19" s="31"/>
      <c r="AT19" s="63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</row>
    <row r="20" spans="1:79" s="54" customFormat="1" ht="15" customHeight="1" x14ac:dyDescent="0.25">
      <c r="A20" s="22"/>
      <c r="B20" s="22">
        <v>15</v>
      </c>
      <c r="C20" s="70" t="s">
        <v>102</v>
      </c>
      <c r="D20" s="174"/>
      <c r="E20" s="22" t="s">
        <v>117</v>
      </c>
      <c r="F20" s="22" t="s">
        <v>118</v>
      </c>
      <c r="G20" s="22" t="s">
        <v>110</v>
      </c>
      <c r="H20" s="22" t="s">
        <v>78</v>
      </c>
      <c r="I20" s="55">
        <v>12.17</v>
      </c>
      <c r="J20" s="55">
        <f t="shared" si="15"/>
        <v>25</v>
      </c>
      <c r="K20" s="55">
        <f>(I20+J20)*0.1</f>
        <v>3.7170000000000005</v>
      </c>
      <c r="L20" s="55">
        <f>SUM(I20:K20)</f>
        <v>40.887</v>
      </c>
      <c r="M20" s="55">
        <f>ROUND(L20,0)</f>
        <v>41</v>
      </c>
      <c r="N20" s="56">
        <v>40</v>
      </c>
      <c r="O20" s="57">
        <f t="shared" si="3"/>
        <v>24.498209999999997</v>
      </c>
      <c r="P20" s="58">
        <f>N20-M20</f>
        <v>-1</v>
      </c>
      <c r="Q20" s="59">
        <f t="shared" si="5"/>
        <v>6.666666666666667</v>
      </c>
      <c r="R20" s="60"/>
      <c r="S20" s="60">
        <v>3</v>
      </c>
      <c r="T20" s="60">
        <f>W20+X20+Y20+Z20+AA20+AB20+AC20+AD20+AE20+AF20+AG20+AH20+AI20+AJ20+AK20+AL20+AM20+AN20+AO20+AP20+AQ20+AR20+AS20+AT20+AU20+AV20+AW20+AX20+AY20+AZ20+BA20+BB20+BC20+BD20+BE20+BF20+BG20+BH20+BI20+BJ20+BK20+BL20+BM20+BQ20+BR20+BS20+BT20</f>
        <v>1</v>
      </c>
      <c r="U20" s="61">
        <f>R20+S20-T20</f>
        <v>2</v>
      </c>
      <c r="V20" s="62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>
        <v>1</v>
      </c>
      <c r="AH20" s="30"/>
      <c r="AI20" s="30"/>
      <c r="AJ20" s="30"/>
      <c r="AK20" s="30"/>
      <c r="AL20" s="30"/>
      <c r="AM20" s="30"/>
      <c r="AN20" s="30"/>
      <c r="AO20" s="30"/>
      <c r="AP20" s="31"/>
      <c r="AQ20" s="32"/>
      <c r="AR20" s="33"/>
      <c r="AS20" s="31"/>
      <c r="AT20" s="63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</row>
    <row r="21" spans="1:79" s="54" customFormat="1" ht="15" customHeight="1" x14ac:dyDescent="0.25">
      <c r="A21" s="22"/>
      <c r="B21" s="22">
        <v>16</v>
      </c>
      <c r="C21" s="70" t="s">
        <v>102</v>
      </c>
      <c r="D21" s="174">
        <v>2016</v>
      </c>
      <c r="E21" s="68" t="s">
        <v>119</v>
      </c>
      <c r="F21" s="22" t="s">
        <v>120</v>
      </c>
      <c r="G21" s="22" t="s">
        <v>110</v>
      </c>
      <c r="H21" s="22" t="s">
        <v>78</v>
      </c>
      <c r="I21" s="55">
        <v>36.799999999999997</v>
      </c>
      <c r="J21" s="55">
        <f t="shared" si="15"/>
        <v>30</v>
      </c>
      <c r="K21" s="55">
        <f t="shared" si="0"/>
        <v>6.68</v>
      </c>
      <c r="L21" s="55">
        <f t="shared" si="1"/>
        <v>73.47999999999999</v>
      </c>
      <c r="M21" s="55">
        <f t="shared" si="2"/>
        <v>73</v>
      </c>
      <c r="N21" s="56">
        <v>73</v>
      </c>
      <c r="O21" s="57">
        <f t="shared" si="3"/>
        <v>74.078399999999988</v>
      </c>
      <c r="P21" s="58">
        <f t="shared" si="4"/>
        <v>0</v>
      </c>
      <c r="Q21" s="59">
        <f t="shared" si="5"/>
        <v>12.166666666666666</v>
      </c>
      <c r="R21" s="60">
        <v>6</v>
      </c>
      <c r="S21" s="60">
        <f>3+3+3+3</f>
        <v>12</v>
      </c>
      <c r="T21" s="60">
        <f t="shared" si="6"/>
        <v>14</v>
      </c>
      <c r="U21" s="61">
        <f t="shared" si="7"/>
        <v>4</v>
      </c>
      <c r="V21" s="62"/>
      <c r="W21" s="30">
        <v>2</v>
      </c>
      <c r="X21" s="30"/>
      <c r="Y21" s="30"/>
      <c r="Z21" s="30">
        <v>1</v>
      </c>
      <c r="AA21" s="30"/>
      <c r="AB21" s="30"/>
      <c r="AC21" s="30">
        <v>1</v>
      </c>
      <c r="AD21" s="30"/>
      <c r="AE21" s="30">
        <v>1</v>
      </c>
      <c r="AF21" s="30"/>
      <c r="AG21" s="30">
        <v>1</v>
      </c>
      <c r="AH21" s="30"/>
      <c r="AI21" s="30"/>
      <c r="AJ21" s="30"/>
      <c r="AK21" s="30"/>
      <c r="AL21" s="30"/>
      <c r="AM21" s="30"/>
      <c r="AN21" s="30"/>
      <c r="AO21" s="30"/>
      <c r="AP21" s="31">
        <v>1</v>
      </c>
      <c r="AQ21" s="32"/>
      <c r="AR21" s="33"/>
      <c r="AS21" s="31">
        <v>3</v>
      </c>
      <c r="AT21" s="63"/>
      <c r="AU21" s="34"/>
      <c r="AV21" s="34"/>
      <c r="AW21" s="34"/>
      <c r="AX21" s="34"/>
      <c r="AY21" s="34"/>
      <c r="AZ21" s="34">
        <v>2</v>
      </c>
      <c r="BA21" s="34"/>
      <c r="BB21" s="34"/>
      <c r="BC21" s="34"/>
      <c r="BD21" s="34"/>
      <c r="BE21" s="34"/>
      <c r="BF21" s="64"/>
      <c r="BG21" s="64"/>
      <c r="BH21" s="64"/>
      <c r="BI21" s="64">
        <v>1</v>
      </c>
      <c r="BJ21" s="64"/>
      <c r="BK21" s="64"/>
      <c r="BL21" s="64"/>
      <c r="BM21" s="64"/>
      <c r="BN21" s="64"/>
      <c r="BO21" s="64">
        <v>1</v>
      </c>
      <c r="BP21" s="64"/>
      <c r="BQ21" s="64"/>
      <c r="BR21" s="64"/>
      <c r="BS21" s="64"/>
      <c r="BT21" s="64">
        <v>1</v>
      </c>
      <c r="BU21" s="64"/>
      <c r="BV21" s="64"/>
      <c r="BW21" s="64"/>
      <c r="BX21" s="64"/>
      <c r="BY21" s="64"/>
      <c r="BZ21" s="64"/>
      <c r="CA21" s="64"/>
    </row>
    <row r="22" spans="1:79" ht="15" customHeight="1" x14ac:dyDescent="0.25">
      <c r="A22" s="71"/>
      <c r="B22" s="29">
        <v>17</v>
      </c>
      <c r="C22" s="70" t="s">
        <v>102</v>
      </c>
      <c r="D22" s="174"/>
      <c r="E22" s="22" t="s">
        <v>121</v>
      </c>
      <c r="F22" s="178" t="s">
        <v>122</v>
      </c>
      <c r="G22" s="22" t="s">
        <v>123</v>
      </c>
      <c r="H22" s="22" t="s">
        <v>78</v>
      </c>
      <c r="I22" s="55">
        <v>18.899999999999999</v>
      </c>
      <c r="J22" s="55">
        <f t="shared" si="15"/>
        <v>30</v>
      </c>
      <c r="K22" s="55">
        <f t="shared" si="0"/>
        <v>4.8900000000000006</v>
      </c>
      <c r="L22" s="55">
        <f t="shared" si="1"/>
        <v>53.79</v>
      </c>
      <c r="M22" s="55">
        <f t="shared" si="2"/>
        <v>54</v>
      </c>
      <c r="N22" s="56">
        <v>51</v>
      </c>
      <c r="O22" s="57">
        <f t="shared" si="3"/>
        <v>38.045699999999997</v>
      </c>
      <c r="P22" s="58">
        <f t="shared" si="4"/>
        <v>-3</v>
      </c>
      <c r="Q22" s="59">
        <f t="shared" si="5"/>
        <v>8.5</v>
      </c>
      <c r="R22" s="60">
        <v>16</v>
      </c>
      <c r="S22" s="60">
        <f>12+6+6+6+6</f>
        <v>36</v>
      </c>
      <c r="T22" s="60">
        <f t="shared" si="6"/>
        <v>38</v>
      </c>
      <c r="U22" s="61">
        <f t="shared" si="7"/>
        <v>14</v>
      </c>
      <c r="V22" s="62"/>
      <c r="W22" s="30">
        <v>4</v>
      </c>
      <c r="X22" s="30">
        <v>5</v>
      </c>
      <c r="Y22" s="30"/>
      <c r="Z22" s="30">
        <v>2</v>
      </c>
      <c r="AA22" s="30">
        <v>6</v>
      </c>
      <c r="AB22" s="30">
        <v>2</v>
      </c>
      <c r="AC22" s="30">
        <v>2</v>
      </c>
      <c r="AD22" s="30">
        <v>1</v>
      </c>
      <c r="AE22" s="30">
        <v>2</v>
      </c>
      <c r="AF22" s="30">
        <v>3</v>
      </c>
      <c r="AG22" s="30">
        <v>2</v>
      </c>
      <c r="AH22" s="30"/>
      <c r="AI22" s="30"/>
      <c r="AJ22" s="30"/>
      <c r="AK22" s="30"/>
      <c r="AL22" s="30"/>
      <c r="AM22" s="30"/>
      <c r="AN22" s="30"/>
      <c r="AO22" s="30"/>
      <c r="AP22" s="31">
        <v>1</v>
      </c>
      <c r="AQ22" s="32"/>
      <c r="AR22" s="33"/>
      <c r="AS22" s="31"/>
      <c r="AT22" s="63">
        <v>2</v>
      </c>
      <c r="AU22" s="34">
        <v>1</v>
      </c>
      <c r="AV22" s="34">
        <v>2</v>
      </c>
      <c r="AW22" s="34"/>
      <c r="AX22" s="34"/>
      <c r="AY22" s="34"/>
      <c r="AZ22" s="34"/>
      <c r="BA22" s="34"/>
      <c r="BB22" s="34"/>
      <c r="BC22" s="34"/>
      <c r="BD22" s="34"/>
      <c r="BE22" s="34"/>
      <c r="BF22" s="64"/>
      <c r="BI22" s="64">
        <v>1</v>
      </c>
      <c r="BL22" s="64">
        <v>1</v>
      </c>
      <c r="BO22" s="64">
        <v>1</v>
      </c>
      <c r="BP22" s="64">
        <v>1</v>
      </c>
      <c r="BT22" s="64">
        <v>1</v>
      </c>
      <c r="BU22" s="64"/>
      <c r="BV22" s="64"/>
      <c r="BW22" s="64"/>
      <c r="BX22" s="64"/>
      <c r="BY22" s="64"/>
      <c r="BZ22" s="64"/>
      <c r="CA22" s="64"/>
    </row>
    <row r="23" spans="1:79" ht="15" customHeight="1" x14ac:dyDescent="0.25">
      <c r="A23" s="71"/>
      <c r="B23" s="22">
        <v>18</v>
      </c>
      <c r="C23" s="70" t="s">
        <v>102</v>
      </c>
      <c r="D23" s="174">
        <v>2017</v>
      </c>
      <c r="E23" s="22" t="s">
        <v>124</v>
      </c>
      <c r="F23" s="178" t="s">
        <v>125</v>
      </c>
      <c r="G23" s="22" t="s">
        <v>126</v>
      </c>
      <c r="H23" s="22" t="s">
        <v>84</v>
      </c>
      <c r="I23" s="55">
        <v>23</v>
      </c>
      <c r="J23" s="55">
        <f t="shared" ref="J23" si="24">IF(I23&lt;=15,$L$2,$L$3)</f>
        <v>30</v>
      </c>
      <c r="K23" s="55">
        <f t="shared" ref="K23" si="25">(I23+J23)*0.1</f>
        <v>5.3000000000000007</v>
      </c>
      <c r="L23" s="55">
        <f t="shared" ref="L23" si="26">SUM(I23:K23)</f>
        <v>58.3</v>
      </c>
      <c r="M23" s="55">
        <f t="shared" ref="M23" si="27">ROUND(L23,0)</f>
        <v>58</v>
      </c>
      <c r="N23" s="56">
        <v>58</v>
      </c>
      <c r="O23" s="57">
        <f t="shared" ref="O23" si="28">I23*$O$2*1.22</f>
        <v>46.298999999999992</v>
      </c>
      <c r="P23" s="58">
        <f t="shared" ref="P23" si="29">N23-M23</f>
        <v>0</v>
      </c>
      <c r="Q23" s="59">
        <f t="shared" ref="Q23" si="30">N23/$Q$3</f>
        <v>9.6666666666666661</v>
      </c>
      <c r="R23" s="60">
        <v>0</v>
      </c>
      <c r="S23" s="60">
        <f>6+6+6+6</f>
        <v>24</v>
      </c>
      <c r="T23" s="60">
        <f t="shared" ref="T23" si="31">W23+X23+Y23+Z23+AA23+AB23+AC23+AD23+AE23+AF23+AG23+AH23+AI23+AJ23+AK23+AL23+AM23+AN23+AO23+AP23+AQ23+AR23+AS23+AT23+AU23+AV23+AW23+AX23+AY23+AZ23+BA23+BB23+BC23+BD23+BE23+BF23+BG23+BH23+BI23+BJ23+BK23+BL23+BM23+BQ23+BR23+BS23+BT23</f>
        <v>8</v>
      </c>
      <c r="U23" s="61">
        <f t="shared" ref="U23" si="32">R23+S23-T23</f>
        <v>16</v>
      </c>
      <c r="V23" s="62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1"/>
      <c r="AQ23" s="32">
        <v>1</v>
      </c>
      <c r="AR23" s="33"/>
      <c r="AS23" s="31">
        <v>1</v>
      </c>
      <c r="AT23" s="63"/>
      <c r="AU23" s="34"/>
      <c r="AV23" s="34">
        <v>2</v>
      </c>
      <c r="AW23" s="34"/>
      <c r="AX23" s="34"/>
      <c r="AY23" s="34"/>
      <c r="AZ23" s="34">
        <v>1</v>
      </c>
      <c r="BA23" s="34">
        <v>1</v>
      </c>
      <c r="BB23" s="34"/>
      <c r="BC23" s="34"/>
      <c r="BD23" s="34">
        <v>1</v>
      </c>
      <c r="BE23" s="34"/>
      <c r="BF23" s="64"/>
      <c r="BO23" s="64">
        <v>1</v>
      </c>
      <c r="BT23" s="64">
        <v>1</v>
      </c>
      <c r="BU23" s="64">
        <v>1</v>
      </c>
      <c r="BV23" s="64"/>
      <c r="BW23" s="64"/>
      <c r="BX23" s="64"/>
      <c r="BY23" s="64"/>
      <c r="BZ23" s="64"/>
      <c r="CA23" s="64"/>
    </row>
    <row r="24" spans="1:79" ht="15" customHeight="1" thickBot="1" x14ac:dyDescent="0.3">
      <c r="A24" s="22"/>
      <c r="B24" s="22">
        <v>19</v>
      </c>
      <c r="C24" s="70" t="s">
        <v>102</v>
      </c>
      <c r="D24" s="174"/>
      <c r="E24" s="190" t="s">
        <v>127</v>
      </c>
      <c r="F24" s="22" t="s">
        <v>128</v>
      </c>
      <c r="G24" s="22" t="s">
        <v>110</v>
      </c>
      <c r="H24" s="22" t="s">
        <v>78</v>
      </c>
      <c r="I24" s="55">
        <v>19.899999999999999</v>
      </c>
      <c r="J24" s="55">
        <v>30</v>
      </c>
      <c r="K24" s="55">
        <f t="shared" si="0"/>
        <v>4.99</v>
      </c>
      <c r="L24" s="55">
        <f t="shared" si="1"/>
        <v>54.89</v>
      </c>
      <c r="M24" s="55">
        <f t="shared" si="2"/>
        <v>55</v>
      </c>
      <c r="N24" s="56">
        <v>55</v>
      </c>
      <c r="O24" s="57">
        <f t="shared" si="3"/>
        <v>40.058699999999995</v>
      </c>
      <c r="P24" s="58">
        <f t="shared" si="4"/>
        <v>0</v>
      </c>
      <c r="Q24" s="59">
        <f t="shared" si="5"/>
        <v>9.1666666666666661</v>
      </c>
      <c r="R24" s="60">
        <v>6</v>
      </c>
      <c r="S24" s="60">
        <v>6</v>
      </c>
      <c r="T24" s="60">
        <f t="shared" si="6"/>
        <v>4</v>
      </c>
      <c r="U24" s="61">
        <f t="shared" si="7"/>
        <v>8</v>
      </c>
      <c r="V24" s="62"/>
      <c r="W24" s="30"/>
      <c r="X24" s="30"/>
      <c r="Y24" s="30"/>
      <c r="Z24" s="30"/>
      <c r="AA24" s="30"/>
      <c r="AB24" s="30"/>
      <c r="AC24" s="30">
        <v>1</v>
      </c>
      <c r="AD24" s="30">
        <v>1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1"/>
      <c r="AQ24" s="32"/>
      <c r="AR24" s="33"/>
      <c r="AS24" s="31"/>
      <c r="AT24" s="63"/>
      <c r="AU24" s="34"/>
      <c r="AV24" s="34"/>
      <c r="AW24" s="34"/>
      <c r="AX24" s="34"/>
      <c r="AY24" s="34"/>
      <c r="AZ24" s="34">
        <v>1</v>
      </c>
      <c r="BA24" s="34"/>
      <c r="BB24" s="34"/>
      <c r="BC24" s="34">
        <v>1</v>
      </c>
      <c r="BD24" s="34"/>
      <c r="BE24" s="34"/>
      <c r="BF24" s="64"/>
      <c r="BN24" s="64">
        <v>1</v>
      </c>
      <c r="BT24" s="64"/>
      <c r="BU24" s="64"/>
      <c r="BV24" s="64"/>
      <c r="BW24" s="64"/>
      <c r="BX24" s="64"/>
      <c r="BY24" s="64"/>
      <c r="BZ24" s="64"/>
      <c r="CA24" s="64"/>
    </row>
    <row r="25" spans="1:79" ht="15" customHeight="1" thickBot="1" x14ac:dyDescent="0.3">
      <c r="A25" s="22"/>
      <c r="B25" s="22">
        <v>19</v>
      </c>
      <c r="C25" s="70" t="s">
        <v>102</v>
      </c>
      <c r="D25" s="174"/>
      <c r="E25" s="177" t="s">
        <v>129</v>
      </c>
      <c r="F25" s="178" t="s">
        <v>130</v>
      </c>
      <c r="G25" s="22" t="s">
        <v>131</v>
      </c>
      <c r="H25" s="22" t="s">
        <v>132</v>
      </c>
      <c r="I25" s="55">
        <v>14.9</v>
      </c>
      <c r="J25" s="55">
        <v>25</v>
      </c>
      <c r="K25" s="55">
        <f t="shared" ref="K25" si="33">(I25+J25)*0.1</f>
        <v>3.99</v>
      </c>
      <c r="L25" s="55">
        <f t="shared" ref="L25" si="34">SUM(I25:K25)</f>
        <v>43.89</v>
      </c>
      <c r="M25" s="55">
        <f t="shared" ref="M25" si="35">ROUND(L25,0)</f>
        <v>44</v>
      </c>
      <c r="N25" s="56">
        <v>44</v>
      </c>
      <c r="O25" s="57">
        <f t="shared" ref="O25" si="36">I25*$O$2*1.22</f>
        <v>29.9937</v>
      </c>
      <c r="P25" s="58">
        <f t="shared" ref="P25" si="37">N25-M25</f>
        <v>0</v>
      </c>
      <c r="Q25" s="59">
        <f t="shared" ref="Q25" si="38">N25/$Q$3</f>
        <v>7.333333333333333</v>
      </c>
      <c r="R25" s="60"/>
      <c r="S25" s="60">
        <f>36+36+36+36</f>
        <v>144</v>
      </c>
      <c r="T25" s="60">
        <f t="shared" ref="T25" si="39">W25+X25+Y25+Z25+AA25+AB25+AC25+AD25+AE25+AF25+AG25+AH25+AI25+AJ25+AK25+AL25+AM25+AN25+AO25+AP25+AQ25+AR25+AS25+AT25+AU25+AV25+AW25+AX25+AY25+AZ25+BA25+BB25+BC25+BD25+BE25+BF25+BG25+BH25+BI25+BJ25+BK25+BL25+BM25+BQ25+BR25+BS25+BT25</f>
        <v>61</v>
      </c>
      <c r="U25" s="61">
        <f t="shared" ref="U25" si="40">R25+S25-T25</f>
        <v>83</v>
      </c>
      <c r="V25" s="62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1">
        <v>1</v>
      </c>
      <c r="AQ25" s="32">
        <v>3</v>
      </c>
      <c r="AR25" s="33"/>
      <c r="AS25" s="31">
        <v>2</v>
      </c>
      <c r="AT25" s="63">
        <v>2</v>
      </c>
      <c r="AU25" s="34">
        <v>1</v>
      </c>
      <c r="AV25" s="34">
        <v>3</v>
      </c>
      <c r="AW25" s="34">
        <v>1</v>
      </c>
      <c r="AX25" s="34">
        <v>1</v>
      </c>
      <c r="AY25" s="34">
        <v>2</v>
      </c>
      <c r="AZ25" s="34">
        <v>9</v>
      </c>
      <c r="BA25" s="34">
        <v>4</v>
      </c>
      <c r="BB25" s="34">
        <v>1</v>
      </c>
      <c r="BC25" s="34">
        <v>3</v>
      </c>
      <c r="BD25" s="34">
        <v>3</v>
      </c>
      <c r="BE25" s="34">
        <v>1</v>
      </c>
      <c r="BF25" s="64">
        <v>1</v>
      </c>
      <c r="BG25" s="64">
        <v>4</v>
      </c>
      <c r="BH25" s="64">
        <v>1</v>
      </c>
      <c r="BJ25" s="64">
        <v>2</v>
      </c>
      <c r="BM25" s="64">
        <v>1</v>
      </c>
      <c r="BN25" s="64">
        <v>4</v>
      </c>
      <c r="BO25" s="64">
        <v>4</v>
      </c>
      <c r="BP25" s="64">
        <v>2</v>
      </c>
      <c r="BQ25" s="64">
        <v>1</v>
      </c>
      <c r="BR25" s="64">
        <v>3</v>
      </c>
      <c r="BT25" s="64">
        <v>11</v>
      </c>
      <c r="BU25" s="64">
        <v>5</v>
      </c>
      <c r="BV25" s="64"/>
      <c r="BW25" s="64"/>
      <c r="BX25" s="64"/>
      <c r="BY25" s="64"/>
      <c r="BZ25" s="64"/>
      <c r="CA25" s="64"/>
    </row>
    <row r="26" spans="1:79" ht="15" customHeight="1" x14ac:dyDescent="0.25">
      <c r="A26" s="71"/>
      <c r="B26" s="22">
        <v>20</v>
      </c>
      <c r="C26" s="70" t="s">
        <v>102</v>
      </c>
      <c r="D26" s="174">
        <v>2017</v>
      </c>
      <c r="E26" s="29" t="s">
        <v>133</v>
      </c>
      <c r="F26" s="22" t="s">
        <v>134</v>
      </c>
      <c r="G26" s="22" t="s">
        <v>131</v>
      </c>
      <c r="H26" s="22" t="s">
        <v>135</v>
      </c>
      <c r="I26" s="55">
        <v>34.46</v>
      </c>
      <c r="J26" s="55">
        <v>30</v>
      </c>
      <c r="K26" s="55">
        <f t="shared" si="0"/>
        <v>6.4460000000000015</v>
      </c>
      <c r="L26" s="55">
        <f t="shared" si="1"/>
        <v>70.906000000000006</v>
      </c>
      <c r="M26" s="55">
        <f t="shared" si="2"/>
        <v>71</v>
      </c>
      <c r="N26" s="56">
        <v>71</v>
      </c>
      <c r="O26" s="57">
        <f t="shared" si="3"/>
        <v>69.367980000000003</v>
      </c>
      <c r="P26" s="58">
        <f t="shared" si="4"/>
        <v>0</v>
      </c>
      <c r="Q26" s="59">
        <f t="shared" si="5"/>
        <v>11.833333333333334</v>
      </c>
      <c r="R26" s="60">
        <v>9</v>
      </c>
      <c r="S26" s="60">
        <v>6</v>
      </c>
      <c r="T26" s="60">
        <f t="shared" si="6"/>
        <v>8</v>
      </c>
      <c r="U26" s="61">
        <f t="shared" si="7"/>
        <v>7</v>
      </c>
      <c r="V26" s="62"/>
      <c r="W26" s="30"/>
      <c r="X26" s="30"/>
      <c r="Y26" s="30"/>
      <c r="Z26" s="30"/>
      <c r="AA26" s="30"/>
      <c r="AB26" s="30">
        <v>1</v>
      </c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1"/>
      <c r="AQ26" s="32"/>
      <c r="AR26" s="33"/>
      <c r="AS26" s="31"/>
      <c r="AT26" s="63"/>
      <c r="AU26" s="34"/>
      <c r="AV26" s="34">
        <v>2</v>
      </c>
      <c r="AW26" s="34"/>
      <c r="AX26" s="34"/>
      <c r="AY26" s="34"/>
      <c r="AZ26" s="34"/>
      <c r="BA26" s="34"/>
      <c r="BB26" s="34">
        <v>2</v>
      </c>
      <c r="BC26" s="34"/>
      <c r="BD26" s="34"/>
      <c r="BE26" s="34">
        <v>1</v>
      </c>
      <c r="BF26" s="64"/>
      <c r="BH26" s="64">
        <v>1</v>
      </c>
      <c r="BT26" s="64">
        <v>1</v>
      </c>
      <c r="BU26" s="64"/>
      <c r="BV26" s="64"/>
      <c r="BW26" s="64"/>
      <c r="BX26" s="64"/>
      <c r="BY26" s="64"/>
      <c r="BZ26" s="64"/>
      <c r="CA26" s="64"/>
    </row>
    <row r="27" spans="1:79" ht="15" customHeight="1" x14ac:dyDescent="0.25">
      <c r="A27" s="22"/>
      <c r="B27" s="29">
        <v>21</v>
      </c>
      <c r="C27" s="70" t="s">
        <v>102</v>
      </c>
      <c r="D27" s="174">
        <v>2015</v>
      </c>
      <c r="E27" s="22" t="s">
        <v>136</v>
      </c>
      <c r="F27" s="22" t="s">
        <v>134</v>
      </c>
      <c r="G27" s="22" t="s">
        <v>131</v>
      </c>
      <c r="H27" s="22" t="s">
        <v>137</v>
      </c>
      <c r="I27" s="55">
        <v>51.23</v>
      </c>
      <c r="J27" s="55">
        <v>40</v>
      </c>
      <c r="K27" s="55">
        <f t="shared" si="0"/>
        <v>9.1229999999999993</v>
      </c>
      <c r="L27" s="55">
        <f t="shared" si="1"/>
        <v>100.35299999999999</v>
      </c>
      <c r="M27" s="55">
        <f t="shared" si="2"/>
        <v>100</v>
      </c>
      <c r="N27" s="56">
        <v>99</v>
      </c>
      <c r="O27" s="57">
        <f t="shared" si="3"/>
        <v>103.12598999999997</v>
      </c>
      <c r="P27" s="58">
        <f t="shared" si="4"/>
        <v>-1</v>
      </c>
      <c r="Q27" s="59">
        <f t="shared" si="5"/>
        <v>16.5</v>
      </c>
      <c r="R27" s="60">
        <v>3</v>
      </c>
      <c r="S27" s="60">
        <v>3</v>
      </c>
      <c r="T27" s="60">
        <f t="shared" si="6"/>
        <v>2</v>
      </c>
      <c r="U27" s="61">
        <f t="shared" si="7"/>
        <v>4</v>
      </c>
      <c r="V27" s="62"/>
      <c r="W27" s="30"/>
      <c r="X27" s="30"/>
      <c r="Y27" s="30"/>
      <c r="Z27" s="30"/>
      <c r="AA27" s="30">
        <v>1</v>
      </c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1"/>
      <c r="AQ27" s="32"/>
      <c r="AR27" s="33"/>
      <c r="AS27" s="31"/>
      <c r="AT27" s="63"/>
      <c r="AU27" s="34">
        <v>1</v>
      </c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64"/>
      <c r="BT27" s="64"/>
      <c r="BU27" s="64"/>
      <c r="BV27" s="64"/>
      <c r="BW27" s="64"/>
      <c r="BX27" s="64"/>
      <c r="BY27" s="64"/>
      <c r="BZ27" s="64"/>
      <c r="CA27" s="64"/>
    </row>
    <row r="28" spans="1:79" ht="15" customHeight="1" x14ac:dyDescent="0.25">
      <c r="A28" s="22"/>
      <c r="B28" s="22">
        <v>22</v>
      </c>
      <c r="C28" s="70" t="s">
        <v>102</v>
      </c>
      <c r="D28" s="174">
        <v>2014</v>
      </c>
      <c r="E28" s="22" t="s">
        <v>138</v>
      </c>
      <c r="F28" s="22" t="s">
        <v>139</v>
      </c>
      <c r="G28" s="22" t="s">
        <v>131</v>
      </c>
      <c r="H28" s="22" t="s">
        <v>78</v>
      </c>
      <c r="I28" s="55">
        <v>33.9</v>
      </c>
      <c r="J28" s="55">
        <f>IF(I28&lt;=15,$L$2,$L$3)</f>
        <v>30</v>
      </c>
      <c r="K28" s="55">
        <f t="shared" si="0"/>
        <v>6.3900000000000006</v>
      </c>
      <c r="L28" s="55">
        <f t="shared" si="1"/>
        <v>70.289999999999992</v>
      </c>
      <c r="M28" s="55">
        <f t="shared" si="2"/>
        <v>70</v>
      </c>
      <c r="N28" s="56">
        <v>70</v>
      </c>
      <c r="O28" s="57">
        <f t="shared" si="3"/>
        <v>68.24069999999999</v>
      </c>
      <c r="P28" s="58">
        <f t="shared" si="4"/>
        <v>0</v>
      </c>
      <c r="Q28" s="59">
        <f t="shared" si="5"/>
        <v>11.666666666666666</v>
      </c>
      <c r="R28" s="60">
        <v>8</v>
      </c>
      <c r="S28" s="60">
        <f>3+6</f>
        <v>9</v>
      </c>
      <c r="T28" s="60">
        <f t="shared" si="6"/>
        <v>9</v>
      </c>
      <c r="U28" s="61">
        <f t="shared" si="7"/>
        <v>8</v>
      </c>
      <c r="V28" s="62"/>
      <c r="W28" s="30">
        <v>3</v>
      </c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1"/>
      <c r="AQ28" s="32"/>
      <c r="AR28" s="33"/>
      <c r="AS28" s="31">
        <v>1</v>
      </c>
      <c r="AT28" s="63"/>
      <c r="AU28" s="34"/>
      <c r="AV28" s="34"/>
      <c r="AW28" s="34"/>
      <c r="AX28" s="34"/>
      <c r="AY28" s="34"/>
      <c r="AZ28" s="34"/>
      <c r="BA28" s="34"/>
      <c r="BB28" s="34"/>
      <c r="BC28" s="34"/>
      <c r="BD28" s="34">
        <v>1</v>
      </c>
      <c r="BE28" s="34"/>
      <c r="BF28" s="64"/>
      <c r="BG28" s="64">
        <v>1</v>
      </c>
      <c r="BH28" s="64">
        <v>1</v>
      </c>
      <c r="BJ28" s="64">
        <v>1</v>
      </c>
      <c r="BN28" s="64">
        <v>1</v>
      </c>
      <c r="BQ28" s="64">
        <v>1</v>
      </c>
      <c r="BT28" s="64"/>
      <c r="BU28" s="64">
        <v>1</v>
      </c>
      <c r="BV28" s="64"/>
      <c r="BW28" s="64"/>
      <c r="BX28" s="64"/>
      <c r="BY28" s="64"/>
      <c r="BZ28" s="64"/>
      <c r="CA28" s="64"/>
    </row>
    <row r="29" spans="1:79" ht="15" customHeight="1" x14ac:dyDescent="0.25">
      <c r="A29" s="22"/>
      <c r="B29" s="22">
        <v>23</v>
      </c>
      <c r="C29" s="70" t="s">
        <v>102</v>
      </c>
      <c r="D29" s="174">
        <v>2009</v>
      </c>
      <c r="E29" s="22" t="s">
        <v>140</v>
      </c>
      <c r="F29" s="22" t="s">
        <v>141</v>
      </c>
      <c r="G29" s="22" t="s">
        <v>131</v>
      </c>
      <c r="H29" s="22" t="s">
        <v>137</v>
      </c>
      <c r="I29" s="55">
        <v>135</v>
      </c>
      <c r="J29" s="55">
        <v>90</v>
      </c>
      <c r="K29" s="55">
        <f t="shared" si="0"/>
        <v>22.5</v>
      </c>
      <c r="L29" s="55">
        <f t="shared" si="1"/>
        <v>247.5</v>
      </c>
      <c r="M29" s="55">
        <f t="shared" si="2"/>
        <v>248</v>
      </c>
      <c r="N29" s="56">
        <v>248</v>
      </c>
      <c r="O29" s="57">
        <f t="shared" si="3"/>
        <v>271.755</v>
      </c>
      <c r="P29" s="58">
        <f t="shared" si="4"/>
        <v>0</v>
      </c>
      <c r="Q29" s="59">
        <f t="shared" si="5"/>
        <v>41.333333333333336</v>
      </c>
      <c r="R29" s="60">
        <v>1</v>
      </c>
      <c r="S29" s="60">
        <v>3</v>
      </c>
      <c r="T29" s="60">
        <f t="shared" si="6"/>
        <v>2</v>
      </c>
      <c r="U29" s="61">
        <f t="shared" si="7"/>
        <v>2</v>
      </c>
      <c r="V29" s="62"/>
      <c r="W29" s="30">
        <v>1</v>
      </c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1"/>
      <c r="AQ29" s="32"/>
      <c r="AR29" s="33"/>
      <c r="AS29" s="31"/>
      <c r="AT29" s="63"/>
      <c r="AU29" s="34"/>
      <c r="AV29" s="34"/>
      <c r="AW29" s="34"/>
      <c r="AX29" s="34"/>
      <c r="AY29" s="34"/>
      <c r="AZ29" s="34"/>
      <c r="BA29" s="34"/>
      <c r="BB29" s="34">
        <v>1</v>
      </c>
      <c r="BC29" s="34"/>
      <c r="BD29" s="34"/>
      <c r="BE29" s="34"/>
      <c r="BF29" s="64"/>
      <c r="BT29" s="64"/>
      <c r="BU29" s="64"/>
      <c r="BV29" s="64"/>
      <c r="BW29" s="64"/>
      <c r="BX29" s="64"/>
      <c r="BY29" s="64"/>
      <c r="BZ29" s="64"/>
      <c r="CA29" s="64"/>
    </row>
    <row r="30" spans="1:79" ht="15" customHeight="1" x14ac:dyDescent="0.25">
      <c r="A30" s="22" t="s">
        <v>142</v>
      </c>
      <c r="B30" s="22">
        <v>24</v>
      </c>
      <c r="C30" s="70" t="s">
        <v>102</v>
      </c>
      <c r="D30" s="174">
        <v>2009</v>
      </c>
      <c r="E30" s="22" t="s">
        <v>143</v>
      </c>
      <c r="F30" s="22" t="s">
        <v>141</v>
      </c>
      <c r="G30" s="22" t="s">
        <v>131</v>
      </c>
      <c r="H30" s="22" t="s">
        <v>78</v>
      </c>
      <c r="I30" s="55">
        <v>210</v>
      </c>
      <c r="J30" s="55">
        <v>190</v>
      </c>
      <c r="K30" s="55">
        <f>(I30+J30)*0.1</f>
        <v>40</v>
      </c>
      <c r="L30" s="55">
        <f>SUM(I30:K30)</f>
        <v>440</v>
      </c>
      <c r="M30" s="55">
        <f>ROUND(L30,0)</f>
        <v>440</v>
      </c>
      <c r="N30" s="56">
        <v>450</v>
      </c>
      <c r="O30" s="57">
        <f t="shared" si="3"/>
        <v>422.73</v>
      </c>
      <c r="P30" s="58">
        <f>N30-M30</f>
        <v>10</v>
      </c>
      <c r="Q30" s="59">
        <f t="shared" si="5"/>
        <v>75</v>
      </c>
      <c r="R30" s="60">
        <v>1</v>
      </c>
      <c r="S30" s="60"/>
      <c r="T30" s="60">
        <f t="shared" si="6"/>
        <v>0</v>
      </c>
      <c r="U30" s="61">
        <f>R30+S30-T30</f>
        <v>1</v>
      </c>
      <c r="V30" s="62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1"/>
      <c r="AQ30" s="32"/>
      <c r="AR30" s="33"/>
      <c r="AS30" s="31"/>
      <c r="AT30" s="63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64"/>
      <c r="BT30" s="64"/>
      <c r="BU30" s="64">
        <v>1</v>
      </c>
      <c r="BV30" s="64"/>
      <c r="BW30" s="64"/>
      <c r="BX30" s="64"/>
      <c r="BY30" s="64"/>
      <c r="BZ30" s="64"/>
      <c r="CA30" s="64"/>
    </row>
    <row r="31" spans="1:79" ht="15.75" customHeight="1" x14ac:dyDescent="0.25">
      <c r="A31" s="22"/>
      <c r="B31" s="29">
        <v>25</v>
      </c>
      <c r="C31" s="70" t="s">
        <v>102</v>
      </c>
      <c r="D31" s="174"/>
      <c r="E31" s="22" t="s">
        <v>144</v>
      </c>
      <c r="F31" s="22" t="s">
        <v>145</v>
      </c>
      <c r="G31" s="22" t="s">
        <v>146</v>
      </c>
      <c r="H31" s="22" t="s">
        <v>135</v>
      </c>
      <c r="I31" s="55">
        <v>23.56</v>
      </c>
      <c r="J31" s="55">
        <f>IF(I31&lt;=15,$L$2,$L$3)</f>
        <v>30</v>
      </c>
      <c r="K31" s="55">
        <f t="shared" si="0"/>
        <v>5.3560000000000008</v>
      </c>
      <c r="L31" s="55">
        <f t="shared" si="1"/>
        <v>58.916000000000004</v>
      </c>
      <c r="M31" s="55">
        <f t="shared" si="2"/>
        <v>59</v>
      </c>
      <c r="N31" s="81">
        <v>59</v>
      </c>
      <c r="O31" s="57">
        <f t="shared" si="3"/>
        <v>47.426279999999991</v>
      </c>
      <c r="P31" s="58">
        <f t="shared" si="4"/>
        <v>0</v>
      </c>
      <c r="Q31" s="59">
        <f t="shared" si="5"/>
        <v>9.8333333333333339</v>
      </c>
      <c r="R31" s="60">
        <v>8</v>
      </c>
      <c r="S31" s="60">
        <f>3+2</f>
        <v>5</v>
      </c>
      <c r="T31" s="60">
        <f t="shared" si="6"/>
        <v>9</v>
      </c>
      <c r="U31" s="61">
        <f t="shared" si="7"/>
        <v>4</v>
      </c>
      <c r="V31" s="62"/>
      <c r="W31" s="30"/>
      <c r="X31" s="30">
        <v>1</v>
      </c>
      <c r="Y31" s="30"/>
      <c r="Z31" s="30"/>
      <c r="AA31" s="30">
        <v>1</v>
      </c>
      <c r="AB31" s="30">
        <v>1</v>
      </c>
      <c r="AC31" s="30"/>
      <c r="AD31" s="30">
        <v>1</v>
      </c>
      <c r="AE31" s="30"/>
      <c r="AF31" s="30"/>
      <c r="AG31" s="30"/>
      <c r="AH31" s="30">
        <v>1</v>
      </c>
      <c r="AI31" s="30"/>
      <c r="AJ31" s="30"/>
      <c r="AK31" s="30"/>
      <c r="AL31" s="30"/>
      <c r="AM31" s="30"/>
      <c r="AN31" s="30"/>
      <c r="AO31" s="30"/>
      <c r="AP31" s="31"/>
      <c r="AQ31" s="32"/>
      <c r="AR31" s="33"/>
      <c r="AS31" s="31"/>
      <c r="AT31" s="63"/>
      <c r="AU31" s="34"/>
      <c r="AV31" s="34"/>
      <c r="AW31" s="34"/>
      <c r="AX31" s="34"/>
      <c r="AY31" s="34"/>
      <c r="AZ31" s="34"/>
      <c r="BA31" s="34"/>
      <c r="BB31" s="34">
        <v>2</v>
      </c>
      <c r="BC31" s="34"/>
      <c r="BD31" s="34"/>
      <c r="BE31" s="34"/>
      <c r="BF31" s="64"/>
      <c r="BT31" s="64">
        <v>2</v>
      </c>
      <c r="BU31" s="64"/>
      <c r="BV31" s="64"/>
      <c r="BW31" s="64"/>
      <c r="BX31" s="64"/>
      <c r="BY31" s="64"/>
      <c r="BZ31" s="64"/>
      <c r="CA31" s="64"/>
    </row>
    <row r="32" spans="1:79" ht="15" customHeight="1" x14ac:dyDescent="0.25">
      <c r="A32" s="22"/>
      <c r="B32" s="22">
        <v>26</v>
      </c>
      <c r="C32" s="70" t="s">
        <v>102</v>
      </c>
      <c r="D32" s="174"/>
      <c r="E32" s="22" t="s">
        <v>147</v>
      </c>
      <c r="F32" s="22" t="s">
        <v>148</v>
      </c>
      <c r="G32" s="22" t="s">
        <v>146</v>
      </c>
      <c r="H32" s="22" t="s">
        <v>78</v>
      </c>
      <c r="I32" s="55">
        <v>18.7</v>
      </c>
      <c r="J32" s="55">
        <v>30</v>
      </c>
      <c r="K32" s="55">
        <f t="shared" si="0"/>
        <v>4.870000000000001</v>
      </c>
      <c r="L32" s="55">
        <f t="shared" si="1"/>
        <v>53.570000000000007</v>
      </c>
      <c r="M32" s="55">
        <f t="shared" si="2"/>
        <v>54</v>
      </c>
      <c r="N32" s="56">
        <v>55</v>
      </c>
      <c r="O32" s="57">
        <f t="shared" si="3"/>
        <v>37.643099999999997</v>
      </c>
      <c r="P32" s="58">
        <f t="shared" si="4"/>
        <v>1</v>
      </c>
      <c r="Q32" s="59">
        <f t="shared" si="5"/>
        <v>9.1666666666666661</v>
      </c>
      <c r="R32" s="60">
        <v>9</v>
      </c>
      <c r="S32" s="60">
        <v>6</v>
      </c>
      <c r="T32" s="60">
        <f t="shared" si="6"/>
        <v>10</v>
      </c>
      <c r="U32" s="61">
        <f t="shared" si="7"/>
        <v>5</v>
      </c>
      <c r="V32" s="62"/>
      <c r="W32" s="30"/>
      <c r="X32" s="30"/>
      <c r="Y32" s="30"/>
      <c r="Z32" s="30"/>
      <c r="AA32" s="30"/>
      <c r="AB32" s="30"/>
      <c r="AC32" s="30">
        <v>1</v>
      </c>
      <c r="AD32" s="30">
        <v>1</v>
      </c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1"/>
      <c r="AQ32" s="32">
        <v>5</v>
      </c>
      <c r="AR32" s="33"/>
      <c r="AS32" s="31"/>
      <c r="AT32" s="63"/>
      <c r="AU32" s="34"/>
      <c r="AV32" s="34"/>
      <c r="AW32" s="34"/>
      <c r="AX32" s="34"/>
      <c r="AY32" s="34"/>
      <c r="AZ32" s="34">
        <v>1</v>
      </c>
      <c r="BA32" s="34"/>
      <c r="BB32" s="34"/>
      <c r="BC32" s="34"/>
      <c r="BD32" s="34"/>
      <c r="BE32" s="34"/>
      <c r="BF32" s="64">
        <v>1</v>
      </c>
      <c r="BQ32" s="64">
        <v>1</v>
      </c>
      <c r="BT32" s="64"/>
      <c r="BU32" s="64"/>
      <c r="BV32" s="64"/>
      <c r="BW32" s="64"/>
      <c r="BX32" s="64"/>
      <c r="BY32" s="64"/>
      <c r="BZ32" s="64"/>
      <c r="CA32" s="64"/>
    </row>
    <row r="33" spans="1:79" ht="15" customHeight="1" x14ac:dyDescent="0.25">
      <c r="A33" s="22"/>
      <c r="B33" s="22">
        <v>27</v>
      </c>
      <c r="C33" s="70" t="s">
        <v>102</v>
      </c>
      <c r="D33" s="174"/>
      <c r="E33" s="22" t="s">
        <v>149</v>
      </c>
      <c r="F33" s="22" t="s">
        <v>150</v>
      </c>
      <c r="G33" s="22" t="s">
        <v>146</v>
      </c>
      <c r="H33" s="22" t="s">
        <v>78</v>
      </c>
      <c r="I33" s="55">
        <v>16.5</v>
      </c>
      <c r="J33" s="55">
        <v>25</v>
      </c>
      <c r="K33" s="55">
        <f t="shared" si="0"/>
        <v>4.1500000000000004</v>
      </c>
      <c r="L33" s="55">
        <f t="shared" si="1"/>
        <v>45.65</v>
      </c>
      <c r="M33" s="55">
        <f t="shared" si="2"/>
        <v>46</v>
      </c>
      <c r="N33" s="56">
        <v>46</v>
      </c>
      <c r="O33" s="57">
        <f t="shared" si="3"/>
        <v>33.214499999999994</v>
      </c>
      <c r="P33" s="58">
        <f t="shared" si="4"/>
        <v>0</v>
      </c>
      <c r="Q33" s="59">
        <f t="shared" si="5"/>
        <v>7.666666666666667</v>
      </c>
      <c r="R33" s="60">
        <v>12</v>
      </c>
      <c r="S33" s="60">
        <f>6+6</f>
        <v>12</v>
      </c>
      <c r="T33" s="60">
        <f t="shared" si="6"/>
        <v>14</v>
      </c>
      <c r="U33" s="61">
        <f t="shared" si="7"/>
        <v>10</v>
      </c>
      <c r="V33" s="62"/>
      <c r="W33" s="30"/>
      <c r="X33" s="30"/>
      <c r="Y33" s="30">
        <v>1</v>
      </c>
      <c r="Z33" s="30">
        <v>1</v>
      </c>
      <c r="AA33" s="30"/>
      <c r="AB33" s="30"/>
      <c r="AC33" s="30">
        <v>1</v>
      </c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1"/>
      <c r="AQ33" s="32"/>
      <c r="AR33" s="33"/>
      <c r="AS33" s="31"/>
      <c r="AT33" s="63">
        <v>1</v>
      </c>
      <c r="AU33" s="34"/>
      <c r="AV33" s="34"/>
      <c r="AW33" s="34"/>
      <c r="AX33" s="34"/>
      <c r="AY33" s="34"/>
      <c r="AZ33" s="34">
        <v>1</v>
      </c>
      <c r="BA33" s="34"/>
      <c r="BB33" s="34"/>
      <c r="BC33" s="34"/>
      <c r="BD33" s="34">
        <v>1</v>
      </c>
      <c r="BE33" s="34">
        <v>1</v>
      </c>
      <c r="BF33" s="64">
        <v>4</v>
      </c>
      <c r="BK33" s="64">
        <v>1</v>
      </c>
      <c r="BL33" s="64">
        <v>2</v>
      </c>
      <c r="BO33" s="64">
        <v>4</v>
      </c>
      <c r="BT33" s="64"/>
      <c r="BU33" s="64"/>
      <c r="BV33" s="64"/>
      <c r="BW33" s="64"/>
      <c r="BX33" s="64"/>
      <c r="BY33" s="64"/>
      <c r="BZ33" s="64"/>
      <c r="CA33" s="64"/>
    </row>
    <row r="34" spans="1:79" ht="15" customHeight="1" x14ac:dyDescent="0.25">
      <c r="A34" s="22"/>
      <c r="B34" s="22">
        <v>28</v>
      </c>
      <c r="C34" s="70" t="s">
        <v>102</v>
      </c>
      <c r="D34" s="174"/>
      <c r="E34" s="22" t="s">
        <v>151</v>
      </c>
      <c r="F34" s="22" t="s">
        <v>152</v>
      </c>
      <c r="G34" s="22" t="s">
        <v>146</v>
      </c>
      <c r="H34" s="22" t="s">
        <v>78</v>
      </c>
      <c r="I34" s="55">
        <v>21.9</v>
      </c>
      <c r="J34" s="55">
        <v>30</v>
      </c>
      <c r="K34" s="55">
        <f>(I34+J34)*0.1</f>
        <v>5.19</v>
      </c>
      <c r="L34" s="55">
        <f>SUM(I34:K34)</f>
        <v>57.089999999999996</v>
      </c>
      <c r="M34" s="55">
        <f>ROUND(L34,0)</f>
        <v>57</v>
      </c>
      <c r="N34" s="56">
        <v>57</v>
      </c>
      <c r="O34" s="57">
        <f t="shared" si="3"/>
        <v>44.084699999999998</v>
      </c>
      <c r="P34" s="58">
        <f>N34-M34</f>
        <v>0</v>
      </c>
      <c r="Q34" s="59">
        <f t="shared" si="5"/>
        <v>9.5</v>
      </c>
      <c r="R34" s="60">
        <v>4</v>
      </c>
      <c r="S34" s="60"/>
      <c r="T34" s="60">
        <f t="shared" si="6"/>
        <v>0</v>
      </c>
      <c r="U34" s="61">
        <f>R34+S34-T34</f>
        <v>4</v>
      </c>
      <c r="V34" s="62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1"/>
      <c r="AQ34" s="32"/>
      <c r="AR34" s="33"/>
      <c r="AS34" s="31"/>
      <c r="AT34" s="63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64"/>
      <c r="BT34" s="64"/>
      <c r="BU34" s="64"/>
      <c r="BV34" s="64"/>
      <c r="BW34" s="64"/>
      <c r="BX34" s="64"/>
      <c r="BY34" s="64"/>
      <c r="BZ34" s="64"/>
      <c r="CA34" s="64"/>
    </row>
    <row r="35" spans="1:79" ht="15" customHeight="1" x14ac:dyDescent="0.25">
      <c r="A35" s="22"/>
      <c r="B35" s="29">
        <v>29</v>
      </c>
      <c r="C35" s="70" t="s">
        <v>102</v>
      </c>
      <c r="D35" s="174"/>
      <c r="E35" s="68" t="s">
        <v>153</v>
      </c>
      <c r="F35" s="22" t="s">
        <v>154</v>
      </c>
      <c r="G35" s="22" t="s">
        <v>146</v>
      </c>
      <c r="H35" s="22" t="s">
        <v>78</v>
      </c>
      <c r="I35" s="55">
        <v>23.66</v>
      </c>
      <c r="J35" s="55">
        <f>IF(I35&lt;=15,$L$2,$L$3)</f>
        <v>30</v>
      </c>
      <c r="K35" s="55">
        <f t="shared" si="0"/>
        <v>5.3659999999999997</v>
      </c>
      <c r="L35" s="55">
        <f t="shared" si="1"/>
        <v>59.025999999999996</v>
      </c>
      <c r="M35" s="55">
        <f t="shared" si="2"/>
        <v>59</v>
      </c>
      <c r="N35" s="56">
        <v>59</v>
      </c>
      <c r="O35" s="57">
        <f t="shared" si="3"/>
        <v>47.627580000000002</v>
      </c>
      <c r="P35" s="58">
        <f t="shared" si="4"/>
        <v>0</v>
      </c>
      <c r="Q35" s="59">
        <f t="shared" si="5"/>
        <v>9.8333333333333339</v>
      </c>
      <c r="R35" s="60">
        <v>6</v>
      </c>
      <c r="S35" s="60"/>
      <c r="T35" s="60">
        <f t="shared" si="6"/>
        <v>5</v>
      </c>
      <c r="U35" s="61">
        <f t="shared" si="7"/>
        <v>1</v>
      </c>
      <c r="V35" s="62"/>
      <c r="W35" s="30"/>
      <c r="X35" s="30"/>
      <c r="Y35" s="30"/>
      <c r="Z35" s="30"/>
      <c r="AA35" s="30"/>
      <c r="AB35" s="30"/>
      <c r="AC35" s="30"/>
      <c r="AD35" s="30"/>
      <c r="AE35" s="30"/>
      <c r="AF35" s="30">
        <v>1</v>
      </c>
      <c r="AG35" s="30"/>
      <c r="AH35" s="30"/>
      <c r="AI35" s="30"/>
      <c r="AJ35" s="30"/>
      <c r="AK35" s="30"/>
      <c r="AL35" s="30"/>
      <c r="AM35" s="30"/>
      <c r="AN35" s="30"/>
      <c r="AO35" s="30"/>
      <c r="AP35" s="31"/>
      <c r="AQ35" s="32"/>
      <c r="AR35" s="33"/>
      <c r="AS35" s="31">
        <v>1</v>
      </c>
      <c r="AT35" s="63"/>
      <c r="AU35" s="34"/>
      <c r="AV35" s="34"/>
      <c r="AW35" s="34"/>
      <c r="AX35" s="34"/>
      <c r="AY35" s="34"/>
      <c r="AZ35" s="34"/>
      <c r="BA35" s="34"/>
      <c r="BB35" s="34"/>
      <c r="BC35" s="34">
        <v>1</v>
      </c>
      <c r="BD35" s="34"/>
      <c r="BE35" s="34"/>
      <c r="BF35" s="64"/>
      <c r="BH35" s="64">
        <v>1</v>
      </c>
      <c r="BK35" s="64">
        <v>1</v>
      </c>
      <c r="BT35" s="64"/>
      <c r="BU35" s="64"/>
      <c r="BV35" s="64"/>
      <c r="BW35" s="64"/>
      <c r="BX35" s="64"/>
      <c r="BY35" s="64"/>
      <c r="BZ35" s="64"/>
      <c r="CA35" s="64"/>
    </row>
    <row r="36" spans="1:79" ht="15" customHeight="1" x14ac:dyDescent="0.25">
      <c r="A36" s="71"/>
      <c r="B36" s="22">
        <v>30</v>
      </c>
      <c r="C36" s="70" t="s">
        <v>102</v>
      </c>
      <c r="D36" s="174"/>
      <c r="E36" s="22" t="s">
        <v>155</v>
      </c>
      <c r="F36" s="178" t="s">
        <v>156</v>
      </c>
      <c r="G36" s="22" t="s">
        <v>146</v>
      </c>
      <c r="H36" s="22" t="s">
        <v>135</v>
      </c>
      <c r="I36" s="55">
        <v>17.190000000000001</v>
      </c>
      <c r="J36" s="55">
        <v>30</v>
      </c>
      <c r="K36" s="55">
        <f>(I36+J36)*0.1</f>
        <v>4.7190000000000003</v>
      </c>
      <c r="L36" s="55">
        <f>SUM(I36:K36)</f>
        <v>51.908999999999999</v>
      </c>
      <c r="M36" s="55">
        <v>46</v>
      </c>
      <c r="N36" s="56">
        <v>52</v>
      </c>
      <c r="O36" s="57">
        <f t="shared" si="3"/>
        <v>34.603470000000002</v>
      </c>
      <c r="P36" s="58">
        <f>N36-M36</f>
        <v>6</v>
      </c>
      <c r="Q36" s="59">
        <f t="shared" si="5"/>
        <v>8.6666666666666661</v>
      </c>
      <c r="R36" s="60">
        <v>0</v>
      </c>
      <c r="S36" s="60">
        <f>24+6+18+6+6</f>
        <v>60</v>
      </c>
      <c r="T36" s="60">
        <f t="shared" si="6"/>
        <v>47</v>
      </c>
      <c r="U36" s="61">
        <f>R36+S36-T36</f>
        <v>13</v>
      </c>
      <c r="V36" s="62"/>
      <c r="W36" s="30">
        <v>5</v>
      </c>
      <c r="X36" s="30">
        <v>2</v>
      </c>
      <c r="Y36" s="30">
        <v>1</v>
      </c>
      <c r="Z36" s="30">
        <v>2</v>
      </c>
      <c r="AA36" s="30">
        <v>10</v>
      </c>
      <c r="AB36" s="30">
        <v>5</v>
      </c>
      <c r="AC36" s="30">
        <v>5</v>
      </c>
      <c r="AD36" s="30">
        <v>4</v>
      </c>
      <c r="AE36" s="30">
        <v>1</v>
      </c>
      <c r="AF36" s="30">
        <v>4</v>
      </c>
      <c r="AG36" s="30">
        <v>1</v>
      </c>
      <c r="AH36" s="30"/>
      <c r="AI36" s="30"/>
      <c r="AJ36" s="30"/>
      <c r="AK36" s="30"/>
      <c r="AL36" s="30"/>
      <c r="AM36" s="30"/>
      <c r="AN36" s="30"/>
      <c r="AO36" s="30"/>
      <c r="AP36" s="31"/>
      <c r="AQ36" s="32"/>
      <c r="AR36" s="33">
        <v>1</v>
      </c>
      <c r="AS36" s="31"/>
      <c r="AT36" s="63"/>
      <c r="AU36" s="34"/>
      <c r="AV36" s="34"/>
      <c r="AW36" s="34"/>
      <c r="AX36" s="34"/>
      <c r="AY36" s="34"/>
      <c r="AZ36" s="34"/>
      <c r="BA36" s="34"/>
      <c r="BB36" s="34">
        <v>2</v>
      </c>
      <c r="BC36" s="34"/>
      <c r="BD36" s="34"/>
      <c r="BE36" s="34">
        <v>2</v>
      </c>
      <c r="BF36" s="64"/>
      <c r="BI36" s="64">
        <v>1</v>
      </c>
      <c r="BN36" s="64">
        <v>1</v>
      </c>
      <c r="BO36" s="64">
        <v>1</v>
      </c>
      <c r="BT36" s="64">
        <v>1</v>
      </c>
      <c r="BU36" s="64"/>
      <c r="BV36" s="64"/>
      <c r="BW36" s="64"/>
      <c r="BX36" s="64"/>
      <c r="BY36" s="64"/>
      <c r="BZ36" s="64"/>
      <c r="CA36" s="64"/>
    </row>
    <row r="37" spans="1:79" ht="15" customHeight="1" x14ac:dyDescent="0.25">
      <c r="A37" s="22"/>
      <c r="B37" s="29">
        <v>33</v>
      </c>
      <c r="C37" s="70" t="s">
        <v>102</v>
      </c>
      <c r="D37" s="174"/>
      <c r="E37" s="22" t="s">
        <v>157</v>
      </c>
      <c r="F37" s="178" t="s">
        <v>158</v>
      </c>
      <c r="G37" s="22" t="s">
        <v>146</v>
      </c>
      <c r="H37" s="22" t="s">
        <v>137</v>
      </c>
      <c r="I37" s="55">
        <v>26</v>
      </c>
      <c r="J37" s="55">
        <f>IF(I37&lt;=15,$L$2,$L$3)</f>
        <v>30</v>
      </c>
      <c r="K37" s="55">
        <f t="shared" si="0"/>
        <v>5.6000000000000005</v>
      </c>
      <c r="L37" s="55">
        <f t="shared" si="1"/>
        <v>61.6</v>
      </c>
      <c r="M37" s="55">
        <f t="shared" si="2"/>
        <v>62</v>
      </c>
      <c r="N37" s="56">
        <v>62</v>
      </c>
      <c r="O37" s="57">
        <f t="shared" si="3"/>
        <v>52.337999999999994</v>
      </c>
      <c r="P37" s="58">
        <f t="shared" si="4"/>
        <v>0</v>
      </c>
      <c r="Q37" s="59">
        <f t="shared" si="5"/>
        <v>10.333333333333334</v>
      </c>
      <c r="R37" s="60"/>
      <c r="S37" s="60">
        <f>6+6</f>
        <v>12</v>
      </c>
      <c r="T37" s="60">
        <f t="shared" si="6"/>
        <v>5</v>
      </c>
      <c r="U37" s="61">
        <f t="shared" si="7"/>
        <v>7</v>
      </c>
      <c r="V37" s="62"/>
      <c r="W37" s="30"/>
      <c r="X37" s="30"/>
      <c r="Y37" s="30"/>
      <c r="Z37" s="30"/>
      <c r="AA37" s="30"/>
      <c r="AB37" s="30"/>
      <c r="AC37" s="30"/>
      <c r="AD37" s="30">
        <v>1</v>
      </c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1"/>
      <c r="AQ37" s="32"/>
      <c r="AR37" s="33"/>
      <c r="AS37" s="31">
        <v>1</v>
      </c>
      <c r="AT37" s="63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64">
        <v>2</v>
      </c>
      <c r="BG37" s="64">
        <v>1</v>
      </c>
      <c r="BT37" s="64"/>
      <c r="BU37" s="64"/>
      <c r="BV37" s="64"/>
      <c r="BW37" s="64"/>
      <c r="BX37" s="64"/>
      <c r="BY37" s="64"/>
      <c r="BZ37" s="64"/>
      <c r="CA37" s="64"/>
    </row>
    <row r="38" spans="1:79" ht="15" customHeight="1" x14ac:dyDescent="0.25">
      <c r="A38" s="22"/>
      <c r="B38" s="22">
        <v>34</v>
      </c>
      <c r="C38" s="70" t="s">
        <v>102</v>
      </c>
      <c r="D38" s="174"/>
      <c r="E38" s="22" t="s">
        <v>159</v>
      </c>
      <c r="F38" s="178" t="s">
        <v>160</v>
      </c>
      <c r="G38" s="22" t="s">
        <v>161</v>
      </c>
      <c r="H38" s="22" t="s">
        <v>84</v>
      </c>
      <c r="I38" s="55">
        <v>25.5</v>
      </c>
      <c r="J38" s="55">
        <f>IF(I38&lt;=15,$L$2,$L$3)</f>
        <v>30</v>
      </c>
      <c r="K38" s="55">
        <f t="shared" si="0"/>
        <v>5.5500000000000007</v>
      </c>
      <c r="L38" s="55">
        <f t="shared" si="1"/>
        <v>61.05</v>
      </c>
      <c r="M38" s="55">
        <f t="shared" si="2"/>
        <v>61</v>
      </c>
      <c r="N38" s="56">
        <v>61</v>
      </c>
      <c r="O38" s="57">
        <f t="shared" ref="O38:O73" si="41">I38*$O$2*1.22</f>
        <v>51.331499999999991</v>
      </c>
      <c r="P38" s="58">
        <f t="shared" si="4"/>
        <v>0</v>
      </c>
      <c r="Q38" s="59">
        <f t="shared" ref="Q38:Q73" si="42">N38/$Q$3</f>
        <v>10.166666666666666</v>
      </c>
      <c r="R38" s="60">
        <v>3</v>
      </c>
      <c r="S38" s="60">
        <v>2</v>
      </c>
      <c r="T38" s="60">
        <f t="shared" si="6"/>
        <v>0</v>
      </c>
      <c r="U38" s="61">
        <f t="shared" si="7"/>
        <v>5</v>
      </c>
      <c r="V38" s="62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1"/>
      <c r="AQ38" s="32"/>
      <c r="AR38" s="33"/>
      <c r="AS38" s="31"/>
      <c r="AT38" s="63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64"/>
      <c r="BT38" s="64"/>
      <c r="BU38" s="64"/>
      <c r="BV38" s="64"/>
      <c r="BW38" s="64"/>
      <c r="BX38" s="64"/>
      <c r="BY38" s="64"/>
      <c r="BZ38" s="64"/>
      <c r="CA38" s="64"/>
    </row>
    <row r="39" spans="1:79" ht="15" customHeight="1" x14ac:dyDescent="0.25">
      <c r="A39" s="22"/>
      <c r="B39" s="22">
        <v>35</v>
      </c>
      <c r="C39" s="70" t="s">
        <v>102</v>
      </c>
      <c r="D39" s="174"/>
      <c r="E39" s="29" t="s">
        <v>162</v>
      </c>
      <c r="F39" s="22" t="s">
        <v>163</v>
      </c>
      <c r="G39" s="22" t="s">
        <v>161</v>
      </c>
      <c r="H39" s="22" t="s">
        <v>164</v>
      </c>
      <c r="I39" s="55">
        <v>48.5</v>
      </c>
      <c r="J39" s="55">
        <v>40</v>
      </c>
      <c r="K39" s="55">
        <f t="shared" si="0"/>
        <v>8.85</v>
      </c>
      <c r="L39" s="55">
        <f t="shared" si="1"/>
        <v>97.35</v>
      </c>
      <c r="M39" s="55">
        <f t="shared" si="2"/>
        <v>97</v>
      </c>
      <c r="N39" s="56">
        <v>97</v>
      </c>
      <c r="O39" s="57">
        <f t="shared" si="41"/>
        <v>97.630499999999984</v>
      </c>
      <c r="P39" s="58">
        <f t="shared" si="4"/>
        <v>0</v>
      </c>
      <c r="Q39" s="59">
        <f t="shared" si="42"/>
        <v>16.166666666666668</v>
      </c>
      <c r="R39" s="60">
        <v>4</v>
      </c>
      <c r="S39" s="60"/>
      <c r="T39" s="60">
        <f t="shared" si="6"/>
        <v>1</v>
      </c>
      <c r="U39" s="61">
        <f t="shared" si="7"/>
        <v>3</v>
      </c>
      <c r="V39" s="62"/>
      <c r="W39" s="30">
        <v>1</v>
      </c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1"/>
      <c r="AQ39" s="32"/>
      <c r="AR39" s="33"/>
      <c r="AS39" s="31"/>
      <c r="AT39" s="63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64"/>
      <c r="BT39" s="64"/>
      <c r="BU39" s="64"/>
      <c r="BV39" s="64"/>
      <c r="BW39" s="64"/>
      <c r="BX39" s="64"/>
      <c r="BY39" s="64"/>
      <c r="BZ39" s="64"/>
      <c r="CA39" s="64"/>
    </row>
    <row r="40" spans="1:79" ht="15" customHeight="1" x14ac:dyDescent="0.25">
      <c r="A40" s="22"/>
      <c r="B40" s="22">
        <v>36</v>
      </c>
      <c r="C40" s="70" t="s">
        <v>102</v>
      </c>
      <c r="D40" s="174"/>
      <c r="E40" s="22" t="s">
        <v>165</v>
      </c>
      <c r="F40" s="22" t="s">
        <v>166</v>
      </c>
      <c r="G40" s="22" t="s">
        <v>161</v>
      </c>
      <c r="H40" s="22" t="s">
        <v>164</v>
      </c>
      <c r="I40" s="55">
        <v>63.5</v>
      </c>
      <c r="J40" s="55">
        <v>50</v>
      </c>
      <c r="K40" s="55">
        <f t="shared" ref="K40:K45" si="43">(I40+J40)*0.1</f>
        <v>11.350000000000001</v>
      </c>
      <c r="L40" s="55">
        <f t="shared" ref="L40:L45" si="44">SUM(I40:K40)</f>
        <v>124.85</v>
      </c>
      <c r="M40" s="55">
        <f t="shared" ref="M40:M45" si="45">ROUND(L40,0)</f>
        <v>125</v>
      </c>
      <c r="N40" s="56">
        <v>127</v>
      </c>
      <c r="O40" s="57">
        <f t="shared" si="41"/>
        <v>127.82549999999999</v>
      </c>
      <c r="P40" s="58">
        <f t="shared" ref="P40:P45" si="46">N40-M40</f>
        <v>2</v>
      </c>
      <c r="Q40" s="59">
        <f t="shared" si="42"/>
        <v>21.166666666666668</v>
      </c>
      <c r="R40" s="60">
        <v>3</v>
      </c>
      <c r="S40" s="60"/>
      <c r="T40" s="60">
        <f t="shared" si="6"/>
        <v>1</v>
      </c>
      <c r="U40" s="61">
        <f t="shared" ref="U40:U45" si="47">R40+S40-T40</f>
        <v>2</v>
      </c>
      <c r="V40" s="62"/>
      <c r="W40" s="30"/>
      <c r="X40" s="30"/>
      <c r="Y40" s="30"/>
      <c r="Z40" s="30"/>
      <c r="AA40" s="30"/>
      <c r="AB40" s="30">
        <v>1</v>
      </c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1"/>
      <c r="AQ40" s="32"/>
      <c r="AR40" s="33"/>
      <c r="AS40" s="31"/>
      <c r="AT40" s="63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64"/>
      <c r="BT40" s="64"/>
      <c r="BU40" s="64"/>
      <c r="BV40" s="64"/>
      <c r="BW40" s="64"/>
      <c r="BX40" s="64"/>
      <c r="BY40" s="64"/>
      <c r="BZ40" s="64"/>
      <c r="CA40" s="64"/>
    </row>
    <row r="41" spans="1:79" ht="15" customHeight="1" x14ac:dyDescent="0.25">
      <c r="A41" s="22"/>
      <c r="B41" s="29">
        <v>37</v>
      </c>
      <c r="C41" s="70" t="s">
        <v>102</v>
      </c>
      <c r="D41" s="174"/>
      <c r="E41" s="22" t="s">
        <v>167</v>
      </c>
      <c r="F41" s="22" t="s">
        <v>168</v>
      </c>
      <c r="G41" s="22" t="s">
        <v>161</v>
      </c>
      <c r="H41" s="22" t="s">
        <v>135</v>
      </c>
      <c r="I41" s="55">
        <v>56.25</v>
      </c>
      <c r="J41" s="55">
        <v>40</v>
      </c>
      <c r="K41" s="55">
        <f t="shared" si="43"/>
        <v>9.625</v>
      </c>
      <c r="L41" s="55">
        <f t="shared" si="44"/>
        <v>105.875</v>
      </c>
      <c r="M41" s="55">
        <f t="shared" si="45"/>
        <v>106</v>
      </c>
      <c r="N41" s="81">
        <v>106</v>
      </c>
      <c r="O41" s="57">
        <f>I41*$O$2*1.22</f>
        <v>113.23125</v>
      </c>
      <c r="P41" s="58">
        <f t="shared" si="46"/>
        <v>0</v>
      </c>
      <c r="Q41" s="59">
        <f>N41/$Q$3</f>
        <v>17.666666666666668</v>
      </c>
      <c r="R41" s="60">
        <v>4</v>
      </c>
      <c r="S41" s="60">
        <v>3</v>
      </c>
      <c r="T41" s="60">
        <f>W41+X41+Y41+Z41+AA41+AB41+AC41+AD41+AE41+AF41+AG41+AH41+AI41+AJ41+AK41+AL41+AM41+AN41+AO41+AP41+AQ41+AR41+AS41+AT41+AU41+AV41+AW41+AX41+AY41+AZ41+BA41+BB41+BC41+BD41+BE41+BF41+BG41+BH41+BI41+BJ41+BK41+BL41+BM41+BQ41+BR41+BS41+BT41</f>
        <v>5</v>
      </c>
      <c r="U41" s="61">
        <f t="shared" si="47"/>
        <v>2</v>
      </c>
      <c r="V41" s="62"/>
      <c r="W41" s="30">
        <v>2</v>
      </c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1"/>
      <c r="AQ41" s="32"/>
      <c r="AR41" s="33"/>
      <c r="AS41" s="31"/>
      <c r="AT41" s="63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64"/>
      <c r="BT41" s="64">
        <v>3</v>
      </c>
      <c r="BU41" s="64"/>
      <c r="BV41" s="64"/>
      <c r="BW41" s="64"/>
      <c r="BX41" s="64"/>
      <c r="BY41" s="64"/>
      <c r="BZ41" s="64"/>
      <c r="CA41" s="64"/>
    </row>
    <row r="42" spans="1:79" ht="15" customHeight="1" x14ac:dyDescent="0.25">
      <c r="A42" s="22"/>
      <c r="B42" s="22">
        <v>39</v>
      </c>
      <c r="C42" s="70" t="s">
        <v>102</v>
      </c>
      <c r="D42" s="174"/>
      <c r="E42" s="22" t="s">
        <v>169</v>
      </c>
      <c r="F42" s="22" t="s">
        <v>170</v>
      </c>
      <c r="G42" s="22" t="s">
        <v>161</v>
      </c>
      <c r="H42" s="22" t="s">
        <v>171</v>
      </c>
      <c r="I42" s="55">
        <v>34.799999999999997</v>
      </c>
      <c r="J42" s="55">
        <v>30</v>
      </c>
      <c r="K42" s="55">
        <f t="shared" si="43"/>
        <v>6.48</v>
      </c>
      <c r="L42" s="55">
        <f t="shared" si="44"/>
        <v>71.28</v>
      </c>
      <c r="M42" s="55">
        <f t="shared" si="45"/>
        <v>71</v>
      </c>
      <c r="N42" s="56">
        <v>72</v>
      </c>
      <c r="O42" s="57">
        <f t="shared" si="41"/>
        <v>70.052399999999992</v>
      </c>
      <c r="P42" s="58">
        <f t="shared" si="46"/>
        <v>1</v>
      </c>
      <c r="Q42" s="59">
        <f t="shared" si="42"/>
        <v>12</v>
      </c>
      <c r="R42" s="60">
        <v>7</v>
      </c>
      <c r="S42" s="60">
        <v>6</v>
      </c>
      <c r="T42" s="60">
        <f t="shared" si="6"/>
        <v>2</v>
      </c>
      <c r="U42" s="61">
        <f t="shared" si="47"/>
        <v>11</v>
      </c>
      <c r="V42" s="62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1"/>
      <c r="AQ42" s="32"/>
      <c r="AR42" s="33"/>
      <c r="AS42" s="31"/>
      <c r="AT42" s="63"/>
      <c r="AU42" s="34"/>
      <c r="AV42" s="34"/>
      <c r="AW42" s="34"/>
      <c r="AX42" s="34"/>
      <c r="AY42" s="34"/>
      <c r="AZ42" s="34"/>
      <c r="BA42" s="34"/>
      <c r="BB42" s="34"/>
      <c r="BC42" s="34"/>
      <c r="BD42" s="34">
        <v>2</v>
      </c>
      <c r="BE42" s="34"/>
      <c r="BF42" s="64"/>
      <c r="BT42" s="64"/>
      <c r="BU42" s="64"/>
      <c r="BV42" s="64"/>
      <c r="BW42" s="64"/>
      <c r="BX42" s="64"/>
      <c r="BY42" s="64"/>
      <c r="BZ42" s="64"/>
      <c r="CA42" s="64"/>
    </row>
    <row r="43" spans="1:79" ht="15" customHeight="1" x14ac:dyDescent="0.25">
      <c r="A43" s="22"/>
      <c r="B43" s="22">
        <v>40</v>
      </c>
      <c r="C43" s="70" t="s">
        <v>102</v>
      </c>
      <c r="D43" s="174">
        <v>2013</v>
      </c>
      <c r="E43" s="22" t="s">
        <v>172</v>
      </c>
      <c r="F43" s="22" t="s">
        <v>173</v>
      </c>
      <c r="G43" s="22" t="s">
        <v>161</v>
      </c>
      <c r="H43" s="22" t="s">
        <v>78</v>
      </c>
      <c r="I43" s="55">
        <v>199</v>
      </c>
      <c r="J43" s="55">
        <v>100</v>
      </c>
      <c r="K43" s="55">
        <f t="shared" si="43"/>
        <v>29.900000000000002</v>
      </c>
      <c r="L43" s="55">
        <f t="shared" si="44"/>
        <v>328.9</v>
      </c>
      <c r="M43" s="55">
        <f t="shared" si="45"/>
        <v>329</v>
      </c>
      <c r="N43" s="56">
        <v>368</v>
      </c>
      <c r="O43" s="57">
        <f t="shared" si="41"/>
        <v>400.58699999999993</v>
      </c>
      <c r="P43" s="58">
        <f t="shared" si="46"/>
        <v>39</v>
      </c>
      <c r="Q43" s="59">
        <f t="shared" si="42"/>
        <v>61.333333333333336</v>
      </c>
      <c r="R43" s="60">
        <v>2</v>
      </c>
      <c r="S43" s="60"/>
      <c r="T43" s="60">
        <f t="shared" si="6"/>
        <v>0</v>
      </c>
      <c r="U43" s="61">
        <f t="shared" si="47"/>
        <v>2</v>
      </c>
      <c r="V43" s="62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1"/>
      <c r="AQ43" s="32"/>
      <c r="AR43" s="33"/>
      <c r="AS43" s="31"/>
      <c r="AT43" s="63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64"/>
      <c r="BT43" s="64"/>
      <c r="BU43" s="64"/>
      <c r="BV43" s="64"/>
      <c r="BW43" s="64"/>
      <c r="BX43" s="64"/>
      <c r="BY43" s="64"/>
      <c r="BZ43" s="64"/>
      <c r="CA43" s="64"/>
    </row>
    <row r="44" spans="1:79" ht="15" customHeight="1" x14ac:dyDescent="0.25">
      <c r="A44" s="22"/>
      <c r="B44" s="29">
        <v>41</v>
      </c>
      <c r="C44" s="70" t="s">
        <v>102</v>
      </c>
      <c r="D44" s="174">
        <v>2009</v>
      </c>
      <c r="E44" s="22" t="s">
        <v>174</v>
      </c>
      <c r="F44" s="22" t="s">
        <v>168</v>
      </c>
      <c r="G44" s="22" t="s">
        <v>161</v>
      </c>
      <c r="H44" s="22" t="s">
        <v>78</v>
      </c>
      <c r="I44" s="55">
        <v>189</v>
      </c>
      <c r="J44" s="55">
        <v>100</v>
      </c>
      <c r="K44" s="55">
        <f t="shared" si="43"/>
        <v>28.900000000000002</v>
      </c>
      <c r="L44" s="55">
        <f t="shared" si="44"/>
        <v>317.89999999999998</v>
      </c>
      <c r="M44" s="55">
        <f t="shared" si="45"/>
        <v>318</v>
      </c>
      <c r="N44" s="56">
        <v>320</v>
      </c>
      <c r="O44" s="57">
        <f t="shared" si="41"/>
        <v>380.45699999999994</v>
      </c>
      <c r="P44" s="58">
        <f t="shared" si="46"/>
        <v>2</v>
      </c>
      <c r="Q44" s="59">
        <f t="shared" si="42"/>
        <v>53.333333333333336</v>
      </c>
      <c r="R44" s="60">
        <v>2</v>
      </c>
      <c r="S44" s="60"/>
      <c r="T44" s="60">
        <f t="shared" si="6"/>
        <v>0</v>
      </c>
      <c r="U44" s="61">
        <f t="shared" si="47"/>
        <v>2</v>
      </c>
      <c r="V44" s="62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1"/>
      <c r="AQ44" s="32"/>
      <c r="AR44" s="33"/>
      <c r="AS44" s="31"/>
      <c r="AT44" s="63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64"/>
      <c r="BT44" s="64"/>
      <c r="BU44" s="64"/>
      <c r="BV44" s="64"/>
      <c r="BW44" s="64"/>
      <c r="BX44" s="64"/>
      <c r="BY44" s="64"/>
      <c r="BZ44" s="64"/>
      <c r="CA44" s="64"/>
    </row>
    <row r="45" spans="1:79" ht="15" customHeight="1" x14ac:dyDescent="0.25">
      <c r="A45" s="22"/>
      <c r="B45" s="22">
        <v>42</v>
      </c>
      <c r="C45" s="70" t="s">
        <v>102</v>
      </c>
      <c r="D45" s="174">
        <v>2011</v>
      </c>
      <c r="E45" s="22" t="s">
        <v>175</v>
      </c>
      <c r="F45" s="22" t="s">
        <v>176</v>
      </c>
      <c r="G45" s="22" t="s">
        <v>161</v>
      </c>
      <c r="H45" s="22" t="s">
        <v>177</v>
      </c>
      <c r="I45" s="55">
        <v>39.15</v>
      </c>
      <c r="J45" s="55">
        <v>40</v>
      </c>
      <c r="K45" s="55">
        <f t="shared" si="43"/>
        <v>7.9150000000000009</v>
      </c>
      <c r="L45" s="55">
        <f t="shared" si="44"/>
        <v>87.065000000000012</v>
      </c>
      <c r="M45" s="55">
        <f t="shared" si="45"/>
        <v>87</v>
      </c>
      <c r="N45" s="56">
        <v>87</v>
      </c>
      <c r="O45" s="57">
        <f t="shared" si="41"/>
        <v>78.808949999999996</v>
      </c>
      <c r="P45" s="58">
        <f t="shared" si="46"/>
        <v>0</v>
      </c>
      <c r="Q45" s="59">
        <f t="shared" si="42"/>
        <v>14.5</v>
      </c>
      <c r="R45" s="60">
        <v>7</v>
      </c>
      <c r="S45" s="60">
        <v>2</v>
      </c>
      <c r="T45" s="60">
        <f t="shared" si="6"/>
        <v>2</v>
      </c>
      <c r="U45" s="61">
        <f t="shared" si="47"/>
        <v>7</v>
      </c>
      <c r="V45" s="62"/>
      <c r="W45" s="30">
        <v>2</v>
      </c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1"/>
      <c r="AQ45" s="32"/>
      <c r="AR45" s="33"/>
      <c r="AS45" s="31"/>
      <c r="AT45" s="63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64"/>
      <c r="BT45" s="64"/>
      <c r="BU45" s="64"/>
      <c r="BV45" s="64"/>
      <c r="BW45" s="64"/>
      <c r="BX45" s="64"/>
      <c r="BY45" s="64"/>
      <c r="BZ45" s="64"/>
      <c r="CA45" s="64"/>
    </row>
    <row r="46" spans="1:79" ht="15" customHeight="1" x14ac:dyDescent="0.25">
      <c r="A46" s="22"/>
      <c r="B46" s="22">
        <v>44</v>
      </c>
      <c r="C46" s="70" t="s">
        <v>102</v>
      </c>
      <c r="D46" s="174"/>
      <c r="E46" s="22" t="s">
        <v>178</v>
      </c>
      <c r="F46" s="22" t="s">
        <v>179</v>
      </c>
      <c r="G46" s="22" t="s">
        <v>161</v>
      </c>
      <c r="H46" s="22" t="s">
        <v>137</v>
      </c>
      <c r="I46" s="55">
        <v>31.2</v>
      </c>
      <c r="J46" s="55">
        <f>IF(I46&lt;=15,$L$2,$L$3)</f>
        <v>30</v>
      </c>
      <c r="K46" s="55">
        <f t="shared" si="0"/>
        <v>6.120000000000001</v>
      </c>
      <c r="L46" s="55">
        <f t="shared" si="1"/>
        <v>67.320000000000007</v>
      </c>
      <c r="M46" s="55">
        <f t="shared" ref="M46:M87" si="48">ROUND(L46,0)</f>
        <v>67</v>
      </c>
      <c r="N46" s="56">
        <v>67</v>
      </c>
      <c r="O46" s="57">
        <f t="shared" si="41"/>
        <v>62.805599999999998</v>
      </c>
      <c r="P46" s="58">
        <f t="shared" si="4"/>
        <v>0</v>
      </c>
      <c r="Q46" s="59">
        <f t="shared" si="42"/>
        <v>11.166666666666666</v>
      </c>
      <c r="R46" s="60">
        <v>6</v>
      </c>
      <c r="S46" s="60">
        <v>6</v>
      </c>
      <c r="T46" s="60">
        <f t="shared" si="6"/>
        <v>4</v>
      </c>
      <c r="U46" s="61">
        <f t="shared" ref="U46:U87" si="49">R46+S46-T46</f>
        <v>8</v>
      </c>
      <c r="V46" s="62"/>
      <c r="W46" s="30"/>
      <c r="X46" s="30"/>
      <c r="Y46" s="30"/>
      <c r="Z46" s="30"/>
      <c r="AA46" s="30">
        <v>1</v>
      </c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1"/>
      <c r="AQ46" s="32"/>
      <c r="AR46" s="33"/>
      <c r="AS46" s="31"/>
      <c r="AT46" s="63">
        <v>1</v>
      </c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64"/>
      <c r="BI46" s="64">
        <v>1</v>
      </c>
      <c r="BQ46" s="64">
        <v>1</v>
      </c>
      <c r="BT46" s="64"/>
      <c r="BU46" s="64"/>
      <c r="BV46" s="64"/>
      <c r="BW46" s="64"/>
      <c r="BX46" s="64"/>
      <c r="BY46" s="64"/>
      <c r="BZ46" s="64"/>
      <c r="CA46" s="64"/>
    </row>
    <row r="47" spans="1:79" ht="15" customHeight="1" x14ac:dyDescent="0.25">
      <c r="A47" s="22"/>
      <c r="B47" s="29">
        <v>45</v>
      </c>
      <c r="C47" s="70" t="s">
        <v>102</v>
      </c>
      <c r="D47" s="174"/>
      <c r="E47" s="22" t="s">
        <v>180</v>
      </c>
      <c r="F47" s="22" t="s">
        <v>181</v>
      </c>
      <c r="G47" s="22" t="s">
        <v>161</v>
      </c>
      <c r="H47" s="22" t="s">
        <v>137</v>
      </c>
      <c r="I47" s="55">
        <v>23.4</v>
      </c>
      <c r="J47" s="55">
        <f>IF(I47&lt;=15,$L$2,$L$3)</f>
        <v>30</v>
      </c>
      <c r="K47" s="55">
        <f t="shared" si="0"/>
        <v>5.34</v>
      </c>
      <c r="L47" s="55">
        <f t="shared" si="1"/>
        <v>58.739999999999995</v>
      </c>
      <c r="M47" s="55">
        <f t="shared" si="48"/>
        <v>59</v>
      </c>
      <c r="N47" s="56">
        <v>56</v>
      </c>
      <c r="O47" s="57">
        <f t="shared" si="41"/>
        <v>47.104199999999992</v>
      </c>
      <c r="P47" s="58">
        <f t="shared" si="4"/>
        <v>-3</v>
      </c>
      <c r="Q47" s="59">
        <f t="shared" si="42"/>
        <v>9.3333333333333339</v>
      </c>
      <c r="R47" s="60">
        <v>8</v>
      </c>
      <c r="S47" s="60">
        <v>2</v>
      </c>
      <c r="T47" s="60">
        <f t="shared" si="6"/>
        <v>7</v>
      </c>
      <c r="U47" s="61">
        <f t="shared" si="49"/>
        <v>3</v>
      </c>
      <c r="V47" s="62"/>
      <c r="W47" s="30"/>
      <c r="X47" s="30"/>
      <c r="Y47" s="30">
        <v>2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1"/>
      <c r="AQ47" s="32"/>
      <c r="AR47" s="33"/>
      <c r="AS47" s="31"/>
      <c r="AT47" s="63"/>
      <c r="AU47" s="34"/>
      <c r="AV47" s="34"/>
      <c r="AW47" s="34"/>
      <c r="AX47" s="34"/>
      <c r="AY47" s="34"/>
      <c r="AZ47" s="34"/>
      <c r="BA47" s="34">
        <v>1</v>
      </c>
      <c r="BB47" s="34"/>
      <c r="BC47" s="34">
        <v>1</v>
      </c>
      <c r="BD47" s="34"/>
      <c r="BE47" s="34">
        <v>1</v>
      </c>
      <c r="BF47" s="64"/>
      <c r="BH47" s="64">
        <v>1</v>
      </c>
      <c r="BT47" s="64">
        <v>1</v>
      </c>
      <c r="BU47" s="64"/>
      <c r="BV47" s="64"/>
      <c r="BW47" s="64"/>
      <c r="BX47" s="64"/>
      <c r="BY47" s="64"/>
      <c r="BZ47" s="64"/>
      <c r="CA47" s="64"/>
    </row>
    <row r="48" spans="1:79" s="54" customFormat="1" ht="15" customHeight="1" x14ac:dyDescent="0.25">
      <c r="A48" s="22"/>
      <c r="B48" s="22">
        <v>46</v>
      </c>
      <c r="C48" s="70" t="s">
        <v>102</v>
      </c>
      <c r="D48" s="174"/>
      <c r="E48" s="22" t="s">
        <v>182</v>
      </c>
      <c r="F48" s="22" t="s">
        <v>183</v>
      </c>
      <c r="G48" s="22" t="s">
        <v>161</v>
      </c>
      <c r="H48" s="22" t="s">
        <v>137</v>
      </c>
      <c r="I48" s="55">
        <v>32</v>
      </c>
      <c r="J48" s="55">
        <f>IF(I48&lt;=15,$L$2,$L$3)</f>
        <v>30</v>
      </c>
      <c r="K48" s="55">
        <f t="shared" si="0"/>
        <v>6.2</v>
      </c>
      <c r="L48" s="55">
        <f t="shared" si="1"/>
        <v>68.2</v>
      </c>
      <c r="M48" s="55">
        <f t="shared" si="48"/>
        <v>68</v>
      </c>
      <c r="N48" s="56">
        <v>68</v>
      </c>
      <c r="O48" s="57">
        <f t="shared" si="41"/>
        <v>64.415999999999997</v>
      </c>
      <c r="P48" s="58">
        <f t="shared" si="4"/>
        <v>0</v>
      </c>
      <c r="Q48" s="59">
        <f t="shared" si="42"/>
        <v>11.333333333333334</v>
      </c>
      <c r="R48" s="60">
        <v>6</v>
      </c>
      <c r="S48" s="60"/>
      <c r="T48" s="60">
        <f t="shared" si="6"/>
        <v>2</v>
      </c>
      <c r="U48" s="61">
        <f t="shared" si="49"/>
        <v>4</v>
      </c>
      <c r="V48" s="62"/>
      <c r="W48" s="30">
        <v>2</v>
      </c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1"/>
      <c r="AQ48" s="32"/>
      <c r="AR48" s="33"/>
      <c r="AS48" s="31"/>
      <c r="AT48" s="63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</row>
    <row r="49" spans="1:79" s="54" customFormat="1" ht="15" customHeight="1" x14ac:dyDescent="0.25">
      <c r="A49" s="22"/>
      <c r="B49" s="22">
        <v>47</v>
      </c>
      <c r="C49" s="70" t="s">
        <v>102</v>
      </c>
      <c r="D49" s="174"/>
      <c r="E49" s="68" t="s">
        <v>184</v>
      </c>
      <c r="F49" s="22" t="s">
        <v>185</v>
      </c>
      <c r="G49" s="22" t="s">
        <v>161</v>
      </c>
      <c r="H49" s="22" t="s">
        <v>137</v>
      </c>
      <c r="I49" s="55">
        <v>62</v>
      </c>
      <c r="J49" s="55">
        <v>60</v>
      </c>
      <c r="K49" s="55">
        <f t="shared" si="0"/>
        <v>12.200000000000001</v>
      </c>
      <c r="L49" s="55">
        <f t="shared" si="1"/>
        <v>134.19999999999999</v>
      </c>
      <c r="M49" s="55">
        <f t="shared" si="48"/>
        <v>134</v>
      </c>
      <c r="N49" s="56">
        <v>132</v>
      </c>
      <c r="O49" s="57">
        <f t="shared" si="41"/>
        <v>124.806</v>
      </c>
      <c r="P49" s="58">
        <f t="shared" si="4"/>
        <v>-2</v>
      </c>
      <c r="Q49" s="59">
        <f t="shared" si="42"/>
        <v>22</v>
      </c>
      <c r="R49" s="60">
        <v>5</v>
      </c>
      <c r="S49" s="60"/>
      <c r="T49" s="60">
        <f t="shared" si="6"/>
        <v>0</v>
      </c>
      <c r="U49" s="61">
        <f t="shared" si="49"/>
        <v>5</v>
      </c>
      <c r="V49" s="62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1"/>
      <c r="AQ49" s="32"/>
      <c r="AR49" s="33"/>
      <c r="AS49" s="31"/>
      <c r="AT49" s="63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</row>
    <row r="50" spans="1:79" ht="14.25" customHeight="1" x14ac:dyDescent="0.25">
      <c r="A50" s="22"/>
      <c r="B50" s="22">
        <v>48</v>
      </c>
      <c r="C50" s="70" t="s">
        <v>102</v>
      </c>
      <c r="D50" s="187"/>
      <c r="E50" s="191" t="s">
        <v>186</v>
      </c>
      <c r="F50" s="178" t="s">
        <v>187</v>
      </c>
      <c r="G50" s="22" t="s">
        <v>161</v>
      </c>
      <c r="H50" s="22" t="s">
        <v>78</v>
      </c>
      <c r="I50" s="55">
        <v>26.9</v>
      </c>
      <c r="J50" s="55">
        <f>IF(I50&lt;=15,$L$2,$L$3)</f>
        <v>30</v>
      </c>
      <c r="K50" s="55">
        <f t="shared" si="0"/>
        <v>5.69</v>
      </c>
      <c r="L50" s="55">
        <f t="shared" si="1"/>
        <v>62.589999999999996</v>
      </c>
      <c r="M50" s="55">
        <f t="shared" si="48"/>
        <v>63</v>
      </c>
      <c r="N50" s="56">
        <v>63</v>
      </c>
      <c r="O50" s="57">
        <f t="shared" si="41"/>
        <v>54.149699999999996</v>
      </c>
      <c r="P50" s="58">
        <f t="shared" si="4"/>
        <v>0</v>
      </c>
      <c r="Q50" s="59">
        <f t="shared" si="42"/>
        <v>10.5</v>
      </c>
      <c r="R50" s="60"/>
      <c r="S50" s="60">
        <v>18</v>
      </c>
      <c r="T50" s="60">
        <v>0</v>
      </c>
      <c r="U50" s="61">
        <f t="shared" si="49"/>
        <v>18</v>
      </c>
      <c r="V50" s="62"/>
      <c r="W50" s="30"/>
      <c r="X50" s="30"/>
      <c r="Y50" s="30">
        <v>1</v>
      </c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1"/>
      <c r="AQ50" s="32"/>
      <c r="AR50" s="33"/>
      <c r="AS50" s="31"/>
      <c r="AT50" s="63"/>
      <c r="AU50" s="34"/>
      <c r="AV50" s="34"/>
      <c r="AW50" s="34"/>
      <c r="AX50" s="34"/>
      <c r="AY50" s="34"/>
      <c r="AZ50" s="34"/>
      <c r="BA50" s="34"/>
      <c r="BB50" s="34"/>
      <c r="BC50" s="34">
        <v>1</v>
      </c>
      <c r="BD50" s="34"/>
      <c r="BE50" s="34">
        <v>1</v>
      </c>
      <c r="BF50" s="64"/>
      <c r="BT50" s="64">
        <v>8</v>
      </c>
      <c r="BU50" s="64"/>
      <c r="BV50" s="64"/>
      <c r="BW50" s="64"/>
      <c r="BX50" s="64"/>
      <c r="BY50" s="64"/>
      <c r="BZ50" s="64"/>
      <c r="CA50" s="64"/>
    </row>
    <row r="51" spans="1:79" s="54" customFormat="1" ht="15" customHeight="1" x14ac:dyDescent="0.25">
      <c r="A51" s="22"/>
      <c r="B51" s="29">
        <v>49</v>
      </c>
      <c r="C51" s="70" t="s">
        <v>102</v>
      </c>
      <c r="D51" s="174"/>
      <c r="E51" s="29" t="s">
        <v>188</v>
      </c>
      <c r="F51" s="22" t="s">
        <v>189</v>
      </c>
      <c r="G51" s="22" t="s">
        <v>161</v>
      </c>
      <c r="H51" s="22" t="s">
        <v>78</v>
      </c>
      <c r="I51" s="55">
        <v>42</v>
      </c>
      <c r="J51" s="55">
        <v>40</v>
      </c>
      <c r="K51" s="55">
        <f t="shared" si="0"/>
        <v>8.2000000000000011</v>
      </c>
      <c r="L51" s="55">
        <f t="shared" si="1"/>
        <v>90.2</v>
      </c>
      <c r="M51" s="55">
        <f t="shared" si="48"/>
        <v>90</v>
      </c>
      <c r="N51" s="56">
        <v>89</v>
      </c>
      <c r="O51" s="57">
        <f t="shared" si="41"/>
        <v>84.545999999999992</v>
      </c>
      <c r="P51" s="58">
        <f t="shared" si="4"/>
        <v>-1</v>
      </c>
      <c r="Q51" s="59">
        <f t="shared" si="42"/>
        <v>14.833333333333334</v>
      </c>
      <c r="R51" s="60">
        <v>8</v>
      </c>
      <c r="S51" s="60">
        <v>3</v>
      </c>
      <c r="T51" s="60">
        <f t="shared" si="6"/>
        <v>5</v>
      </c>
      <c r="U51" s="61">
        <f t="shared" si="49"/>
        <v>6</v>
      </c>
      <c r="V51" s="62"/>
      <c r="W51" s="30">
        <v>2</v>
      </c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1"/>
      <c r="AQ51" s="32"/>
      <c r="AR51" s="33"/>
      <c r="AS51" s="31"/>
      <c r="AT51" s="63"/>
      <c r="AU51" s="34"/>
      <c r="AV51" s="34"/>
      <c r="AW51" s="34"/>
      <c r="AX51" s="34"/>
      <c r="AY51" s="34"/>
      <c r="AZ51" s="34"/>
      <c r="BA51" s="34"/>
      <c r="BB51" s="34">
        <v>2</v>
      </c>
      <c r="BC51" s="34"/>
      <c r="BD51" s="34">
        <v>1</v>
      </c>
      <c r="BE51" s="34"/>
      <c r="BF51" s="64"/>
      <c r="BG51" s="64"/>
      <c r="BH51" s="64"/>
      <c r="BI51" s="64"/>
      <c r="BJ51" s="64"/>
      <c r="BK51" s="64"/>
      <c r="BL51" s="64"/>
      <c r="BM51" s="64"/>
      <c r="BN51" s="64"/>
      <c r="BO51" s="64">
        <v>1</v>
      </c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</row>
    <row r="52" spans="1:79" s="54" customFormat="1" ht="15" customHeight="1" x14ac:dyDescent="0.25">
      <c r="A52" s="22"/>
      <c r="B52" s="22">
        <v>50</v>
      </c>
      <c r="C52" s="70" t="s">
        <v>102</v>
      </c>
      <c r="D52" s="174">
        <v>2018</v>
      </c>
      <c r="E52" s="22" t="s">
        <v>190</v>
      </c>
      <c r="F52" s="22" t="s">
        <v>191</v>
      </c>
      <c r="G52" s="22" t="s">
        <v>161</v>
      </c>
      <c r="H52" s="22" t="s">
        <v>78</v>
      </c>
      <c r="I52" s="55">
        <v>18</v>
      </c>
      <c r="J52" s="55">
        <f>IF(I52&lt;=15,$L$2,$L$3)</f>
        <v>30</v>
      </c>
      <c r="K52" s="55">
        <f t="shared" si="0"/>
        <v>4.8000000000000007</v>
      </c>
      <c r="L52" s="55">
        <f t="shared" si="1"/>
        <v>52.8</v>
      </c>
      <c r="M52" s="55">
        <f t="shared" si="48"/>
        <v>53</v>
      </c>
      <c r="N52" s="56">
        <v>53</v>
      </c>
      <c r="O52" s="57">
        <f t="shared" si="41"/>
        <v>36.234000000000002</v>
      </c>
      <c r="P52" s="58">
        <f t="shared" si="4"/>
        <v>0</v>
      </c>
      <c r="Q52" s="59">
        <f t="shared" si="42"/>
        <v>8.8333333333333339</v>
      </c>
      <c r="R52" s="60">
        <v>3</v>
      </c>
      <c r="S52" s="60">
        <v>3</v>
      </c>
      <c r="T52" s="60">
        <f t="shared" si="6"/>
        <v>3</v>
      </c>
      <c r="U52" s="61">
        <f t="shared" si="49"/>
        <v>3</v>
      </c>
      <c r="V52" s="62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1"/>
      <c r="AQ52" s="32"/>
      <c r="AR52" s="33"/>
      <c r="AS52" s="31"/>
      <c r="AT52" s="63"/>
      <c r="AU52" s="34"/>
      <c r="AV52" s="34"/>
      <c r="AW52" s="34"/>
      <c r="AX52" s="34"/>
      <c r="AY52" s="34"/>
      <c r="AZ52" s="34">
        <v>1</v>
      </c>
      <c r="BA52" s="34"/>
      <c r="BB52" s="34"/>
      <c r="BC52" s="34"/>
      <c r="BD52" s="34"/>
      <c r="BE52" s="3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>
        <v>1</v>
      </c>
      <c r="BR52" s="64"/>
      <c r="BS52" s="64"/>
      <c r="BT52" s="64">
        <v>1</v>
      </c>
      <c r="BU52" s="64"/>
      <c r="BV52" s="64"/>
      <c r="BW52" s="64"/>
      <c r="BX52" s="64"/>
      <c r="BY52" s="64"/>
      <c r="BZ52" s="64"/>
      <c r="CA52" s="64"/>
    </row>
    <row r="53" spans="1:79" s="54" customFormat="1" ht="15" customHeight="1" x14ac:dyDescent="0.25">
      <c r="A53" s="22"/>
      <c r="B53" s="22">
        <v>51</v>
      </c>
      <c r="C53" s="70" t="s">
        <v>102</v>
      </c>
      <c r="D53" s="174"/>
      <c r="E53" s="22" t="s">
        <v>192</v>
      </c>
      <c r="F53" s="22" t="s">
        <v>193</v>
      </c>
      <c r="G53" s="22" t="s">
        <v>161</v>
      </c>
      <c r="H53" s="22" t="s">
        <v>171</v>
      </c>
      <c r="I53" s="55">
        <v>41.5</v>
      </c>
      <c r="J53" s="55">
        <v>40</v>
      </c>
      <c r="K53" s="55">
        <f t="shared" si="0"/>
        <v>8.15</v>
      </c>
      <c r="L53" s="55">
        <f t="shared" si="1"/>
        <v>89.65</v>
      </c>
      <c r="M53" s="55">
        <f t="shared" si="48"/>
        <v>90</v>
      </c>
      <c r="N53" s="56">
        <v>92</v>
      </c>
      <c r="O53" s="57">
        <f t="shared" si="41"/>
        <v>83.53949999999999</v>
      </c>
      <c r="P53" s="58">
        <f t="shared" si="4"/>
        <v>2</v>
      </c>
      <c r="Q53" s="59">
        <f t="shared" si="42"/>
        <v>15.333333333333334</v>
      </c>
      <c r="R53" s="60">
        <v>4</v>
      </c>
      <c r="S53" s="60">
        <v>13</v>
      </c>
      <c r="T53" s="60">
        <f t="shared" si="6"/>
        <v>9</v>
      </c>
      <c r="U53" s="61">
        <f t="shared" si="49"/>
        <v>8</v>
      </c>
      <c r="V53" s="62"/>
      <c r="W53" s="30">
        <v>1</v>
      </c>
      <c r="X53" s="30"/>
      <c r="Y53" s="30">
        <v>1</v>
      </c>
      <c r="Z53" s="30"/>
      <c r="AA53" s="30">
        <v>1</v>
      </c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1"/>
      <c r="AQ53" s="32"/>
      <c r="AR53" s="33"/>
      <c r="AS53" s="31">
        <v>2</v>
      </c>
      <c r="AT53" s="63">
        <v>1</v>
      </c>
      <c r="AU53" s="34"/>
      <c r="AV53" s="34"/>
      <c r="AW53" s="34"/>
      <c r="AX53" s="34"/>
      <c r="AY53" s="34"/>
      <c r="AZ53" s="34"/>
      <c r="BA53" s="34"/>
      <c r="BB53" s="34"/>
      <c r="BC53" s="34"/>
      <c r="BD53" s="34">
        <v>1</v>
      </c>
      <c r="BE53" s="3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>
        <v>1</v>
      </c>
      <c r="BQ53" s="64"/>
      <c r="BR53" s="64"/>
      <c r="BS53" s="64"/>
      <c r="BT53" s="64">
        <v>2</v>
      </c>
      <c r="BU53" s="64"/>
      <c r="BV53" s="64"/>
      <c r="BW53" s="64"/>
      <c r="BX53" s="64"/>
      <c r="BY53" s="64"/>
      <c r="BZ53" s="64"/>
      <c r="CA53" s="64"/>
    </row>
    <row r="54" spans="1:79" s="54" customFormat="1" ht="15" customHeight="1" x14ac:dyDescent="0.25">
      <c r="A54" s="22"/>
      <c r="B54" s="22">
        <v>52</v>
      </c>
      <c r="C54" s="70" t="s">
        <v>102</v>
      </c>
      <c r="D54" s="174"/>
      <c r="E54" s="22" t="s">
        <v>194</v>
      </c>
      <c r="F54" s="22" t="s">
        <v>193</v>
      </c>
      <c r="G54" s="22" t="s">
        <v>161</v>
      </c>
      <c r="H54" s="22" t="s">
        <v>171</v>
      </c>
      <c r="I54" s="55">
        <v>48.9</v>
      </c>
      <c r="J54" s="55">
        <v>45</v>
      </c>
      <c r="K54" s="55">
        <f t="shared" ref="K54:K62" si="50">(I54+J54)*0.1</f>
        <v>9.39</v>
      </c>
      <c r="L54" s="55">
        <f t="shared" ref="L54:L62" si="51">SUM(I54:K54)</f>
        <v>103.29</v>
      </c>
      <c r="M54" s="55">
        <v>98</v>
      </c>
      <c r="N54" s="56">
        <v>98</v>
      </c>
      <c r="O54" s="57">
        <f t="shared" si="41"/>
        <v>98.435699999999983</v>
      </c>
      <c r="P54" s="58">
        <f t="shared" ref="P54:P62" si="52">N54-M54</f>
        <v>0</v>
      </c>
      <c r="Q54" s="59">
        <f t="shared" si="42"/>
        <v>16.333333333333332</v>
      </c>
      <c r="R54" s="60">
        <v>7</v>
      </c>
      <c r="S54" s="60"/>
      <c r="T54" s="60">
        <f t="shared" si="6"/>
        <v>5</v>
      </c>
      <c r="U54" s="61">
        <f t="shared" ref="U54:U62" si="53">R54+S54-T54</f>
        <v>2</v>
      </c>
      <c r="V54" s="62"/>
      <c r="W54" s="30">
        <v>1</v>
      </c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1"/>
      <c r="AQ54" s="32"/>
      <c r="AR54" s="33"/>
      <c r="AS54" s="31"/>
      <c r="AT54" s="63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>
        <v>1</v>
      </c>
      <c r="BS54" s="64"/>
      <c r="BT54" s="64">
        <v>3</v>
      </c>
      <c r="BU54" s="64"/>
      <c r="BV54" s="64"/>
      <c r="BW54" s="64"/>
      <c r="BX54" s="64"/>
      <c r="BY54" s="64"/>
      <c r="BZ54" s="64"/>
      <c r="CA54" s="64"/>
    </row>
    <row r="55" spans="1:79" s="54" customFormat="1" ht="15" customHeight="1" x14ac:dyDescent="0.25">
      <c r="A55" s="22"/>
      <c r="B55" s="29">
        <v>53</v>
      </c>
      <c r="C55" s="70" t="s">
        <v>102</v>
      </c>
      <c r="D55" s="174">
        <v>2012</v>
      </c>
      <c r="E55" s="22" t="s">
        <v>195</v>
      </c>
      <c r="F55" s="22" t="s">
        <v>193</v>
      </c>
      <c r="G55" s="22" t="s">
        <v>161</v>
      </c>
      <c r="H55" s="22" t="s">
        <v>171</v>
      </c>
      <c r="I55" s="55">
        <v>63</v>
      </c>
      <c r="J55" s="55">
        <v>50</v>
      </c>
      <c r="K55" s="55">
        <f t="shared" si="50"/>
        <v>11.3</v>
      </c>
      <c r="L55" s="55">
        <f t="shared" si="51"/>
        <v>124.3</v>
      </c>
      <c r="M55" s="55">
        <v>125</v>
      </c>
      <c r="N55" s="56">
        <v>127</v>
      </c>
      <c r="O55" s="57">
        <f t="shared" si="41"/>
        <v>126.81899999999999</v>
      </c>
      <c r="P55" s="58">
        <f t="shared" si="52"/>
        <v>2</v>
      </c>
      <c r="Q55" s="59">
        <f t="shared" si="42"/>
        <v>21.166666666666668</v>
      </c>
      <c r="R55" s="60">
        <v>3</v>
      </c>
      <c r="S55" s="60"/>
      <c r="T55" s="60">
        <f t="shared" si="6"/>
        <v>1</v>
      </c>
      <c r="U55" s="61">
        <f t="shared" si="53"/>
        <v>2</v>
      </c>
      <c r="V55" s="62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1"/>
      <c r="AQ55" s="32"/>
      <c r="AR55" s="33"/>
      <c r="AS55" s="31"/>
      <c r="AT55" s="63"/>
      <c r="AU55" s="34"/>
      <c r="AV55" s="34"/>
      <c r="AW55" s="34"/>
      <c r="AX55" s="34"/>
      <c r="AY55" s="34"/>
      <c r="AZ55" s="34"/>
      <c r="BA55" s="34"/>
      <c r="BB55" s="34"/>
      <c r="BC55" s="34"/>
      <c r="BD55" s="34">
        <v>1</v>
      </c>
      <c r="BE55" s="3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</row>
    <row r="56" spans="1:79" s="54" customFormat="1" ht="15" customHeight="1" x14ac:dyDescent="0.25">
      <c r="A56" s="22"/>
      <c r="B56" s="22">
        <v>54</v>
      </c>
      <c r="C56" s="70" t="s">
        <v>102</v>
      </c>
      <c r="D56" s="174"/>
      <c r="E56" s="68" t="s">
        <v>196</v>
      </c>
      <c r="F56" s="22" t="s">
        <v>197</v>
      </c>
      <c r="G56" s="22" t="s">
        <v>198</v>
      </c>
      <c r="H56" s="22" t="s">
        <v>171</v>
      </c>
      <c r="I56" s="55">
        <v>10.5</v>
      </c>
      <c r="J56" s="55">
        <v>25</v>
      </c>
      <c r="K56" s="55">
        <f t="shared" si="50"/>
        <v>3.5500000000000003</v>
      </c>
      <c r="L56" s="55">
        <f t="shared" si="51"/>
        <v>39.049999999999997</v>
      </c>
      <c r="M56" s="55">
        <f t="shared" ref="M56:M62" si="54">ROUND(L56,0)</f>
        <v>39</v>
      </c>
      <c r="N56" s="56">
        <v>39</v>
      </c>
      <c r="O56" s="57">
        <f t="shared" si="41"/>
        <v>21.136499999999998</v>
      </c>
      <c r="P56" s="58">
        <f t="shared" si="52"/>
        <v>0</v>
      </c>
      <c r="Q56" s="59">
        <f t="shared" si="42"/>
        <v>6.5</v>
      </c>
      <c r="R56" s="60">
        <v>15</v>
      </c>
      <c r="S56" s="60"/>
      <c r="T56" s="60">
        <f t="shared" si="6"/>
        <v>5</v>
      </c>
      <c r="U56" s="61">
        <f t="shared" si="53"/>
        <v>10</v>
      </c>
      <c r="V56" s="62"/>
      <c r="W56" s="30">
        <v>2</v>
      </c>
      <c r="X56" s="30"/>
      <c r="Y56" s="30"/>
      <c r="Z56" s="30"/>
      <c r="AA56" s="30"/>
      <c r="AB56" s="30"/>
      <c r="AC56" s="30"/>
      <c r="AD56" s="30"/>
      <c r="AE56" s="30"/>
      <c r="AF56" s="30"/>
      <c r="AG56" s="30">
        <v>1</v>
      </c>
      <c r="AH56" s="30"/>
      <c r="AI56" s="30"/>
      <c r="AJ56" s="30"/>
      <c r="AK56" s="30"/>
      <c r="AL56" s="30"/>
      <c r="AM56" s="30"/>
      <c r="AN56" s="30"/>
      <c r="AO56" s="30"/>
      <c r="AP56" s="31"/>
      <c r="AQ56" s="32"/>
      <c r="AR56" s="33"/>
      <c r="AS56" s="31"/>
      <c r="AT56" s="63"/>
      <c r="AU56" s="34"/>
      <c r="AV56" s="34"/>
      <c r="AW56" s="34"/>
      <c r="AX56" s="34"/>
      <c r="AY56" s="34"/>
      <c r="AZ56" s="34"/>
      <c r="BA56" s="34">
        <v>1</v>
      </c>
      <c r="BB56" s="34"/>
      <c r="BC56" s="34"/>
      <c r="BD56" s="34"/>
      <c r="BE56" s="3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>
        <v>1</v>
      </c>
      <c r="BU56" s="64"/>
      <c r="BV56" s="64"/>
      <c r="BW56" s="64"/>
      <c r="BX56" s="64"/>
      <c r="BY56" s="64"/>
      <c r="BZ56" s="64"/>
      <c r="CA56" s="64"/>
    </row>
    <row r="57" spans="1:79" s="54" customFormat="1" ht="15" customHeight="1" x14ac:dyDescent="0.25">
      <c r="A57" s="22"/>
      <c r="B57" s="22">
        <v>54.5</v>
      </c>
      <c r="C57" s="70" t="s">
        <v>102</v>
      </c>
      <c r="D57" s="187"/>
      <c r="E57" s="203" t="s">
        <v>199</v>
      </c>
      <c r="F57" s="178" t="s">
        <v>91</v>
      </c>
      <c r="G57" s="22" t="s">
        <v>92</v>
      </c>
      <c r="H57" s="22" t="s">
        <v>84</v>
      </c>
      <c r="I57" s="55">
        <v>13</v>
      </c>
      <c r="J57" s="55">
        <v>25</v>
      </c>
      <c r="K57" s="55">
        <f t="shared" ref="K57" si="55">(I57+J57)*0.1</f>
        <v>3.8000000000000003</v>
      </c>
      <c r="L57" s="55">
        <f t="shared" ref="L57" si="56">SUM(I57:K57)</f>
        <v>41.8</v>
      </c>
      <c r="M57" s="55">
        <f t="shared" si="54"/>
        <v>42</v>
      </c>
      <c r="N57" s="56">
        <v>40</v>
      </c>
      <c r="O57" s="57">
        <f t="shared" ref="O57" si="57">I57*$O$2*1.22</f>
        <v>26.168999999999997</v>
      </c>
      <c r="P57" s="58">
        <f t="shared" ref="P57" si="58">N57-M57</f>
        <v>-2</v>
      </c>
      <c r="Q57" s="59">
        <f t="shared" ref="Q57" si="59">N57/$Q$3</f>
        <v>6.666666666666667</v>
      </c>
      <c r="R57" s="60"/>
      <c r="S57" s="60">
        <f>24+18+12</f>
        <v>54</v>
      </c>
      <c r="T57" s="60">
        <f t="shared" ref="T57" si="60">W57+X57+Y57+Z57+AA57+AB57+AC57+AD57+AE57+AF57+AG57+AH57+AI57+AJ57+AK57+AL57+AM57+AN57+AO57+AP57+AQ57+AR57+AS57+AT57+AU57+AV57+AW57+AX57+AY57+AZ57+BA57+BB57+BC57+BD57+BE57+BF57+BG57+BH57+BI57+BJ57+BK57+BL57+BM57+BQ57+BR57+BS57+BT57</f>
        <v>34</v>
      </c>
      <c r="U57" s="61">
        <f t="shared" ref="U57" si="61">R57+S57-T57</f>
        <v>20</v>
      </c>
      <c r="V57" s="62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1">
        <f>7+1</f>
        <v>8</v>
      </c>
      <c r="AQ57" s="32">
        <v>2</v>
      </c>
      <c r="AR57" s="33">
        <v>1</v>
      </c>
      <c r="AS57" s="31">
        <v>4</v>
      </c>
      <c r="AT57" s="63">
        <v>4</v>
      </c>
      <c r="AU57" s="34"/>
      <c r="AV57" s="34">
        <v>5</v>
      </c>
      <c r="AW57" s="34"/>
      <c r="AX57" s="34"/>
      <c r="AY57" s="34">
        <v>1</v>
      </c>
      <c r="AZ57" s="34">
        <v>1</v>
      </c>
      <c r="BA57" s="34">
        <v>3</v>
      </c>
      <c r="BB57" s="34"/>
      <c r="BC57" s="34"/>
      <c r="BD57" s="34">
        <v>2</v>
      </c>
      <c r="BE57" s="34"/>
      <c r="BF57" s="64"/>
      <c r="BG57" s="64">
        <v>1</v>
      </c>
      <c r="BH57" s="64"/>
      <c r="BI57" s="64"/>
      <c r="BJ57" s="64"/>
      <c r="BK57" s="64"/>
      <c r="BL57" s="64"/>
      <c r="BM57" s="64">
        <v>1</v>
      </c>
      <c r="BN57" s="64">
        <v>1</v>
      </c>
      <c r="BO57" s="64">
        <v>2</v>
      </c>
      <c r="BP57" s="64"/>
      <c r="BQ57" s="64">
        <v>1</v>
      </c>
      <c r="BR57" s="64"/>
      <c r="BS57" s="64"/>
      <c r="BT57" s="64"/>
      <c r="BU57" s="64"/>
      <c r="BV57" s="64"/>
      <c r="BW57" s="64"/>
      <c r="BX57" s="64"/>
      <c r="BY57" s="64"/>
      <c r="BZ57" s="64"/>
      <c r="CA57" s="64"/>
    </row>
    <row r="58" spans="1:79" s="54" customFormat="1" ht="15" customHeight="1" x14ac:dyDescent="0.25">
      <c r="A58" s="22"/>
      <c r="B58" s="22">
        <v>54.6</v>
      </c>
      <c r="C58" s="70" t="s">
        <v>102</v>
      </c>
      <c r="D58" s="174"/>
      <c r="E58" s="29" t="s">
        <v>200</v>
      </c>
      <c r="F58" s="22" t="s">
        <v>201</v>
      </c>
      <c r="G58" s="22" t="s">
        <v>98</v>
      </c>
      <c r="H58" s="22" t="s">
        <v>132</v>
      </c>
      <c r="I58" s="55">
        <v>13.9</v>
      </c>
      <c r="J58" s="55">
        <v>25</v>
      </c>
      <c r="K58" s="55">
        <f t="shared" ref="K58" si="62">(I58+J58)*0.1</f>
        <v>3.89</v>
      </c>
      <c r="L58" s="55">
        <f t="shared" ref="L58" si="63">SUM(I58:K58)</f>
        <v>42.79</v>
      </c>
      <c r="M58" s="55">
        <f t="shared" si="54"/>
        <v>43</v>
      </c>
      <c r="N58" s="56">
        <v>43</v>
      </c>
      <c r="O58" s="57">
        <f t="shared" ref="O58" si="64">I58*$O$2*1.22</f>
        <v>27.980699999999999</v>
      </c>
      <c r="P58" s="58">
        <f t="shared" ref="P58" si="65">N58-M58</f>
        <v>0</v>
      </c>
      <c r="Q58" s="59">
        <f t="shared" ref="Q58" si="66">N58/$Q$3</f>
        <v>7.166666666666667</v>
      </c>
      <c r="R58" s="60"/>
      <c r="S58" s="60">
        <v>12</v>
      </c>
      <c r="T58" s="60">
        <f t="shared" ref="T58" si="67">W58+X58+Y58+Z58+AA58+AB58+AC58+AD58+AE58+AF58+AG58+AH58+AI58+AJ58+AK58+AL58+AM58+AN58+AO58+AP58+AQ58+AR58+AS58+AT58+AU58+AV58+AW58+AX58+AY58+AZ58+BA58+BB58+BC58+BD58+BE58+BF58+BG58+BH58+BI58+BJ58+BK58+BL58+BM58+BQ58+BR58+BS58+BT58</f>
        <v>5</v>
      </c>
      <c r="U58" s="61">
        <f t="shared" ref="U58" si="68">R58+S58-T58</f>
        <v>7</v>
      </c>
      <c r="V58" s="62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1">
        <v>1</v>
      </c>
      <c r="AQ58" s="32"/>
      <c r="AR58" s="33"/>
      <c r="AS58" s="31">
        <v>1</v>
      </c>
      <c r="AT58" s="63">
        <v>1</v>
      </c>
      <c r="AU58" s="34"/>
      <c r="AV58" s="34"/>
      <c r="AW58" s="34"/>
      <c r="AX58" s="34"/>
      <c r="AY58" s="34"/>
      <c r="AZ58" s="34"/>
      <c r="BA58" s="34">
        <v>1</v>
      </c>
      <c r="BB58" s="34"/>
      <c r="BC58" s="34"/>
      <c r="BD58" s="34"/>
      <c r="BE58" s="3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>
        <v>1</v>
      </c>
      <c r="BR58" s="64"/>
      <c r="BS58" s="64"/>
      <c r="BT58" s="64"/>
      <c r="BU58" s="64"/>
      <c r="BV58" s="64"/>
      <c r="BW58" s="64"/>
      <c r="BX58" s="64"/>
      <c r="BY58" s="64"/>
      <c r="BZ58" s="64"/>
      <c r="CA58" s="64"/>
    </row>
    <row r="59" spans="1:79" s="54" customFormat="1" ht="15" customHeight="1" thickBot="1" x14ac:dyDescent="0.3">
      <c r="A59" s="22"/>
      <c r="B59" s="22">
        <v>55</v>
      </c>
      <c r="C59" s="70" t="s">
        <v>102</v>
      </c>
      <c r="D59" s="174"/>
      <c r="E59" s="22" t="s">
        <v>202</v>
      </c>
      <c r="F59" s="22" t="s">
        <v>203</v>
      </c>
      <c r="G59" s="22" t="s">
        <v>204</v>
      </c>
      <c r="H59" s="22" t="s">
        <v>132</v>
      </c>
      <c r="I59" s="55">
        <v>10.7</v>
      </c>
      <c r="J59" s="55">
        <v>25</v>
      </c>
      <c r="K59" s="55">
        <f t="shared" si="50"/>
        <v>3.5700000000000003</v>
      </c>
      <c r="L59" s="55">
        <f t="shared" si="51"/>
        <v>39.270000000000003</v>
      </c>
      <c r="M59" s="55">
        <f t="shared" si="54"/>
        <v>39</v>
      </c>
      <c r="N59" s="56">
        <v>40</v>
      </c>
      <c r="O59" s="57">
        <f t="shared" si="41"/>
        <v>21.539099999999998</v>
      </c>
      <c r="P59" s="58">
        <f t="shared" si="52"/>
        <v>1</v>
      </c>
      <c r="Q59" s="59">
        <f t="shared" si="42"/>
        <v>6.666666666666667</v>
      </c>
      <c r="R59" s="60">
        <v>26</v>
      </c>
      <c r="S59" s="60"/>
      <c r="T59" s="60">
        <f t="shared" si="6"/>
        <v>15</v>
      </c>
      <c r="U59" s="61">
        <f t="shared" si="53"/>
        <v>11</v>
      </c>
      <c r="V59" s="62"/>
      <c r="W59" s="30">
        <v>4</v>
      </c>
      <c r="X59" s="30"/>
      <c r="Y59" s="30"/>
      <c r="Z59" s="30"/>
      <c r="AA59" s="30"/>
      <c r="AB59" s="30">
        <v>1</v>
      </c>
      <c r="AC59" s="30"/>
      <c r="AD59" s="30"/>
      <c r="AE59" s="30">
        <v>1</v>
      </c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1"/>
      <c r="AQ59" s="32"/>
      <c r="AR59" s="33"/>
      <c r="AS59" s="31">
        <v>6</v>
      </c>
      <c r="AT59" s="63"/>
      <c r="AU59" s="34"/>
      <c r="AV59" s="34"/>
      <c r="AW59" s="34">
        <v>2</v>
      </c>
      <c r="AX59" s="34"/>
      <c r="AY59" s="34"/>
      <c r="AZ59" s="34"/>
      <c r="BA59" s="34"/>
      <c r="BB59" s="34"/>
      <c r="BC59" s="34">
        <v>1</v>
      </c>
      <c r="BD59" s="34"/>
      <c r="BE59" s="3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>
        <v>1</v>
      </c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</row>
    <row r="60" spans="1:79" s="54" customFormat="1" ht="15" customHeight="1" x14ac:dyDescent="0.25">
      <c r="A60" s="22"/>
      <c r="B60" s="22">
        <v>56</v>
      </c>
      <c r="C60" s="70" t="s">
        <v>102</v>
      </c>
      <c r="D60" s="174"/>
      <c r="E60" s="22" t="s">
        <v>205</v>
      </c>
      <c r="F60" s="22" t="s">
        <v>206</v>
      </c>
      <c r="G60" s="22" t="s">
        <v>207</v>
      </c>
      <c r="H60" s="22" t="s">
        <v>78</v>
      </c>
      <c r="I60" s="55">
        <v>18.600000000000001</v>
      </c>
      <c r="J60" s="55">
        <v>25</v>
      </c>
      <c r="K60" s="55">
        <f t="shared" si="50"/>
        <v>4.3600000000000003</v>
      </c>
      <c r="L60" s="55">
        <f t="shared" si="51"/>
        <v>47.96</v>
      </c>
      <c r="M60" s="55">
        <f t="shared" si="54"/>
        <v>48</v>
      </c>
      <c r="N60" s="56">
        <v>48</v>
      </c>
      <c r="O60" s="57">
        <f t="shared" si="41"/>
        <v>37.441800000000001</v>
      </c>
      <c r="P60" s="58">
        <f t="shared" si="52"/>
        <v>0</v>
      </c>
      <c r="Q60" s="59">
        <f t="shared" si="42"/>
        <v>8</v>
      </c>
      <c r="R60" s="60">
        <v>8</v>
      </c>
      <c r="S60" s="60">
        <v>6</v>
      </c>
      <c r="T60" s="60">
        <f t="shared" si="6"/>
        <v>5</v>
      </c>
      <c r="U60" s="61">
        <f t="shared" si="53"/>
        <v>9</v>
      </c>
      <c r="V60" s="62"/>
      <c r="W60" s="30"/>
      <c r="X60" s="30"/>
      <c r="Y60" s="30"/>
      <c r="Z60" s="30">
        <v>1</v>
      </c>
      <c r="AA60" s="30"/>
      <c r="AB60" s="30"/>
      <c r="AC60" s="30">
        <v>1</v>
      </c>
      <c r="AD60" s="30"/>
      <c r="AE60" s="30"/>
      <c r="AF60" s="30">
        <v>1</v>
      </c>
      <c r="AG60" s="30">
        <v>1</v>
      </c>
      <c r="AH60" s="30"/>
      <c r="AI60" s="30"/>
      <c r="AJ60" s="30"/>
      <c r="AK60" s="30"/>
      <c r="AL60" s="30"/>
      <c r="AM60" s="30"/>
      <c r="AN60" s="30"/>
      <c r="AO60" s="30"/>
      <c r="AP60" s="31"/>
      <c r="AQ60" s="32"/>
      <c r="AR60" s="33"/>
      <c r="AS60" s="31"/>
      <c r="AT60" s="63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64"/>
      <c r="BG60" s="64">
        <v>1</v>
      </c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</row>
    <row r="61" spans="1:79" s="54" customFormat="1" ht="15" customHeight="1" x14ac:dyDescent="0.25">
      <c r="A61" s="22"/>
      <c r="B61" s="22">
        <v>56.4</v>
      </c>
      <c r="C61" s="70" t="s">
        <v>102</v>
      </c>
      <c r="D61" s="174"/>
      <c r="E61" s="22" t="s">
        <v>208</v>
      </c>
      <c r="F61" s="22" t="s">
        <v>209</v>
      </c>
      <c r="G61" s="22" t="s">
        <v>101</v>
      </c>
      <c r="H61" s="22" t="s">
        <v>132</v>
      </c>
      <c r="I61" s="55">
        <v>22.95</v>
      </c>
      <c r="J61" s="55">
        <v>30</v>
      </c>
      <c r="K61" s="55">
        <f t="shared" ref="K61" si="69">(I61+J61)*0.1</f>
        <v>5.2950000000000008</v>
      </c>
      <c r="L61" s="55">
        <f t="shared" ref="L61" si="70">SUM(I61:K61)</f>
        <v>58.245000000000005</v>
      </c>
      <c r="M61" s="55">
        <f t="shared" ref="M61" si="71">ROUND(L61,0)</f>
        <v>58</v>
      </c>
      <c r="N61" s="56">
        <v>58</v>
      </c>
      <c r="O61" s="57">
        <f t="shared" ref="O61" si="72">I61*$O$2*1.22</f>
        <v>46.198349999999998</v>
      </c>
      <c r="P61" s="58">
        <f t="shared" ref="P61" si="73">N61-M61</f>
        <v>0</v>
      </c>
      <c r="Q61" s="59">
        <f t="shared" ref="Q61" si="74">N61/$Q$3</f>
        <v>9.6666666666666661</v>
      </c>
      <c r="R61" s="60"/>
      <c r="S61" s="60">
        <v>10</v>
      </c>
      <c r="T61" s="60">
        <f t="shared" ref="T61" si="75">W61+X61+Y61+Z61+AA61+AB61+AC61+AD61+AE61+AF61+AG61+AH61+AI61+AJ61+AK61+AL61+AM61+AN61+AO61+AP61+AQ61+AR61+AS61+AT61+AU61+AV61+AW61+AX61+AY61+AZ61+BA61+BB61+BC61+BD61+BE61+BF61+BG61+BH61+BI61+BJ61+BK61+BL61+BM61+BQ61+BR61+BS61+BT61</f>
        <v>7</v>
      </c>
      <c r="U61" s="61">
        <f t="shared" ref="U61" si="76">R61+S61-T61</f>
        <v>3</v>
      </c>
      <c r="V61" s="62"/>
      <c r="W61" s="30"/>
      <c r="X61" s="30"/>
      <c r="Y61" s="30"/>
      <c r="Z61" s="30">
        <v>1</v>
      </c>
      <c r="AA61" s="30"/>
      <c r="AB61" s="30"/>
      <c r="AC61" s="30">
        <v>1</v>
      </c>
      <c r="AD61" s="30"/>
      <c r="AE61" s="30"/>
      <c r="AF61" s="30">
        <v>1</v>
      </c>
      <c r="AG61" s="30">
        <v>1</v>
      </c>
      <c r="AH61" s="30"/>
      <c r="AI61" s="30"/>
      <c r="AJ61" s="30"/>
      <c r="AK61" s="30"/>
      <c r="AL61" s="30"/>
      <c r="AM61" s="30"/>
      <c r="AN61" s="30"/>
      <c r="AO61" s="30"/>
      <c r="AP61" s="31"/>
      <c r="AQ61" s="32"/>
      <c r="AR61" s="33"/>
      <c r="AS61" s="31"/>
      <c r="AT61" s="63"/>
      <c r="AU61" s="34"/>
      <c r="AV61" s="34"/>
      <c r="AW61" s="34"/>
      <c r="AX61" s="34"/>
      <c r="AY61" s="34"/>
      <c r="AZ61" s="34"/>
      <c r="BA61" s="34"/>
      <c r="BB61" s="34">
        <v>2</v>
      </c>
      <c r="BC61" s="34"/>
      <c r="BD61" s="34"/>
      <c r="BE61" s="34"/>
      <c r="BF61" s="64"/>
      <c r="BG61" s="64"/>
      <c r="BH61" s="64">
        <v>1</v>
      </c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</row>
    <row r="62" spans="1:79" s="54" customFormat="1" ht="15" customHeight="1" x14ac:dyDescent="0.25">
      <c r="A62" s="22"/>
      <c r="B62" s="29">
        <v>57</v>
      </c>
      <c r="C62" s="70" t="s">
        <v>102</v>
      </c>
      <c r="D62" s="174">
        <v>2008</v>
      </c>
      <c r="E62" s="68" t="s">
        <v>210</v>
      </c>
      <c r="F62" s="22" t="s">
        <v>211</v>
      </c>
      <c r="G62" s="22" t="s">
        <v>207</v>
      </c>
      <c r="H62" s="22" t="s">
        <v>171</v>
      </c>
      <c r="I62" s="55">
        <v>48</v>
      </c>
      <c r="J62" s="55">
        <v>40</v>
      </c>
      <c r="K62" s="55">
        <f t="shared" si="50"/>
        <v>8.8000000000000007</v>
      </c>
      <c r="L62" s="55">
        <f t="shared" si="51"/>
        <v>96.8</v>
      </c>
      <c r="M62" s="55">
        <f t="shared" si="54"/>
        <v>97</v>
      </c>
      <c r="N62" s="56">
        <v>97</v>
      </c>
      <c r="O62" s="57">
        <f t="shared" si="41"/>
        <v>96.623999999999981</v>
      </c>
      <c r="P62" s="58">
        <f t="shared" si="52"/>
        <v>0</v>
      </c>
      <c r="Q62" s="59">
        <f t="shared" si="42"/>
        <v>16.166666666666668</v>
      </c>
      <c r="R62" s="60">
        <v>4</v>
      </c>
      <c r="S62" s="60"/>
      <c r="T62" s="60">
        <f t="shared" si="6"/>
        <v>2</v>
      </c>
      <c r="U62" s="61">
        <f t="shared" si="53"/>
        <v>2</v>
      </c>
      <c r="V62" s="62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1"/>
      <c r="AQ62" s="32"/>
      <c r="AR62" s="33"/>
      <c r="AS62" s="31"/>
      <c r="AT62" s="63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64">
        <v>2</v>
      </c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</row>
    <row r="63" spans="1:79" s="54" customFormat="1" ht="15" customHeight="1" x14ac:dyDescent="0.25">
      <c r="A63" s="71"/>
      <c r="B63" s="22">
        <v>58</v>
      </c>
      <c r="C63" s="72" t="s">
        <v>212</v>
      </c>
      <c r="D63" s="187">
        <v>2021</v>
      </c>
      <c r="E63" s="192" t="s">
        <v>213</v>
      </c>
      <c r="F63" s="178" t="s">
        <v>214</v>
      </c>
      <c r="G63" s="22" t="s">
        <v>215</v>
      </c>
      <c r="H63" s="22" t="s">
        <v>84</v>
      </c>
      <c r="I63" s="55">
        <v>17</v>
      </c>
      <c r="J63" s="55">
        <v>25</v>
      </c>
      <c r="K63" s="55">
        <f t="shared" si="0"/>
        <v>4.2</v>
      </c>
      <c r="L63" s="55">
        <f t="shared" si="1"/>
        <v>46.2</v>
      </c>
      <c r="M63" s="55">
        <f t="shared" si="48"/>
        <v>46</v>
      </c>
      <c r="N63" s="56">
        <v>42</v>
      </c>
      <c r="O63" s="57">
        <f t="shared" si="41"/>
        <v>34.220999999999997</v>
      </c>
      <c r="P63" s="58">
        <f t="shared" si="4"/>
        <v>-4</v>
      </c>
      <c r="Q63" s="59">
        <f t="shared" si="42"/>
        <v>7</v>
      </c>
      <c r="R63" s="60">
        <v>31</v>
      </c>
      <c r="S63" s="60">
        <f>48+48+12+48+12+48+48+12</f>
        <v>276</v>
      </c>
      <c r="T63" s="60">
        <f t="shared" si="6"/>
        <v>226</v>
      </c>
      <c r="U63" s="61">
        <f t="shared" si="49"/>
        <v>81</v>
      </c>
      <c r="V63" s="62"/>
      <c r="W63" s="30">
        <v>9</v>
      </c>
      <c r="X63" s="30">
        <v>4</v>
      </c>
      <c r="Y63" s="30">
        <v>6</v>
      </c>
      <c r="Z63" s="30">
        <v>5</v>
      </c>
      <c r="AA63" s="30">
        <v>6</v>
      </c>
      <c r="AB63" s="30">
        <v>9</v>
      </c>
      <c r="AC63" s="30">
        <v>3</v>
      </c>
      <c r="AD63" s="30">
        <v>5</v>
      </c>
      <c r="AE63" s="30">
        <v>6</v>
      </c>
      <c r="AF63" s="30">
        <v>8</v>
      </c>
      <c r="AG63" s="30">
        <v>3</v>
      </c>
      <c r="AH63" s="30">
        <v>4</v>
      </c>
      <c r="AI63" s="30"/>
      <c r="AJ63" s="30"/>
      <c r="AK63" s="30"/>
      <c r="AL63" s="30"/>
      <c r="AM63" s="30"/>
      <c r="AN63" s="30"/>
      <c r="AO63" s="30"/>
      <c r="AP63" s="31">
        <v>2</v>
      </c>
      <c r="AQ63" s="32">
        <v>5</v>
      </c>
      <c r="AR63" s="33">
        <v>8</v>
      </c>
      <c r="AS63" s="31">
        <v>9</v>
      </c>
      <c r="AT63" s="63">
        <v>13</v>
      </c>
      <c r="AU63" s="34">
        <v>9</v>
      </c>
      <c r="AV63" s="34">
        <v>3</v>
      </c>
      <c r="AW63" s="34">
        <v>7</v>
      </c>
      <c r="AX63" s="34">
        <v>1</v>
      </c>
      <c r="AY63" s="34">
        <v>3</v>
      </c>
      <c r="AZ63" s="34">
        <v>6</v>
      </c>
      <c r="BA63" s="34">
        <v>7</v>
      </c>
      <c r="BB63" s="34">
        <v>4</v>
      </c>
      <c r="BC63" s="34">
        <v>5</v>
      </c>
      <c r="BD63" s="34"/>
      <c r="BE63" s="34">
        <v>10</v>
      </c>
      <c r="BF63" s="64">
        <v>8</v>
      </c>
      <c r="BG63" s="64">
        <v>6</v>
      </c>
      <c r="BH63" s="64">
        <v>9</v>
      </c>
      <c r="BI63" s="64">
        <v>2</v>
      </c>
      <c r="BJ63" s="64">
        <v>4</v>
      </c>
      <c r="BK63" s="64">
        <v>1</v>
      </c>
      <c r="BL63" s="64">
        <v>7</v>
      </c>
      <c r="BM63" s="64">
        <v>10</v>
      </c>
      <c r="BN63" s="64">
        <v>13</v>
      </c>
      <c r="BO63" s="64">
        <v>7</v>
      </c>
      <c r="BP63" s="64">
        <v>5</v>
      </c>
      <c r="BQ63" s="64">
        <v>4</v>
      </c>
      <c r="BR63" s="64">
        <v>8</v>
      </c>
      <c r="BS63" s="64"/>
      <c r="BT63" s="64">
        <v>7</v>
      </c>
      <c r="BU63" s="64">
        <v>2</v>
      </c>
      <c r="BV63" s="64"/>
      <c r="BW63" s="64"/>
      <c r="BX63" s="64"/>
      <c r="BY63" s="64"/>
      <c r="BZ63" s="64"/>
      <c r="CA63" s="64"/>
    </row>
    <row r="64" spans="1:79" s="54" customFormat="1" ht="15" customHeight="1" x14ac:dyDescent="0.25">
      <c r="A64" s="71"/>
      <c r="B64" s="22">
        <v>58</v>
      </c>
      <c r="C64" s="72" t="s">
        <v>212</v>
      </c>
      <c r="D64" s="187">
        <v>2022</v>
      </c>
      <c r="E64" s="191" t="s">
        <v>216</v>
      </c>
      <c r="F64" s="178" t="s">
        <v>217</v>
      </c>
      <c r="G64" s="22" t="s">
        <v>215</v>
      </c>
      <c r="H64" s="22" t="s">
        <v>217</v>
      </c>
      <c r="I64" s="55">
        <v>10</v>
      </c>
      <c r="J64" s="55">
        <v>25</v>
      </c>
      <c r="K64" s="55">
        <f t="shared" ref="K64" si="77">(I64+J64)*0.1</f>
        <v>3.5</v>
      </c>
      <c r="L64" s="55">
        <f t="shared" ref="L64" si="78">SUM(I64:K64)</f>
        <v>38.5</v>
      </c>
      <c r="M64" s="55">
        <f t="shared" ref="M64" si="79">ROUND(L64,0)</f>
        <v>39</v>
      </c>
      <c r="N64" s="56">
        <v>40</v>
      </c>
      <c r="O64" s="57">
        <f t="shared" ref="O64" si="80">I64*$O$2*1.22</f>
        <v>20.13</v>
      </c>
      <c r="P64" s="58">
        <f t="shared" ref="P64" si="81">N64-M64</f>
        <v>1</v>
      </c>
      <c r="Q64" s="59">
        <f t="shared" ref="Q64" si="82">N64/$Q$3</f>
        <v>6.666666666666667</v>
      </c>
      <c r="R64" s="60">
        <v>30</v>
      </c>
      <c r="S64" s="60"/>
      <c r="T64" s="60">
        <f t="shared" ref="T64" si="83">W64+X64+Y64+Z64+AA64+AB64+AC64+AD64+AE64+AF64+AG64+AH64+AI64+AJ64+AK64+AL64+AM64+AN64+AO64+AP64+AQ64+AR64+AS64+AT64+AU64+AV64+AW64+AX64+AY64+AZ64+BA64+BB64+BC64+BD64+BE64+BF64+BG64+BH64+BI64+BJ64+BK64+BL64+BM64+BQ64+BR64+BS64+BT64</f>
        <v>12</v>
      </c>
      <c r="U64" s="61">
        <f t="shared" ref="U64" si="84">R64+S64-T64</f>
        <v>18</v>
      </c>
      <c r="V64" s="62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1"/>
      <c r="AQ64" s="32"/>
      <c r="AR64" s="33"/>
      <c r="AS64" s="31"/>
      <c r="AT64" s="63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>
        <v>12</v>
      </c>
      <c r="BU64" s="64">
        <v>4</v>
      </c>
      <c r="BV64" s="64"/>
      <c r="BW64" s="64"/>
      <c r="BX64" s="64"/>
      <c r="BY64" s="64"/>
      <c r="BZ64" s="64"/>
      <c r="CA64" s="64"/>
    </row>
    <row r="65" spans="1:79" s="54" customFormat="1" ht="15" customHeight="1" x14ac:dyDescent="0.25">
      <c r="A65" s="22"/>
      <c r="B65" s="22">
        <v>59</v>
      </c>
      <c r="C65" s="72" t="s">
        <v>212</v>
      </c>
      <c r="D65" s="174">
        <v>2015</v>
      </c>
      <c r="E65" s="29" t="s">
        <v>218</v>
      </c>
      <c r="F65" s="22" t="s">
        <v>219</v>
      </c>
      <c r="G65" s="22" t="s">
        <v>215</v>
      </c>
      <c r="H65" s="22" t="s">
        <v>220</v>
      </c>
      <c r="I65" s="55">
        <v>33</v>
      </c>
      <c r="J65" s="55">
        <v>35</v>
      </c>
      <c r="K65" s="55">
        <f t="shared" si="0"/>
        <v>6.8000000000000007</v>
      </c>
      <c r="L65" s="55">
        <f t="shared" si="1"/>
        <v>74.8</v>
      </c>
      <c r="M65" s="55">
        <f t="shared" si="48"/>
        <v>75</v>
      </c>
      <c r="N65" s="56">
        <v>79</v>
      </c>
      <c r="O65" s="57">
        <f t="shared" si="41"/>
        <v>66.428999999999988</v>
      </c>
      <c r="P65" s="58">
        <f t="shared" si="4"/>
        <v>4</v>
      </c>
      <c r="Q65" s="59">
        <f t="shared" si="42"/>
        <v>13.166666666666666</v>
      </c>
      <c r="R65" s="60">
        <v>1</v>
      </c>
      <c r="S65" s="60">
        <v>1</v>
      </c>
      <c r="T65" s="60">
        <f t="shared" si="6"/>
        <v>1</v>
      </c>
      <c r="U65" s="61">
        <f t="shared" si="49"/>
        <v>1</v>
      </c>
      <c r="V65" s="62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1"/>
      <c r="AQ65" s="32"/>
      <c r="AR65" s="33"/>
      <c r="AS65" s="31"/>
      <c r="AT65" s="63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>
        <v>1</v>
      </c>
      <c r="BS65" s="64"/>
      <c r="BT65" s="64"/>
      <c r="BU65" s="64"/>
      <c r="BV65" s="64"/>
      <c r="BW65" s="64"/>
      <c r="BX65" s="64"/>
      <c r="BY65" s="64"/>
      <c r="BZ65" s="64"/>
      <c r="CA65" s="64"/>
    </row>
    <row r="66" spans="1:79" s="54" customFormat="1" ht="15" customHeight="1" x14ac:dyDescent="0.25">
      <c r="A66" s="71"/>
      <c r="B66" s="22">
        <v>60</v>
      </c>
      <c r="C66" s="72" t="s">
        <v>212</v>
      </c>
      <c r="D66" s="174">
        <v>2020</v>
      </c>
      <c r="E66" s="22" t="s">
        <v>221</v>
      </c>
      <c r="F66" s="22" t="s">
        <v>222</v>
      </c>
      <c r="G66" s="22" t="s">
        <v>223</v>
      </c>
      <c r="H66" s="22" t="s">
        <v>135</v>
      </c>
      <c r="I66" s="55">
        <v>20</v>
      </c>
      <c r="J66" s="55">
        <f>IF(I66&lt;=15,$L$2,$L$3)</f>
        <v>30</v>
      </c>
      <c r="K66" s="55">
        <f t="shared" si="0"/>
        <v>5</v>
      </c>
      <c r="L66" s="55">
        <f t="shared" si="1"/>
        <v>55</v>
      </c>
      <c r="M66" s="55">
        <f t="shared" si="48"/>
        <v>55</v>
      </c>
      <c r="N66" s="56">
        <v>55</v>
      </c>
      <c r="O66" s="57">
        <f t="shared" si="41"/>
        <v>40.26</v>
      </c>
      <c r="P66" s="58">
        <f t="shared" si="4"/>
        <v>0</v>
      </c>
      <c r="Q66" s="59">
        <f t="shared" si="42"/>
        <v>9.1666666666666661</v>
      </c>
      <c r="R66" s="60">
        <v>9</v>
      </c>
      <c r="S66" s="60">
        <f>8+6+6+6</f>
        <v>26</v>
      </c>
      <c r="T66" s="60">
        <f t="shared" si="6"/>
        <v>19</v>
      </c>
      <c r="U66" s="61">
        <f t="shared" si="49"/>
        <v>16</v>
      </c>
      <c r="V66" s="62"/>
      <c r="W66" s="30">
        <v>1</v>
      </c>
      <c r="X66" s="30">
        <v>1</v>
      </c>
      <c r="Y66" s="30"/>
      <c r="Z66" s="30">
        <v>1</v>
      </c>
      <c r="AA66" s="30">
        <v>1</v>
      </c>
      <c r="AB66" s="30"/>
      <c r="AC66" s="30">
        <v>1</v>
      </c>
      <c r="AD66" s="30">
        <v>2</v>
      </c>
      <c r="AE66" s="30">
        <v>2</v>
      </c>
      <c r="AF66" s="30"/>
      <c r="AG66" s="30">
        <v>2</v>
      </c>
      <c r="AH66" s="30"/>
      <c r="AI66" s="30"/>
      <c r="AJ66" s="30"/>
      <c r="AK66" s="30"/>
      <c r="AL66" s="30"/>
      <c r="AM66" s="30"/>
      <c r="AN66" s="30"/>
      <c r="AO66" s="30"/>
      <c r="AP66" s="31"/>
      <c r="AQ66" s="32">
        <v>1</v>
      </c>
      <c r="AR66" s="33"/>
      <c r="AS66" s="31"/>
      <c r="AT66" s="63"/>
      <c r="AU66" s="34">
        <v>2</v>
      </c>
      <c r="AV66" s="34"/>
      <c r="AW66" s="34"/>
      <c r="AX66" s="34"/>
      <c r="AY66" s="34"/>
      <c r="AZ66" s="34">
        <v>1</v>
      </c>
      <c r="BA66" s="34"/>
      <c r="BB66" s="34"/>
      <c r="BC66" s="34"/>
      <c r="BD66" s="34"/>
      <c r="BE66" s="34"/>
      <c r="BF66" s="64"/>
      <c r="BG66" s="64"/>
      <c r="BH66" s="64"/>
      <c r="BI66" s="64"/>
      <c r="BJ66" s="64"/>
      <c r="BK66" s="64"/>
      <c r="BL66" s="64">
        <v>1</v>
      </c>
      <c r="BM66" s="64"/>
      <c r="BN66" s="64"/>
      <c r="BO66" s="64"/>
      <c r="BP66" s="64"/>
      <c r="BQ66" s="64"/>
      <c r="BR66" s="64">
        <v>1</v>
      </c>
      <c r="BS66" s="64"/>
      <c r="BT66" s="64">
        <v>2</v>
      </c>
      <c r="BU66" s="64"/>
      <c r="BV66" s="64"/>
      <c r="BW66" s="64"/>
      <c r="BX66" s="64"/>
      <c r="BY66" s="64"/>
      <c r="BZ66" s="64"/>
      <c r="CA66" s="64"/>
    </row>
    <row r="67" spans="1:79" s="54" customFormat="1" ht="15" customHeight="1" x14ac:dyDescent="0.25">
      <c r="A67" s="71"/>
      <c r="B67" s="22">
        <v>60.5</v>
      </c>
      <c r="C67" s="72" t="s">
        <v>212</v>
      </c>
      <c r="D67" s="174">
        <v>2016</v>
      </c>
      <c r="E67" s="22" t="s">
        <v>224</v>
      </c>
      <c r="F67" s="22" t="s">
        <v>222</v>
      </c>
      <c r="G67" s="22" t="s">
        <v>223</v>
      </c>
      <c r="H67" s="22" t="s">
        <v>137</v>
      </c>
      <c r="I67" s="55">
        <v>49.85</v>
      </c>
      <c r="J67" s="55">
        <v>50</v>
      </c>
      <c r="K67" s="55">
        <f t="shared" ref="K67" si="85">(I67+J67)*0.1</f>
        <v>9.9849999999999994</v>
      </c>
      <c r="L67" s="55">
        <f t="shared" ref="L67" si="86">SUM(I67:K67)</f>
        <v>109.83499999999999</v>
      </c>
      <c r="M67" s="55">
        <f t="shared" ref="M67" si="87">ROUND(L67,0)</f>
        <v>110</v>
      </c>
      <c r="N67" s="56">
        <v>120</v>
      </c>
      <c r="O67" s="57">
        <f t="shared" ref="O67" si="88">I67*$O$2*1.22</f>
        <v>100.34805</v>
      </c>
      <c r="P67" s="58">
        <f t="shared" ref="P67" si="89">N67-M67</f>
        <v>10</v>
      </c>
      <c r="Q67" s="59">
        <f t="shared" ref="Q67" si="90">N67/$Q$3</f>
        <v>20</v>
      </c>
      <c r="R67" s="60"/>
      <c r="S67" s="60">
        <f>2+2</f>
        <v>4</v>
      </c>
      <c r="T67" s="60">
        <v>0</v>
      </c>
      <c r="U67" s="61">
        <f t="shared" ref="U67" si="91">R67+S67-T67</f>
        <v>4</v>
      </c>
      <c r="V67" s="62"/>
      <c r="W67" s="30">
        <v>1</v>
      </c>
      <c r="X67" s="30">
        <v>1</v>
      </c>
      <c r="Y67" s="30"/>
      <c r="Z67" s="30">
        <v>1</v>
      </c>
      <c r="AA67" s="30">
        <v>1</v>
      </c>
      <c r="AB67" s="30"/>
      <c r="AC67" s="30">
        <v>1</v>
      </c>
      <c r="AD67" s="30">
        <v>2</v>
      </c>
      <c r="AE67" s="30">
        <v>2</v>
      </c>
      <c r="AF67" s="30"/>
      <c r="AG67" s="30">
        <v>2</v>
      </c>
      <c r="AH67" s="30"/>
      <c r="AI67" s="30"/>
      <c r="AJ67" s="30"/>
      <c r="AK67" s="30"/>
      <c r="AL67" s="30"/>
      <c r="AM67" s="30"/>
      <c r="AN67" s="30"/>
      <c r="AO67" s="30"/>
      <c r="AP67" s="31"/>
      <c r="AQ67" s="32">
        <v>1</v>
      </c>
      <c r="AR67" s="33"/>
      <c r="AS67" s="31"/>
      <c r="AT67" s="63"/>
      <c r="AU67" s="34">
        <v>2</v>
      </c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</row>
    <row r="68" spans="1:79" ht="14.45" customHeight="1" x14ac:dyDescent="0.25">
      <c r="A68" s="22"/>
      <c r="B68" s="29">
        <v>61</v>
      </c>
      <c r="C68" s="72" t="s">
        <v>212</v>
      </c>
      <c r="D68" s="174">
        <v>2007</v>
      </c>
      <c r="E68" s="22" t="s">
        <v>225</v>
      </c>
      <c r="F68" s="22" t="s">
        <v>222</v>
      </c>
      <c r="G68" s="22" t="s">
        <v>223</v>
      </c>
      <c r="H68" s="22" t="s">
        <v>137</v>
      </c>
      <c r="I68" s="55">
        <v>86.85</v>
      </c>
      <c r="J68" s="55">
        <v>70</v>
      </c>
      <c r="K68" s="55">
        <f t="shared" si="0"/>
        <v>15.685</v>
      </c>
      <c r="L68" s="55">
        <f t="shared" si="1"/>
        <v>172.535</v>
      </c>
      <c r="M68" s="55">
        <f t="shared" si="48"/>
        <v>173</v>
      </c>
      <c r="N68" s="56">
        <v>169</v>
      </c>
      <c r="O68" s="57">
        <f t="shared" si="41"/>
        <v>174.82904999999997</v>
      </c>
      <c r="P68" s="58">
        <f t="shared" si="4"/>
        <v>-4</v>
      </c>
      <c r="Q68" s="59">
        <f t="shared" si="42"/>
        <v>28.166666666666668</v>
      </c>
      <c r="R68" s="60">
        <v>1</v>
      </c>
      <c r="S68" s="60"/>
      <c r="T68" s="60">
        <f t="shared" si="6"/>
        <v>0</v>
      </c>
      <c r="U68" s="61">
        <f t="shared" si="49"/>
        <v>1</v>
      </c>
      <c r="V68" s="62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1"/>
      <c r="AQ68" s="32"/>
      <c r="AR68" s="33"/>
      <c r="AS68" s="31"/>
      <c r="AT68" s="63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64"/>
      <c r="BT68" s="64"/>
      <c r="BU68" s="64"/>
      <c r="BV68" s="64"/>
      <c r="BW68" s="64"/>
      <c r="BX68" s="64"/>
      <c r="BY68" s="64"/>
      <c r="BZ68" s="64"/>
      <c r="CA68" s="64"/>
    </row>
    <row r="69" spans="1:79" ht="14.45" customHeight="1" x14ac:dyDescent="0.25">
      <c r="A69" s="22"/>
      <c r="B69" s="29">
        <v>61.2</v>
      </c>
      <c r="C69" s="72" t="s">
        <v>212</v>
      </c>
      <c r="D69" s="174">
        <v>2010</v>
      </c>
      <c r="E69" s="22" t="s">
        <v>225</v>
      </c>
      <c r="F69" s="22" t="s">
        <v>222</v>
      </c>
      <c r="G69" s="22" t="s">
        <v>223</v>
      </c>
      <c r="H69" s="22" t="s">
        <v>226</v>
      </c>
      <c r="I69" s="55">
        <v>107.5</v>
      </c>
      <c r="J69" s="55">
        <v>90</v>
      </c>
      <c r="K69" s="55">
        <f t="shared" ref="K69" si="92">(I69+J69)*0.1</f>
        <v>19.75</v>
      </c>
      <c r="L69" s="55">
        <f t="shared" ref="L69" si="93">SUM(I69:K69)</f>
        <v>217.25</v>
      </c>
      <c r="M69" s="55">
        <f t="shared" ref="M69" si="94">ROUND(L69,0)</f>
        <v>217</v>
      </c>
      <c r="N69" s="56">
        <v>217</v>
      </c>
      <c r="O69" s="57">
        <f t="shared" ref="O69" si="95">I69*$O$2*1.22</f>
        <v>216.39750000000001</v>
      </c>
      <c r="P69" s="58">
        <f t="shared" ref="P69" si="96">N69-M69</f>
        <v>0</v>
      </c>
      <c r="Q69" s="59">
        <f t="shared" ref="Q69" si="97">N69/$Q$3</f>
        <v>36.166666666666664</v>
      </c>
      <c r="R69" s="60"/>
      <c r="S69" s="60">
        <v>2</v>
      </c>
      <c r="T69" s="60">
        <f t="shared" ref="T69" si="98">W69+X69+Y69+Z69+AA69+AB69+AC69+AD69+AE69+AF69+AG69+AH69+AI69+AJ69+AK69+AL69+AM69+AN69+AO69+AP69+AQ69+AR69+AS69+AT69+AU69+AV69+AW69+AX69+AY69+AZ69+BA69+BB69+BC69+BD69+BE69+BF69+BG69+BH69+BI69+BJ69+BK69+BL69+BM69+BQ69+BR69+BS69+BT69</f>
        <v>1</v>
      </c>
      <c r="U69" s="61">
        <f t="shared" ref="U69" si="99">R69+S69-T69</f>
        <v>1</v>
      </c>
      <c r="V69" s="62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1"/>
      <c r="AQ69" s="32"/>
      <c r="AR69" s="33"/>
      <c r="AS69" s="31"/>
      <c r="AT69" s="63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>
        <v>1</v>
      </c>
      <c r="BF69" s="64"/>
      <c r="BT69" s="64"/>
      <c r="BU69" s="64"/>
      <c r="BV69" s="64"/>
      <c r="BW69" s="64"/>
      <c r="BX69" s="64"/>
      <c r="BY69" s="64"/>
      <c r="BZ69" s="64"/>
      <c r="CA69" s="64"/>
    </row>
    <row r="70" spans="1:79" s="54" customFormat="1" ht="13.9" customHeight="1" x14ac:dyDescent="0.25">
      <c r="A70" s="3"/>
      <c r="B70" s="22">
        <v>62</v>
      </c>
      <c r="C70" s="72" t="s">
        <v>212</v>
      </c>
      <c r="D70" s="174">
        <v>2019</v>
      </c>
      <c r="E70" s="22" t="s">
        <v>227</v>
      </c>
      <c r="F70" s="22" t="s">
        <v>228</v>
      </c>
      <c r="G70" s="22" t="s">
        <v>77</v>
      </c>
      <c r="H70" s="22" t="s">
        <v>84</v>
      </c>
      <c r="I70" s="55">
        <v>14.95</v>
      </c>
      <c r="J70" s="55">
        <f>IF(I70&lt;=15,$L$2,$L$3)</f>
        <v>25</v>
      </c>
      <c r="K70" s="55">
        <f t="shared" si="0"/>
        <v>3.9950000000000006</v>
      </c>
      <c r="L70" s="55">
        <f t="shared" si="1"/>
        <v>43.945</v>
      </c>
      <c r="M70" s="55">
        <f t="shared" si="48"/>
        <v>44</v>
      </c>
      <c r="N70" s="56">
        <v>44</v>
      </c>
      <c r="O70" s="57">
        <f t="shared" si="41"/>
        <v>30.094349999999995</v>
      </c>
      <c r="P70" s="58">
        <f t="shared" si="4"/>
        <v>0</v>
      </c>
      <c r="Q70" s="59">
        <f t="shared" si="42"/>
        <v>7.333333333333333</v>
      </c>
      <c r="R70" s="60">
        <v>8</v>
      </c>
      <c r="S70" s="60">
        <f>9+6+6+6+6+12</f>
        <v>45</v>
      </c>
      <c r="T70" s="60">
        <f t="shared" si="6"/>
        <v>50</v>
      </c>
      <c r="U70" s="61">
        <f t="shared" si="49"/>
        <v>3</v>
      </c>
      <c r="V70" s="62"/>
      <c r="W70" s="30">
        <v>2</v>
      </c>
      <c r="X70" s="30"/>
      <c r="Y70" s="30"/>
      <c r="Z70" s="30"/>
      <c r="AA70" s="30">
        <v>1</v>
      </c>
      <c r="AB70" s="30">
        <v>1</v>
      </c>
      <c r="AC70" s="30"/>
      <c r="AD70" s="30"/>
      <c r="AE70" s="30"/>
      <c r="AF70" s="30">
        <v>1</v>
      </c>
      <c r="AG70" s="30">
        <v>1</v>
      </c>
      <c r="AH70" s="30">
        <v>1</v>
      </c>
      <c r="AI70" s="30"/>
      <c r="AJ70" s="30"/>
      <c r="AK70" s="30"/>
      <c r="AL70" s="30"/>
      <c r="AM70" s="30"/>
      <c r="AN70" s="30"/>
      <c r="AO70" s="30"/>
      <c r="AP70" s="31">
        <v>1</v>
      </c>
      <c r="AQ70" s="32"/>
      <c r="AR70" s="33"/>
      <c r="AS70" s="31">
        <v>3</v>
      </c>
      <c r="AT70" s="63">
        <v>5</v>
      </c>
      <c r="AU70" s="34">
        <v>5</v>
      </c>
      <c r="AV70" s="34">
        <v>4</v>
      </c>
      <c r="AW70" s="34"/>
      <c r="AX70" s="34">
        <v>1</v>
      </c>
      <c r="AY70" s="34"/>
      <c r="AZ70" s="34"/>
      <c r="BA70" s="34"/>
      <c r="BB70" s="34">
        <v>4</v>
      </c>
      <c r="BC70" s="34">
        <v>3</v>
      </c>
      <c r="BD70" s="34"/>
      <c r="BE70" s="34">
        <v>5</v>
      </c>
      <c r="BF70" s="64"/>
      <c r="BG70" s="64">
        <v>2</v>
      </c>
      <c r="BH70" s="64"/>
      <c r="BI70" s="64"/>
      <c r="BJ70" s="64"/>
      <c r="BK70" s="64">
        <v>2</v>
      </c>
      <c r="BL70" s="64">
        <v>1</v>
      </c>
      <c r="BM70" s="64">
        <v>2</v>
      </c>
      <c r="BN70" s="64"/>
      <c r="BO70" s="64">
        <v>1</v>
      </c>
      <c r="BP70" s="64">
        <v>3</v>
      </c>
      <c r="BQ70" s="64"/>
      <c r="BR70" s="64">
        <v>3</v>
      </c>
      <c r="BS70" s="64"/>
      <c r="BT70" s="64">
        <v>2</v>
      </c>
      <c r="BU70" s="64">
        <v>1</v>
      </c>
      <c r="BV70" s="64"/>
      <c r="BW70" s="64"/>
      <c r="BX70" s="64"/>
      <c r="BY70" s="64"/>
      <c r="BZ70" s="64"/>
      <c r="CA70" s="64"/>
    </row>
    <row r="71" spans="1:79" ht="15" customHeight="1" x14ac:dyDescent="0.25">
      <c r="A71" s="22"/>
      <c r="B71" s="22">
        <v>63</v>
      </c>
      <c r="C71" s="72" t="s">
        <v>212</v>
      </c>
      <c r="D71" s="174">
        <v>2019</v>
      </c>
      <c r="E71" s="22" t="s">
        <v>229</v>
      </c>
      <c r="F71" s="22" t="s">
        <v>230</v>
      </c>
      <c r="G71" s="22" t="s">
        <v>231</v>
      </c>
      <c r="H71" s="22" t="s">
        <v>135</v>
      </c>
      <c r="I71" s="55">
        <v>11.8</v>
      </c>
      <c r="J71" s="55">
        <f>IF(I71&lt;=15,$L$2,$L$3)</f>
        <v>25</v>
      </c>
      <c r="K71" s="55">
        <f t="shared" si="0"/>
        <v>3.6799999999999997</v>
      </c>
      <c r="L71" s="55">
        <f t="shared" si="1"/>
        <v>40.479999999999997</v>
      </c>
      <c r="M71" s="55">
        <f t="shared" si="48"/>
        <v>40</v>
      </c>
      <c r="N71" s="56">
        <v>39</v>
      </c>
      <c r="O71" s="57">
        <f t="shared" si="41"/>
        <v>23.753399999999999</v>
      </c>
      <c r="P71" s="58">
        <f t="shared" si="4"/>
        <v>-1</v>
      </c>
      <c r="Q71" s="59">
        <f t="shared" si="42"/>
        <v>6.5</v>
      </c>
      <c r="R71" s="60">
        <v>8</v>
      </c>
      <c r="S71" s="60">
        <f>6+6+6+6+12+6+12</f>
        <v>54</v>
      </c>
      <c r="T71" s="60">
        <f t="shared" si="6"/>
        <v>43</v>
      </c>
      <c r="U71" s="61">
        <f t="shared" si="49"/>
        <v>19</v>
      </c>
      <c r="V71" s="62"/>
      <c r="W71" s="30">
        <v>3</v>
      </c>
      <c r="X71" s="30"/>
      <c r="Y71" s="30"/>
      <c r="Z71" s="30">
        <v>4</v>
      </c>
      <c r="AA71" s="30">
        <v>1</v>
      </c>
      <c r="AB71" s="30">
        <v>9</v>
      </c>
      <c r="AC71" s="30"/>
      <c r="AD71" s="30">
        <v>1</v>
      </c>
      <c r="AE71" s="30">
        <v>1</v>
      </c>
      <c r="AF71" s="30"/>
      <c r="AG71" s="30">
        <v>2</v>
      </c>
      <c r="AH71" s="30">
        <v>1</v>
      </c>
      <c r="AI71" s="30"/>
      <c r="AJ71" s="30"/>
      <c r="AK71" s="30"/>
      <c r="AL71" s="30"/>
      <c r="AM71" s="30"/>
      <c r="AN71" s="30"/>
      <c r="AO71" s="30"/>
      <c r="AP71" s="31">
        <v>1</v>
      </c>
      <c r="AQ71" s="32"/>
      <c r="AR71" s="33"/>
      <c r="AS71" s="31">
        <v>2</v>
      </c>
      <c r="AT71" s="63"/>
      <c r="AU71" s="34">
        <v>3</v>
      </c>
      <c r="AV71" s="34">
        <v>2</v>
      </c>
      <c r="AW71" s="34"/>
      <c r="AX71" s="34"/>
      <c r="AY71" s="34"/>
      <c r="AZ71" s="34">
        <v>4</v>
      </c>
      <c r="BA71" s="34">
        <v>3</v>
      </c>
      <c r="BB71" s="34"/>
      <c r="BC71" s="34"/>
      <c r="BD71" s="34"/>
      <c r="BE71" s="34">
        <v>1</v>
      </c>
      <c r="BF71" s="64"/>
      <c r="BG71" s="64">
        <v>2</v>
      </c>
      <c r="BH71" s="64">
        <v>3</v>
      </c>
      <c r="BN71" s="64">
        <v>1</v>
      </c>
      <c r="BT71" s="64"/>
      <c r="BU71" s="64">
        <v>1</v>
      </c>
      <c r="BV71" s="64"/>
      <c r="BW71" s="64"/>
      <c r="BX71" s="64"/>
      <c r="BY71" s="64"/>
      <c r="BZ71" s="64"/>
      <c r="CA71" s="64"/>
    </row>
    <row r="72" spans="1:79" ht="15" customHeight="1" x14ac:dyDescent="0.25">
      <c r="A72" s="22"/>
      <c r="B72" s="22">
        <v>64</v>
      </c>
      <c r="C72" s="72" t="s">
        <v>212</v>
      </c>
      <c r="D72" s="174">
        <v>2019</v>
      </c>
      <c r="E72" s="22" t="s">
        <v>232</v>
      </c>
      <c r="F72" s="22" t="s">
        <v>233</v>
      </c>
      <c r="G72" s="22" t="s">
        <v>77</v>
      </c>
      <c r="H72" s="22" t="s">
        <v>78</v>
      </c>
      <c r="I72" s="55">
        <v>31</v>
      </c>
      <c r="J72" s="55">
        <f>IF(I72&lt;=15,$L$2,$L$3)</f>
        <v>30</v>
      </c>
      <c r="K72" s="55">
        <f t="shared" ref="K72" si="100">(I72+J72)*0.1</f>
        <v>6.1000000000000005</v>
      </c>
      <c r="L72" s="55">
        <f t="shared" ref="L72" si="101">SUM(I72:K72)</f>
        <v>67.099999999999994</v>
      </c>
      <c r="M72" s="55">
        <f t="shared" ref="M72" si="102">ROUND(L72,0)</f>
        <v>67</v>
      </c>
      <c r="N72" s="56">
        <v>90</v>
      </c>
      <c r="O72" s="57">
        <f t="shared" si="41"/>
        <v>62.402999999999999</v>
      </c>
      <c r="P72" s="58">
        <f t="shared" si="4"/>
        <v>23</v>
      </c>
      <c r="Q72" s="59">
        <f t="shared" si="42"/>
        <v>15</v>
      </c>
      <c r="R72" s="60">
        <v>6</v>
      </c>
      <c r="S72" s="60"/>
      <c r="T72" s="60">
        <f t="shared" si="6"/>
        <v>7</v>
      </c>
      <c r="U72" s="73">
        <f t="shared" si="49"/>
        <v>-1</v>
      </c>
      <c r="V72" s="62"/>
      <c r="W72" s="30"/>
      <c r="X72" s="30"/>
      <c r="Y72" s="30"/>
      <c r="Z72" s="30"/>
      <c r="AA72" s="30"/>
      <c r="AB72" s="30"/>
      <c r="AC72" s="30">
        <v>1</v>
      </c>
      <c r="AD72" s="30"/>
      <c r="AE72" s="30">
        <v>1</v>
      </c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1"/>
      <c r="AQ72" s="32">
        <v>1</v>
      </c>
      <c r="AR72" s="33"/>
      <c r="AS72" s="31"/>
      <c r="AT72" s="63"/>
      <c r="AU72" s="34"/>
      <c r="AV72" s="34"/>
      <c r="AW72" s="34"/>
      <c r="AX72" s="34"/>
      <c r="AY72" s="34"/>
      <c r="AZ72" s="34">
        <v>1</v>
      </c>
      <c r="BA72" s="34"/>
      <c r="BB72" s="34"/>
      <c r="BC72" s="34"/>
      <c r="BD72" s="34"/>
      <c r="BE72" s="34"/>
      <c r="BF72" s="64"/>
      <c r="BH72" s="64">
        <v>1</v>
      </c>
      <c r="BI72" s="64">
        <v>1</v>
      </c>
      <c r="BO72" s="64">
        <v>1</v>
      </c>
      <c r="BT72" s="64">
        <v>1</v>
      </c>
      <c r="BU72" s="64"/>
      <c r="BV72" s="64"/>
      <c r="BW72" s="64"/>
      <c r="BX72" s="64"/>
      <c r="BY72" s="64"/>
      <c r="BZ72" s="64"/>
      <c r="CA72" s="64"/>
    </row>
    <row r="73" spans="1:79" ht="15" customHeight="1" x14ac:dyDescent="0.25">
      <c r="A73" s="22"/>
      <c r="B73" s="29">
        <v>65</v>
      </c>
      <c r="C73" s="72" t="s">
        <v>212</v>
      </c>
      <c r="D73" s="174">
        <v>2019</v>
      </c>
      <c r="E73" s="22" t="s">
        <v>234</v>
      </c>
      <c r="F73" s="22" t="s">
        <v>235</v>
      </c>
      <c r="G73" s="22" t="s">
        <v>77</v>
      </c>
      <c r="H73" s="22" t="s">
        <v>78</v>
      </c>
      <c r="I73" s="55">
        <v>26.5</v>
      </c>
      <c r="J73" s="55">
        <f>IF(I73&lt;=15,$L$2,$L$3)</f>
        <v>30</v>
      </c>
      <c r="K73" s="55">
        <f>(I73+J73)*0.1</f>
        <v>5.65</v>
      </c>
      <c r="L73" s="55">
        <f>SUM(I73:K73)</f>
        <v>62.15</v>
      </c>
      <c r="M73" s="55">
        <f>ROUND(L73,0)</f>
        <v>62</v>
      </c>
      <c r="N73" s="56">
        <v>62</v>
      </c>
      <c r="O73" s="57">
        <f t="shared" si="41"/>
        <v>53.344499999999989</v>
      </c>
      <c r="P73" s="58">
        <f>N73-M73</f>
        <v>0</v>
      </c>
      <c r="Q73" s="59">
        <f t="shared" si="42"/>
        <v>10.333333333333334</v>
      </c>
      <c r="R73" s="60">
        <v>12</v>
      </c>
      <c r="S73" s="60">
        <v>2</v>
      </c>
      <c r="T73" s="60">
        <f t="shared" si="6"/>
        <v>13</v>
      </c>
      <c r="U73" s="73">
        <f>R73+S73-T73</f>
        <v>1</v>
      </c>
      <c r="V73" s="62"/>
      <c r="W73" s="30">
        <v>1</v>
      </c>
      <c r="X73" s="30"/>
      <c r="Y73" s="30"/>
      <c r="Z73" s="30"/>
      <c r="AA73" s="30"/>
      <c r="AB73" s="30">
        <v>1</v>
      </c>
      <c r="AC73" s="30"/>
      <c r="AD73" s="30"/>
      <c r="AE73" s="30"/>
      <c r="AF73" s="30"/>
      <c r="AG73" s="30"/>
      <c r="AH73" s="30">
        <v>3</v>
      </c>
      <c r="AI73" s="30"/>
      <c r="AJ73" s="30"/>
      <c r="AK73" s="30"/>
      <c r="AL73" s="30"/>
      <c r="AM73" s="30"/>
      <c r="AN73" s="30"/>
      <c r="AO73" s="30"/>
      <c r="AP73" s="31"/>
      <c r="AQ73" s="32">
        <v>1</v>
      </c>
      <c r="AR73" s="33"/>
      <c r="AS73" s="31">
        <v>2</v>
      </c>
      <c r="AT73" s="63"/>
      <c r="AU73" s="34"/>
      <c r="AV73" s="34"/>
      <c r="AW73" s="34"/>
      <c r="AX73" s="34"/>
      <c r="AY73" s="34"/>
      <c r="AZ73" s="34"/>
      <c r="BA73" s="34"/>
      <c r="BB73" s="34"/>
      <c r="BC73" s="34">
        <v>1</v>
      </c>
      <c r="BD73" s="34"/>
      <c r="BE73" s="34">
        <v>1</v>
      </c>
      <c r="BF73" s="64">
        <v>2</v>
      </c>
      <c r="BH73" s="64">
        <v>1</v>
      </c>
      <c r="BT73" s="64"/>
      <c r="BU73" s="64"/>
      <c r="BV73" s="64"/>
      <c r="BW73" s="64"/>
      <c r="BX73" s="64"/>
      <c r="BY73" s="64"/>
      <c r="BZ73" s="64"/>
      <c r="CA73" s="64"/>
    </row>
    <row r="74" spans="1:79" ht="15" customHeight="1" x14ac:dyDescent="0.25">
      <c r="A74" s="22"/>
      <c r="B74" s="22">
        <v>67</v>
      </c>
      <c r="C74" s="72" t="s">
        <v>212</v>
      </c>
      <c r="D74" s="174">
        <v>2018</v>
      </c>
      <c r="E74" s="22" t="s">
        <v>236</v>
      </c>
      <c r="F74" s="22" t="s">
        <v>237</v>
      </c>
      <c r="G74" s="22" t="s">
        <v>238</v>
      </c>
      <c r="H74" s="22" t="s">
        <v>78</v>
      </c>
      <c r="I74" s="55">
        <v>39</v>
      </c>
      <c r="J74" s="55">
        <v>35</v>
      </c>
      <c r="K74" s="55">
        <f t="shared" si="0"/>
        <v>7.4</v>
      </c>
      <c r="L74" s="55">
        <f t="shared" si="1"/>
        <v>81.400000000000006</v>
      </c>
      <c r="M74" s="55">
        <f t="shared" si="48"/>
        <v>81</v>
      </c>
      <c r="N74" s="56">
        <v>79</v>
      </c>
      <c r="O74" s="57">
        <f t="shared" ref="O74:O105" si="103">I74*$O$2*1.22</f>
        <v>78.506999999999991</v>
      </c>
      <c r="P74" s="58">
        <f t="shared" si="4"/>
        <v>-2</v>
      </c>
      <c r="Q74" s="59">
        <f t="shared" ref="Q74:Q105" si="104">N74/$Q$3</f>
        <v>13.166666666666666</v>
      </c>
      <c r="R74" s="60">
        <v>1</v>
      </c>
      <c r="S74" s="60"/>
      <c r="T74" s="60">
        <f t="shared" ref="T74:T135" si="105">W74+X74+Y74+Z74+AA74+AB74+AC74+AD74+AE74+AF74+AG74+AH74+AI74+AJ74+AK74+AL74+AM74+AN74+AO74+AP74+AQ74+AR74+AS74+AT74+AU74+AV74+AW74+AX74+AY74+AZ74+BA74+BB74+BC74+BD74+BE74+BF74+BG74+BH74+BI74+BJ74+BK74+BL74+BM74+BQ74+BR74+BS74+BT74</f>
        <v>5</v>
      </c>
      <c r="U74" s="73">
        <f t="shared" si="49"/>
        <v>-4</v>
      </c>
      <c r="V74" s="62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1"/>
      <c r="AQ74" s="32"/>
      <c r="AR74" s="33"/>
      <c r="AS74" s="31"/>
      <c r="AT74" s="63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64"/>
      <c r="BI74" s="64">
        <v>5</v>
      </c>
      <c r="BT74" s="64"/>
      <c r="BU74" s="64">
        <v>1</v>
      </c>
      <c r="BV74" s="64"/>
      <c r="BW74" s="64"/>
      <c r="BX74" s="64"/>
      <c r="BY74" s="64"/>
      <c r="BZ74" s="64"/>
      <c r="CA74" s="64"/>
    </row>
    <row r="75" spans="1:79" ht="15" customHeight="1" x14ac:dyDescent="0.25">
      <c r="A75" s="22"/>
      <c r="B75" s="22">
        <v>68</v>
      </c>
      <c r="C75" s="72" t="s">
        <v>212</v>
      </c>
      <c r="D75" s="174">
        <v>2020</v>
      </c>
      <c r="E75" s="22" t="s">
        <v>239</v>
      </c>
      <c r="F75" s="22" t="s">
        <v>237</v>
      </c>
      <c r="G75" s="22" t="s">
        <v>238</v>
      </c>
      <c r="H75" s="22" t="s">
        <v>78</v>
      </c>
      <c r="I75" s="55">
        <v>16.899999999999999</v>
      </c>
      <c r="J75" s="55">
        <v>30</v>
      </c>
      <c r="K75" s="55">
        <f>(I75+J75)*0.1</f>
        <v>4.6900000000000004</v>
      </c>
      <c r="L75" s="55">
        <f>SUM(I75:K75)</f>
        <v>51.589999999999996</v>
      </c>
      <c r="M75" s="55">
        <f>ROUND(L75,0)</f>
        <v>52</v>
      </c>
      <c r="N75" s="56">
        <v>52</v>
      </c>
      <c r="O75" s="57">
        <f t="shared" si="103"/>
        <v>34.019699999999993</v>
      </c>
      <c r="P75" s="58">
        <f>N75-M75</f>
        <v>0</v>
      </c>
      <c r="Q75" s="59">
        <f t="shared" si="104"/>
        <v>8.6666666666666661</v>
      </c>
      <c r="R75" s="60">
        <v>2</v>
      </c>
      <c r="S75" s="60">
        <f>36+12+12</f>
        <v>60</v>
      </c>
      <c r="T75" s="60">
        <f t="shared" si="105"/>
        <v>50</v>
      </c>
      <c r="U75" s="73">
        <f>R75+S75-T75</f>
        <v>12</v>
      </c>
      <c r="V75" s="62"/>
      <c r="W75" s="30"/>
      <c r="X75" s="30">
        <v>1</v>
      </c>
      <c r="Y75" s="30"/>
      <c r="Z75" s="30"/>
      <c r="AA75" s="30">
        <v>1</v>
      </c>
      <c r="AB75" s="30"/>
      <c r="AC75" s="30"/>
      <c r="AD75" s="30"/>
      <c r="AE75" s="30"/>
      <c r="AF75" s="30">
        <v>1</v>
      </c>
      <c r="AG75" s="30"/>
      <c r="AH75" s="30"/>
      <c r="AI75" s="30"/>
      <c r="AJ75" s="30"/>
      <c r="AK75" s="30"/>
      <c r="AL75" s="30"/>
      <c r="AM75" s="30"/>
      <c r="AN75" s="30"/>
      <c r="AO75" s="30"/>
      <c r="AP75" s="31"/>
      <c r="AQ75" s="32"/>
      <c r="AR75" s="33"/>
      <c r="AS75" s="31">
        <v>1</v>
      </c>
      <c r="AT75" s="63">
        <v>7</v>
      </c>
      <c r="AU75" s="34">
        <v>2</v>
      </c>
      <c r="AV75" s="34"/>
      <c r="AW75" s="34">
        <v>1</v>
      </c>
      <c r="AX75" s="34"/>
      <c r="AY75" s="34">
        <v>3</v>
      </c>
      <c r="AZ75" s="34">
        <v>1</v>
      </c>
      <c r="BA75" s="34">
        <v>1</v>
      </c>
      <c r="BB75" s="34">
        <v>2</v>
      </c>
      <c r="BC75" s="34">
        <v>3</v>
      </c>
      <c r="BD75" s="34">
        <v>2</v>
      </c>
      <c r="BE75" s="34">
        <v>1</v>
      </c>
      <c r="BF75" s="64">
        <v>3</v>
      </c>
      <c r="BG75" s="64">
        <v>1</v>
      </c>
      <c r="BH75" s="64">
        <v>4</v>
      </c>
      <c r="BJ75" s="64">
        <v>2</v>
      </c>
      <c r="BK75" s="64">
        <v>2</v>
      </c>
      <c r="BL75" s="64">
        <v>7</v>
      </c>
      <c r="BM75" s="64">
        <v>1</v>
      </c>
      <c r="BN75" s="64">
        <v>1</v>
      </c>
      <c r="BO75" s="64">
        <v>1</v>
      </c>
      <c r="BP75" s="64">
        <v>1</v>
      </c>
      <c r="BR75" s="64">
        <v>2</v>
      </c>
      <c r="BT75" s="64">
        <v>1</v>
      </c>
      <c r="BU75" s="64"/>
      <c r="BV75" s="64"/>
      <c r="BW75" s="64"/>
      <c r="BX75" s="64"/>
      <c r="BY75" s="64"/>
      <c r="BZ75" s="64"/>
      <c r="CA75" s="64"/>
    </row>
    <row r="76" spans="1:79" ht="15" customHeight="1" x14ac:dyDescent="0.25">
      <c r="A76" s="22"/>
      <c r="B76" s="29">
        <v>69</v>
      </c>
      <c r="C76" s="72" t="s">
        <v>212</v>
      </c>
      <c r="D76" s="174">
        <v>2020</v>
      </c>
      <c r="E76" s="22" t="s">
        <v>240</v>
      </c>
      <c r="F76" s="22" t="s">
        <v>241</v>
      </c>
      <c r="G76" s="22" t="s">
        <v>215</v>
      </c>
      <c r="H76" s="22" t="s">
        <v>242</v>
      </c>
      <c r="I76" s="55">
        <v>22.1</v>
      </c>
      <c r="J76" s="55">
        <v>30</v>
      </c>
      <c r="K76" s="55">
        <f>(I76+J76)*0.1</f>
        <v>5.2100000000000009</v>
      </c>
      <c r="L76" s="55">
        <f>SUM(I76:K76)</f>
        <v>57.31</v>
      </c>
      <c r="M76" s="55">
        <f>ROUND(L76,0)</f>
        <v>57</v>
      </c>
      <c r="N76" s="56">
        <v>54</v>
      </c>
      <c r="O76" s="57">
        <f t="shared" si="103"/>
        <v>44.487300000000005</v>
      </c>
      <c r="P76" s="58">
        <f>N76-M76</f>
        <v>-3</v>
      </c>
      <c r="Q76" s="59">
        <f t="shared" si="104"/>
        <v>9</v>
      </c>
      <c r="R76" s="60">
        <v>1</v>
      </c>
      <c r="S76" s="60">
        <f>6+6</f>
        <v>12</v>
      </c>
      <c r="T76" s="60">
        <f t="shared" si="105"/>
        <v>6</v>
      </c>
      <c r="U76" s="61">
        <f>R76+S76-T76</f>
        <v>7</v>
      </c>
      <c r="V76" s="62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1"/>
      <c r="AQ76" s="32"/>
      <c r="AR76" s="33"/>
      <c r="AS76" s="31"/>
      <c r="AT76" s="63"/>
      <c r="AU76" s="34">
        <v>1</v>
      </c>
      <c r="AV76" s="34"/>
      <c r="AW76" s="34"/>
      <c r="AX76" s="34"/>
      <c r="AY76" s="34"/>
      <c r="AZ76" s="34"/>
      <c r="BA76" s="34"/>
      <c r="BB76" s="34">
        <v>1</v>
      </c>
      <c r="BC76" s="34"/>
      <c r="BD76" s="34"/>
      <c r="BE76" s="34"/>
      <c r="BF76" s="64"/>
      <c r="BG76" s="64">
        <v>3</v>
      </c>
      <c r="BN76" s="64">
        <v>1</v>
      </c>
      <c r="BT76" s="64">
        <v>1</v>
      </c>
      <c r="BU76" s="64"/>
      <c r="BV76" s="64"/>
      <c r="BW76" s="64"/>
      <c r="BX76" s="64"/>
      <c r="BY76" s="64"/>
      <c r="BZ76" s="64"/>
      <c r="CA76" s="64"/>
    </row>
    <row r="77" spans="1:79" ht="15" customHeight="1" x14ac:dyDescent="0.25">
      <c r="A77" s="3"/>
      <c r="B77" s="22">
        <v>70</v>
      </c>
      <c r="C77" s="72" t="s">
        <v>212</v>
      </c>
      <c r="D77" s="174">
        <v>2020</v>
      </c>
      <c r="E77" s="22" t="s">
        <v>243</v>
      </c>
      <c r="F77" s="22" t="s">
        <v>244</v>
      </c>
      <c r="G77" s="22" t="s">
        <v>245</v>
      </c>
      <c r="H77" s="22" t="s">
        <v>78</v>
      </c>
      <c r="I77" s="55">
        <v>19.600000000000001</v>
      </c>
      <c r="J77" s="55">
        <v>30</v>
      </c>
      <c r="K77" s="55">
        <f>(I77+J77)*0.1</f>
        <v>4.9600000000000009</v>
      </c>
      <c r="L77" s="55">
        <f>SUM(I77:K77)</f>
        <v>54.56</v>
      </c>
      <c r="M77" s="55">
        <f>ROUND(L77,0)</f>
        <v>55</v>
      </c>
      <c r="N77" s="56">
        <v>60</v>
      </c>
      <c r="O77" s="57">
        <f t="shared" si="103"/>
        <v>39.454800000000006</v>
      </c>
      <c r="P77" s="58">
        <f>N77-M77</f>
        <v>5</v>
      </c>
      <c r="Q77" s="59">
        <f t="shared" si="104"/>
        <v>10</v>
      </c>
      <c r="R77" s="60">
        <v>12</v>
      </c>
      <c r="S77" s="60">
        <v>12</v>
      </c>
      <c r="T77" s="60">
        <f t="shared" si="105"/>
        <v>11</v>
      </c>
      <c r="U77" s="61">
        <f>R77+S77-T77</f>
        <v>13</v>
      </c>
      <c r="V77" s="62"/>
      <c r="W77" s="30">
        <v>1</v>
      </c>
      <c r="X77" s="30">
        <v>1</v>
      </c>
      <c r="Y77" s="30"/>
      <c r="Z77" s="30">
        <v>1</v>
      </c>
      <c r="AA77" s="30"/>
      <c r="AB77" s="30"/>
      <c r="AC77" s="30"/>
      <c r="AD77" s="30">
        <v>1</v>
      </c>
      <c r="AE77" s="30"/>
      <c r="AF77" s="30">
        <v>1</v>
      </c>
      <c r="AG77" s="30"/>
      <c r="AH77" s="30"/>
      <c r="AI77" s="30"/>
      <c r="AJ77" s="30"/>
      <c r="AK77" s="30"/>
      <c r="AL77" s="30"/>
      <c r="AM77" s="30"/>
      <c r="AN77" s="30"/>
      <c r="AO77" s="30"/>
      <c r="AP77" s="31"/>
      <c r="AQ77" s="32"/>
      <c r="AR77" s="33"/>
      <c r="AS77" s="31"/>
      <c r="AT77" s="63">
        <v>1</v>
      </c>
      <c r="AU77" s="34"/>
      <c r="AV77" s="34"/>
      <c r="AW77" s="34"/>
      <c r="AX77" s="34"/>
      <c r="AY77" s="34">
        <v>1</v>
      </c>
      <c r="AZ77" s="34"/>
      <c r="BA77" s="34">
        <v>1</v>
      </c>
      <c r="BB77" s="34"/>
      <c r="BC77" s="34"/>
      <c r="BD77" s="34"/>
      <c r="BE77" s="34"/>
      <c r="BF77" s="64"/>
      <c r="BG77" s="64">
        <v>1</v>
      </c>
      <c r="BL77" s="64">
        <v>1</v>
      </c>
      <c r="BO77" s="64">
        <v>1</v>
      </c>
      <c r="BT77" s="64">
        <v>1</v>
      </c>
      <c r="BU77" s="64"/>
      <c r="BV77" s="64"/>
      <c r="BW77" s="64"/>
      <c r="BX77" s="64"/>
      <c r="BY77" s="64"/>
      <c r="BZ77" s="64"/>
      <c r="CA77" s="64"/>
    </row>
    <row r="78" spans="1:79" ht="15" customHeight="1" x14ac:dyDescent="0.25">
      <c r="A78" s="3"/>
      <c r="B78" s="22">
        <v>71</v>
      </c>
      <c r="C78" s="72" t="s">
        <v>212</v>
      </c>
      <c r="D78" s="174">
        <v>2021</v>
      </c>
      <c r="E78" s="22" t="s">
        <v>246</v>
      </c>
      <c r="F78" s="22" t="s">
        <v>247</v>
      </c>
      <c r="G78" s="22" t="s">
        <v>215</v>
      </c>
      <c r="H78" s="22" t="s">
        <v>84</v>
      </c>
      <c r="I78" s="55">
        <v>13.9</v>
      </c>
      <c r="J78" s="55">
        <v>25</v>
      </c>
      <c r="K78" s="55">
        <f>(I78+J78)*0.1</f>
        <v>3.89</v>
      </c>
      <c r="L78" s="55">
        <f>SUM(I78:K78)</f>
        <v>42.79</v>
      </c>
      <c r="M78" s="55">
        <f>ROUND(L78,0)</f>
        <v>43</v>
      </c>
      <c r="N78" s="56">
        <v>43</v>
      </c>
      <c r="O78" s="57">
        <f t="shared" ref="O78" si="106">I78*$O$2*1.22</f>
        <v>27.980699999999999</v>
      </c>
      <c r="P78" s="58">
        <f>N78-M78</f>
        <v>0</v>
      </c>
      <c r="Q78" s="59">
        <f t="shared" ref="Q78" si="107">N78/$Q$3</f>
        <v>7.166666666666667</v>
      </c>
      <c r="R78" s="60"/>
      <c r="S78" s="60">
        <f>6+6</f>
        <v>12</v>
      </c>
      <c r="T78" s="60">
        <f t="shared" ref="T78" si="108">W78+X78+Y78+Z78+AA78+AB78+AC78+AD78+AE78+AF78+AG78+AH78+AI78+AJ78+AK78+AL78+AM78+AN78+AO78+AP78+AQ78+AR78+AS78+AT78+AU78+AV78+AW78+AX78+AY78+AZ78+BA78+BB78+BC78+BD78+BE78+BF78+BG78+BH78+BI78+BJ78+BK78+BL78+BM78+BQ78+BR78+BS78+BT78</f>
        <v>3</v>
      </c>
      <c r="U78" s="61">
        <f>R78+S78-T78</f>
        <v>9</v>
      </c>
      <c r="V78" s="62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1"/>
      <c r="AQ78" s="32"/>
      <c r="AR78" s="33"/>
      <c r="AS78" s="31"/>
      <c r="AT78" s="63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64"/>
      <c r="BO78" s="64">
        <v>1</v>
      </c>
      <c r="BQ78" s="64">
        <v>2</v>
      </c>
      <c r="BR78" s="64">
        <v>1</v>
      </c>
      <c r="BT78" s="64"/>
      <c r="BU78" s="64">
        <v>1</v>
      </c>
      <c r="BV78" s="64"/>
      <c r="BW78" s="64"/>
      <c r="BX78" s="64"/>
      <c r="BY78" s="64"/>
      <c r="BZ78" s="64"/>
      <c r="CA78" s="64"/>
    </row>
    <row r="79" spans="1:79" ht="15" customHeight="1" x14ac:dyDescent="0.25">
      <c r="A79" s="22"/>
      <c r="B79" s="22">
        <v>72</v>
      </c>
      <c r="C79" s="74" t="s">
        <v>248</v>
      </c>
      <c r="D79" s="174">
        <v>2019</v>
      </c>
      <c r="E79" s="22" t="s">
        <v>249</v>
      </c>
      <c r="F79" s="22" t="s">
        <v>250</v>
      </c>
      <c r="G79" s="22" t="s">
        <v>215</v>
      </c>
      <c r="H79" s="22" t="s">
        <v>78</v>
      </c>
      <c r="I79" s="55">
        <v>44.5</v>
      </c>
      <c r="J79" s="55">
        <v>40</v>
      </c>
      <c r="K79" s="55">
        <f t="shared" si="0"/>
        <v>8.4500000000000011</v>
      </c>
      <c r="L79" s="55">
        <f t="shared" si="1"/>
        <v>92.95</v>
      </c>
      <c r="M79" s="55">
        <f t="shared" si="48"/>
        <v>93</v>
      </c>
      <c r="N79" s="56">
        <v>93</v>
      </c>
      <c r="O79" s="57">
        <f t="shared" si="103"/>
        <v>89.578499999999991</v>
      </c>
      <c r="P79" s="58">
        <f t="shared" si="4"/>
        <v>0</v>
      </c>
      <c r="Q79" s="59">
        <f t="shared" si="104"/>
        <v>15.5</v>
      </c>
      <c r="R79" s="60">
        <f>6+1</f>
        <v>7</v>
      </c>
      <c r="S79" s="60">
        <f>6+1</f>
        <v>7</v>
      </c>
      <c r="T79" s="60">
        <f t="shared" si="105"/>
        <v>8</v>
      </c>
      <c r="U79" s="61">
        <f t="shared" si="49"/>
        <v>6</v>
      </c>
      <c r="V79" s="62"/>
      <c r="W79" s="30">
        <v>1</v>
      </c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1"/>
      <c r="AQ79" s="32"/>
      <c r="AR79" s="33"/>
      <c r="AS79" s="31">
        <v>1</v>
      </c>
      <c r="AT79" s="63"/>
      <c r="AU79" s="34"/>
      <c r="AV79" s="34">
        <v>2</v>
      </c>
      <c r="AW79" s="34">
        <v>1</v>
      </c>
      <c r="AX79" s="34"/>
      <c r="AY79" s="34">
        <v>1</v>
      </c>
      <c r="AZ79" s="34"/>
      <c r="BA79" s="34"/>
      <c r="BB79" s="34"/>
      <c r="BC79" s="34"/>
      <c r="BD79" s="34">
        <v>1</v>
      </c>
      <c r="BE79" s="34"/>
      <c r="BF79" s="64"/>
      <c r="BT79" s="64">
        <v>1</v>
      </c>
      <c r="BU79" s="64"/>
      <c r="BV79" s="64"/>
      <c r="BW79" s="64"/>
      <c r="BX79" s="64"/>
      <c r="BY79" s="64"/>
      <c r="BZ79" s="64"/>
      <c r="CA79" s="64"/>
    </row>
    <row r="80" spans="1:79" ht="15" customHeight="1" x14ac:dyDescent="0.25">
      <c r="A80" s="22"/>
      <c r="B80" s="22">
        <v>72.3</v>
      </c>
      <c r="C80" s="74" t="s">
        <v>248</v>
      </c>
      <c r="D80" s="174">
        <v>2021</v>
      </c>
      <c r="E80" s="22" t="s">
        <v>251</v>
      </c>
      <c r="F80" s="22" t="s">
        <v>252</v>
      </c>
      <c r="G80" s="22" t="s">
        <v>215</v>
      </c>
      <c r="H80" s="22" t="s">
        <v>78</v>
      </c>
      <c r="I80" s="55">
        <v>16.899999999999999</v>
      </c>
      <c r="J80" s="55">
        <f>IF(I80&lt;=15,$L$2,$L$3)</f>
        <v>30</v>
      </c>
      <c r="K80" s="55">
        <f t="shared" ref="K80" si="109">(I80+J80)*0.1</f>
        <v>4.6900000000000004</v>
      </c>
      <c r="L80" s="55">
        <f t="shared" ref="L80" si="110">SUM(I80:K80)</f>
        <v>51.589999999999996</v>
      </c>
      <c r="M80" s="55">
        <f t="shared" ref="M80" si="111">ROUND(L80,0)</f>
        <v>52</v>
      </c>
      <c r="N80" s="56">
        <v>50</v>
      </c>
      <c r="O80" s="57">
        <f t="shared" ref="O80" si="112">I80*$O$2*1.22</f>
        <v>34.019699999999993</v>
      </c>
      <c r="P80" s="58">
        <f t="shared" ref="P80" si="113">N80-M80</f>
        <v>-2</v>
      </c>
      <c r="Q80" s="59">
        <f t="shared" ref="Q80" si="114">N80/$Q$3</f>
        <v>8.3333333333333339</v>
      </c>
      <c r="R80" s="60"/>
      <c r="S80" s="60">
        <f>6+6+12+18+6</f>
        <v>48</v>
      </c>
      <c r="T80" s="60">
        <f t="shared" ref="T80" si="115">W80+X80+Y80+Z80+AA80+AB80+AC80+AD80+AE80+AF80+AG80+AH80+AI80+AJ80+AK80+AL80+AM80+AN80+AO80+AP80+AQ80+AR80+AS80+AT80+AU80+AV80+AW80+AX80+AY80+AZ80+BA80+BB80+BC80+BD80+BE80+BF80+BG80+BH80+BI80+BJ80+BK80+BL80+BM80+BQ80+BR80+BS80+BT80</f>
        <v>32</v>
      </c>
      <c r="U80" s="61">
        <f t="shared" ref="U80" si="116">R80+S80-T80</f>
        <v>16</v>
      </c>
      <c r="V80" s="62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1"/>
      <c r="AQ80" s="32">
        <v>2</v>
      </c>
      <c r="AR80" s="33"/>
      <c r="AS80" s="31">
        <v>4</v>
      </c>
      <c r="AT80" s="63"/>
      <c r="AU80" s="34">
        <v>1</v>
      </c>
      <c r="AV80" s="34">
        <v>1</v>
      </c>
      <c r="AW80" s="34"/>
      <c r="AX80" s="34"/>
      <c r="AY80" s="34">
        <v>2</v>
      </c>
      <c r="AZ80" s="34"/>
      <c r="BA80" s="34">
        <v>1</v>
      </c>
      <c r="BB80" s="34">
        <v>1</v>
      </c>
      <c r="BC80" s="34"/>
      <c r="BD80" s="34">
        <v>2</v>
      </c>
      <c r="BE80" s="34">
        <v>2</v>
      </c>
      <c r="BF80" s="64">
        <v>3</v>
      </c>
      <c r="BG80" s="64">
        <v>1</v>
      </c>
      <c r="BH80" s="64">
        <v>4</v>
      </c>
      <c r="BI80" s="64">
        <v>1</v>
      </c>
      <c r="BK80" s="64">
        <v>2</v>
      </c>
      <c r="BM80" s="64">
        <v>1</v>
      </c>
      <c r="BN80" s="64">
        <v>1</v>
      </c>
      <c r="BO80" s="64">
        <v>1</v>
      </c>
      <c r="BP80" s="64">
        <v>1</v>
      </c>
      <c r="BQ80" s="64">
        <v>3</v>
      </c>
      <c r="BT80" s="64">
        <v>1</v>
      </c>
      <c r="BU80" s="64"/>
      <c r="BV80" s="64"/>
      <c r="BW80" s="64"/>
      <c r="BX80" s="64"/>
      <c r="BY80" s="64"/>
      <c r="BZ80" s="64"/>
      <c r="CA80" s="64"/>
    </row>
    <row r="81" spans="1:79" ht="15" customHeight="1" x14ac:dyDescent="0.25">
      <c r="A81" s="22"/>
      <c r="B81" s="29">
        <v>73</v>
      </c>
      <c r="C81" s="74" t="s">
        <v>248</v>
      </c>
      <c r="D81" s="174">
        <v>2017</v>
      </c>
      <c r="E81" s="22" t="s">
        <v>253</v>
      </c>
      <c r="F81" s="22" t="s">
        <v>254</v>
      </c>
      <c r="G81" s="22" t="s">
        <v>215</v>
      </c>
      <c r="H81" s="22" t="s">
        <v>84</v>
      </c>
      <c r="I81" s="55">
        <v>45</v>
      </c>
      <c r="J81" s="55">
        <v>50</v>
      </c>
      <c r="K81" s="55">
        <f t="shared" si="0"/>
        <v>9.5</v>
      </c>
      <c r="L81" s="55">
        <f t="shared" si="1"/>
        <v>104.5</v>
      </c>
      <c r="M81" s="55">
        <f t="shared" si="48"/>
        <v>105</v>
      </c>
      <c r="N81" s="56">
        <v>105</v>
      </c>
      <c r="O81" s="57">
        <f t="shared" si="103"/>
        <v>90.584999999999994</v>
      </c>
      <c r="P81" s="58">
        <f t="shared" si="4"/>
        <v>0</v>
      </c>
      <c r="Q81" s="59">
        <f t="shared" si="104"/>
        <v>17.5</v>
      </c>
      <c r="R81" s="60">
        <v>4</v>
      </c>
      <c r="S81" s="60">
        <v>6</v>
      </c>
      <c r="T81" s="60">
        <f t="shared" si="105"/>
        <v>4</v>
      </c>
      <c r="U81" s="61">
        <f t="shared" si="49"/>
        <v>6</v>
      </c>
      <c r="V81" s="62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1"/>
      <c r="AQ81" s="32"/>
      <c r="AR81" s="33"/>
      <c r="AS81" s="31"/>
      <c r="AT81" s="63"/>
      <c r="AU81" s="34"/>
      <c r="AV81" s="34"/>
      <c r="AW81" s="34"/>
      <c r="AX81" s="34"/>
      <c r="AY81" s="34">
        <v>1</v>
      </c>
      <c r="AZ81" s="34"/>
      <c r="BA81" s="34"/>
      <c r="BB81" s="34"/>
      <c r="BC81" s="34"/>
      <c r="BD81" s="34"/>
      <c r="BE81" s="34">
        <v>1</v>
      </c>
      <c r="BF81" s="64">
        <v>1</v>
      </c>
      <c r="BH81" s="64">
        <v>1</v>
      </c>
      <c r="BT81" s="64"/>
      <c r="BU81" s="64"/>
      <c r="BV81" s="64"/>
      <c r="BW81" s="64"/>
      <c r="BX81" s="64"/>
      <c r="BY81" s="64"/>
      <c r="BZ81" s="64"/>
      <c r="CA81" s="64"/>
    </row>
    <row r="82" spans="1:79" ht="15" customHeight="1" x14ac:dyDescent="0.25">
      <c r="A82" s="22"/>
      <c r="B82" s="22">
        <v>74</v>
      </c>
      <c r="C82" s="74" t="s">
        <v>248</v>
      </c>
      <c r="D82" s="174" t="s">
        <v>255</v>
      </c>
      <c r="E82" s="22" t="s">
        <v>256</v>
      </c>
      <c r="F82" s="22" t="s">
        <v>254</v>
      </c>
      <c r="G82" s="22" t="s">
        <v>215</v>
      </c>
      <c r="H82" s="22" t="s">
        <v>171</v>
      </c>
      <c r="I82" s="55">
        <v>55</v>
      </c>
      <c r="J82" s="55">
        <v>50</v>
      </c>
      <c r="K82" s="55">
        <f>(I82+J82)*0.1</f>
        <v>10.5</v>
      </c>
      <c r="L82" s="55">
        <f>SUM(I82:K82)</f>
        <v>115.5</v>
      </c>
      <c r="M82" s="55">
        <f>ROUND(L82,0)</f>
        <v>116</v>
      </c>
      <c r="N82" s="56">
        <v>116</v>
      </c>
      <c r="O82" s="57">
        <f t="shared" si="103"/>
        <v>110.715</v>
      </c>
      <c r="P82" s="58">
        <f>N82-M82</f>
        <v>0</v>
      </c>
      <c r="Q82" s="59">
        <f t="shared" si="104"/>
        <v>19.333333333333332</v>
      </c>
      <c r="R82" s="60">
        <v>6</v>
      </c>
      <c r="S82" s="60">
        <v>6</v>
      </c>
      <c r="T82" s="60">
        <f t="shared" si="105"/>
        <v>3</v>
      </c>
      <c r="U82" s="61">
        <f>R82+S82-T82</f>
        <v>9</v>
      </c>
      <c r="V82" s="62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1"/>
      <c r="AQ82" s="32">
        <v>1</v>
      </c>
      <c r="AR82" s="33"/>
      <c r="AS82" s="31"/>
      <c r="AT82" s="63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64"/>
      <c r="BH82" s="64">
        <v>1</v>
      </c>
      <c r="BN82" s="64">
        <v>1</v>
      </c>
      <c r="BT82" s="64">
        <v>1</v>
      </c>
      <c r="BU82" s="64"/>
      <c r="BV82" s="64"/>
      <c r="BW82" s="64"/>
      <c r="BX82" s="64"/>
      <c r="BY82" s="64"/>
      <c r="BZ82" s="64"/>
      <c r="CA82" s="64"/>
    </row>
    <row r="83" spans="1:79" s="54" customFormat="1" ht="15" customHeight="1" x14ac:dyDescent="0.25">
      <c r="A83" s="22"/>
      <c r="B83" s="22">
        <v>75</v>
      </c>
      <c r="C83" s="74" t="s">
        <v>248</v>
      </c>
      <c r="D83" s="174">
        <v>2019</v>
      </c>
      <c r="E83" s="22" t="s">
        <v>257</v>
      </c>
      <c r="F83" s="22" t="s">
        <v>219</v>
      </c>
      <c r="G83" s="22" t="s">
        <v>215</v>
      </c>
      <c r="H83" s="22" t="s">
        <v>258</v>
      </c>
      <c r="I83" s="55">
        <v>19.11</v>
      </c>
      <c r="J83" s="55">
        <f>IF(I83&lt;=15,$L$2,$L$3)</f>
        <v>30</v>
      </c>
      <c r="K83" s="55">
        <f t="shared" si="0"/>
        <v>4.9110000000000005</v>
      </c>
      <c r="L83" s="55">
        <f t="shared" si="1"/>
        <v>54.021000000000001</v>
      </c>
      <c r="M83" s="55">
        <f t="shared" si="48"/>
        <v>54</v>
      </c>
      <c r="N83" s="56">
        <v>53</v>
      </c>
      <c r="O83" s="57">
        <f t="shared" si="103"/>
        <v>38.468429999999998</v>
      </c>
      <c r="P83" s="58">
        <f t="shared" si="4"/>
        <v>-1</v>
      </c>
      <c r="Q83" s="59">
        <f t="shared" si="104"/>
        <v>8.8333333333333339</v>
      </c>
      <c r="R83" s="60">
        <v>8</v>
      </c>
      <c r="S83" s="60">
        <f>3+12+6</f>
        <v>21</v>
      </c>
      <c r="T83" s="60">
        <f t="shared" si="105"/>
        <v>19</v>
      </c>
      <c r="U83" s="61">
        <f t="shared" si="49"/>
        <v>10</v>
      </c>
      <c r="V83" s="62"/>
      <c r="W83" s="30"/>
      <c r="X83" s="30"/>
      <c r="Y83" s="30"/>
      <c r="Z83" s="30">
        <v>1</v>
      </c>
      <c r="AA83" s="30"/>
      <c r="AB83" s="30"/>
      <c r="AC83" s="30"/>
      <c r="AD83" s="30"/>
      <c r="AE83" s="30">
        <v>1</v>
      </c>
      <c r="AF83" s="30">
        <v>1</v>
      </c>
      <c r="AG83" s="30">
        <v>1</v>
      </c>
      <c r="AH83" s="30"/>
      <c r="AI83" s="30"/>
      <c r="AJ83" s="30"/>
      <c r="AK83" s="30"/>
      <c r="AL83" s="30"/>
      <c r="AM83" s="30"/>
      <c r="AN83" s="30"/>
      <c r="AO83" s="30"/>
      <c r="AP83" s="31"/>
      <c r="AQ83" s="32"/>
      <c r="AR83" s="33"/>
      <c r="AS83" s="31"/>
      <c r="AT83" s="63"/>
      <c r="AU83" s="34"/>
      <c r="AV83" s="34"/>
      <c r="AW83" s="34"/>
      <c r="AX83" s="34"/>
      <c r="AY83" s="34"/>
      <c r="AZ83" s="34"/>
      <c r="BA83" s="34">
        <v>1</v>
      </c>
      <c r="BB83" s="34"/>
      <c r="BC83" s="34">
        <v>1</v>
      </c>
      <c r="BD83" s="34"/>
      <c r="BE83" s="34">
        <v>2</v>
      </c>
      <c r="BF83" s="64">
        <v>3</v>
      </c>
      <c r="BG83" s="64"/>
      <c r="BH83" s="64"/>
      <c r="BI83" s="64"/>
      <c r="BJ83" s="64">
        <v>1</v>
      </c>
      <c r="BK83" s="64"/>
      <c r="BL83" s="64">
        <v>1</v>
      </c>
      <c r="BM83" s="64">
        <v>1</v>
      </c>
      <c r="BN83" s="64"/>
      <c r="BO83" s="64">
        <v>1</v>
      </c>
      <c r="BP83" s="64"/>
      <c r="BQ83" s="64"/>
      <c r="BR83" s="64">
        <v>2</v>
      </c>
      <c r="BS83" s="64"/>
      <c r="BT83" s="64">
        <v>3</v>
      </c>
      <c r="BU83" s="64">
        <v>2</v>
      </c>
      <c r="BV83" s="64"/>
      <c r="BW83" s="64"/>
      <c r="BX83" s="64"/>
      <c r="BY83" s="64"/>
      <c r="BZ83" s="64"/>
      <c r="CA83" s="64"/>
    </row>
    <row r="84" spans="1:79" s="54" customFormat="1" ht="15" customHeight="1" thickBot="1" x14ac:dyDescent="0.3">
      <c r="A84" s="22"/>
      <c r="B84" s="22">
        <v>76</v>
      </c>
      <c r="C84" s="74" t="s">
        <v>248</v>
      </c>
      <c r="D84" s="174">
        <v>2021</v>
      </c>
      <c r="E84" s="22" t="s">
        <v>259</v>
      </c>
      <c r="F84" s="22" t="s">
        <v>260</v>
      </c>
      <c r="G84" s="22" t="s">
        <v>77</v>
      </c>
      <c r="H84" s="22" t="s">
        <v>78</v>
      </c>
      <c r="I84" s="55">
        <v>19</v>
      </c>
      <c r="J84" s="55">
        <f>IF(I84&lt;=15,$L$2,$L$3)</f>
        <v>30</v>
      </c>
      <c r="K84" s="55">
        <f t="shared" si="0"/>
        <v>4.9000000000000004</v>
      </c>
      <c r="L84" s="55">
        <f t="shared" si="1"/>
        <v>53.9</v>
      </c>
      <c r="M84" s="55">
        <f t="shared" si="48"/>
        <v>54</v>
      </c>
      <c r="N84" s="81">
        <v>54</v>
      </c>
      <c r="O84" s="57">
        <f t="shared" si="103"/>
        <v>38.247</v>
      </c>
      <c r="P84" s="58">
        <f t="shared" si="4"/>
        <v>0</v>
      </c>
      <c r="Q84" s="59">
        <f t="shared" si="104"/>
        <v>9</v>
      </c>
      <c r="R84" s="60">
        <v>11</v>
      </c>
      <c r="S84" s="60">
        <f>6+6+6+6+6</f>
        <v>30</v>
      </c>
      <c r="T84" s="60">
        <f t="shared" si="105"/>
        <v>33</v>
      </c>
      <c r="U84" s="61">
        <f t="shared" si="49"/>
        <v>8</v>
      </c>
      <c r="V84" s="62"/>
      <c r="W84" s="30">
        <v>2</v>
      </c>
      <c r="X84" s="30"/>
      <c r="Y84" s="30">
        <v>1</v>
      </c>
      <c r="Z84" s="30"/>
      <c r="AA84" s="30"/>
      <c r="AB84" s="30">
        <v>2</v>
      </c>
      <c r="AC84" s="30"/>
      <c r="AD84" s="30"/>
      <c r="AE84" s="30">
        <v>1</v>
      </c>
      <c r="AF84" s="30">
        <v>1</v>
      </c>
      <c r="AG84" s="30">
        <v>2</v>
      </c>
      <c r="AH84" s="30">
        <v>2</v>
      </c>
      <c r="AI84" s="30"/>
      <c r="AJ84" s="30"/>
      <c r="AK84" s="30"/>
      <c r="AL84" s="30"/>
      <c r="AM84" s="30"/>
      <c r="AN84" s="30"/>
      <c r="AO84" s="30"/>
      <c r="AP84" s="31"/>
      <c r="AQ84" s="32">
        <v>3</v>
      </c>
      <c r="AR84" s="33"/>
      <c r="AS84" s="31">
        <v>3</v>
      </c>
      <c r="AT84" s="63">
        <v>4</v>
      </c>
      <c r="AU84" s="34">
        <v>1</v>
      </c>
      <c r="AV84" s="34"/>
      <c r="AW84" s="34"/>
      <c r="AX84" s="34"/>
      <c r="AY84" s="34"/>
      <c r="AZ84" s="34"/>
      <c r="BA84" s="34"/>
      <c r="BB84" s="34">
        <v>2</v>
      </c>
      <c r="BC84" s="34">
        <v>1</v>
      </c>
      <c r="BD84" s="34"/>
      <c r="BE84" s="34"/>
      <c r="BF84" s="64"/>
      <c r="BG84" s="64"/>
      <c r="BH84" s="64">
        <v>3</v>
      </c>
      <c r="BI84" s="64"/>
      <c r="BJ84" s="64">
        <v>2</v>
      </c>
      <c r="BK84" s="64"/>
      <c r="BL84" s="64"/>
      <c r="BM84" s="64"/>
      <c r="BN84" s="64"/>
      <c r="BO84" s="64"/>
      <c r="BP84" s="64">
        <v>2</v>
      </c>
      <c r="BQ84" s="64">
        <v>1</v>
      </c>
      <c r="BR84" s="64"/>
      <c r="BS84" s="64"/>
      <c r="BT84" s="64">
        <v>2</v>
      </c>
      <c r="BU84" s="64"/>
      <c r="BV84" s="64"/>
      <c r="BW84" s="64"/>
      <c r="BX84" s="64"/>
      <c r="BY84" s="64"/>
      <c r="BZ84" s="64"/>
      <c r="CA84" s="64"/>
    </row>
    <row r="85" spans="1:79" ht="15" customHeight="1" x14ac:dyDescent="0.25">
      <c r="A85" s="22"/>
      <c r="B85" s="22">
        <v>78</v>
      </c>
      <c r="C85" s="74" t="s">
        <v>248</v>
      </c>
      <c r="D85" s="174">
        <v>2021</v>
      </c>
      <c r="E85" s="22" t="s">
        <v>261</v>
      </c>
      <c r="F85" s="22" t="s">
        <v>262</v>
      </c>
      <c r="G85" s="22" t="s">
        <v>77</v>
      </c>
      <c r="H85" s="22" t="s">
        <v>78</v>
      </c>
      <c r="I85" s="55">
        <v>18.2</v>
      </c>
      <c r="J85" s="55">
        <f>IF(I85&lt;=15,$L$2,$L$3)</f>
        <v>30</v>
      </c>
      <c r="K85" s="55">
        <f t="shared" si="0"/>
        <v>4.82</v>
      </c>
      <c r="L85" s="55">
        <f t="shared" si="1"/>
        <v>53.02</v>
      </c>
      <c r="M85" s="55">
        <f t="shared" si="48"/>
        <v>53</v>
      </c>
      <c r="N85" s="56">
        <v>53</v>
      </c>
      <c r="O85" s="57">
        <f t="shared" si="103"/>
        <v>36.636599999999994</v>
      </c>
      <c r="P85" s="58">
        <f t="shared" si="4"/>
        <v>0</v>
      </c>
      <c r="Q85" s="59">
        <f t="shared" si="104"/>
        <v>8.8333333333333339</v>
      </c>
      <c r="R85" s="60">
        <v>13</v>
      </c>
      <c r="S85" s="60"/>
      <c r="T85" s="60">
        <f t="shared" si="105"/>
        <v>7</v>
      </c>
      <c r="U85" s="61">
        <f t="shared" si="49"/>
        <v>6</v>
      </c>
      <c r="V85" s="62"/>
      <c r="W85" s="30">
        <v>2</v>
      </c>
      <c r="X85" s="30"/>
      <c r="Y85" s="30"/>
      <c r="Z85" s="30"/>
      <c r="AA85" s="30">
        <v>1</v>
      </c>
      <c r="AB85" s="30"/>
      <c r="AC85" s="30"/>
      <c r="AD85" s="30"/>
      <c r="AE85" s="30"/>
      <c r="AF85" s="30"/>
      <c r="AG85" s="30">
        <v>1</v>
      </c>
      <c r="AH85" s="30"/>
      <c r="AI85" s="30"/>
      <c r="AJ85" s="30"/>
      <c r="AK85" s="30"/>
      <c r="AL85" s="30"/>
      <c r="AM85" s="30"/>
      <c r="AN85" s="30"/>
      <c r="AO85" s="30"/>
      <c r="AP85" s="31"/>
      <c r="AQ85" s="32"/>
      <c r="AR85" s="33"/>
      <c r="AS85" s="31"/>
      <c r="AT85" s="63"/>
      <c r="AU85" s="34"/>
      <c r="AV85" s="34"/>
      <c r="AW85" s="34"/>
      <c r="AX85" s="34"/>
      <c r="AY85" s="34"/>
      <c r="AZ85" s="34"/>
      <c r="BA85" s="34">
        <v>1</v>
      </c>
      <c r="BB85" s="34"/>
      <c r="BC85" s="34"/>
      <c r="BD85" s="34"/>
      <c r="BE85" s="34"/>
      <c r="BF85" s="64"/>
      <c r="BI85" s="64">
        <v>1</v>
      </c>
      <c r="BP85" s="64">
        <v>2</v>
      </c>
      <c r="BT85" s="64">
        <v>1</v>
      </c>
      <c r="BU85" s="64"/>
      <c r="BV85" s="64"/>
      <c r="BW85" s="64"/>
      <c r="BX85" s="64"/>
      <c r="BY85" s="64"/>
      <c r="BZ85" s="64"/>
      <c r="CA85" s="64"/>
    </row>
    <row r="86" spans="1:79" ht="15" customHeight="1" x14ac:dyDescent="0.25">
      <c r="A86" s="71"/>
      <c r="B86" s="22">
        <v>79</v>
      </c>
      <c r="C86" s="74" t="s">
        <v>248</v>
      </c>
      <c r="D86" s="174">
        <v>2021</v>
      </c>
      <c r="E86" s="22" t="s">
        <v>263</v>
      </c>
      <c r="F86" s="22" t="s">
        <v>264</v>
      </c>
      <c r="G86" s="22" t="s">
        <v>81</v>
      </c>
      <c r="H86" s="22" t="s">
        <v>78</v>
      </c>
      <c r="I86" s="55">
        <v>14.5</v>
      </c>
      <c r="J86" s="55">
        <f>IF(I86&lt;=15,$L$2,$L$3)</f>
        <v>25</v>
      </c>
      <c r="K86" s="55">
        <f t="shared" si="0"/>
        <v>3.95</v>
      </c>
      <c r="L86" s="55">
        <f t="shared" si="1"/>
        <v>43.45</v>
      </c>
      <c r="M86" s="55">
        <f t="shared" si="48"/>
        <v>43</v>
      </c>
      <c r="N86" s="56">
        <v>43</v>
      </c>
      <c r="O86" s="57">
        <f t="shared" si="103"/>
        <v>29.188499999999998</v>
      </c>
      <c r="P86" s="58">
        <f t="shared" si="4"/>
        <v>0</v>
      </c>
      <c r="Q86" s="59">
        <f t="shared" si="104"/>
        <v>7.166666666666667</v>
      </c>
      <c r="R86" s="60">
        <v>12</v>
      </c>
      <c r="S86" s="60">
        <f>6+6+6+6+6</f>
        <v>30</v>
      </c>
      <c r="T86" s="60">
        <f t="shared" si="105"/>
        <v>31</v>
      </c>
      <c r="U86" s="61">
        <f t="shared" si="49"/>
        <v>11</v>
      </c>
      <c r="V86" s="62"/>
      <c r="W86" s="30"/>
      <c r="X86" s="30"/>
      <c r="Y86" s="30"/>
      <c r="Z86" s="30">
        <v>1</v>
      </c>
      <c r="AA86" s="30">
        <v>1</v>
      </c>
      <c r="AB86" s="30">
        <v>2</v>
      </c>
      <c r="AC86" s="30">
        <v>1</v>
      </c>
      <c r="AD86" s="30">
        <v>1</v>
      </c>
      <c r="AE86" s="30">
        <v>1</v>
      </c>
      <c r="AF86" s="30">
        <v>2</v>
      </c>
      <c r="AG86" s="30">
        <v>2</v>
      </c>
      <c r="AH86" s="30"/>
      <c r="AI86" s="30"/>
      <c r="AJ86" s="30"/>
      <c r="AK86" s="30"/>
      <c r="AL86" s="30"/>
      <c r="AM86" s="30"/>
      <c r="AN86" s="30"/>
      <c r="AO86" s="30"/>
      <c r="AP86" s="31"/>
      <c r="AQ86" s="32"/>
      <c r="AR86" s="33"/>
      <c r="AS86" s="31"/>
      <c r="AT86" s="63">
        <v>1</v>
      </c>
      <c r="AU86" s="34">
        <v>1</v>
      </c>
      <c r="AV86" s="34"/>
      <c r="AW86" s="34"/>
      <c r="AX86" s="34"/>
      <c r="AY86" s="34"/>
      <c r="AZ86" s="34"/>
      <c r="BA86" s="34">
        <v>3</v>
      </c>
      <c r="BB86" s="34"/>
      <c r="BC86" s="34"/>
      <c r="BD86" s="34"/>
      <c r="BE86" s="34">
        <v>1</v>
      </c>
      <c r="BF86" s="64">
        <v>2</v>
      </c>
      <c r="BH86" s="64">
        <v>8</v>
      </c>
      <c r="BJ86" s="64">
        <v>1</v>
      </c>
      <c r="BL86" s="64">
        <v>1</v>
      </c>
      <c r="BQ86" s="64">
        <v>1</v>
      </c>
      <c r="BT86" s="64">
        <v>1</v>
      </c>
      <c r="BU86" s="64"/>
      <c r="BV86" s="64"/>
      <c r="BW86" s="64"/>
      <c r="BX86" s="64"/>
      <c r="BY86" s="64"/>
      <c r="BZ86" s="64"/>
      <c r="CA86" s="64"/>
    </row>
    <row r="87" spans="1:79" s="54" customFormat="1" ht="14.1" customHeight="1" x14ac:dyDescent="0.25">
      <c r="A87" s="22"/>
      <c r="B87" s="22">
        <v>80</v>
      </c>
      <c r="C87" s="74" t="s">
        <v>248</v>
      </c>
      <c r="D87" s="174" t="s">
        <v>265</v>
      </c>
      <c r="E87" s="22" t="s">
        <v>266</v>
      </c>
      <c r="F87" s="22" t="s">
        <v>267</v>
      </c>
      <c r="G87" s="22" t="s">
        <v>77</v>
      </c>
      <c r="H87" s="22" t="s">
        <v>132</v>
      </c>
      <c r="I87" s="55">
        <v>37.5</v>
      </c>
      <c r="J87" s="55">
        <v>40</v>
      </c>
      <c r="K87" s="55">
        <f t="shared" si="0"/>
        <v>7.75</v>
      </c>
      <c r="L87" s="55">
        <f t="shared" si="1"/>
        <v>85.25</v>
      </c>
      <c r="M87" s="55">
        <f t="shared" si="48"/>
        <v>85</v>
      </c>
      <c r="N87" s="56">
        <v>85</v>
      </c>
      <c r="O87" s="57">
        <f t="shared" si="103"/>
        <v>75.487499999999997</v>
      </c>
      <c r="P87" s="58">
        <f t="shared" si="4"/>
        <v>0</v>
      </c>
      <c r="Q87" s="59">
        <f t="shared" si="104"/>
        <v>14.166666666666666</v>
      </c>
      <c r="R87" s="60">
        <v>8</v>
      </c>
      <c r="S87" s="60">
        <v>1</v>
      </c>
      <c r="T87" s="60">
        <f t="shared" si="105"/>
        <v>5</v>
      </c>
      <c r="U87" s="61">
        <f t="shared" si="49"/>
        <v>4</v>
      </c>
      <c r="V87" s="62"/>
      <c r="W87" s="30"/>
      <c r="X87" s="30"/>
      <c r="Y87" s="30"/>
      <c r="Z87" s="30"/>
      <c r="AA87" s="30"/>
      <c r="AB87" s="30"/>
      <c r="AC87" s="30"/>
      <c r="AD87" s="30">
        <v>1</v>
      </c>
      <c r="AE87" s="30">
        <v>1</v>
      </c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1"/>
      <c r="AQ87" s="32"/>
      <c r="AR87" s="33"/>
      <c r="AS87" s="31"/>
      <c r="AT87" s="63"/>
      <c r="AU87" s="34"/>
      <c r="AV87" s="34"/>
      <c r="AW87" s="34"/>
      <c r="AX87" s="34"/>
      <c r="AY87" s="34"/>
      <c r="AZ87" s="34"/>
      <c r="BA87" s="34"/>
      <c r="BB87" s="34">
        <v>1</v>
      </c>
      <c r="BC87" s="34"/>
      <c r="BD87" s="34">
        <v>1</v>
      </c>
      <c r="BE87" s="34"/>
      <c r="BF87" s="64"/>
      <c r="BG87" s="64"/>
      <c r="BH87" s="64"/>
      <c r="BI87" s="64"/>
      <c r="BJ87" s="64"/>
      <c r="BK87" s="64"/>
      <c r="BL87" s="64"/>
      <c r="BM87" s="64">
        <v>1</v>
      </c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</row>
    <row r="88" spans="1:79" s="54" customFormat="1" ht="14.25" customHeight="1" thickBot="1" x14ac:dyDescent="0.3">
      <c r="A88" s="3"/>
      <c r="B88" s="29">
        <v>81</v>
      </c>
      <c r="C88" s="74" t="s">
        <v>248</v>
      </c>
      <c r="D88" s="174">
        <v>2021</v>
      </c>
      <c r="E88" s="22" t="s">
        <v>268</v>
      </c>
      <c r="F88" s="22" t="s">
        <v>269</v>
      </c>
      <c r="G88" s="22" t="s">
        <v>77</v>
      </c>
      <c r="H88" s="22" t="s">
        <v>269</v>
      </c>
      <c r="I88" s="55">
        <v>21.7</v>
      </c>
      <c r="J88" s="55">
        <v>30</v>
      </c>
      <c r="K88" s="55">
        <f>(I88+J88)*0.1</f>
        <v>5.1700000000000008</v>
      </c>
      <c r="L88" s="55">
        <f>SUM(I88:K88)</f>
        <v>56.870000000000005</v>
      </c>
      <c r="M88" s="55">
        <f>ROUND(L88,0)</f>
        <v>57</v>
      </c>
      <c r="N88" s="56">
        <v>57</v>
      </c>
      <c r="O88" s="57">
        <f t="shared" si="103"/>
        <v>43.682099999999998</v>
      </c>
      <c r="P88" s="58">
        <f>N88-M88</f>
        <v>0</v>
      </c>
      <c r="Q88" s="59">
        <f t="shared" si="104"/>
        <v>9.5</v>
      </c>
      <c r="R88" s="60">
        <v>34</v>
      </c>
      <c r="S88" s="60">
        <f>12+12+20</f>
        <v>44</v>
      </c>
      <c r="T88" s="60">
        <f t="shared" si="105"/>
        <v>69</v>
      </c>
      <c r="U88" s="61">
        <f>R88+S88-T88</f>
        <v>9</v>
      </c>
      <c r="V88" s="62"/>
      <c r="W88" s="30">
        <v>4</v>
      </c>
      <c r="X88" s="30"/>
      <c r="Y88" s="30">
        <v>2</v>
      </c>
      <c r="Z88" s="30">
        <v>1</v>
      </c>
      <c r="AA88" s="30">
        <v>2</v>
      </c>
      <c r="AB88" s="30">
        <v>2</v>
      </c>
      <c r="AC88" s="30">
        <v>2</v>
      </c>
      <c r="AD88" s="30">
        <v>6</v>
      </c>
      <c r="AE88" s="30">
        <v>1</v>
      </c>
      <c r="AF88" s="30">
        <v>3</v>
      </c>
      <c r="AG88" s="30"/>
      <c r="AH88" s="30">
        <v>3</v>
      </c>
      <c r="AI88" s="30"/>
      <c r="AJ88" s="30"/>
      <c r="AK88" s="30"/>
      <c r="AL88" s="30"/>
      <c r="AM88" s="30"/>
      <c r="AN88" s="30"/>
      <c r="AO88" s="30"/>
      <c r="AP88" s="31"/>
      <c r="AQ88" s="32">
        <v>8</v>
      </c>
      <c r="AR88" s="33"/>
      <c r="AS88" s="31">
        <v>1</v>
      </c>
      <c r="AT88" s="63">
        <v>2</v>
      </c>
      <c r="AU88" s="34"/>
      <c r="AV88" s="34"/>
      <c r="AW88" s="34"/>
      <c r="AX88" s="34">
        <v>1</v>
      </c>
      <c r="AY88" s="34"/>
      <c r="AZ88" s="34"/>
      <c r="BA88" s="34"/>
      <c r="BB88" s="34">
        <v>4</v>
      </c>
      <c r="BC88" s="34">
        <v>1</v>
      </c>
      <c r="BD88" s="34">
        <v>1</v>
      </c>
      <c r="BE88" s="34">
        <v>3</v>
      </c>
      <c r="BF88" s="64">
        <v>3</v>
      </c>
      <c r="BG88" s="64">
        <v>6</v>
      </c>
      <c r="BH88" s="64">
        <v>3</v>
      </c>
      <c r="BI88" s="64">
        <v>2</v>
      </c>
      <c r="BJ88" s="64"/>
      <c r="BK88" s="64"/>
      <c r="BL88" s="64">
        <v>1</v>
      </c>
      <c r="BM88" s="64">
        <v>1</v>
      </c>
      <c r="BN88" s="64"/>
      <c r="BO88" s="64">
        <v>1</v>
      </c>
      <c r="BP88" s="64"/>
      <c r="BQ88" s="64"/>
      <c r="BR88" s="64">
        <v>1</v>
      </c>
      <c r="BS88" s="64"/>
      <c r="BT88" s="64">
        <v>5</v>
      </c>
      <c r="BU88" s="64"/>
      <c r="BV88" s="64"/>
      <c r="BW88" s="64"/>
      <c r="BX88" s="64"/>
      <c r="BY88" s="64"/>
      <c r="BZ88" s="64"/>
      <c r="CA88" s="64"/>
    </row>
    <row r="89" spans="1:79" s="54" customFormat="1" ht="14.25" hidden="1" customHeight="1" thickBot="1" x14ac:dyDescent="0.3">
      <c r="A89" s="22" t="s">
        <v>270</v>
      </c>
      <c r="B89" s="22">
        <v>82</v>
      </c>
      <c r="C89" s="74" t="s">
        <v>248</v>
      </c>
      <c r="D89" s="174">
        <v>2017</v>
      </c>
      <c r="E89" s="68" t="s">
        <v>271</v>
      </c>
      <c r="F89" s="22" t="s">
        <v>272</v>
      </c>
      <c r="G89" s="22" t="s">
        <v>77</v>
      </c>
      <c r="H89" s="22" t="s">
        <v>78</v>
      </c>
      <c r="I89" s="55">
        <v>30.5</v>
      </c>
      <c r="J89" s="55">
        <v>30</v>
      </c>
      <c r="K89" s="55">
        <f>(I89+J89)*0.1</f>
        <v>6.0500000000000007</v>
      </c>
      <c r="L89" s="55">
        <f>SUM(I89:K89)</f>
        <v>66.55</v>
      </c>
      <c r="M89" s="55">
        <f>ROUND(L89,0)</f>
        <v>67</v>
      </c>
      <c r="N89" s="56">
        <v>67</v>
      </c>
      <c r="O89" s="57">
        <f t="shared" si="103"/>
        <v>61.396499999999996</v>
      </c>
      <c r="P89" s="58">
        <f>N89-M89</f>
        <v>0</v>
      </c>
      <c r="Q89" s="59">
        <f t="shared" si="104"/>
        <v>11.166666666666666</v>
      </c>
      <c r="R89" s="60">
        <v>1</v>
      </c>
      <c r="S89" s="60"/>
      <c r="T89" s="60">
        <f t="shared" si="105"/>
        <v>1</v>
      </c>
      <c r="U89" s="61">
        <v>1</v>
      </c>
      <c r="V89" s="62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1"/>
      <c r="AQ89" s="32"/>
      <c r="AR89" s="33"/>
      <c r="AS89" s="31"/>
      <c r="AT89" s="63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>
        <v>1</v>
      </c>
      <c r="BR89" s="64"/>
      <c r="BS89" s="64"/>
      <c r="BT89" s="64"/>
      <c r="BU89" s="64"/>
      <c r="BV89" s="64"/>
      <c r="BW89" s="64"/>
      <c r="BX89" s="64"/>
      <c r="BY89" s="64"/>
      <c r="BZ89" s="64"/>
      <c r="CA89" s="64"/>
    </row>
    <row r="90" spans="1:79" s="54" customFormat="1" ht="14.25" customHeight="1" thickBot="1" x14ac:dyDescent="0.3">
      <c r="A90" s="22"/>
      <c r="B90" s="22">
        <v>83</v>
      </c>
      <c r="C90" s="74" t="s">
        <v>248</v>
      </c>
      <c r="D90" s="174">
        <v>2019</v>
      </c>
      <c r="E90" s="177" t="s">
        <v>273</v>
      </c>
      <c r="F90" s="178" t="s">
        <v>274</v>
      </c>
      <c r="G90" s="22" t="s">
        <v>275</v>
      </c>
      <c r="H90" s="22" t="s">
        <v>171</v>
      </c>
      <c r="I90" s="55">
        <v>14.5</v>
      </c>
      <c r="J90" s="55">
        <v>25</v>
      </c>
      <c r="K90" s="55">
        <f>(I90+J90)*0.1</f>
        <v>3.95</v>
      </c>
      <c r="L90" s="55">
        <f>SUM(I90:K90)</f>
        <v>43.45</v>
      </c>
      <c r="M90" s="55">
        <v>43</v>
      </c>
      <c r="N90" s="56">
        <v>42</v>
      </c>
      <c r="O90" s="57">
        <f t="shared" si="103"/>
        <v>29.188499999999998</v>
      </c>
      <c r="P90" s="58">
        <f>N90-M90</f>
        <v>-1</v>
      </c>
      <c r="Q90" s="59">
        <f t="shared" si="104"/>
        <v>7</v>
      </c>
      <c r="R90" s="60">
        <v>72</v>
      </c>
      <c r="S90" s="60">
        <f>36+36+12+36</f>
        <v>120</v>
      </c>
      <c r="T90" s="60">
        <f t="shared" si="105"/>
        <v>118</v>
      </c>
      <c r="U90" s="61">
        <v>27</v>
      </c>
      <c r="V90" s="62"/>
      <c r="W90" s="30">
        <v>6</v>
      </c>
      <c r="X90" s="30">
        <v>2</v>
      </c>
      <c r="Y90" s="30">
        <v>5</v>
      </c>
      <c r="Z90" s="30">
        <v>2</v>
      </c>
      <c r="AA90" s="30">
        <v>1</v>
      </c>
      <c r="AB90" s="30">
        <v>5</v>
      </c>
      <c r="AC90" s="30">
        <v>3</v>
      </c>
      <c r="AD90" s="30">
        <v>2</v>
      </c>
      <c r="AE90" s="30">
        <v>3</v>
      </c>
      <c r="AF90" s="30">
        <v>2</v>
      </c>
      <c r="AG90" s="30">
        <v>1</v>
      </c>
      <c r="AH90" s="30">
        <v>3</v>
      </c>
      <c r="AI90" s="30"/>
      <c r="AJ90" s="30"/>
      <c r="AK90" s="30"/>
      <c r="AL90" s="30"/>
      <c r="AM90" s="30"/>
      <c r="AN90" s="30"/>
      <c r="AO90" s="30"/>
      <c r="AP90" s="31">
        <v>1</v>
      </c>
      <c r="AQ90" s="32">
        <v>10</v>
      </c>
      <c r="AR90" s="33">
        <v>1</v>
      </c>
      <c r="AS90" s="31">
        <v>3</v>
      </c>
      <c r="AT90" s="63">
        <v>4</v>
      </c>
      <c r="AU90" s="34">
        <v>2</v>
      </c>
      <c r="AV90" s="34">
        <v>1</v>
      </c>
      <c r="AW90" s="34">
        <v>3</v>
      </c>
      <c r="AX90" s="34"/>
      <c r="AY90" s="34">
        <v>3</v>
      </c>
      <c r="AZ90" s="34">
        <v>3</v>
      </c>
      <c r="BA90" s="34">
        <v>2</v>
      </c>
      <c r="BB90" s="34">
        <v>3</v>
      </c>
      <c r="BC90" s="34">
        <v>2</v>
      </c>
      <c r="BD90" s="34">
        <v>2</v>
      </c>
      <c r="BE90" s="34">
        <v>4</v>
      </c>
      <c r="BF90" s="64">
        <v>1</v>
      </c>
      <c r="BG90" s="64">
        <v>3</v>
      </c>
      <c r="BH90" s="64">
        <v>5</v>
      </c>
      <c r="BI90" s="64">
        <v>6</v>
      </c>
      <c r="BJ90" s="64">
        <v>2</v>
      </c>
      <c r="BK90" s="64">
        <v>5</v>
      </c>
      <c r="BL90" s="64"/>
      <c r="BM90" s="64">
        <v>2</v>
      </c>
      <c r="BN90" s="64">
        <v>2</v>
      </c>
      <c r="BO90" s="64">
        <v>5</v>
      </c>
      <c r="BP90" s="64">
        <v>1</v>
      </c>
      <c r="BQ90" s="64">
        <v>2</v>
      </c>
      <c r="BR90" s="64">
        <v>4</v>
      </c>
      <c r="BS90" s="64"/>
      <c r="BT90" s="64">
        <v>9</v>
      </c>
      <c r="BU90" s="64">
        <v>2</v>
      </c>
      <c r="BV90" s="64"/>
      <c r="BW90" s="64"/>
      <c r="BX90" s="64"/>
      <c r="BY90" s="64"/>
      <c r="BZ90" s="64"/>
      <c r="CA90" s="64"/>
    </row>
    <row r="91" spans="1:79" s="54" customFormat="1" ht="14.25" customHeight="1" x14ac:dyDescent="0.25">
      <c r="A91" s="22"/>
      <c r="B91" s="22">
        <v>84</v>
      </c>
      <c r="C91" s="74" t="s">
        <v>248</v>
      </c>
      <c r="D91" s="174">
        <v>2020</v>
      </c>
      <c r="E91" s="29" t="s">
        <v>276</v>
      </c>
      <c r="F91" s="22" t="s">
        <v>247</v>
      </c>
      <c r="G91" s="22" t="s">
        <v>81</v>
      </c>
      <c r="H91" s="22" t="s">
        <v>78</v>
      </c>
      <c r="I91" s="55">
        <v>19</v>
      </c>
      <c r="J91" s="55">
        <v>30</v>
      </c>
      <c r="K91" s="55">
        <f>(I91+J91)*0.1</f>
        <v>4.9000000000000004</v>
      </c>
      <c r="L91" s="55">
        <f>SUM(I91:K91)</f>
        <v>53.9</v>
      </c>
      <c r="M91" s="55">
        <v>54</v>
      </c>
      <c r="N91" s="56">
        <v>54</v>
      </c>
      <c r="O91" s="57">
        <f t="shared" si="103"/>
        <v>38.247</v>
      </c>
      <c r="P91" s="58">
        <f>N91-M91</f>
        <v>0</v>
      </c>
      <c r="Q91" s="59">
        <f t="shared" si="104"/>
        <v>9</v>
      </c>
      <c r="R91" s="60">
        <v>12</v>
      </c>
      <c r="S91" s="60">
        <f>11+6+6+6+6+5</f>
        <v>40</v>
      </c>
      <c r="T91" s="60">
        <f t="shared" si="105"/>
        <v>25</v>
      </c>
      <c r="U91" s="61">
        <v>11</v>
      </c>
      <c r="V91" s="62"/>
      <c r="W91" s="30">
        <v>5</v>
      </c>
      <c r="X91" s="30"/>
      <c r="Y91" s="30"/>
      <c r="Z91" s="30"/>
      <c r="AA91" s="30"/>
      <c r="AB91" s="30"/>
      <c r="AC91" s="30"/>
      <c r="AD91" s="30"/>
      <c r="AE91" s="30"/>
      <c r="AF91" s="30"/>
      <c r="AG91" s="30">
        <v>1</v>
      </c>
      <c r="AH91" s="30">
        <v>1</v>
      </c>
      <c r="AI91" s="30"/>
      <c r="AJ91" s="30"/>
      <c r="AK91" s="30"/>
      <c r="AL91" s="30"/>
      <c r="AM91" s="30"/>
      <c r="AN91" s="30"/>
      <c r="AO91" s="30"/>
      <c r="AP91" s="31"/>
      <c r="AQ91" s="32"/>
      <c r="AR91" s="33"/>
      <c r="AS91" s="31">
        <v>2</v>
      </c>
      <c r="AT91" s="63">
        <v>1</v>
      </c>
      <c r="AU91" s="34"/>
      <c r="AV91" s="34"/>
      <c r="AW91" s="34"/>
      <c r="AX91" s="34"/>
      <c r="AY91" s="34"/>
      <c r="AZ91" s="34"/>
      <c r="BA91" s="34"/>
      <c r="BB91" s="34">
        <v>1</v>
      </c>
      <c r="BC91" s="34">
        <v>2</v>
      </c>
      <c r="BD91" s="34">
        <v>1</v>
      </c>
      <c r="BE91" s="34"/>
      <c r="BF91" s="64">
        <v>1</v>
      </c>
      <c r="BG91" s="64"/>
      <c r="BH91" s="64">
        <v>2</v>
      </c>
      <c r="BI91" s="64"/>
      <c r="BJ91" s="64">
        <v>4</v>
      </c>
      <c r="BK91" s="64"/>
      <c r="BL91" s="64">
        <v>2</v>
      </c>
      <c r="BM91" s="64"/>
      <c r="BN91" s="64">
        <v>1</v>
      </c>
      <c r="BO91" s="64">
        <v>2</v>
      </c>
      <c r="BP91" s="64"/>
      <c r="BQ91" s="64"/>
      <c r="BR91" s="64"/>
      <c r="BS91" s="64"/>
      <c r="BT91" s="64">
        <v>2</v>
      </c>
      <c r="BU91" s="64"/>
      <c r="BV91" s="64"/>
      <c r="BW91" s="64"/>
      <c r="BX91" s="64"/>
      <c r="BY91" s="64"/>
      <c r="BZ91" s="64"/>
      <c r="CA91" s="64"/>
    </row>
    <row r="92" spans="1:79" s="54" customFormat="1" ht="14.1" customHeight="1" x14ac:dyDescent="0.25">
      <c r="A92" s="22"/>
      <c r="B92" s="22">
        <v>84.5</v>
      </c>
      <c r="C92" s="74" t="s">
        <v>248</v>
      </c>
      <c r="D92" s="174">
        <v>2019</v>
      </c>
      <c r="E92" s="29" t="s">
        <v>277</v>
      </c>
      <c r="F92" s="22" t="s">
        <v>278</v>
      </c>
      <c r="G92" s="22" t="s">
        <v>81</v>
      </c>
      <c r="H92" s="22" t="s">
        <v>78</v>
      </c>
      <c r="I92" s="55">
        <v>65</v>
      </c>
      <c r="J92" s="55">
        <v>50</v>
      </c>
      <c r="K92" s="55">
        <f>(I92+J92)*0.1</f>
        <v>11.5</v>
      </c>
      <c r="L92" s="55">
        <f>SUM(I92:K92)</f>
        <v>126.5</v>
      </c>
      <c r="M92" s="55">
        <v>125</v>
      </c>
      <c r="N92" s="56">
        <v>130</v>
      </c>
      <c r="O92" s="57">
        <f t="shared" ref="O92" si="117">I92*$O$2*1.22</f>
        <v>130.845</v>
      </c>
      <c r="P92" s="58">
        <f>N92-M92</f>
        <v>5</v>
      </c>
      <c r="Q92" s="59">
        <f t="shared" ref="Q92" si="118">N92/$Q$3</f>
        <v>21.666666666666668</v>
      </c>
      <c r="R92" s="60"/>
      <c r="S92" s="60">
        <v>3</v>
      </c>
      <c r="T92" s="60">
        <f t="shared" ref="T92" si="119">W92+X92+Y92+Z92+AA92+AB92+AC92+AD92+AE92+AF92+AG92+AH92+AI92+AJ92+AK92+AL92+AM92+AN92+AO92+AP92+AQ92+AR92+AS92+AT92+AU92+AV92+AW92+AX92+AY92+AZ92+BA92+BB92+BC92+BD92+BE92+BF92+BG92+BH92+BI92+BJ92+BK92+BL92+BM92+BQ92+BR92+BS92+BT92</f>
        <v>2</v>
      </c>
      <c r="U92" s="61">
        <v>12</v>
      </c>
      <c r="V92" s="62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1"/>
      <c r="AQ92" s="32"/>
      <c r="AR92" s="33"/>
      <c r="AS92" s="31"/>
      <c r="AT92" s="63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>
        <v>2</v>
      </c>
      <c r="BU92" s="64"/>
      <c r="BV92" s="64"/>
      <c r="BW92" s="64"/>
      <c r="BX92" s="64"/>
      <c r="BY92" s="64"/>
      <c r="BZ92" s="64"/>
      <c r="CA92" s="64"/>
    </row>
    <row r="93" spans="1:79" ht="15" customHeight="1" x14ac:dyDescent="0.25">
      <c r="A93" s="22"/>
      <c r="B93" s="29">
        <v>85</v>
      </c>
      <c r="C93" s="75" t="s">
        <v>279</v>
      </c>
      <c r="D93" s="174">
        <v>2022</v>
      </c>
      <c r="E93" s="22" t="s">
        <v>280</v>
      </c>
      <c r="F93" s="22" t="s">
        <v>281</v>
      </c>
      <c r="G93" s="22" t="s">
        <v>215</v>
      </c>
      <c r="H93" s="22" t="s">
        <v>84</v>
      </c>
      <c r="I93" s="55">
        <v>17.05</v>
      </c>
      <c r="J93" s="55">
        <v>25</v>
      </c>
      <c r="K93" s="55">
        <f t="shared" ref="K93:K187" si="120">(I93+J93)*0.1</f>
        <v>4.2050000000000001</v>
      </c>
      <c r="L93" s="55">
        <f t="shared" ref="L93:L187" si="121">SUM(I93:K93)</f>
        <v>46.254999999999995</v>
      </c>
      <c r="M93" s="55">
        <f t="shared" ref="M93:M135" si="122">ROUND(L93,0)</f>
        <v>46</v>
      </c>
      <c r="N93" s="56">
        <v>47</v>
      </c>
      <c r="O93" s="57">
        <f t="shared" si="103"/>
        <v>34.321649999999998</v>
      </c>
      <c r="P93" s="58">
        <f t="shared" ref="P93:P187" si="123">N93-M93</f>
        <v>1</v>
      </c>
      <c r="Q93" s="59">
        <f t="shared" si="104"/>
        <v>7.833333333333333</v>
      </c>
      <c r="R93" s="60">
        <v>9</v>
      </c>
      <c r="S93" s="60">
        <f>9+6+6+6+12+6</f>
        <v>45</v>
      </c>
      <c r="T93" s="60">
        <f t="shared" si="105"/>
        <v>48</v>
      </c>
      <c r="U93" s="61">
        <f t="shared" ref="U93:U129" si="124">R93+S93-T93</f>
        <v>6</v>
      </c>
      <c r="V93" s="62"/>
      <c r="W93" s="30">
        <v>1</v>
      </c>
      <c r="X93" s="30">
        <v>1</v>
      </c>
      <c r="Y93" s="30"/>
      <c r="Z93" s="30"/>
      <c r="AA93" s="30">
        <v>1</v>
      </c>
      <c r="AB93" s="30">
        <v>1</v>
      </c>
      <c r="AC93" s="30">
        <v>2</v>
      </c>
      <c r="AD93" s="30">
        <v>2</v>
      </c>
      <c r="AE93" s="30"/>
      <c r="AF93" s="30"/>
      <c r="AG93" s="30">
        <v>5</v>
      </c>
      <c r="AH93" s="30"/>
      <c r="AI93" s="30"/>
      <c r="AJ93" s="30"/>
      <c r="AK93" s="30"/>
      <c r="AL93" s="30"/>
      <c r="AM93" s="30"/>
      <c r="AN93" s="30"/>
      <c r="AO93" s="30"/>
      <c r="AP93" s="31"/>
      <c r="AQ93" s="32"/>
      <c r="AR93" s="33"/>
      <c r="AS93" s="31"/>
      <c r="AT93" s="63"/>
      <c r="AU93" s="34">
        <v>4</v>
      </c>
      <c r="AV93" s="34"/>
      <c r="AW93" s="34"/>
      <c r="AX93" s="34"/>
      <c r="AY93" s="34"/>
      <c r="AZ93" s="34">
        <v>10</v>
      </c>
      <c r="BA93" s="34"/>
      <c r="BB93" s="34">
        <v>1</v>
      </c>
      <c r="BC93" s="34">
        <v>1</v>
      </c>
      <c r="BD93" s="34"/>
      <c r="BE93" s="34">
        <v>4</v>
      </c>
      <c r="BF93" s="64">
        <v>1</v>
      </c>
      <c r="BG93" s="64">
        <v>1</v>
      </c>
      <c r="BH93" s="64">
        <v>1</v>
      </c>
      <c r="BI93" s="64">
        <v>2</v>
      </c>
      <c r="BJ93" s="64">
        <v>4</v>
      </c>
      <c r="BL93" s="64">
        <v>1</v>
      </c>
      <c r="BO93" s="64">
        <v>3</v>
      </c>
      <c r="BP93" s="64">
        <v>1</v>
      </c>
      <c r="BQ93" s="64">
        <v>2</v>
      </c>
      <c r="BR93" s="64">
        <v>1</v>
      </c>
      <c r="BT93" s="64">
        <v>2</v>
      </c>
      <c r="BU93" s="64"/>
      <c r="BV93" s="64"/>
      <c r="BW93" s="64"/>
      <c r="BX93" s="64"/>
      <c r="BY93" s="64"/>
      <c r="BZ93" s="64"/>
      <c r="CA93" s="64"/>
    </row>
    <row r="94" spans="1:79" ht="15" customHeight="1" x14ac:dyDescent="0.25">
      <c r="A94" s="22"/>
      <c r="B94" s="22">
        <v>86</v>
      </c>
      <c r="C94" s="75" t="s">
        <v>279</v>
      </c>
      <c r="D94" s="174">
        <v>2019</v>
      </c>
      <c r="E94" s="22" t="s">
        <v>282</v>
      </c>
      <c r="F94" s="22" t="s">
        <v>283</v>
      </c>
      <c r="G94" s="22" t="s">
        <v>215</v>
      </c>
      <c r="H94" s="22" t="s">
        <v>78</v>
      </c>
      <c r="I94" s="55">
        <v>11.5</v>
      </c>
      <c r="J94" s="55">
        <v>25</v>
      </c>
      <c r="K94" s="55">
        <f>(I94+J94)*0.1</f>
        <v>3.6500000000000004</v>
      </c>
      <c r="L94" s="55">
        <f>SUM(I94:K94)</f>
        <v>40.15</v>
      </c>
      <c r="M94" s="55">
        <f>ROUND(L94,0)</f>
        <v>40</v>
      </c>
      <c r="N94" s="56">
        <v>40</v>
      </c>
      <c r="O94" s="57">
        <f t="shared" si="103"/>
        <v>23.149499999999996</v>
      </c>
      <c r="P94" s="58">
        <f>N94-M94</f>
        <v>0</v>
      </c>
      <c r="Q94" s="59">
        <f t="shared" si="104"/>
        <v>6.666666666666667</v>
      </c>
      <c r="R94" s="60">
        <v>-5</v>
      </c>
      <c r="S94" s="60">
        <v>8</v>
      </c>
      <c r="T94" s="60">
        <f t="shared" si="105"/>
        <v>1</v>
      </c>
      <c r="U94" s="61">
        <f>R94+S94-T94</f>
        <v>2</v>
      </c>
      <c r="V94" s="62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1"/>
      <c r="AQ94" s="32"/>
      <c r="AR94" s="33"/>
      <c r="AS94" s="31"/>
      <c r="AT94" s="63"/>
      <c r="AU94" s="34">
        <v>1</v>
      </c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64"/>
      <c r="BT94" s="64"/>
      <c r="BU94" s="64"/>
      <c r="BV94" s="64"/>
      <c r="BW94" s="64"/>
      <c r="BX94" s="64"/>
      <c r="BY94" s="64"/>
      <c r="BZ94" s="64"/>
      <c r="CA94" s="64"/>
    </row>
    <row r="95" spans="1:79" ht="15" customHeight="1" x14ac:dyDescent="0.25">
      <c r="A95" s="22"/>
      <c r="B95" s="22">
        <v>87</v>
      </c>
      <c r="C95" s="75" t="s">
        <v>279</v>
      </c>
      <c r="D95" s="174">
        <v>2021</v>
      </c>
      <c r="E95" s="22" t="s">
        <v>284</v>
      </c>
      <c r="F95" s="22" t="s">
        <v>285</v>
      </c>
      <c r="G95" s="22" t="s">
        <v>215</v>
      </c>
      <c r="H95" s="22" t="s">
        <v>78</v>
      </c>
      <c r="I95" s="55">
        <v>11.85</v>
      </c>
      <c r="J95" s="55">
        <v>25</v>
      </c>
      <c r="K95" s="55">
        <f>(I95+J95)*0.1</f>
        <v>3.6850000000000005</v>
      </c>
      <c r="L95" s="55">
        <f>SUM(I95:K95)</f>
        <v>40.535000000000004</v>
      </c>
      <c r="M95" s="55">
        <f>ROUND(L95,0)</f>
        <v>41</v>
      </c>
      <c r="N95" s="56">
        <v>41</v>
      </c>
      <c r="O95" s="57">
        <f t="shared" si="103"/>
        <v>23.854049999999997</v>
      </c>
      <c r="P95" s="58">
        <f>N95-M95</f>
        <v>0</v>
      </c>
      <c r="Q95" s="59">
        <f t="shared" si="104"/>
        <v>6.833333333333333</v>
      </c>
      <c r="R95" s="60">
        <v>16</v>
      </c>
      <c r="S95" s="60">
        <f>6+6+6+6+6</f>
        <v>30</v>
      </c>
      <c r="T95" s="60">
        <f t="shared" si="105"/>
        <v>26</v>
      </c>
      <c r="U95" s="61">
        <f>R95+S95-T95</f>
        <v>20</v>
      </c>
      <c r="V95" s="62"/>
      <c r="W95" s="30">
        <v>2</v>
      </c>
      <c r="X95" s="30"/>
      <c r="Y95" s="30"/>
      <c r="Z95" s="30">
        <v>1</v>
      </c>
      <c r="AA95" s="30"/>
      <c r="AB95" s="30">
        <v>1</v>
      </c>
      <c r="AC95" s="30"/>
      <c r="AD95" s="30"/>
      <c r="AE95" s="30">
        <v>3</v>
      </c>
      <c r="AF95" s="30"/>
      <c r="AG95" s="30">
        <v>2</v>
      </c>
      <c r="AH95" s="30"/>
      <c r="AI95" s="30"/>
      <c r="AJ95" s="30"/>
      <c r="AK95" s="30"/>
      <c r="AL95" s="30"/>
      <c r="AM95" s="30"/>
      <c r="AN95" s="30"/>
      <c r="AO95" s="30"/>
      <c r="AP95" s="31"/>
      <c r="AQ95" s="32"/>
      <c r="AR95" s="33"/>
      <c r="AS95" s="31">
        <v>1</v>
      </c>
      <c r="AT95" s="63"/>
      <c r="AU95" s="34">
        <v>1</v>
      </c>
      <c r="AV95" s="34"/>
      <c r="AW95" s="34"/>
      <c r="AX95" s="34"/>
      <c r="AY95" s="34"/>
      <c r="AZ95" s="34"/>
      <c r="BA95" s="34">
        <v>1</v>
      </c>
      <c r="BB95" s="34"/>
      <c r="BC95" s="34">
        <v>1</v>
      </c>
      <c r="BD95" s="34">
        <v>1</v>
      </c>
      <c r="BE95" s="34">
        <v>1</v>
      </c>
      <c r="BF95" s="64">
        <v>1</v>
      </c>
      <c r="BH95" s="64">
        <v>1</v>
      </c>
      <c r="BJ95" s="64">
        <v>1</v>
      </c>
      <c r="BK95" s="64">
        <v>1</v>
      </c>
      <c r="BL95" s="64">
        <v>2</v>
      </c>
      <c r="BM95" s="64">
        <v>2</v>
      </c>
      <c r="BO95" s="64">
        <v>1</v>
      </c>
      <c r="BQ95" s="64">
        <v>2</v>
      </c>
      <c r="BT95" s="64">
        <v>1</v>
      </c>
      <c r="BU95" s="64"/>
      <c r="BV95" s="64"/>
      <c r="BW95" s="64"/>
      <c r="BX95" s="64"/>
      <c r="BY95" s="64"/>
      <c r="BZ95" s="64"/>
      <c r="CA95" s="64"/>
    </row>
    <row r="96" spans="1:79" ht="15" customHeight="1" x14ac:dyDescent="0.25">
      <c r="A96" s="22">
        <v>6</v>
      </c>
      <c r="B96" s="22">
        <v>88</v>
      </c>
      <c r="C96" s="75" t="s">
        <v>279</v>
      </c>
      <c r="D96" s="174">
        <v>2021</v>
      </c>
      <c r="E96" s="22" t="s">
        <v>286</v>
      </c>
      <c r="F96" s="22" t="s">
        <v>250</v>
      </c>
      <c r="G96" s="22" t="s">
        <v>215</v>
      </c>
      <c r="H96" s="22" t="s">
        <v>78</v>
      </c>
      <c r="I96" s="55">
        <v>14.45</v>
      </c>
      <c r="J96" s="55">
        <f>IF(I96&lt;=15,$L$2,$L$3)</f>
        <v>25</v>
      </c>
      <c r="K96" s="55">
        <f t="shared" si="120"/>
        <v>3.9450000000000003</v>
      </c>
      <c r="L96" s="55">
        <f t="shared" si="121"/>
        <v>43.395000000000003</v>
      </c>
      <c r="M96" s="55">
        <f t="shared" si="122"/>
        <v>43</v>
      </c>
      <c r="N96" s="56">
        <v>42</v>
      </c>
      <c r="O96" s="57">
        <f t="shared" si="103"/>
        <v>29.087849999999996</v>
      </c>
      <c r="P96" s="58">
        <f t="shared" si="123"/>
        <v>-1</v>
      </c>
      <c r="Q96" s="59">
        <f t="shared" si="104"/>
        <v>7</v>
      </c>
      <c r="R96" s="60">
        <v>7</v>
      </c>
      <c r="S96" s="60">
        <f>7+6+6+6+6+6+6</f>
        <v>43</v>
      </c>
      <c r="T96" s="60">
        <f t="shared" si="105"/>
        <v>34</v>
      </c>
      <c r="U96" s="61">
        <f t="shared" si="124"/>
        <v>16</v>
      </c>
      <c r="V96" s="62"/>
      <c r="W96" s="30"/>
      <c r="X96" s="30"/>
      <c r="Y96" s="30"/>
      <c r="Z96" s="30">
        <v>1</v>
      </c>
      <c r="AA96" s="30"/>
      <c r="AB96" s="30"/>
      <c r="AC96" s="30">
        <v>1</v>
      </c>
      <c r="AD96" s="30">
        <v>1</v>
      </c>
      <c r="AE96" s="30"/>
      <c r="AF96" s="30">
        <v>1</v>
      </c>
      <c r="AG96" s="30">
        <v>1</v>
      </c>
      <c r="AH96" s="30">
        <v>1</v>
      </c>
      <c r="AI96" s="30"/>
      <c r="AJ96" s="30"/>
      <c r="AK96" s="30"/>
      <c r="AL96" s="30"/>
      <c r="AM96" s="30"/>
      <c r="AN96" s="30"/>
      <c r="AO96" s="30"/>
      <c r="AP96" s="31">
        <v>1</v>
      </c>
      <c r="AQ96" s="32"/>
      <c r="AR96" s="33"/>
      <c r="AS96" s="31">
        <v>1</v>
      </c>
      <c r="AT96" s="63">
        <v>3</v>
      </c>
      <c r="AU96" s="34"/>
      <c r="AV96" s="34">
        <v>2</v>
      </c>
      <c r="AW96" s="34">
        <v>2</v>
      </c>
      <c r="AX96" s="34"/>
      <c r="AY96" s="34">
        <v>1</v>
      </c>
      <c r="AZ96" s="34">
        <v>2</v>
      </c>
      <c r="BA96" s="34"/>
      <c r="BB96" s="34">
        <v>1</v>
      </c>
      <c r="BC96" s="34"/>
      <c r="BD96" s="34"/>
      <c r="BE96" s="34">
        <v>2</v>
      </c>
      <c r="BF96" s="64"/>
      <c r="BG96" s="64">
        <v>2</v>
      </c>
      <c r="BH96" s="64">
        <v>4</v>
      </c>
      <c r="BL96" s="64">
        <v>1</v>
      </c>
      <c r="BO96" s="64">
        <v>1</v>
      </c>
      <c r="BR96" s="64">
        <v>2</v>
      </c>
      <c r="BT96" s="64">
        <v>4</v>
      </c>
      <c r="BU96" s="64"/>
      <c r="BV96" s="64"/>
      <c r="BW96" s="64"/>
      <c r="BX96" s="64"/>
      <c r="BY96" s="64"/>
      <c r="BZ96" s="64"/>
      <c r="CA96" s="64"/>
    </row>
    <row r="97" spans="1:79" ht="15" customHeight="1" x14ac:dyDescent="0.25">
      <c r="A97" s="22"/>
      <c r="B97" s="29">
        <v>89</v>
      </c>
      <c r="C97" s="75" t="s">
        <v>279</v>
      </c>
      <c r="D97" s="174">
        <v>2020</v>
      </c>
      <c r="E97" s="22" t="s">
        <v>287</v>
      </c>
      <c r="F97" s="22" t="s">
        <v>262</v>
      </c>
      <c r="G97" s="22" t="s">
        <v>77</v>
      </c>
      <c r="H97" s="22" t="s">
        <v>78</v>
      </c>
      <c r="I97" s="55">
        <v>10.199999999999999</v>
      </c>
      <c r="J97" s="55">
        <f>IF(I97&lt;=15,$L$2,$L$3)</f>
        <v>25</v>
      </c>
      <c r="K97" s="55">
        <f t="shared" si="120"/>
        <v>3.5200000000000005</v>
      </c>
      <c r="L97" s="55">
        <f t="shared" si="121"/>
        <v>38.720000000000006</v>
      </c>
      <c r="M97" s="55">
        <f t="shared" si="122"/>
        <v>39</v>
      </c>
      <c r="N97" s="56">
        <v>36</v>
      </c>
      <c r="O97" s="57">
        <f t="shared" si="103"/>
        <v>20.532599999999999</v>
      </c>
      <c r="P97" s="58">
        <f t="shared" si="123"/>
        <v>-3</v>
      </c>
      <c r="Q97" s="59">
        <f t="shared" si="104"/>
        <v>6</v>
      </c>
      <c r="R97" s="60">
        <v>7</v>
      </c>
      <c r="S97" s="60"/>
      <c r="T97" s="60">
        <f t="shared" si="105"/>
        <v>0</v>
      </c>
      <c r="U97" s="61">
        <f t="shared" si="124"/>
        <v>7</v>
      </c>
      <c r="V97" s="62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1"/>
      <c r="AQ97" s="32"/>
      <c r="AR97" s="33"/>
      <c r="AS97" s="31"/>
      <c r="AT97" s="63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64"/>
      <c r="BT97" s="64"/>
      <c r="BU97" s="64"/>
      <c r="BV97" s="64"/>
      <c r="BW97" s="64"/>
      <c r="BX97" s="64"/>
      <c r="BY97" s="64"/>
      <c r="BZ97" s="64"/>
      <c r="CA97" s="64"/>
    </row>
    <row r="98" spans="1:79" ht="15" customHeight="1" x14ac:dyDescent="0.25">
      <c r="A98" s="22"/>
      <c r="B98" s="22">
        <v>90</v>
      </c>
      <c r="C98" s="75" t="s">
        <v>288</v>
      </c>
      <c r="D98" s="174">
        <v>2020</v>
      </c>
      <c r="E98" s="22" t="s">
        <v>289</v>
      </c>
      <c r="F98" s="22" t="s">
        <v>290</v>
      </c>
      <c r="G98" s="22" t="s">
        <v>215</v>
      </c>
      <c r="H98" s="22" t="s">
        <v>78</v>
      </c>
      <c r="I98" s="55">
        <v>16.899999999999999</v>
      </c>
      <c r="J98" s="55">
        <v>25</v>
      </c>
      <c r="K98" s="55">
        <f t="shared" si="120"/>
        <v>4.1900000000000004</v>
      </c>
      <c r="L98" s="55">
        <f t="shared" si="121"/>
        <v>46.089999999999996</v>
      </c>
      <c r="M98" s="55">
        <f t="shared" si="122"/>
        <v>46</v>
      </c>
      <c r="N98" s="56">
        <v>46</v>
      </c>
      <c r="O98" s="57">
        <f t="shared" si="103"/>
        <v>34.019699999999993</v>
      </c>
      <c r="P98" s="58">
        <f t="shared" si="123"/>
        <v>0</v>
      </c>
      <c r="Q98" s="59">
        <f t="shared" si="104"/>
        <v>7.666666666666667</v>
      </c>
      <c r="R98" s="60">
        <v>3</v>
      </c>
      <c r="S98" s="60">
        <f>4+6+6+6</f>
        <v>22</v>
      </c>
      <c r="T98" s="60">
        <f t="shared" si="105"/>
        <v>15</v>
      </c>
      <c r="U98" s="61">
        <f t="shared" si="124"/>
        <v>10</v>
      </c>
      <c r="V98" s="62"/>
      <c r="W98" s="30"/>
      <c r="X98" s="30"/>
      <c r="Y98" s="30"/>
      <c r="Z98" s="30"/>
      <c r="AA98" s="30"/>
      <c r="AB98" s="30">
        <v>1</v>
      </c>
      <c r="AC98" s="30"/>
      <c r="AD98" s="30"/>
      <c r="AE98" s="30"/>
      <c r="AF98" s="30"/>
      <c r="AG98" s="30">
        <v>1</v>
      </c>
      <c r="AH98" s="30"/>
      <c r="AI98" s="30"/>
      <c r="AJ98" s="30"/>
      <c r="AK98" s="30"/>
      <c r="AL98" s="30"/>
      <c r="AM98" s="30"/>
      <c r="AN98" s="30"/>
      <c r="AO98" s="30"/>
      <c r="AP98" s="31"/>
      <c r="AQ98" s="32"/>
      <c r="AR98" s="33"/>
      <c r="AS98" s="31">
        <v>1</v>
      </c>
      <c r="AT98" s="63"/>
      <c r="AU98" s="34"/>
      <c r="AV98" s="34"/>
      <c r="AW98" s="34"/>
      <c r="AX98" s="34"/>
      <c r="AY98" s="34"/>
      <c r="AZ98" s="34">
        <v>1</v>
      </c>
      <c r="BA98" s="34">
        <v>1</v>
      </c>
      <c r="BB98" s="34">
        <v>1</v>
      </c>
      <c r="BC98" s="34">
        <v>1</v>
      </c>
      <c r="BD98" s="34"/>
      <c r="BE98" s="34">
        <v>1</v>
      </c>
      <c r="BF98" s="64"/>
      <c r="BK98" s="64">
        <v>2</v>
      </c>
      <c r="BO98" s="64">
        <v>2</v>
      </c>
      <c r="BR98" s="64">
        <v>1</v>
      </c>
      <c r="BT98" s="64">
        <v>4</v>
      </c>
      <c r="BU98" s="64"/>
      <c r="BV98" s="64"/>
      <c r="BW98" s="64"/>
      <c r="BX98" s="64"/>
      <c r="BY98" s="64"/>
      <c r="BZ98" s="64"/>
      <c r="CA98" s="64"/>
    </row>
    <row r="99" spans="1:79" ht="15" customHeight="1" x14ac:dyDescent="0.25">
      <c r="A99" s="22"/>
      <c r="B99" s="22">
        <v>91</v>
      </c>
      <c r="C99" s="76" t="s">
        <v>291</v>
      </c>
      <c r="D99" s="174">
        <v>2022</v>
      </c>
      <c r="E99" s="22" t="s">
        <v>292</v>
      </c>
      <c r="F99" s="22" t="s">
        <v>293</v>
      </c>
      <c r="G99" s="22" t="s">
        <v>231</v>
      </c>
      <c r="H99" s="22" t="s">
        <v>84</v>
      </c>
      <c r="I99" s="55">
        <v>10.5</v>
      </c>
      <c r="J99" s="55">
        <f>IF(I99&lt;=15,$L$2,$L$3)</f>
        <v>25</v>
      </c>
      <c r="K99" s="55">
        <f t="shared" si="120"/>
        <v>3.5500000000000003</v>
      </c>
      <c r="L99" s="55">
        <f t="shared" si="121"/>
        <v>39.049999999999997</v>
      </c>
      <c r="M99" s="55">
        <f t="shared" si="122"/>
        <v>39</v>
      </c>
      <c r="N99" s="56">
        <v>39</v>
      </c>
      <c r="O99" s="57">
        <f t="shared" si="103"/>
        <v>21.136499999999998</v>
      </c>
      <c r="P99" s="58">
        <f t="shared" si="123"/>
        <v>0</v>
      </c>
      <c r="Q99" s="59">
        <f t="shared" si="104"/>
        <v>6.5</v>
      </c>
      <c r="R99" s="60">
        <v>14</v>
      </c>
      <c r="S99" s="60">
        <f>12+6+6</f>
        <v>24</v>
      </c>
      <c r="T99" s="60">
        <f t="shared" si="105"/>
        <v>21</v>
      </c>
      <c r="U99" s="61">
        <f t="shared" si="124"/>
        <v>17</v>
      </c>
      <c r="V99" s="62"/>
      <c r="W99" s="30">
        <v>4</v>
      </c>
      <c r="X99" s="30">
        <v>3</v>
      </c>
      <c r="Y99" s="30">
        <v>1</v>
      </c>
      <c r="Z99" s="30"/>
      <c r="AA99" s="30">
        <v>1</v>
      </c>
      <c r="AB99" s="30"/>
      <c r="AC99" s="30">
        <v>1</v>
      </c>
      <c r="AD99" s="30"/>
      <c r="AE99" s="30"/>
      <c r="AF99" s="30"/>
      <c r="AG99" s="30">
        <v>1</v>
      </c>
      <c r="AH99" s="30"/>
      <c r="AI99" s="30"/>
      <c r="AJ99" s="30"/>
      <c r="AK99" s="30"/>
      <c r="AL99" s="30"/>
      <c r="AM99" s="30"/>
      <c r="AN99" s="30"/>
      <c r="AO99" s="30"/>
      <c r="AP99" s="31"/>
      <c r="AQ99" s="32"/>
      <c r="AR99" s="33"/>
      <c r="AS99" s="31">
        <v>1</v>
      </c>
      <c r="AT99" s="63">
        <v>1</v>
      </c>
      <c r="AU99" s="34"/>
      <c r="AV99" s="34"/>
      <c r="AW99" s="34"/>
      <c r="AX99" s="34"/>
      <c r="AY99" s="34">
        <v>1</v>
      </c>
      <c r="AZ99" s="34">
        <v>2</v>
      </c>
      <c r="BA99" s="34"/>
      <c r="BB99" s="34">
        <v>3</v>
      </c>
      <c r="BC99" s="34"/>
      <c r="BD99" s="34"/>
      <c r="BE99" s="34"/>
      <c r="BF99" s="64"/>
      <c r="BK99" s="64">
        <v>2</v>
      </c>
      <c r="BT99" s="64"/>
      <c r="BU99" s="64"/>
      <c r="BV99" s="64"/>
      <c r="BW99" s="64"/>
      <c r="BX99" s="64"/>
      <c r="BY99" s="64"/>
      <c r="BZ99" s="64"/>
      <c r="CA99" s="64"/>
    </row>
    <row r="100" spans="1:79" ht="15" customHeight="1" x14ac:dyDescent="0.25">
      <c r="A100" s="22"/>
      <c r="B100" s="22">
        <v>92</v>
      </c>
      <c r="C100" s="76" t="s">
        <v>291</v>
      </c>
      <c r="D100" s="174">
        <v>2020</v>
      </c>
      <c r="E100" s="22" t="s">
        <v>294</v>
      </c>
      <c r="F100" s="22" t="s">
        <v>295</v>
      </c>
      <c r="G100" s="22" t="s">
        <v>296</v>
      </c>
      <c r="H100" s="22" t="s">
        <v>84</v>
      </c>
      <c r="I100" s="55">
        <v>33.25</v>
      </c>
      <c r="J100" s="55">
        <f>IF(I100&lt;=15,$L$2,$L$3)</f>
        <v>30</v>
      </c>
      <c r="K100" s="55">
        <f t="shared" si="120"/>
        <v>6.3250000000000002</v>
      </c>
      <c r="L100" s="55">
        <f t="shared" si="121"/>
        <v>69.575000000000003</v>
      </c>
      <c r="M100" s="55">
        <f t="shared" si="122"/>
        <v>70</v>
      </c>
      <c r="N100" s="56">
        <v>69</v>
      </c>
      <c r="O100" s="57">
        <f t="shared" si="103"/>
        <v>66.932249999999996</v>
      </c>
      <c r="P100" s="58">
        <f t="shared" si="123"/>
        <v>-1</v>
      </c>
      <c r="Q100" s="59">
        <f t="shared" si="104"/>
        <v>11.5</v>
      </c>
      <c r="R100" s="60">
        <v>2</v>
      </c>
      <c r="S100" s="60">
        <f>13+6</f>
        <v>19</v>
      </c>
      <c r="T100" s="60">
        <f t="shared" si="105"/>
        <v>5</v>
      </c>
      <c r="U100" s="61">
        <f t="shared" si="124"/>
        <v>16</v>
      </c>
      <c r="V100" s="62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>
        <v>1</v>
      </c>
      <c r="AI100" s="30"/>
      <c r="AJ100" s="30"/>
      <c r="AK100" s="30"/>
      <c r="AL100" s="30"/>
      <c r="AM100" s="30"/>
      <c r="AN100" s="30"/>
      <c r="AO100" s="30"/>
      <c r="AP100" s="31"/>
      <c r="AQ100" s="32"/>
      <c r="AR100" s="33"/>
      <c r="AS100" s="31"/>
      <c r="AT100" s="63"/>
      <c r="AU100" s="34"/>
      <c r="AV100" s="34"/>
      <c r="AW100" s="34"/>
      <c r="AX100" s="34"/>
      <c r="AY100" s="34"/>
      <c r="AZ100" s="34">
        <v>1</v>
      </c>
      <c r="BA100" s="34"/>
      <c r="BB100" s="34"/>
      <c r="BC100" s="34"/>
      <c r="BD100" s="34">
        <v>1</v>
      </c>
      <c r="BE100" s="34"/>
      <c r="BF100" s="64">
        <v>1</v>
      </c>
      <c r="BM100" s="64">
        <v>1</v>
      </c>
      <c r="BO100" s="64">
        <v>1</v>
      </c>
      <c r="BT100" s="64"/>
      <c r="BU100" s="64"/>
      <c r="BV100" s="64"/>
      <c r="BW100" s="64"/>
      <c r="BX100" s="64"/>
      <c r="BY100" s="64"/>
      <c r="BZ100" s="64"/>
      <c r="CA100" s="64"/>
    </row>
    <row r="101" spans="1:79" s="54" customFormat="1" ht="14.25" customHeight="1" x14ac:dyDescent="0.25">
      <c r="A101" s="22"/>
      <c r="B101" s="29">
        <v>93</v>
      </c>
      <c r="C101" s="76" t="s">
        <v>291</v>
      </c>
      <c r="D101" s="174">
        <v>2010</v>
      </c>
      <c r="E101" s="22" t="s">
        <v>294</v>
      </c>
      <c r="F101" s="22" t="s">
        <v>295</v>
      </c>
      <c r="G101" s="22" t="s">
        <v>296</v>
      </c>
      <c r="H101" s="22" t="s">
        <v>84</v>
      </c>
      <c r="I101" s="55">
        <v>28.75</v>
      </c>
      <c r="J101" s="55">
        <f>IF(I101&lt;=15,$L$2,$L$3)</f>
        <v>30</v>
      </c>
      <c r="K101" s="55">
        <f t="shared" si="120"/>
        <v>5.875</v>
      </c>
      <c r="L101" s="55">
        <f t="shared" si="121"/>
        <v>64.625</v>
      </c>
      <c r="M101" s="55">
        <f t="shared" si="122"/>
        <v>65</v>
      </c>
      <c r="N101" s="56">
        <v>75</v>
      </c>
      <c r="O101" s="57">
        <f t="shared" si="103"/>
        <v>57.873750000000001</v>
      </c>
      <c r="P101" s="58">
        <f t="shared" si="123"/>
        <v>10</v>
      </c>
      <c r="Q101" s="59">
        <f t="shared" si="104"/>
        <v>12.5</v>
      </c>
      <c r="R101" s="60">
        <v>2</v>
      </c>
      <c r="S101" s="60">
        <v>2</v>
      </c>
      <c r="T101" s="60">
        <f t="shared" si="105"/>
        <v>1</v>
      </c>
      <c r="U101" s="61">
        <f t="shared" si="124"/>
        <v>3</v>
      </c>
      <c r="V101" s="62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1"/>
      <c r="AQ101" s="32"/>
      <c r="AR101" s="33"/>
      <c r="AS101" s="31"/>
      <c r="AT101" s="63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64"/>
      <c r="BG101" s="64"/>
      <c r="BH101" s="64"/>
      <c r="BI101" s="64"/>
      <c r="BJ101" s="64"/>
      <c r="BK101" s="64"/>
      <c r="BL101" s="64"/>
      <c r="BM101" s="64">
        <v>1</v>
      </c>
      <c r="BN101" s="64"/>
      <c r="BO101" s="64"/>
      <c r="BP101" s="64"/>
      <c r="BQ101" s="64"/>
      <c r="BR101" s="64"/>
      <c r="BS101" s="64"/>
      <c r="BT101" s="64"/>
      <c r="BU101" s="64">
        <v>2</v>
      </c>
      <c r="BV101" s="64"/>
      <c r="BW101" s="64"/>
      <c r="BX101" s="64"/>
      <c r="BY101" s="64"/>
      <c r="BZ101" s="64"/>
      <c r="CA101" s="64"/>
    </row>
    <row r="102" spans="1:79" s="54" customFormat="1" ht="14.25" customHeight="1" x14ac:dyDescent="0.25">
      <c r="A102" s="22"/>
      <c r="B102" s="22">
        <v>94</v>
      </c>
      <c r="C102" s="76" t="s">
        <v>291</v>
      </c>
      <c r="D102" s="174">
        <v>2016</v>
      </c>
      <c r="E102" s="22" t="s">
        <v>297</v>
      </c>
      <c r="F102" s="22" t="s">
        <v>295</v>
      </c>
      <c r="G102" s="22" t="s">
        <v>296</v>
      </c>
      <c r="H102" s="22" t="s">
        <v>171</v>
      </c>
      <c r="I102" s="55">
        <v>75</v>
      </c>
      <c r="J102" s="55">
        <v>70</v>
      </c>
      <c r="K102" s="55">
        <f>(I102+J102)*0.1</f>
        <v>14.5</v>
      </c>
      <c r="L102" s="55">
        <f>SUM(I102:K102)</f>
        <v>159.5</v>
      </c>
      <c r="M102" s="55">
        <f>ROUND(L102,0)</f>
        <v>160</v>
      </c>
      <c r="N102" s="56">
        <v>76</v>
      </c>
      <c r="O102" s="57">
        <f t="shared" si="103"/>
        <v>150.97499999999999</v>
      </c>
      <c r="P102" s="58">
        <f>N102-M102</f>
        <v>-84</v>
      </c>
      <c r="Q102" s="59">
        <f t="shared" si="104"/>
        <v>12.666666666666666</v>
      </c>
      <c r="R102" s="60">
        <v>3</v>
      </c>
      <c r="S102" s="60"/>
      <c r="T102" s="60">
        <f>W102+X102+Y102+Z102+AA102+AB102+AC102+AD102+AE102+AF102+AG102+AH102+AI102+AJ102+AK102+AL102+AM102+AN102+AO102+AP102+AQ102+AR102+AS102+AT102+AU102+AV102+AW102+AX102+AY102+AZ102+BA102+BB102+BC102+BD102+BE102+BF102+BG102+BH102+BI102+BJ102+BK102+BL102+BM102+BQ102+BR102+BS102+BT102</f>
        <v>0</v>
      </c>
      <c r="U102" s="61">
        <f>R102+S102-T102</f>
        <v>3</v>
      </c>
      <c r="V102" s="62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1"/>
      <c r="AQ102" s="32"/>
      <c r="AR102" s="33"/>
      <c r="AS102" s="31"/>
      <c r="AT102" s="63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</row>
    <row r="103" spans="1:79" ht="15" customHeight="1" x14ac:dyDescent="0.25">
      <c r="A103" s="71"/>
      <c r="B103" s="22">
        <v>95</v>
      </c>
      <c r="C103" s="72" t="s">
        <v>298</v>
      </c>
      <c r="D103" s="186">
        <v>2022</v>
      </c>
      <c r="E103" s="22" t="s">
        <v>299</v>
      </c>
      <c r="F103" s="22" t="s">
        <v>300</v>
      </c>
      <c r="G103" s="22" t="s">
        <v>301</v>
      </c>
      <c r="H103" s="22" t="s">
        <v>78</v>
      </c>
      <c r="I103" s="55">
        <v>9.9499999999999993</v>
      </c>
      <c r="J103" s="55">
        <f t="shared" ref="J103:J114" si="125">IF(I103&lt;=15,$L$2,$L$3)</f>
        <v>25</v>
      </c>
      <c r="K103" s="55">
        <f t="shared" si="120"/>
        <v>3.4950000000000006</v>
      </c>
      <c r="L103" s="55">
        <f t="shared" si="121"/>
        <v>38.445</v>
      </c>
      <c r="M103" s="55">
        <f t="shared" si="122"/>
        <v>38</v>
      </c>
      <c r="N103" s="56">
        <v>39</v>
      </c>
      <c r="O103" s="57">
        <f t="shared" si="103"/>
        <v>20.029349999999997</v>
      </c>
      <c r="P103" s="58">
        <f t="shared" si="123"/>
        <v>1</v>
      </c>
      <c r="Q103" s="59">
        <f t="shared" si="104"/>
        <v>6.5</v>
      </c>
      <c r="R103" s="60">
        <v>4</v>
      </c>
      <c r="S103" s="60">
        <f>6+6+6</f>
        <v>18</v>
      </c>
      <c r="T103" s="60">
        <f t="shared" si="105"/>
        <v>11</v>
      </c>
      <c r="U103" s="61">
        <f t="shared" si="124"/>
        <v>11</v>
      </c>
      <c r="V103" s="62"/>
      <c r="W103" s="30">
        <v>1</v>
      </c>
      <c r="X103" s="30"/>
      <c r="Y103" s="30"/>
      <c r="Z103" s="30">
        <v>1</v>
      </c>
      <c r="AA103" s="30">
        <v>1</v>
      </c>
      <c r="AB103" s="30"/>
      <c r="AC103" s="30"/>
      <c r="AD103" s="30"/>
      <c r="AE103" s="30">
        <v>1</v>
      </c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1"/>
      <c r="AQ103" s="32"/>
      <c r="AR103" s="33"/>
      <c r="AS103" s="31"/>
      <c r="AT103" s="63"/>
      <c r="AU103" s="34">
        <v>1</v>
      </c>
      <c r="AV103" s="34"/>
      <c r="AW103" s="34">
        <v>2</v>
      </c>
      <c r="AX103" s="34"/>
      <c r="AY103" s="34"/>
      <c r="AZ103" s="34"/>
      <c r="BA103" s="34"/>
      <c r="BB103" s="34"/>
      <c r="BC103" s="34">
        <v>4</v>
      </c>
      <c r="BD103" s="34"/>
      <c r="BE103" s="34"/>
      <c r="BF103" s="64"/>
      <c r="BN103" s="64">
        <v>1</v>
      </c>
      <c r="BP103" s="64">
        <v>2</v>
      </c>
      <c r="BT103" s="64"/>
      <c r="BU103" s="64">
        <v>1</v>
      </c>
      <c r="BV103" s="64"/>
      <c r="BW103" s="64"/>
      <c r="BX103" s="64"/>
      <c r="BY103" s="64"/>
      <c r="BZ103" s="64"/>
      <c r="CA103" s="64"/>
    </row>
    <row r="104" spans="1:79" ht="15" customHeight="1" x14ac:dyDescent="0.25">
      <c r="A104" s="22"/>
      <c r="B104" s="22">
        <v>96</v>
      </c>
      <c r="C104" s="72" t="s">
        <v>298</v>
      </c>
      <c r="D104" s="184">
        <v>2015</v>
      </c>
      <c r="E104" s="22" t="s">
        <v>302</v>
      </c>
      <c r="F104" s="22" t="s">
        <v>303</v>
      </c>
      <c r="G104" s="22" t="s">
        <v>231</v>
      </c>
      <c r="H104" s="22" t="s">
        <v>78</v>
      </c>
      <c r="I104" s="55">
        <v>16.899999999999999</v>
      </c>
      <c r="J104" s="55">
        <f t="shared" si="125"/>
        <v>30</v>
      </c>
      <c r="K104" s="55">
        <f t="shared" si="120"/>
        <v>4.6900000000000004</v>
      </c>
      <c r="L104" s="55">
        <f t="shared" si="121"/>
        <v>51.589999999999996</v>
      </c>
      <c r="M104" s="55">
        <f t="shared" si="122"/>
        <v>52</v>
      </c>
      <c r="N104" s="56">
        <v>52</v>
      </c>
      <c r="O104" s="57">
        <f t="shared" si="103"/>
        <v>34.019699999999993</v>
      </c>
      <c r="P104" s="58">
        <f t="shared" si="123"/>
        <v>0</v>
      </c>
      <c r="Q104" s="59">
        <f t="shared" si="104"/>
        <v>8.6666666666666661</v>
      </c>
      <c r="R104" s="60">
        <v>4</v>
      </c>
      <c r="S104" s="60">
        <v>3</v>
      </c>
      <c r="T104" s="60">
        <f t="shared" si="105"/>
        <v>2</v>
      </c>
      <c r="U104" s="61">
        <f t="shared" si="124"/>
        <v>5</v>
      </c>
      <c r="V104" s="62"/>
      <c r="W104" s="30"/>
      <c r="X104" s="30"/>
      <c r="Y104" s="30"/>
      <c r="Z104" s="30"/>
      <c r="AA104" s="30"/>
      <c r="AB104" s="30"/>
      <c r="AC104" s="30"/>
      <c r="AD104" s="30">
        <v>1</v>
      </c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1"/>
      <c r="AQ104" s="32"/>
      <c r="AR104" s="33"/>
      <c r="AS104" s="31"/>
      <c r="AT104" s="63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64"/>
      <c r="BJ104" s="64">
        <v>1</v>
      </c>
      <c r="BT104" s="64"/>
      <c r="BU104" s="64"/>
      <c r="BV104" s="64"/>
      <c r="BW104" s="64"/>
      <c r="BX104" s="64"/>
      <c r="BY104" s="64"/>
      <c r="BZ104" s="64"/>
      <c r="CA104" s="64"/>
    </row>
    <row r="105" spans="1:79" ht="15" customHeight="1" x14ac:dyDescent="0.25">
      <c r="A105" s="22"/>
      <c r="B105" s="29">
        <v>97</v>
      </c>
      <c r="C105" s="72" t="s">
        <v>298</v>
      </c>
      <c r="D105" s="174">
        <v>2022</v>
      </c>
      <c r="E105" s="68" t="s">
        <v>304</v>
      </c>
      <c r="F105" s="22" t="s">
        <v>305</v>
      </c>
      <c r="G105" s="22" t="s">
        <v>231</v>
      </c>
      <c r="H105" s="22" t="s">
        <v>78</v>
      </c>
      <c r="I105" s="55">
        <v>13.6</v>
      </c>
      <c r="J105" s="55">
        <f t="shared" si="125"/>
        <v>25</v>
      </c>
      <c r="K105" s="55">
        <f>(I105+J105)*0.1</f>
        <v>3.8600000000000003</v>
      </c>
      <c r="L105" s="55">
        <f>SUM(I105:K105)</f>
        <v>42.46</v>
      </c>
      <c r="M105" s="55">
        <f>ROUND(L105,0)</f>
        <v>42</v>
      </c>
      <c r="N105" s="56">
        <v>40</v>
      </c>
      <c r="O105" s="57">
        <f t="shared" si="103"/>
        <v>27.376799999999996</v>
      </c>
      <c r="P105" s="58">
        <f>N105-M105</f>
        <v>-2</v>
      </c>
      <c r="Q105" s="59">
        <f t="shared" si="104"/>
        <v>6.666666666666667</v>
      </c>
      <c r="R105" s="60">
        <v>5</v>
      </c>
      <c r="S105" s="60">
        <f>6+6+6+6</f>
        <v>24</v>
      </c>
      <c r="T105" s="60">
        <f t="shared" si="105"/>
        <v>19</v>
      </c>
      <c r="U105" s="61">
        <f>R105+S105-T105</f>
        <v>10</v>
      </c>
      <c r="V105" s="62"/>
      <c r="W105" s="30">
        <v>1</v>
      </c>
      <c r="X105" s="30"/>
      <c r="Y105" s="30"/>
      <c r="Z105" s="30">
        <v>1</v>
      </c>
      <c r="AA105" s="30"/>
      <c r="AB105" s="30"/>
      <c r="AC105" s="30"/>
      <c r="AD105" s="30">
        <v>1</v>
      </c>
      <c r="AE105" s="30"/>
      <c r="AF105" s="30"/>
      <c r="AG105" s="30"/>
      <c r="AH105" s="30">
        <v>1</v>
      </c>
      <c r="AI105" s="30"/>
      <c r="AJ105" s="30"/>
      <c r="AK105" s="30"/>
      <c r="AL105" s="30"/>
      <c r="AM105" s="30"/>
      <c r="AN105" s="30"/>
      <c r="AO105" s="30"/>
      <c r="AP105" s="31">
        <v>1</v>
      </c>
      <c r="AQ105" s="32">
        <v>2</v>
      </c>
      <c r="AR105" s="33"/>
      <c r="AS105" s="31"/>
      <c r="AT105" s="63"/>
      <c r="AU105" s="34"/>
      <c r="AV105" s="34"/>
      <c r="AW105" s="34">
        <v>2</v>
      </c>
      <c r="AX105" s="34"/>
      <c r="AY105" s="34"/>
      <c r="AZ105" s="34">
        <v>2</v>
      </c>
      <c r="BA105" s="34"/>
      <c r="BB105" s="34">
        <v>1</v>
      </c>
      <c r="BC105" s="34"/>
      <c r="BD105" s="34"/>
      <c r="BE105" s="34"/>
      <c r="BF105" s="64">
        <v>1</v>
      </c>
      <c r="BK105" s="64">
        <v>1</v>
      </c>
      <c r="BT105" s="64">
        <v>5</v>
      </c>
      <c r="BU105" s="64"/>
      <c r="BV105" s="64"/>
      <c r="BW105" s="64"/>
      <c r="BX105" s="64"/>
      <c r="BY105" s="64"/>
      <c r="BZ105" s="64"/>
      <c r="CA105" s="64"/>
    </row>
    <row r="106" spans="1:79" ht="15" customHeight="1" x14ac:dyDescent="0.25">
      <c r="A106" s="22"/>
      <c r="B106" s="22">
        <v>98</v>
      </c>
      <c r="C106" s="72" t="s">
        <v>298</v>
      </c>
      <c r="D106" s="174">
        <v>2022</v>
      </c>
      <c r="E106" s="22" t="s">
        <v>304</v>
      </c>
      <c r="F106" s="178" t="s">
        <v>306</v>
      </c>
      <c r="G106" s="22" t="s">
        <v>231</v>
      </c>
      <c r="H106" s="22" t="s">
        <v>78</v>
      </c>
      <c r="I106" s="55">
        <v>9.9</v>
      </c>
      <c r="J106" s="55">
        <f t="shared" si="125"/>
        <v>25</v>
      </c>
      <c r="K106" s="55">
        <f t="shared" si="120"/>
        <v>3.49</v>
      </c>
      <c r="L106" s="55">
        <f t="shared" si="121"/>
        <v>38.39</v>
      </c>
      <c r="M106" s="55">
        <f t="shared" si="122"/>
        <v>38</v>
      </c>
      <c r="N106" s="56">
        <v>36</v>
      </c>
      <c r="O106" s="57">
        <f t="shared" ref="O106:O119" si="126">I106*$O$2*1.22</f>
        <v>19.928699999999999</v>
      </c>
      <c r="P106" s="58">
        <f t="shared" si="123"/>
        <v>-2</v>
      </c>
      <c r="Q106" s="59">
        <f t="shared" ref="Q106:Q138" si="127">N106/$Q$3</f>
        <v>6</v>
      </c>
      <c r="R106" s="60">
        <v>11</v>
      </c>
      <c r="S106" s="60">
        <f>12+12+12+6+12+6</f>
        <v>60</v>
      </c>
      <c r="T106" s="60">
        <f t="shared" si="105"/>
        <v>57</v>
      </c>
      <c r="U106" s="61">
        <f t="shared" si="124"/>
        <v>14</v>
      </c>
      <c r="V106" s="62"/>
      <c r="W106" s="30">
        <v>5</v>
      </c>
      <c r="X106" s="30">
        <v>2</v>
      </c>
      <c r="Y106" s="30">
        <v>1</v>
      </c>
      <c r="Z106" s="30">
        <v>7</v>
      </c>
      <c r="AA106" s="30">
        <v>5</v>
      </c>
      <c r="AB106" s="30">
        <v>3</v>
      </c>
      <c r="AC106" s="30">
        <v>2</v>
      </c>
      <c r="AD106" s="30">
        <v>3</v>
      </c>
      <c r="AE106" s="30">
        <v>2</v>
      </c>
      <c r="AF106" s="30">
        <v>2</v>
      </c>
      <c r="AG106" s="30">
        <v>5</v>
      </c>
      <c r="AH106" s="30">
        <v>1</v>
      </c>
      <c r="AI106" s="30"/>
      <c r="AJ106" s="30"/>
      <c r="AK106" s="30"/>
      <c r="AL106" s="30"/>
      <c r="AM106" s="30"/>
      <c r="AN106" s="30"/>
      <c r="AO106" s="30"/>
      <c r="AP106" s="31">
        <v>1</v>
      </c>
      <c r="AQ106" s="32"/>
      <c r="AR106" s="33">
        <v>1</v>
      </c>
      <c r="AS106" s="31">
        <v>1</v>
      </c>
      <c r="AT106" s="63"/>
      <c r="AU106" s="34"/>
      <c r="AV106" s="34">
        <v>3</v>
      </c>
      <c r="AW106" s="34">
        <v>2</v>
      </c>
      <c r="AX106" s="34"/>
      <c r="AY106" s="34"/>
      <c r="AZ106" s="34"/>
      <c r="BA106" s="34"/>
      <c r="BB106" s="34"/>
      <c r="BC106" s="34">
        <v>1</v>
      </c>
      <c r="BD106" s="34"/>
      <c r="BE106" s="34"/>
      <c r="BF106" s="64">
        <v>1</v>
      </c>
      <c r="BH106" s="64">
        <v>5</v>
      </c>
      <c r="BI106" s="64">
        <v>2</v>
      </c>
      <c r="BJ106" s="64">
        <v>2</v>
      </c>
      <c r="BN106" s="64">
        <v>2</v>
      </c>
      <c r="BP106" s="64">
        <v>1</v>
      </c>
      <c r="BT106" s="64"/>
      <c r="BU106" s="64"/>
      <c r="BV106" s="64"/>
      <c r="BW106" s="64"/>
      <c r="BX106" s="64"/>
      <c r="BY106" s="64"/>
      <c r="BZ106" s="64"/>
      <c r="CA106" s="64"/>
    </row>
    <row r="107" spans="1:79" ht="15" customHeight="1" x14ac:dyDescent="0.25">
      <c r="A107" s="22"/>
      <c r="B107" s="22">
        <v>99</v>
      </c>
      <c r="C107" s="77" t="s">
        <v>307</v>
      </c>
      <c r="D107" s="174">
        <v>2016</v>
      </c>
      <c r="E107" s="29" t="s">
        <v>308</v>
      </c>
      <c r="F107" s="22" t="s">
        <v>309</v>
      </c>
      <c r="G107" s="22" t="s">
        <v>231</v>
      </c>
      <c r="H107" s="22" t="s">
        <v>78</v>
      </c>
      <c r="I107" s="55">
        <v>24.6</v>
      </c>
      <c r="J107" s="55">
        <f t="shared" si="125"/>
        <v>30</v>
      </c>
      <c r="K107" s="55">
        <f t="shared" si="120"/>
        <v>5.4600000000000009</v>
      </c>
      <c r="L107" s="55">
        <f t="shared" si="121"/>
        <v>60.06</v>
      </c>
      <c r="M107" s="55">
        <f t="shared" si="122"/>
        <v>60</v>
      </c>
      <c r="N107" s="56">
        <v>61</v>
      </c>
      <c r="O107" s="57">
        <f t="shared" si="126"/>
        <v>49.519800000000004</v>
      </c>
      <c r="P107" s="58">
        <f t="shared" si="123"/>
        <v>1</v>
      </c>
      <c r="Q107" s="59">
        <f t="shared" si="127"/>
        <v>10.166666666666666</v>
      </c>
      <c r="R107" s="60">
        <v>3</v>
      </c>
      <c r="S107" s="60"/>
      <c r="T107" s="60">
        <f t="shared" si="105"/>
        <v>1</v>
      </c>
      <c r="U107" s="61">
        <f t="shared" si="124"/>
        <v>2</v>
      </c>
      <c r="V107" s="62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1"/>
      <c r="AQ107" s="32"/>
      <c r="AR107" s="33"/>
      <c r="AS107" s="31"/>
      <c r="AT107" s="63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64"/>
      <c r="BQ107" s="64">
        <v>1</v>
      </c>
      <c r="BT107" s="64"/>
      <c r="BU107" s="64"/>
      <c r="BV107" s="64"/>
      <c r="BW107" s="64"/>
      <c r="BX107" s="64"/>
      <c r="BY107" s="64"/>
      <c r="BZ107" s="64"/>
      <c r="CA107" s="64"/>
    </row>
    <row r="108" spans="1:79" ht="15" customHeight="1" x14ac:dyDescent="0.25">
      <c r="A108" s="71"/>
      <c r="B108" s="22">
        <v>100</v>
      </c>
      <c r="C108" s="77" t="s">
        <v>307</v>
      </c>
      <c r="D108" s="174">
        <v>2020</v>
      </c>
      <c r="E108" s="22" t="s">
        <v>310</v>
      </c>
      <c r="F108" s="22" t="s">
        <v>309</v>
      </c>
      <c r="G108" s="22" t="s">
        <v>231</v>
      </c>
      <c r="H108" s="22" t="s">
        <v>78</v>
      </c>
      <c r="I108" s="55">
        <v>11.8</v>
      </c>
      <c r="J108" s="55">
        <f t="shared" si="125"/>
        <v>25</v>
      </c>
      <c r="K108" s="55">
        <f t="shared" si="120"/>
        <v>3.6799999999999997</v>
      </c>
      <c r="L108" s="55">
        <f t="shared" si="121"/>
        <v>40.479999999999997</v>
      </c>
      <c r="M108" s="55">
        <f t="shared" si="122"/>
        <v>40</v>
      </c>
      <c r="N108" s="56">
        <v>39</v>
      </c>
      <c r="O108" s="57">
        <f t="shared" si="126"/>
        <v>23.753399999999999</v>
      </c>
      <c r="P108" s="58">
        <f t="shared" si="123"/>
        <v>-1</v>
      </c>
      <c r="Q108" s="59">
        <f t="shared" si="127"/>
        <v>6.5</v>
      </c>
      <c r="R108" s="60">
        <v>7</v>
      </c>
      <c r="S108" s="60">
        <f>6+6+6+6</f>
        <v>24</v>
      </c>
      <c r="T108" s="60">
        <f t="shared" si="105"/>
        <v>18</v>
      </c>
      <c r="U108" s="61">
        <f t="shared" si="124"/>
        <v>13</v>
      </c>
      <c r="V108" s="62"/>
      <c r="W108" s="30">
        <v>1</v>
      </c>
      <c r="X108" s="30"/>
      <c r="Y108" s="30"/>
      <c r="Z108" s="30"/>
      <c r="AA108" s="30">
        <v>1</v>
      </c>
      <c r="AB108" s="30"/>
      <c r="AC108" s="30"/>
      <c r="AD108" s="30">
        <v>2</v>
      </c>
      <c r="AE108" s="30"/>
      <c r="AF108" s="30"/>
      <c r="AG108" s="30"/>
      <c r="AH108" s="30">
        <v>1</v>
      </c>
      <c r="AI108" s="30"/>
      <c r="AJ108" s="30"/>
      <c r="AK108" s="30"/>
      <c r="AL108" s="30"/>
      <c r="AM108" s="30"/>
      <c r="AN108" s="30"/>
      <c r="AO108" s="30"/>
      <c r="AP108" s="31">
        <v>1</v>
      </c>
      <c r="AQ108" s="32"/>
      <c r="AR108" s="33"/>
      <c r="AS108" s="31"/>
      <c r="AT108" s="63"/>
      <c r="AU108" s="34">
        <v>1</v>
      </c>
      <c r="AV108" s="34"/>
      <c r="AW108" s="34"/>
      <c r="AX108" s="34"/>
      <c r="AY108" s="34"/>
      <c r="AZ108" s="34">
        <v>1</v>
      </c>
      <c r="BA108" s="34"/>
      <c r="BB108" s="34"/>
      <c r="BC108" s="34"/>
      <c r="BD108" s="34">
        <v>2</v>
      </c>
      <c r="BE108" s="34">
        <v>2</v>
      </c>
      <c r="BF108" s="64"/>
      <c r="BL108" s="64">
        <v>4</v>
      </c>
      <c r="BM108" s="64">
        <v>2</v>
      </c>
      <c r="BT108" s="64"/>
      <c r="BU108" s="64">
        <v>1</v>
      </c>
      <c r="BV108" s="64"/>
      <c r="BW108" s="64"/>
      <c r="BX108" s="64"/>
      <c r="BY108" s="64"/>
      <c r="BZ108" s="64"/>
      <c r="CA108" s="64"/>
    </row>
    <row r="109" spans="1:79" ht="15" customHeight="1" x14ac:dyDescent="0.25">
      <c r="A109" s="22"/>
      <c r="B109" s="29">
        <v>101</v>
      </c>
      <c r="C109" s="77" t="s">
        <v>307</v>
      </c>
      <c r="D109" s="174">
        <v>2022</v>
      </c>
      <c r="E109" s="68" t="s">
        <v>311</v>
      </c>
      <c r="F109" s="22" t="s">
        <v>312</v>
      </c>
      <c r="G109" s="22" t="s">
        <v>231</v>
      </c>
      <c r="H109" s="22" t="s">
        <v>78</v>
      </c>
      <c r="I109" s="55">
        <v>15.9</v>
      </c>
      <c r="J109" s="55">
        <f t="shared" si="125"/>
        <v>30</v>
      </c>
      <c r="K109" s="55">
        <f t="shared" si="120"/>
        <v>4.59</v>
      </c>
      <c r="L109" s="55">
        <f t="shared" si="121"/>
        <v>50.489999999999995</v>
      </c>
      <c r="M109" s="55">
        <f t="shared" si="122"/>
        <v>50</v>
      </c>
      <c r="N109" s="56">
        <v>49</v>
      </c>
      <c r="O109" s="57">
        <f t="shared" si="126"/>
        <v>32.006700000000002</v>
      </c>
      <c r="P109" s="58">
        <f t="shared" si="123"/>
        <v>-1</v>
      </c>
      <c r="Q109" s="59">
        <f t="shared" si="127"/>
        <v>8.1666666666666661</v>
      </c>
      <c r="R109" s="60">
        <v>12</v>
      </c>
      <c r="S109" s="60">
        <f>12+6+12+6</f>
        <v>36</v>
      </c>
      <c r="T109" s="60">
        <f t="shared" si="105"/>
        <v>20</v>
      </c>
      <c r="U109" s="61">
        <v>11</v>
      </c>
      <c r="V109" s="62"/>
      <c r="W109" s="30"/>
      <c r="X109" s="30">
        <v>1</v>
      </c>
      <c r="Y109" s="30"/>
      <c r="Z109" s="30"/>
      <c r="AA109" s="30"/>
      <c r="AB109" s="30"/>
      <c r="AC109" s="30">
        <v>2</v>
      </c>
      <c r="AD109" s="30"/>
      <c r="AE109" s="30"/>
      <c r="AF109" s="30">
        <v>2</v>
      </c>
      <c r="AG109" s="30"/>
      <c r="AH109" s="30"/>
      <c r="AI109" s="30"/>
      <c r="AJ109" s="30"/>
      <c r="AK109" s="30"/>
      <c r="AL109" s="30"/>
      <c r="AM109" s="30"/>
      <c r="AN109" s="30"/>
      <c r="AO109" s="30"/>
      <c r="AP109" s="31">
        <v>1</v>
      </c>
      <c r="AQ109" s="32"/>
      <c r="AR109" s="33"/>
      <c r="AS109" s="31"/>
      <c r="AT109" s="63">
        <v>5</v>
      </c>
      <c r="AU109" s="78">
        <v>2</v>
      </c>
      <c r="AV109" s="34">
        <v>1</v>
      </c>
      <c r="AW109" s="34">
        <v>1</v>
      </c>
      <c r="AX109" s="34"/>
      <c r="AY109" s="34"/>
      <c r="AZ109" s="34"/>
      <c r="BA109" s="34">
        <v>1</v>
      </c>
      <c r="BB109" s="34"/>
      <c r="BC109" s="34"/>
      <c r="BD109" s="34">
        <v>1</v>
      </c>
      <c r="BE109" s="34">
        <v>2</v>
      </c>
      <c r="BF109" s="64"/>
      <c r="BK109" s="64">
        <v>1</v>
      </c>
      <c r="BT109" s="64"/>
      <c r="BU109" s="64"/>
      <c r="BV109" s="64"/>
      <c r="BW109" s="64"/>
      <c r="BX109" s="64"/>
      <c r="BY109" s="64"/>
      <c r="BZ109" s="64"/>
      <c r="CA109" s="64"/>
    </row>
    <row r="110" spans="1:79" ht="15" customHeight="1" x14ac:dyDescent="0.25">
      <c r="A110" s="22"/>
      <c r="B110" s="22">
        <v>102</v>
      </c>
      <c r="C110" s="77" t="s">
        <v>307</v>
      </c>
      <c r="D110" s="206">
        <v>2022</v>
      </c>
      <c r="E110" s="191" t="s">
        <v>310</v>
      </c>
      <c r="F110" s="178" t="s">
        <v>313</v>
      </c>
      <c r="G110" s="22" t="s">
        <v>231</v>
      </c>
      <c r="H110" s="22" t="s">
        <v>137</v>
      </c>
      <c r="I110" s="55">
        <v>12.67</v>
      </c>
      <c r="J110" s="55">
        <f t="shared" si="125"/>
        <v>25</v>
      </c>
      <c r="K110" s="55">
        <f>(I110+J110)*0.1</f>
        <v>3.7670000000000003</v>
      </c>
      <c r="L110" s="55">
        <f>SUM(I110:K110)</f>
        <v>41.437000000000005</v>
      </c>
      <c r="M110" s="55">
        <f>ROUND(L110,0)</f>
        <v>41</v>
      </c>
      <c r="N110" s="56">
        <v>41</v>
      </c>
      <c r="O110" s="57">
        <f t="shared" si="126"/>
        <v>25.504709999999999</v>
      </c>
      <c r="P110" s="58">
        <f>N110-M110</f>
        <v>0</v>
      </c>
      <c r="Q110" s="59">
        <f t="shared" si="127"/>
        <v>6.833333333333333</v>
      </c>
      <c r="R110" s="60">
        <v>12</v>
      </c>
      <c r="S110" s="60">
        <f>9+18+12+6+12+12</f>
        <v>69</v>
      </c>
      <c r="T110" s="60">
        <f t="shared" si="105"/>
        <v>49</v>
      </c>
      <c r="U110" s="61">
        <v>9</v>
      </c>
      <c r="V110" s="62"/>
      <c r="W110" s="30">
        <v>2</v>
      </c>
      <c r="X110" s="30"/>
      <c r="Y110" s="30">
        <v>1</v>
      </c>
      <c r="Z110" s="30"/>
      <c r="AA110" s="30">
        <v>2</v>
      </c>
      <c r="AB110" s="30"/>
      <c r="AC110" s="30">
        <v>4</v>
      </c>
      <c r="AD110" s="30">
        <v>2</v>
      </c>
      <c r="AE110" s="30"/>
      <c r="AF110" s="30"/>
      <c r="AG110" s="30">
        <v>3</v>
      </c>
      <c r="AH110" s="30"/>
      <c r="AI110" s="30"/>
      <c r="AJ110" s="30"/>
      <c r="AK110" s="30"/>
      <c r="AL110" s="30"/>
      <c r="AM110" s="30"/>
      <c r="AN110" s="30"/>
      <c r="AO110" s="30"/>
      <c r="AP110" s="31"/>
      <c r="AQ110" s="32"/>
      <c r="AR110" s="33"/>
      <c r="AS110" s="31"/>
      <c r="AT110" s="63">
        <v>7</v>
      </c>
      <c r="AU110" s="78">
        <v>6</v>
      </c>
      <c r="AV110" s="34"/>
      <c r="AW110" s="34">
        <v>1</v>
      </c>
      <c r="AX110" s="34"/>
      <c r="AY110" s="34"/>
      <c r="AZ110" s="34">
        <v>1</v>
      </c>
      <c r="BA110" s="34">
        <v>3</v>
      </c>
      <c r="BB110" s="34"/>
      <c r="BC110" s="34">
        <v>1</v>
      </c>
      <c r="BD110" s="34">
        <v>1</v>
      </c>
      <c r="BE110" s="34">
        <v>1</v>
      </c>
      <c r="BF110" s="64"/>
      <c r="BJ110" s="64">
        <v>1</v>
      </c>
      <c r="BL110" s="64">
        <v>4</v>
      </c>
      <c r="BN110" s="64">
        <v>1</v>
      </c>
      <c r="BQ110" s="64">
        <v>2</v>
      </c>
      <c r="BT110" s="64">
        <v>7</v>
      </c>
      <c r="BU110" s="64">
        <v>1</v>
      </c>
      <c r="BV110" s="64"/>
      <c r="BW110" s="64"/>
      <c r="BX110" s="64"/>
      <c r="BY110" s="64"/>
      <c r="BZ110" s="64"/>
      <c r="CA110" s="64"/>
    </row>
    <row r="111" spans="1:79" ht="15" customHeight="1" x14ac:dyDescent="0.25">
      <c r="A111" s="22"/>
      <c r="B111" s="22">
        <v>103</v>
      </c>
      <c r="C111" s="79" t="s">
        <v>314</v>
      </c>
      <c r="D111" s="174">
        <v>2019</v>
      </c>
      <c r="E111" s="29" t="s">
        <v>315</v>
      </c>
      <c r="F111" s="22" t="s">
        <v>316</v>
      </c>
      <c r="G111" s="22" t="s">
        <v>231</v>
      </c>
      <c r="H111" s="22" t="s">
        <v>137</v>
      </c>
      <c r="I111" s="55">
        <v>20.59</v>
      </c>
      <c r="J111" s="55">
        <f t="shared" si="125"/>
        <v>30</v>
      </c>
      <c r="K111" s="55">
        <f t="shared" si="120"/>
        <v>5.0590000000000011</v>
      </c>
      <c r="L111" s="55">
        <f t="shared" si="121"/>
        <v>55.649000000000001</v>
      </c>
      <c r="M111" s="55">
        <f t="shared" si="122"/>
        <v>56</v>
      </c>
      <c r="N111" s="56">
        <v>56</v>
      </c>
      <c r="O111" s="57">
        <f t="shared" si="126"/>
        <v>41.447670000000002</v>
      </c>
      <c r="P111" s="58">
        <f t="shared" si="123"/>
        <v>0</v>
      </c>
      <c r="Q111" s="59">
        <f t="shared" si="127"/>
        <v>9.3333333333333339</v>
      </c>
      <c r="R111" s="60">
        <v>7</v>
      </c>
      <c r="S111" s="60">
        <f>13+6+6</f>
        <v>25</v>
      </c>
      <c r="T111" s="60">
        <f t="shared" si="105"/>
        <v>24</v>
      </c>
      <c r="U111" s="61">
        <f t="shared" si="124"/>
        <v>8</v>
      </c>
      <c r="V111" s="62"/>
      <c r="W111" s="30">
        <v>3</v>
      </c>
      <c r="X111" s="30">
        <v>1</v>
      </c>
      <c r="Y111" s="30"/>
      <c r="Z111" s="30"/>
      <c r="AA111" s="30"/>
      <c r="AB111" s="30"/>
      <c r="AC111" s="30">
        <v>3</v>
      </c>
      <c r="AD111" s="30">
        <v>1</v>
      </c>
      <c r="AE111" s="30"/>
      <c r="AF111" s="30"/>
      <c r="AG111" s="30">
        <v>1</v>
      </c>
      <c r="AH111" s="30">
        <v>1</v>
      </c>
      <c r="AI111" s="30"/>
      <c r="AJ111" s="30"/>
      <c r="AK111" s="30"/>
      <c r="AL111" s="30"/>
      <c r="AM111" s="30"/>
      <c r="AN111" s="30"/>
      <c r="AO111" s="30"/>
      <c r="AP111" s="31">
        <v>1</v>
      </c>
      <c r="AQ111" s="32"/>
      <c r="AR111" s="33"/>
      <c r="AS111" s="31"/>
      <c r="AT111" s="63"/>
      <c r="AU111" s="34"/>
      <c r="AV111" s="34"/>
      <c r="AW111" s="34"/>
      <c r="AX111" s="34"/>
      <c r="AY111" s="34"/>
      <c r="AZ111" s="34"/>
      <c r="BA111" s="34">
        <v>2</v>
      </c>
      <c r="BB111" s="34"/>
      <c r="BC111" s="34">
        <v>1</v>
      </c>
      <c r="BD111" s="34">
        <v>1</v>
      </c>
      <c r="BE111" s="34">
        <v>1</v>
      </c>
      <c r="BF111" s="64"/>
      <c r="BG111" s="64">
        <v>2</v>
      </c>
      <c r="BH111" s="64">
        <v>2</v>
      </c>
      <c r="BL111" s="64">
        <v>2</v>
      </c>
      <c r="BN111" s="64">
        <v>2</v>
      </c>
      <c r="BR111" s="64">
        <v>1</v>
      </c>
      <c r="BT111" s="64">
        <v>1</v>
      </c>
      <c r="BU111" s="64"/>
      <c r="BV111" s="64"/>
      <c r="BW111" s="64"/>
      <c r="BX111" s="64"/>
      <c r="BY111" s="64"/>
      <c r="BZ111" s="64"/>
      <c r="CA111" s="64"/>
    </row>
    <row r="112" spans="1:79" ht="15" customHeight="1" x14ac:dyDescent="0.25">
      <c r="A112" s="22"/>
      <c r="B112" s="22">
        <v>104</v>
      </c>
      <c r="C112" s="79" t="s">
        <v>314</v>
      </c>
      <c r="D112" s="174">
        <v>2019</v>
      </c>
      <c r="E112" s="22" t="s">
        <v>317</v>
      </c>
      <c r="F112" s="22" t="s">
        <v>318</v>
      </c>
      <c r="G112" s="22" t="s">
        <v>231</v>
      </c>
      <c r="H112" s="22" t="s">
        <v>319</v>
      </c>
      <c r="I112" s="55">
        <v>14.1</v>
      </c>
      <c r="J112" s="55">
        <f t="shared" si="125"/>
        <v>25</v>
      </c>
      <c r="K112" s="55">
        <f t="shared" si="120"/>
        <v>3.91</v>
      </c>
      <c r="L112" s="55">
        <f t="shared" si="121"/>
        <v>43.010000000000005</v>
      </c>
      <c r="M112" s="55">
        <f t="shared" si="122"/>
        <v>43</v>
      </c>
      <c r="N112" s="56">
        <v>42</v>
      </c>
      <c r="O112" s="57">
        <f t="shared" si="126"/>
        <v>28.383299999999995</v>
      </c>
      <c r="P112" s="58">
        <f t="shared" si="123"/>
        <v>-1</v>
      </c>
      <c r="Q112" s="59">
        <f t="shared" si="127"/>
        <v>7</v>
      </c>
      <c r="R112" s="60">
        <v>11</v>
      </c>
      <c r="S112" s="60"/>
      <c r="T112" s="60">
        <f t="shared" si="105"/>
        <v>6</v>
      </c>
      <c r="U112" s="61">
        <f t="shared" si="124"/>
        <v>5</v>
      </c>
      <c r="V112" s="62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>
        <v>1</v>
      </c>
      <c r="AH112" s="30"/>
      <c r="AI112" s="30"/>
      <c r="AJ112" s="30"/>
      <c r="AK112" s="30"/>
      <c r="AL112" s="30"/>
      <c r="AM112" s="30"/>
      <c r="AN112" s="30"/>
      <c r="AO112" s="30"/>
      <c r="AP112" s="31"/>
      <c r="AQ112" s="32"/>
      <c r="AR112" s="33"/>
      <c r="AS112" s="31"/>
      <c r="AT112" s="63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64">
        <v>1</v>
      </c>
      <c r="BH112" s="64">
        <v>1</v>
      </c>
      <c r="BP112" s="64">
        <v>3</v>
      </c>
      <c r="BR112" s="64">
        <v>3</v>
      </c>
      <c r="BT112" s="64"/>
      <c r="BU112" s="64"/>
      <c r="BV112" s="64"/>
      <c r="BW112" s="64"/>
      <c r="BX112" s="64"/>
      <c r="BY112" s="64"/>
      <c r="BZ112" s="64"/>
      <c r="CA112" s="64"/>
    </row>
    <row r="113" spans="1:79" ht="15" customHeight="1" x14ac:dyDescent="0.25">
      <c r="A113" s="71"/>
      <c r="B113" s="29">
        <v>105</v>
      </c>
      <c r="C113" s="79" t="s">
        <v>314</v>
      </c>
      <c r="D113" s="174">
        <v>2019</v>
      </c>
      <c r="E113" s="22" t="s">
        <v>314</v>
      </c>
      <c r="F113" s="22" t="s">
        <v>320</v>
      </c>
      <c r="G113" s="22" t="s">
        <v>321</v>
      </c>
      <c r="H113" s="22" t="s">
        <v>132</v>
      </c>
      <c r="I113" s="55">
        <v>14.38</v>
      </c>
      <c r="J113" s="55">
        <f t="shared" si="125"/>
        <v>25</v>
      </c>
      <c r="K113" s="55">
        <f t="shared" si="120"/>
        <v>3.9380000000000006</v>
      </c>
      <c r="L113" s="55">
        <f t="shared" si="121"/>
        <v>43.318000000000005</v>
      </c>
      <c r="M113" s="55">
        <f t="shared" si="122"/>
        <v>43</v>
      </c>
      <c r="N113" s="56">
        <v>42</v>
      </c>
      <c r="O113" s="57">
        <f t="shared" si="126"/>
        <v>28.946940000000001</v>
      </c>
      <c r="P113" s="58">
        <f t="shared" si="123"/>
        <v>-1</v>
      </c>
      <c r="Q113" s="59">
        <f t="shared" si="127"/>
        <v>7</v>
      </c>
      <c r="R113" s="60">
        <v>4</v>
      </c>
      <c r="S113" s="60">
        <f>15+6+6+6</f>
        <v>33</v>
      </c>
      <c r="T113" s="60">
        <f t="shared" si="105"/>
        <v>16</v>
      </c>
      <c r="U113" s="61">
        <f t="shared" si="124"/>
        <v>21</v>
      </c>
      <c r="V113" s="62"/>
      <c r="W113" s="30">
        <v>6</v>
      </c>
      <c r="X113" s="30"/>
      <c r="Y113" s="30"/>
      <c r="Z113" s="30">
        <v>1</v>
      </c>
      <c r="AA113" s="30">
        <v>1</v>
      </c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1">
        <v>1</v>
      </c>
      <c r="AQ113" s="32">
        <v>2</v>
      </c>
      <c r="AR113" s="33"/>
      <c r="AS113" s="31"/>
      <c r="AT113" s="63">
        <v>1</v>
      </c>
      <c r="AU113" s="34"/>
      <c r="AV113" s="34"/>
      <c r="AW113" s="34"/>
      <c r="AX113" s="34"/>
      <c r="AY113" s="34"/>
      <c r="AZ113" s="34"/>
      <c r="BA113" s="34"/>
      <c r="BB113" s="34"/>
      <c r="BC113" s="34">
        <v>1</v>
      </c>
      <c r="BD113" s="34">
        <v>2</v>
      </c>
      <c r="BE113" s="34"/>
      <c r="BF113" s="64">
        <v>1</v>
      </c>
      <c r="BN113" s="64">
        <v>5</v>
      </c>
      <c r="BT113" s="64"/>
      <c r="BU113" s="64"/>
      <c r="BV113" s="64"/>
      <c r="BW113" s="64"/>
      <c r="BX113" s="64"/>
      <c r="BY113" s="64"/>
      <c r="BZ113" s="64"/>
      <c r="CA113" s="64"/>
    </row>
    <row r="114" spans="1:79" ht="15" customHeight="1" x14ac:dyDescent="0.25">
      <c r="A114" s="22"/>
      <c r="B114" s="22">
        <v>106</v>
      </c>
      <c r="C114" s="79" t="s">
        <v>314</v>
      </c>
      <c r="D114" s="174">
        <v>2016</v>
      </c>
      <c r="E114" s="22" t="s">
        <v>322</v>
      </c>
      <c r="F114" s="22" t="s">
        <v>309</v>
      </c>
      <c r="G114" s="22" t="s">
        <v>231</v>
      </c>
      <c r="H114" s="22" t="s">
        <v>78</v>
      </c>
      <c r="I114" s="55">
        <v>24.6</v>
      </c>
      <c r="J114" s="55">
        <f t="shared" si="125"/>
        <v>30</v>
      </c>
      <c r="K114" s="55">
        <f t="shared" si="120"/>
        <v>5.4600000000000009</v>
      </c>
      <c r="L114" s="55">
        <f t="shared" si="121"/>
        <v>60.06</v>
      </c>
      <c r="M114" s="55">
        <f t="shared" si="122"/>
        <v>60</v>
      </c>
      <c r="N114" s="56">
        <v>61</v>
      </c>
      <c r="O114" s="57">
        <f t="shared" si="126"/>
        <v>49.519800000000004</v>
      </c>
      <c r="P114" s="58">
        <f t="shared" si="123"/>
        <v>1</v>
      </c>
      <c r="Q114" s="59">
        <f t="shared" si="127"/>
        <v>10.166666666666666</v>
      </c>
      <c r="R114" s="60">
        <v>5</v>
      </c>
      <c r="S114" s="60">
        <v>1</v>
      </c>
      <c r="T114" s="60">
        <f t="shared" si="105"/>
        <v>1</v>
      </c>
      <c r="U114" s="61">
        <f t="shared" si="124"/>
        <v>5</v>
      </c>
      <c r="V114" s="62"/>
      <c r="W114" s="30"/>
      <c r="X114" s="30"/>
      <c r="Y114" s="30">
        <v>1</v>
      </c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1"/>
      <c r="AQ114" s="32"/>
      <c r="AR114" s="33"/>
      <c r="AS114" s="31"/>
      <c r="AT114" s="63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64"/>
      <c r="BT114" s="64"/>
      <c r="BU114" s="64"/>
      <c r="BV114" s="64"/>
      <c r="BW114" s="64"/>
      <c r="BX114" s="64"/>
      <c r="BY114" s="64"/>
      <c r="BZ114" s="64"/>
      <c r="CA114" s="64"/>
    </row>
    <row r="115" spans="1:79" ht="15" customHeight="1" x14ac:dyDescent="0.25">
      <c r="A115" s="22"/>
      <c r="B115" s="22">
        <v>107.2</v>
      </c>
      <c r="C115" s="79" t="s">
        <v>314</v>
      </c>
      <c r="D115" s="174">
        <v>2021</v>
      </c>
      <c r="E115" s="22" t="s">
        <v>323</v>
      </c>
      <c r="F115" s="22" t="s">
        <v>324</v>
      </c>
      <c r="G115" s="22" t="s">
        <v>231</v>
      </c>
      <c r="H115" s="22" t="s">
        <v>325</v>
      </c>
      <c r="I115" s="55">
        <v>13.9</v>
      </c>
      <c r="J115" s="55">
        <f t="shared" ref="J115:J117" si="128">IF(I115&lt;=15,$L$2,$L$3)</f>
        <v>25</v>
      </c>
      <c r="K115" s="55">
        <f t="shared" ref="K115:K117" si="129">(I115+J115)*0.1</f>
        <v>3.89</v>
      </c>
      <c r="L115" s="55">
        <f t="shared" ref="L115:L117" si="130">SUM(I115:K115)</f>
        <v>42.79</v>
      </c>
      <c r="M115" s="55">
        <f t="shared" ref="M115:M117" si="131">ROUND(L115,0)</f>
        <v>43</v>
      </c>
      <c r="N115" s="56">
        <v>43</v>
      </c>
      <c r="O115" s="57">
        <f t="shared" ref="O115:O117" si="132">I115*$O$2*1.22</f>
        <v>27.980699999999999</v>
      </c>
      <c r="P115" s="58">
        <f t="shared" ref="P115:P117" si="133">N115-M115</f>
        <v>0</v>
      </c>
      <c r="Q115" s="59">
        <f t="shared" ref="Q115:Q117" si="134">N115/$Q$3</f>
        <v>7.166666666666667</v>
      </c>
      <c r="R115" s="60">
        <v>6</v>
      </c>
      <c r="S115" s="60"/>
      <c r="T115" s="60">
        <f t="shared" ref="T115:T117" si="135">W115+X115+Y115+Z115+AA115+AB115+AC115+AD115+AE115+AF115+AG115+AH115+AI115+AJ115+AK115+AL115+AM115+AN115+AO115+AP115+AQ115+AR115+AS115+AT115+AU115+AV115+AW115+AX115+AY115+AZ115+BA115+BB115+BC115+BD115+BE115+BF115+BG115+BH115+BI115+BJ115+BK115+BL115+BM115+BQ115+BR115+BS115+BT115</f>
        <v>0</v>
      </c>
      <c r="U115" s="61">
        <f t="shared" ref="U115:U117" si="136">R115+S115-T115</f>
        <v>6</v>
      </c>
      <c r="V115" s="62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1"/>
      <c r="AQ115" s="32"/>
      <c r="AR115" s="33"/>
      <c r="AS115" s="31"/>
      <c r="AT115" s="63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64"/>
      <c r="BT115" s="64"/>
      <c r="BU115" s="64"/>
      <c r="BV115" s="64"/>
      <c r="BW115" s="64"/>
      <c r="BX115" s="64"/>
      <c r="BY115" s="64"/>
      <c r="BZ115" s="64"/>
      <c r="CA115" s="64"/>
    </row>
    <row r="116" spans="1:79" ht="15" customHeight="1" x14ac:dyDescent="0.25">
      <c r="A116" s="22"/>
      <c r="B116" s="22">
        <v>107.3</v>
      </c>
      <c r="C116" s="79" t="s">
        <v>314</v>
      </c>
      <c r="D116" s="174">
        <v>2021</v>
      </c>
      <c r="E116" s="22" t="s">
        <v>314</v>
      </c>
      <c r="F116" s="22" t="s">
        <v>326</v>
      </c>
      <c r="G116" s="22" t="s">
        <v>231</v>
      </c>
      <c r="H116" s="22" t="s">
        <v>325</v>
      </c>
      <c r="I116" s="55">
        <v>13.7</v>
      </c>
      <c r="J116" s="55">
        <f t="shared" si="128"/>
        <v>25</v>
      </c>
      <c r="K116" s="55">
        <f t="shared" si="129"/>
        <v>3.8700000000000006</v>
      </c>
      <c r="L116" s="55">
        <f t="shared" si="130"/>
        <v>42.57</v>
      </c>
      <c r="M116" s="55">
        <f t="shared" si="131"/>
        <v>43</v>
      </c>
      <c r="N116" s="56">
        <v>43</v>
      </c>
      <c r="O116" s="57">
        <f t="shared" si="132"/>
        <v>27.578099999999996</v>
      </c>
      <c r="P116" s="58">
        <f t="shared" si="133"/>
        <v>0</v>
      </c>
      <c r="Q116" s="59">
        <f t="shared" si="134"/>
        <v>7.166666666666667</v>
      </c>
      <c r="R116" s="60">
        <v>6</v>
      </c>
      <c r="S116" s="60"/>
      <c r="T116" s="60">
        <f t="shared" si="135"/>
        <v>1</v>
      </c>
      <c r="U116" s="61">
        <f t="shared" si="136"/>
        <v>5</v>
      </c>
      <c r="V116" s="62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1"/>
      <c r="AQ116" s="32"/>
      <c r="AR116" s="33"/>
      <c r="AS116" s="31"/>
      <c r="AT116" s="63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64"/>
      <c r="BT116" s="64">
        <v>1</v>
      </c>
      <c r="BU116" s="64"/>
      <c r="BV116" s="64"/>
      <c r="BW116" s="64"/>
      <c r="BX116" s="64"/>
      <c r="BY116" s="64"/>
      <c r="BZ116" s="64"/>
      <c r="CA116" s="64"/>
    </row>
    <row r="117" spans="1:79" ht="15" customHeight="1" x14ac:dyDescent="0.25">
      <c r="A117" s="22"/>
      <c r="B117" s="22">
        <v>107.4</v>
      </c>
      <c r="C117" s="79" t="s">
        <v>314</v>
      </c>
      <c r="D117" s="174">
        <v>2021</v>
      </c>
      <c r="E117" s="22" t="s">
        <v>327</v>
      </c>
      <c r="F117" s="22" t="s">
        <v>326</v>
      </c>
      <c r="G117" s="22" t="s">
        <v>231</v>
      </c>
      <c r="H117" s="22" t="s">
        <v>325</v>
      </c>
      <c r="I117" s="55">
        <v>25</v>
      </c>
      <c r="J117" s="55">
        <f t="shared" si="128"/>
        <v>30</v>
      </c>
      <c r="K117" s="55">
        <f t="shared" si="129"/>
        <v>5.5</v>
      </c>
      <c r="L117" s="55">
        <f t="shared" si="130"/>
        <v>60.5</v>
      </c>
      <c r="M117" s="55">
        <f t="shared" si="131"/>
        <v>61</v>
      </c>
      <c r="N117" s="56">
        <v>61</v>
      </c>
      <c r="O117" s="57">
        <f t="shared" si="132"/>
        <v>50.324999999999996</v>
      </c>
      <c r="P117" s="58">
        <f t="shared" si="133"/>
        <v>0</v>
      </c>
      <c r="Q117" s="59">
        <f t="shared" si="134"/>
        <v>10.166666666666666</v>
      </c>
      <c r="R117" s="60">
        <v>6</v>
      </c>
      <c r="S117" s="60"/>
      <c r="T117" s="60">
        <f t="shared" si="135"/>
        <v>3</v>
      </c>
      <c r="U117" s="61">
        <f t="shared" si="136"/>
        <v>3</v>
      </c>
      <c r="V117" s="62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1"/>
      <c r="AQ117" s="32"/>
      <c r="AR117" s="33"/>
      <c r="AS117" s="31"/>
      <c r="AT117" s="63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64"/>
      <c r="BQ117" s="64">
        <v>3</v>
      </c>
      <c r="BT117" s="64"/>
      <c r="BU117" s="64"/>
      <c r="BV117" s="64"/>
      <c r="BW117" s="64"/>
      <c r="BX117" s="64"/>
      <c r="BY117" s="64"/>
      <c r="BZ117" s="64"/>
      <c r="CA117" s="64"/>
    </row>
    <row r="118" spans="1:79" ht="15" customHeight="1" x14ac:dyDescent="0.25">
      <c r="A118" s="22"/>
      <c r="B118" s="22">
        <v>107.4</v>
      </c>
      <c r="C118" s="74" t="s">
        <v>328</v>
      </c>
      <c r="D118" s="174">
        <v>2022</v>
      </c>
      <c r="E118" s="22" t="s">
        <v>328</v>
      </c>
      <c r="F118" s="22" t="s">
        <v>324</v>
      </c>
      <c r="G118" s="22" t="s">
        <v>231</v>
      </c>
      <c r="H118" s="22" t="s">
        <v>325</v>
      </c>
      <c r="I118" s="55">
        <v>15.9</v>
      </c>
      <c r="J118" s="55">
        <f t="shared" ref="J118" si="137">IF(I118&lt;=15,$L$2,$L$3)</f>
        <v>30</v>
      </c>
      <c r="K118" s="55">
        <f t="shared" ref="K118" si="138">(I118+J118)*0.1</f>
        <v>4.59</v>
      </c>
      <c r="L118" s="55">
        <f t="shared" ref="L118" si="139">SUM(I118:K118)</f>
        <v>50.489999999999995</v>
      </c>
      <c r="M118" s="55">
        <f t="shared" ref="M118" si="140">ROUND(L118,0)</f>
        <v>50</v>
      </c>
      <c r="N118" s="56">
        <v>49</v>
      </c>
      <c r="O118" s="57">
        <f t="shared" ref="O118" si="141">I118*$O$2*1.22</f>
        <v>32.006700000000002</v>
      </c>
      <c r="P118" s="58">
        <f t="shared" ref="P118" si="142">N118-M118</f>
        <v>-1</v>
      </c>
      <c r="Q118" s="59">
        <f t="shared" ref="Q118" si="143">N118/$Q$3</f>
        <v>8.1666666666666661</v>
      </c>
      <c r="R118" s="60">
        <v>6</v>
      </c>
      <c r="S118" s="60"/>
      <c r="T118" s="60">
        <f t="shared" ref="T118" si="144">W118+X118+Y118+Z118+AA118+AB118+AC118+AD118+AE118+AF118+AG118+AH118+AI118+AJ118+AK118+AL118+AM118+AN118+AO118+AP118+AQ118+AR118+AS118+AT118+AU118+AV118+AW118+AX118+AY118+AZ118+BA118+BB118+BC118+BD118+BE118+BF118+BG118+BH118+BI118+BJ118+BK118+BL118+BM118+BQ118+BR118+BS118+BT118</f>
        <v>0</v>
      </c>
      <c r="U118" s="61">
        <f t="shared" ref="U118" si="145">R118+S118-T118</f>
        <v>6</v>
      </c>
      <c r="V118" s="62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1"/>
      <c r="AQ118" s="32"/>
      <c r="AR118" s="33"/>
      <c r="AS118" s="31"/>
      <c r="AT118" s="63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64"/>
      <c r="BT118" s="64"/>
      <c r="BU118" s="64"/>
      <c r="BV118" s="64"/>
      <c r="BW118" s="64"/>
      <c r="BX118" s="64"/>
      <c r="BY118" s="64"/>
      <c r="BZ118" s="64"/>
      <c r="CA118" s="64"/>
    </row>
    <row r="119" spans="1:79" s="54" customFormat="1" ht="14.25" customHeight="1" x14ac:dyDescent="0.25">
      <c r="A119" s="3"/>
      <c r="B119" s="22">
        <v>108</v>
      </c>
      <c r="C119" s="74" t="s">
        <v>328</v>
      </c>
      <c r="D119" s="174">
        <v>2021</v>
      </c>
      <c r="E119" s="22" t="s">
        <v>328</v>
      </c>
      <c r="F119" s="22" t="s">
        <v>329</v>
      </c>
      <c r="G119" s="22" t="s">
        <v>245</v>
      </c>
      <c r="H119" s="22" t="s">
        <v>84</v>
      </c>
      <c r="I119" s="55">
        <v>13.5</v>
      </c>
      <c r="J119" s="55">
        <v>25</v>
      </c>
      <c r="K119" s="55">
        <f t="shared" si="120"/>
        <v>3.85</v>
      </c>
      <c r="L119" s="55">
        <f t="shared" si="121"/>
        <v>42.35</v>
      </c>
      <c r="M119" s="55">
        <f t="shared" si="122"/>
        <v>42</v>
      </c>
      <c r="N119" s="56">
        <v>45</v>
      </c>
      <c r="O119" s="57">
        <f t="shared" si="126"/>
        <v>27.175499999999996</v>
      </c>
      <c r="P119" s="58">
        <f t="shared" si="123"/>
        <v>3</v>
      </c>
      <c r="Q119" s="59">
        <f t="shared" si="127"/>
        <v>7.5</v>
      </c>
      <c r="R119" s="60">
        <v>17</v>
      </c>
      <c r="S119" s="60">
        <f>18+6+6+6</f>
        <v>36</v>
      </c>
      <c r="T119" s="60">
        <f t="shared" si="105"/>
        <v>38</v>
      </c>
      <c r="U119" s="61">
        <f t="shared" si="124"/>
        <v>15</v>
      </c>
      <c r="V119" s="62"/>
      <c r="W119" s="30">
        <v>3</v>
      </c>
      <c r="X119" s="30">
        <v>3</v>
      </c>
      <c r="Y119" s="30">
        <v>1</v>
      </c>
      <c r="Z119" s="30"/>
      <c r="AA119" s="30">
        <v>2</v>
      </c>
      <c r="AB119" s="30">
        <v>2</v>
      </c>
      <c r="AC119" s="30">
        <v>1</v>
      </c>
      <c r="AD119" s="30">
        <v>2</v>
      </c>
      <c r="AE119" s="30">
        <v>1</v>
      </c>
      <c r="AF119" s="30">
        <v>1</v>
      </c>
      <c r="AG119" s="30">
        <v>2</v>
      </c>
      <c r="AH119" s="30">
        <v>1</v>
      </c>
      <c r="AI119" s="30"/>
      <c r="AJ119" s="30"/>
      <c r="AK119" s="30"/>
      <c r="AL119" s="30"/>
      <c r="AM119" s="30"/>
      <c r="AN119" s="30"/>
      <c r="AO119" s="30"/>
      <c r="AP119" s="31"/>
      <c r="AQ119" s="32">
        <v>2</v>
      </c>
      <c r="AR119" s="33"/>
      <c r="AS119" s="31"/>
      <c r="AT119" s="63">
        <v>1</v>
      </c>
      <c r="AU119" s="34">
        <v>2</v>
      </c>
      <c r="AV119" s="34"/>
      <c r="AW119" s="34"/>
      <c r="AX119" s="34">
        <v>1</v>
      </c>
      <c r="AY119" s="34">
        <v>2</v>
      </c>
      <c r="AZ119" s="34">
        <v>1</v>
      </c>
      <c r="BA119" s="34"/>
      <c r="BB119" s="34">
        <v>1</v>
      </c>
      <c r="BC119" s="34">
        <v>1</v>
      </c>
      <c r="BD119" s="34">
        <v>1</v>
      </c>
      <c r="BE119" s="34">
        <v>2</v>
      </c>
      <c r="BF119" s="64">
        <v>2</v>
      </c>
      <c r="BG119" s="64"/>
      <c r="BH119" s="64"/>
      <c r="BI119" s="64">
        <v>1</v>
      </c>
      <c r="BJ119" s="64">
        <v>1</v>
      </c>
      <c r="BK119" s="64">
        <v>1</v>
      </c>
      <c r="BL119" s="64"/>
      <c r="BM119" s="64"/>
      <c r="BN119" s="64">
        <v>1</v>
      </c>
      <c r="BO119" s="64">
        <v>2</v>
      </c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</row>
    <row r="120" spans="1:79" s="54" customFormat="1" ht="15" customHeight="1" x14ac:dyDescent="0.25">
      <c r="A120" s="22"/>
      <c r="B120" s="29">
        <v>109</v>
      </c>
      <c r="C120" s="74" t="s">
        <v>328</v>
      </c>
      <c r="D120" s="174">
        <v>2015</v>
      </c>
      <c r="E120" s="68" t="s">
        <v>330</v>
      </c>
      <c r="F120" s="22" t="s">
        <v>329</v>
      </c>
      <c r="G120" s="22" t="s">
        <v>245</v>
      </c>
      <c r="H120" s="22" t="s">
        <v>84</v>
      </c>
      <c r="I120" s="55">
        <v>15.45</v>
      </c>
      <c r="J120" s="55">
        <v>30</v>
      </c>
      <c r="K120" s="55">
        <f>(I120+J120)*0.1</f>
        <v>4.5450000000000008</v>
      </c>
      <c r="L120" s="55">
        <f>SUM(I120:K120)</f>
        <v>49.995000000000005</v>
      </c>
      <c r="M120" s="55">
        <f>ROUND(L120,0)</f>
        <v>50</v>
      </c>
      <c r="N120" s="56">
        <v>55</v>
      </c>
      <c r="O120" s="57">
        <v>35</v>
      </c>
      <c r="P120" s="58">
        <f>N120-M120</f>
        <v>5</v>
      </c>
      <c r="Q120" s="59">
        <f t="shared" si="127"/>
        <v>9.1666666666666661</v>
      </c>
      <c r="R120" s="60">
        <v>10</v>
      </c>
      <c r="S120" s="60"/>
      <c r="T120" s="60">
        <f t="shared" si="105"/>
        <v>10</v>
      </c>
      <c r="U120" s="61">
        <f>R120+S120-T120</f>
        <v>0</v>
      </c>
      <c r="V120" s="62"/>
      <c r="W120" s="30">
        <v>1</v>
      </c>
      <c r="X120" s="30">
        <v>1</v>
      </c>
      <c r="Y120" s="30">
        <v>1</v>
      </c>
      <c r="Z120" s="30">
        <v>1</v>
      </c>
      <c r="AA120" s="30">
        <v>1</v>
      </c>
      <c r="AB120" s="30">
        <v>1</v>
      </c>
      <c r="AC120" s="30">
        <v>1</v>
      </c>
      <c r="AD120" s="30"/>
      <c r="AE120" s="30">
        <v>1</v>
      </c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1"/>
      <c r="AQ120" s="32">
        <v>1</v>
      </c>
      <c r="AR120" s="33"/>
      <c r="AS120" s="31"/>
      <c r="AT120" s="63"/>
      <c r="AU120" s="34">
        <v>1</v>
      </c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</row>
    <row r="121" spans="1:79" s="54" customFormat="1" ht="15" customHeight="1" x14ac:dyDescent="0.25">
      <c r="A121" s="3"/>
      <c r="B121" s="22">
        <v>110</v>
      </c>
      <c r="C121" s="74" t="s">
        <v>328</v>
      </c>
      <c r="D121" s="187">
        <v>2018</v>
      </c>
      <c r="E121" s="203" t="s">
        <v>331</v>
      </c>
      <c r="F121" s="178" t="s">
        <v>329</v>
      </c>
      <c r="G121" s="22" t="s">
        <v>245</v>
      </c>
      <c r="H121" s="22" t="s">
        <v>84</v>
      </c>
      <c r="I121" s="55">
        <v>28.4</v>
      </c>
      <c r="J121" s="55">
        <v>30</v>
      </c>
      <c r="K121" s="55">
        <f>(I121+J121)*0.1</f>
        <v>5.84</v>
      </c>
      <c r="L121" s="55">
        <f>SUM(I121:K121)</f>
        <v>64.239999999999995</v>
      </c>
      <c r="M121" s="55">
        <f>ROUND(L121,0)</f>
        <v>64</v>
      </c>
      <c r="N121" s="56">
        <v>62</v>
      </c>
      <c r="O121" s="57">
        <v>35</v>
      </c>
      <c r="P121" s="58">
        <f>N121-M121</f>
        <v>-2</v>
      </c>
      <c r="Q121" s="59">
        <f t="shared" si="127"/>
        <v>10.333333333333334</v>
      </c>
      <c r="R121" s="60">
        <v>5</v>
      </c>
      <c r="S121" s="60">
        <f>43+12+6</f>
        <v>61</v>
      </c>
      <c r="T121" s="60">
        <f t="shared" si="105"/>
        <v>51</v>
      </c>
      <c r="U121" s="61">
        <f>R121+S121-T121</f>
        <v>15</v>
      </c>
      <c r="V121" s="62"/>
      <c r="W121" s="30">
        <v>7</v>
      </c>
      <c r="X121" s="30"/>
      <c r="Y121" s="30">
        <v>2</v>
      </c>
      <c r="Z121" s="30">
        <v>2</v>
      </c>
      <c r="AA121" s="30">
        <v>4</v>
      </c>
      <c r="AB121" s="30">
        <v>1</v>
      </c>
      <c r="AC121" s="30">
        <v>3</v>
      </c>
      <c r="AD121" s="30">
        <v>2</v>
      </c>
      <c r="AE121" s="30">
        <v>1</v>
      </c>
      <c r="AF121" s="30">
        <v>2</v>
      </c>
      <c r="AG121" s="30">
        <v>2</v>
      </c>
      <c r="AH121" s="30">
        <v>2</v>
      </c>
      <c r="AI121" s="30"/>
      <c r="AJ121" s="30"/>
      <c r="AK121" s="30"/>
      <c r="AL121" s="30"/>
      <c r="AM121" s="30"/>
      <c r="AN121" s="30"/>
      <c r="AO121" s="30"/>
      <c r="AP121" s="31">
        <v>1</v>
      </c>
      <c r="AQ121" s="32">
        <v>1</v>
      </c>
      <c r="AR121" s="33">
        <v>1</v>
      </c>
      <c r="AS121" s="31"/>
      <c r="AT121" s="63"/>
      <c r="AU121" s="34">
        <v>1</v>
      </c>
      <c r="AV121" s="34"/>
      <c r="AW121" s="34">
        <v>1</v>
      </c>
      <c r="AX121" s="34"/>
      <c r="AY121" s="34">
        <v>1</v>
      </c>
      <c r="AZ121" s="34">
        <v>2</v>
      </c>
      <c r="BA121" s="34">
        <v>2</v>
      </c>
      <c r="BB121" s="34">
        <v>1</v>
      </c>
      <c r="BC121" s="34"/>
      <c r="BD121" s="34"/>
      <c r="BE121" s="34">
        <v>1</v>
      </c>
      <c r="BF121" s="64">
        <v>1</v>
      </c>
      <c r="BG121" s="64">
        <v>1</v>
      </c>
      <c r="BH121" s="64">
        <v>2</v>
      </c>
      <c r="BI121" s="64">
        <v>1</v>
      </c>
      <c r="BJ121" s="64">
        <v>1</v>
      </c>
      <c r="BK121" s="64">
        <v>1</v>
      </c>
      <c r="BL121" s="64"/>
      <c r="BM121" s="64">
        <v>1</v>
      </c>
      <c r="BN121" s="64">
        <v>3</v>
      </c>
      <c r="BO121" s="64"/>
      <c r="BP121" s="64">
        <v>1</v>
      </c>
      <c r="BQ121" s="64"/>
      <c r="BR121" s="64">
        <v>3</v>
      </c>
      <c r="BS121" s="64"/>
      <c r="BT121" s="64"/>
      <c r="BU121" s="64"/>
      <c r="BV121" s="64"/>
      <c r="BW121" s="64"/>
      <c r="BX121" s="64"/>
      <c r="BY121" s="64"/>
      <c r="BZ121" s="64"/>
      <c r="CA121" s="64"/>
    </row>
    <row r="122" spans="1:79" s="54" customFormat="1" ht="15" customHeight="1" x14ac:dyDescent="0.25">
      <c r="A122" s="22"/>
      <c r="B122" s="22">
        <v>111</v>
      </c>
      <c r="C122" s="74" t="s">
        <v>328</v>
      </c>
      <c r="D122" s="174">
        <v>2020</v>
      </c>
      <c r="E122" s="29" t="s">
        <v>332</v>
      </c>
      <c r="F122" s="22" t="s">
        <v>244</v>
      </c>
      <c r="G122" s="22" t="s">
        <v>245</v>
      </c>
      <c r="H122" s="22" t="s">
        <v>78</v>
      </c>
      <c r="I122" s="55">
        <v>26.9</v>
      </c>
      <c r="J122" s="55">
        <v>30</v>
      </c>
      <c r="K122" s="55">
        <f>(I122+J122)*0.1</f>
        <v>5.69</v>
      </c>
      <c r="L122" s="55">
        <f>SUM(I122:K122)</f>
        <v>62.589999999999996</v>
      </c>
      <c r="M122" s="55">
        <f>ROUND(L122,0)</f>
        <v>63</v>
      </c>
      <c r="N122" s="56">
        <v>70</v>
      </c>
      <c r="O122" s="57">
        <f t="shared" ref="O122:O155" si="146">I122*$O$2*1.22</f>
        <v>54.149699999999996</v>
      </c>
      <c r="P122" s="58">
        <f>N122-M122</f>
        <v>7</v>
      </c>
      <c r="Q122" s="59">
        <f t="shared" si="127"/>
        <v>11.666666666666666</v>
      </c>
      <c r="R122" s="60">
        <v>6</v>
      </c>
      <c r="S122" s="60">
        <f>2+6</f>
        <v>8</v>
      </c>
      <c r="T122" s="60">
        <f t="shared" si="105"/>
        <v>5</v>
      </c>
      <c r="U122" s="61">
        <f>R122+S122-T122</f>
        <v>9</v>
      </c>
      <c r="V122" s="62"/>
      <c r="W122" s="30"/>
      <c r="X122" s="30"/>
      <c r="Y122" s="30">
        <v>1</v>
      </c>
      <c r="Z122" s="30"/>
      <c r="AA122" s="30"/>
      <c r="AB122" s="30"/>
      <c r="AC122" s="30"/>
      <c r="AD122" s="30"/>
      <c r="AE122" s="30">
        <v>1</v>
      </c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1"/>
      <c r="AQ122" s="32"/>
      <c r="AR122" s="33"/>
      <c r="AS122" s="31"/>
      <c r="AT122" s="63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64"/>
      <c r="BG122" s="64"/>
      <c r="BH122" s="64"/>
      <c r="BI122" s="64">
        <v>1</v>
      </c>
      <c r="BJ122" s="64"/>
      <c r="BK122" s="64"/>
      <c r="BL122" s="64"/>
      <c r="BM122" s="64">
        <v>1</v>
      </c>
      <c r="BN122" s="64"/>
      <c r="BO122" s="64"/>
      <c r="BP122" s="64">
        <v>1</v>
      </c>
      <c r="BQ122" s="64"/>
      <c r="BR122" s="64"/>
      <c r="BS122" s="64"/>
      <c r="BT122" s="64">
        <v>1</v>
      </c>
      <c r="BU122" s="64">
        <v>1</v>
      </c>
      <c r="BV122" s="64"/>
      <c r="BW122" s="64"/>
      <c r="BX122" s="64"/>
      <c r="BY122" s="64"/>
      <c r="BZ122" s="64"/>
      <c r="CA122" s="64"/>
    </row>
    <row r="123" spans="1:79" s="54" customFormat="1" ht="15" customHeight="1" x14ac:dyDescent="0.25">
      <c r="A123" s="71"/>
      <c r="B123" s="29">
        <v>113</v>
      </c>
      <c r="C123" s="74" t="s">
        <v>328</v>
      </c>
      <c r="D123" s="174">
        <v>2021</v>
      </c>
      <c r="E123" s="22" t="s">
        <v>333</v>
      </c>
      <c r="F123" s="22" t="s">
        <v>334</v>
      </c>
      <c r="G123" s="22" t="s">
        <v>245</v>
      </c>
      <c r="H123" s="22" t="s">
        <v>137</v>
      </c>
      <c r="I123" s="55">
        <v>12</v>
      </c>
      <c r="J123" s="55">
        <f t="shared" ref="J123:J132" si="147">IF(I123&lt;=15,$L$2,$L$3)</f>
        <v>25</v>
      </c>
      <c r="K123" s="55">
        <f t="shared" si="120"/>
        <v>3.7</v>
      </c>
      <c r="L123" s="55">
        <f t="shared" si="121"/>
        <v>40.700000000000003</v>
      </c>
      <c r="M123" s="55">
        <f t="shared" si="122"/>
        <v>41</v>
      </c>
      <c r="N123" s="56">
        <v>40</v>
      </c>
      <c r="O123" s="57">
        <f t="shared" si="146"/>
        <v>24.155999999999995</v>
      </c>
      <c r="P123" s="58">
        <f t="shared" si="123"/>
        <v>-1</v>
      </c>
      <c r="Q123" s="59">
        <f t="shared" si="127"/>
        <v>6.666666666666667</v>
      </c>
      <c r="R123" s="60">
        <v>18</v>
      </c>
      <c r="S123" s="60">
        <f>6+6+6+6+12</f>
        <v>36</v>
      </c>
      <c r="T123" s="60">
        <f t="shared" si="105"/>
        <v>33</v>
      </c>
      <c r="U123" s="61">
        <f t="shared" si="124"/>
        <v>21</v>
      </c>
      <c r="V123" s="62"/>
      <c r="W123" s="30">
        <v>1</v>
      </c>
      <c r="X123" s="30"/>
      <c r="Y123" s="30"/>
      <c r="Z123" s="30"/>
      <c r="AA123" s="30">
        <v>2</v>
      </c>
      <c r="AB123" s="30">
        <v>1</v>
      </c>
      <c r="AC123" s="30">
        <v>1</v>
      </c>
      <c r="AD123" s="30"/>
      <c r="AE123" s="30"/>
      <c r="AF123" s="30">
        <v>6</v>
      </c>
      <c r="AG123" s="30"/>
      <c r="AH123" s="30"/>
      <c r="AI123" s="30"/>
      <c r="AJ123" s="30"/>
      <c r="AK123" s="30"/>
      <c r="AL123" s="30"/>
      <c r="AM123" s="30"/>
      <c r="AN123" s="30"/>
      <c r="AO123" s="30"/>
      <c r="AP123" s="31">
        <v>1</v>
      </c>
      <c r="AQ123" s="32"/>
      <c r="AR123" s="33"/>
      <c r="AS123" s="31"/>
      <c r="AT123" s="63">
        <v>1</v>
      </c>
      <c r="AU123" s="34"/>
      <c r="AV123" s="34">
        <v>2</v>
      </c>
      <c r="AW123" s="34"/>
      <c r="AX123" s="34"/>
      <c r="AY123" s="34">
        <v>1</v>
      </c>
      <c r="AZ123" s="34"/>
      <c r="BA123" s="34">
        <v>1</v>
      </c>
      <c r="BB123" s="34"/>
      <c r="BC123" s="34"/>
      <c r="BD123" s="34">
        <v>7</v>
      </c>
      <c r="BE123" s="34"/>
      <c r="BF123" s="64"/>
      <c r="BG123" s="64"/>
      <c r="BH123" s="64">
        <v>1</v>
      </c>
      <c r="BI123" s="64"/>
      <c r="BJ123" s="64"/>
      <c r="BK123" s="64"/>
      <c r="BL123" s="64">
        <v>1</v>
      </c>
      <c r="BM123" s="64">
        <v>2</v>
      </c>
      <c r="BN123" s="64">
        <v>1</v>
      </c>
      <c r="BO123" s="64"/>
      <c r="BP123" s="64"/>
      <c r="BQ123" s="64"/>
      <c r="BR123" s="64">
        <v>3</v>
      </c>
      <c r="BS123" s="64"/>
      <c r="BT123" s="64">
        <v>2</v>
      </c>
      <c r="BU123" s="64">
        <v>1</v>
      </c>
      <c r="BV123" s="64"/>
      <c r="BW123" s="64"/>
      <c r="BX123" s="64"/>
      <c r="BY123" s="64"/>
      <c r="BZ123" s="64"/>
      <c r="CA123" s="64"/>
    </row>
    <row r="124" spans="1:79" ht="15" customHeight="1" x14ac:dyDescent="0.25">
      <c r="A124" s="71"/>
      <c r="B124" s="22">
        <v>114</v>
      </c>
      <c r="C124" s="74" t="s">
        <v>328</v>
      </c>
      <c r="D124" s="174">
        <v>2020</v>
      </c>
      <c r="E124" s="22" t="s">
        <v>335</v>
      </c>
      <c r="F124" s="22" t="s">
        <v>320</v>
      </c>
      <c r="G124" s="22" t="s">
        <v>231</v>
      </c>
      <c r="H124" s="22" t="s">
        <v>135</v>
      </c>
      <c r="I124" s="55">
        <v>14.38</v>
      </c>
      <c r="J124" s="55">
        <f t="shared" si="147"/>
        <v>25</v>
      </c>
      <c r="K124" s="55">
        <f t="shared" si="120"/>
        <v>3.9380000000000006</v>
      </c>
      <c r="L124" s="55">
        <f t="shared" si="121"/>
        <v>43.318000000000005</v>
      </c>
      <c r="M124" s="55">
        <f t="shared" si="122"/>
        <v>43</v>
      </c>
      <c r="N124" s="56">
        <v>41</v>
      </c>
      <c r="O124" s="57">
        <f t="shared" si="146"/>
        <v>28.946940000000001</v>
      </c>
      <c r="P124" s="58">
        <f t="shared" si="123"/>
        <v>-2</v>
      </c>
      <c r="Q124" s="59">
        <f t="shared" si="127"/>
        <v>6.833333333333333</v>
      </c>
      <c r="R124" s="60">
        <v>6</v>
      </c>
      <c r="S124" s="60">
        <v>7</v>
      </c>
      <c r="T124" s="60">
        <f t="shared" si="105"/>
        <v>6</v>
      </c>
      <c r="U124" s="61">
        <f t="shared" si="124"/>
        <v>7</v>
      </c>
      <c r="V124" s="62"/>
      <c r="W124" s="30"/>
      <c r="X124" s="30"/>
      <c r="Y124" s="30"/>
      <c r="Z124" s="30">
        <v>1</v>
      </c>
      <c r="AA124" s="30"/>
      <c r="AB124" s="30"/>
      <c r="AC124" s="30"/>
      <c r="AD124" s="30">
        <v>1</v>
      </c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1"/>
      <c r="AQ124" s="32"/>
      <c r="AR124" s="33"/>
      <c r="AS124" s="31"/>
      <c r="AT124" s="63"/>
      <c r="AU124" s="34"/>
      <c r="AV124" s="34"/>
      <c r="AW124" s="34">
        <v>1</v>
      </c>
      <c r="AX124" s="34"/>
      <c r="AY124" s="34"/>
      <c r="AZ124" s="34">
        <v>1</v>
      </c>
      <c r="BA124" s="34"/>
      <c r="BB124" s="34"/>
      <c r="BC124" s="34"/>
      <c r="BD124" s="34"/>
      <c r="BE124" s="34"/>
      <c r="BF124" s="64"/>
      <c r="BH124" s="64">
        <v>1</v>
      </c>
      <c r="BT124" s="64">
        <v>1</v>
      </c>
      <c r="BU124" s="64"/>
      <c r="BV124" s="64"/>
      <c r="BW124" s="64"/>
      <c r="BX124" s="64"/>
      <c r="BY124" s="64"/>
      <c r="BZ124" s="64"/>
      <c r="CA124" s="64"/>
    </row>
    <row r="125" spans="1:79" s="54" customFormat="1" ht="15" customHeight="1" x14ac:dyDescent="0.25">
      <c r="A125" s="22"/>
      <c r="B125" s="22">
        <v>115</v>
      </c>
      <c r="C125" s="74" t="s">
        <v>328</v>
      </c>
      <c r="D125" s="174">
        <v>2017</v>
      </c>
      <c r="E125" s="22" t="s">
        <v>336</v>
      </c>
      <c r="F125" s="22" t="s">
        <v>318</v>
      </c>
      <c r="G125" s="22" t="s">
        <v>231</v>
      </c>
      <c r="H125" s="22" t="s">
        <v>319</v>
      </c>
      <c r="I125" s="55">
        <v>15.5</v>
      </c>
      <c r="J125" s="55">
        <f t="shared" si="147"/>
        <v>30</v>
      </c>
      <c r="K125" s="55">
        <f t="shared" si="120"/>
        <v>4.55</v>
      </c>
      <c r="L125" s="55">
        <f t="shared" si="121"/>
        <v>50.05</v>
      </c>
      <c r="M125" s="55">
        <f t="shared" si="122"/>
        <v>50</v>
      </c>
      <c r="N125" s="56">
        <v>49</v>
      </c>
      <c r="O125" s="57">
        <f t="shared" si="146"/>
        <v>31.201499999999999</v>
      </c>
      <c r="P125" s="58">
        <f t="shared" si="123"/>
        <v>-1</v>
      </c>
      <c r="Q125" s="59">
        <f t="shared" si="127"/>
        <v>8.1666666666666661</v>
      </c>
      <c r="R125" s="60">
        <v>3</v>
      </c>
      <c r="S125" s="60">
        <v>3</v>
      </c>
      <c r="T125" s="60">
        <f t="shared" si="105"/>
        <v>4</v>
      </c>
      <c r="U125" s="61">
        <f t="shared" si="124"/>
        <v>2</v>
      </c>
      <c r="V125" s="62"/>
      <c r="W125" s="30">
        <v>2</v>
      </c>
      <c r="X125" s="30"/>
      <c r="Y125" s="30"/>
      <c r="Z125" s="30">
        <v>1</v>
      </c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1"/>
      <c r="AQ125" s="32"/>
      <c r="AR125" s="33"/>
      <c r="AS125" s="31"/>
      <c r="AT125" s="63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>
        <v>1</v>
      </c>
      <c r="BU125" s="64"/>
      <c r="BV125" s="64"/>
      <c r="BW125" s="64"/>
      <c r="BX125" s="64"/>
      <c r="BY125" s="64"/>
      <c r="BZ125" s="64"/>
      <c r="CA125" s="64"/>
    </row>
    <row r="126" spans="1:79" s="54" customFormat="1" ht="15" customHeight="1" x14ac:dyDescent="0.25">
      <c r="A126" s="22"/>
      <c r="B126" s="22">
        <v>116</v>
      </c>
      <c r="C126" s="74" t="s">
        <v>328</v>
      </c>
      <c r="D126" s="174">
        <v>2021</v>
      </c>
      <c r="E126" s="22" t="s">
        <v>337</v>
      </c>
      <c r="F126" s="22" t="s">
        <v>241</v>
      </c>
      <c r="G126" s="22" t="s">
        <v>81</v>
      </c>
      <c r="H126" s="22" t="s">
        <v>242</v>
      </c>
      <c r="I126" s="55">
        <v>19.5</v>
      </c>
      <c r="J126" s="55">
        <f t="shared" si="147"/>
        <v>30</v>
      </c>
      <c r="K126" s="55">
        <f>(I126+J126)*0.1</f>
        <v>4.95</v>
      </c>
      <c r="L126" s="55">
        <f>SUM(I126:K126)</f>
        <v>54.45</v>
      </c>
      <c r="M126" s="55">
        <f>ROUND(L126,0)</f>
        <v>54</v>
      </c>
      <c r="N126" s="56">
        <v>54</v>
      </c>
      <c r="O126" s="57">
        <f t="shared" si="146"/>
        <v>39.253499999999995</v>
      </c>
      <c r="P126" s="58">
        <f>N126-M126</f>
        <v>0</v>
      </c>
      <c r="Q126" s="59">
        <f t="shared" si="127"/>
        <v>9</v>
      </c>
      <c r="R126" s="60">
        <v>0</v>
      </c>
      <c r="S126" s="60">
        <f>13+12+12+12+12</f>
        <v>61</v>
      </c>
      <c r="T126" s="60">
        <f t="shared" si="105"/>
        <v>24</v>
      </c>
      <c r="U126" s="61">
        <f>R126+S126-T126</f>
        <v>37</v>
      </c>
      <c r="V126" s="62"/>
      <c r="W126" s="30">
        <v>3</v>
      </c>
      <c r="X126" s="30"/>
      <c r="Y126" s="30">
        <v>2</v>
      </c>
      <c r="Z126" s="30">
        <v>1</v>
      </c>
      <c r="AA126" s="30"/>
      <c r="AB126" s="30"/>
      <c r="AC126" s="30">
        <v>2</v>
      </c>
      <c r="AD126" s="30">
        <v>1</v>
      </c>
      <c r="AE126" s="30"/>
      <c r="AF126" s="30"/>
      <c r="AG126" s="30">
        <v>1</v>
      </c>
      <c r="AH126" s="30">
        <v>1</v>
      </c>
      <c r="AI126" s="30"/>
      <c r="AJ126" s="30"/>
      <c r="AK126" s="30"/>
      <c r="AL126" s="30"/>
      <c r="AM126" s="30"/>
      <c r="AN126" s="30"/>
      <c r="AO126" s="30"/>
      <c r="AP126" s="31">
        <v>1</v>
      </c>
      <c r="AQ126" s="32">
        <v>1</v>
      </c>
      <c r="AR126" s="33"/>
      <c r="AS126" s="31">
        <v>1</v>
      </c>
      <c r="AT126" s="63">
        <v>1</v>
      </c>
      <c r="AU126" s="34">
        <v>2</v>
      </c>
      <c r="AV126" s="34"/>
      <c r="AW126" s="34">
        <v>1</v>
      </c>
      <c r="AX126" s="34"/>
      <c r="AY126" s="34"/>
      <c r="AZ126" s="34">
        <v>1</v>
      </c>
      <c r="BA126" s="34"/>
      <c r="BB126" s="34"/>
      <c r="BC126" s="34"/>
      <c r="BD126" s="34"/>
      <c r="BE126" s="34">
        <v>1</v>
      </c>
      <c r="BF126" s="64"/>
      <c r="BG126" s="64"/>
      <c r="BH126" s="64">
        <v>1</v>
      </c>
      <c r="BI126" s="64"/>
      <c r="BJ126" s="64"/>
      <c r="BK126" s="64"/>
      <c r="BL126" s="64"/>
      <c r="BM126" s="64"/>
      <c r="BN126" s="64"/>
      <c r="BO126" s="64"/>
      <c r="BP126" s="64"/>
      <c r="BQ126" s="64">
        <v>1</v>
      </c>
      <c r="BR126" s="64"/>
      <c r="BS126" s="64"/>
      <c r="BT126" s="64">
        <v>2</v>
      </c>
      <c r="BU126" s="64"/>
      <c r="BV126" s="64"/>
      <c r="BW126" s="64"/>
      <c r="BX126" s="64"/>
      <c r="BY126" s="64"/>
      <c r="BZ126" s="64"/>
      <c r="CA126" s="64"/>
    </row>
    <row r="127" spans="1:79" s="54" customFormat="1" ht="15" customHeight="1" x14ac:dyDescent="0.25">
      <c r="A127" s="71"/>
      <c r="B127" s="29">
        <v>117</v>
      </c>
      <c r="C127" s="80" t="s">
        <v>338</v>
      </c>
      <c r="D127" s="174">
        <v>2020</v>
      </c>
      <c r="E127" s="22" t="s">
        <v>339</v>
      </c>
      <c r="F127" s="22" t="s">
        <v>340</v>
      </c>
      <c r="G127" s="22" t="s">
        <v>215</v>
      </c>
      <c r="H127" s="22" t="s">
        <v>84</v>
      </c>
      <c r="I127" s="55">
        <v>15.5</v>
      </c>
      <c r="J127" s="55">
        <v>25</v>
      </c>
      <c r="K127" s="55">
        <f t="shared" si="120"/>
        <v>4.05</v>
      </c>
      <c r="L127" s="55">
        <f t="shared" si="121"/>
        <v>44.55</v>
      </c>
      <c r="M127" s="55">
        <f t="shared" si="122"/>
        <v>45</v>
      </c>
      <c r="N127" s="56">
        <v>45</v>
      </c>
      <c r="O127" s="57">
        <f t="shared" si="146"/>
        <v>31.201499999999999</v>
      </c>
      <c r="P127" s="58">
        <f t="shared" si="123"/>
        <v>0</v>
      </c>
      <c r="Q127" s="59">
        <f t="shared" si="127"/>
        <v>7.5</v>
      </c>
      <c r="R127" s="60">
        <v>10</v>
      </c>
      <c r="S127" s="60">
        <f>12+12+6+6</f>
        <v>36</v>
      </c>
      <c r="T127" s="60">
        <f t="shared" si="105"/>
        <v>35</v>
      </c>
      <c r="U127" s="61">
        <f t="shared" si="124"/>
        <v>11</v>
      </c>
      <c r="V127" s="62"/>
      <c r="W127" s="30"/>
      <c r="X127" s="30"/>
      <c r="Y127" s="30">
        <v>1</v>
      </c>
      <c r="Z127" s="30"/>
      <c r="AA127" s="30">
        <v>1</v>
      </c>
      <c r="AB127" s="30"/>
      <c r="AC127" s="30">
        <v>1</v>
      </c>
      <c r="AD127" s="30"/>
      <c r="AE127" s="30">
        <v>1</v>
      </c>
      <c r="AF127" s="30">
        <v>1</v>
      </c>
      <c r="AG127" s="30"/>
      <c r="AH127" s="30">
        <v>1</v>
      </c>
      <c r="AI127" s="30"/>
      <c r="AJ127" s="30"/>
      <c r="AK127" s="30"/>
      <c r="AL127" s="30"/>
      <c r="AM127" s="30"/>
      <c r="AN127" s="30"/>
      <c r="AO127" s="30"/>
      <c r="AP127" s="31"/>
      <c r="AQ127" s="32">
        <v>3</v>
      </c>
      <c r="AR127" s="33"/>
      <c r="AS127" s="31">
        <v>5</v>
      </c>
      <c r="AT127" s="63"/>
      <c r="AU127" s="34"/>
      <c r="AV127" s="34"/>
      <c r="AW127" s="34">
        <v>2</v>
      </c>
      <c r="AX127" s="34"/>
      <c r="AY127" s="34"/>
      <c r="AZ127" s="34">
        <v>2</v>
      </c>
      <c r="BA127" s="34"/>
      <c r="BB127" s="34"/>
      <c r="BC127" s="34">
        <v>2</v>
      </c>
      <c r="BD127" s="34">
        <v>1</v>
      </c>
      <c r="BE127" s="34">
        <v>2</v>
      </c>
      <c r="BF127" s="64">
        <v>5</v>
      </c>
      <c r="BG127" s="64"/>
      <c r="BH127" s="64"/>
      <c r="BI127" s="64"/>
      <c r="BJ127" s="64"/>
      <c r="BK127" s="64">
        <v>1</v>
      </c>
      <c r="BL127" s="64"/>
      <c r="BM127" s="64">
        <v>2</v>
      </c>
      <c r="BN127" s="64">
        <v>1</v>
      </c>
      <c r="BO127" s="64">
        <v>2</v>
      </c>
      <c r="BP127" s="64">
        <v>1</v>
      </c>
      <c r="BQ127" s="64">
        <v>1</v>
      </c>
      <c r="BR127" s="64"/>
      <c r="BS127" s="64"/>
      <c r="BT127" s="64">
        <v>3</v>
      </c>
      <c r="BU127" s="64">
        <v>1</v>
      </c>
      <c r="BV127" s="64"/>
      <c r="BW127" s="64"/>
      <c r="BX127" s="64"/>
      <c r="BY127" s="64"/>
      <c r="BZ127" s="64"/>
      <c r="CA127" s="64"/>
    </row>
    <row r="128" spans="1:79" s="54" customFormat="1" ht="15" customHeight="1" x14ac:dyDescent="0.25">
      <c r="A128" s="22"/>
      <c r="B128" s="22">
        <v>118</v>
      </c>
      <c r="C128" s="80" t="s">
        <v>338</v>
      </c>
      <c r="D128" s="174">
        <v>2020</v>
      </c>
      <c r="E128" s="22" t="s">
        <v>341</v>
      </c>
      <c r="F128" s="22" t="s">
        <v>342</v>
      </c>
      <c r="G128" s="22" t="s">
        <v>77</v>
      </c>
      <c r="H128" s="22" t="s">
        <v>78</v>
      </c>
      <c r="I128" s="55">
        <v>17.7</v>
      </c>
      <c r="J128" s="55">
        <f t="shared" si="147"/>
        <v>30</v>
      </c>
      <c r="K128" s="55">
        <f t="shared" si="120"/>
        <v>4.7700000000000005</v>
      </c>
      <c r="L128" s="55">
        <f t="shared" si="121"/>
        <v>52.470000000000006</v>
      </c>
      <c r="M128" s="55">
        <f t="shared" si="122"/>
        <v>52</v>
      </c>
      <c r="N128" s="56">
        <v>51</v>
      </c>
      <c r="O128" s="57">
        <f t="shared" si="146"/>
        <v>35.630099999999999</v>
      </c>
      <c r="P128" s="58">
        <f t="shared" si="123"/>
        <v>-1</v>
      </c>
      <c r="Q128" s="59">
        <f t="shared" si="127"/>
        <v>8.5</v>
      </c>
      <c r="R128" s="60">
        <v>4</v>
      </c>
      <c r="S128" s="60"/>
      <c r="T128" s="60">
        <f t="shared" si="105"/>
        <v>0</v>
      </c>
      <c r="U128" s="61">
        <f t="shared" si="124"/>
        <v>4</v>
      </c>
      <c r="V128" s="62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1"/>
      <c r="AQ128" s="32"/>
      <c r="AR128" s="33"/>
      <c r="AS128" s="31"/>
      <c r="AT128" s="63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</row>
    <row r="129" spans="1:136" ht="14.1" customHeight="1" x14ac:dyDescent="0.25">
      <c r="A129" s="3"/>
      <c r="B129" s="22">
        <v>119</v>
      </c>
      <c r="C129" s="80" t="s">
        <v>338</v>
      </c>
      <c r="D129" s="174">
        <v>2021</v>
      </c>
      <c r="E129" s="22" t="s">
        <v>343</v>
      </c>
      <c r="F129" s="22" t="s">
        <v>262</v>
      </c>
      <c r="G129" s="22" t="s">
        <v>77</v>
      </c>
      <c r="H129" s="22" t="s">
        <v>344</v>
      </c>
      <c r="I129" s="55">
        <v>18.899999999999999</v>
      </c>
      <c r="J129" s="55">
        <f t="shared" si="147"/>
        <v>30</v>
      </c>
      <c r="K129" s="55">
        <f t="shared" si="120"/>
        <v>4.8900000000000006</v>
      </c>
      <c r="L129" s="55">
        <f t="shared" si="121"/>
        <v>53.79</v>
      </c>
      <c r="M129" s="55">
        <f t="shared" si="122"/>
        <v>54</v>
      </c>
      <c r="N129" s="56">
        <v>54</v>
      </c>
      <c r="O129" s="57">
        <f t="shared" si="146"/>
        <v>38.045699999999997</v>
      </c>
      <c r="P129" s="58">
        <f t="shared" si="123"/>
        <v>0</v>
      </c>
      <c r="Q129" s="59">
        <f t="shared" si="127"/>
        <v>9</v>
      </c>
      <c r="R129" s="60">
        <v>13</v>
      </c>
      <c r="S129" s="60">
        <f>6+6+6+6</f>
        <v>24</v>
      </c>
      <c r="T129" s="60">
        <f t="shared" si="105"/>
        <v>23</v>
      </c>
      <c r="U129" s="61">
        <f t="shared" si="124"/>
        <v>14</v>
      </c>
      <c r="V129" s="62"/>
      <c r="W129" s="30">
        <v>1</v>
      </c>
      <c r="X129" s="30"/>
      <c r="Y129" s="30"/>
      <c r="Z129" s="30">
        <v>1</v>
      </c>
      <c r="AA129" s="30"/>
      <c r="AB129" s="30"/>
      <c r="AC129" s="30"/>
      <c r="AD129" s="30">
        <v>1</v>
      </c>
      <c r="AE129" s="30"/>
      <c r="AF129" s="30">
        <v>1</v>
      </c>
      <c r="AG129" s="30">
        <v>2</v>
      </c>
      <c r="AH129" s="30">
        <v>2</v>
      </c>
      <c r="AI129" s="30"/>
      <c r="AJ129" s="30"/>
      <c r="AK129" s="30"/>
      <c r="AL129" s="30"/>
      <c r="AM129" s="30"/>
      <c r="AN129" s="30"/>
      <c r="AO129" s="30"/>
      <c r="AP129" s="31"/>
      <c r="AQ129" s="32"/>
      <c r="AR129" s="33"/>
      <c r="AS129" s="31"/>
      <c r="AT129" s="63">
        <v>1</v>
      </c>
      <c r="AU129" s="34"/>
      <c r="AV129" s="34">
        <v>2</v>
      </c>
      <c r="AW129" s="34"/>
      <c r="AX129" s="34"/>
      <c r="AY129" s="34">
        <v>1</v>
      </c>
      <c r="AZ129" s="34">
        <v>3</v>
      </c>
      <c r="BA129" s="34">
        <v>2</v>
      </c>
      <c r="BB129" s="34"/>
      <c r="BC129" s="34">
        <v>1</v>
      </c>
      <c r="BD129" s="34"/>
      <c r="BE129" s="34">
        <v>1</v>
      </c>
      <c r="BF129" s="64"/>
      <c r="BI129" s="64">
        <v>1</v>
      </c>
      <c r="BM129" s="64">
        <v>2</v>
      </c>
      <c r="BO129" s="64">
        <v>1</v>
      </c>
      <c r="BT129" s="64">
        <v>1</v>
      </c>
      <c r="BU129" s="64">
        <v>1</v>
      </c>
      <c r="BV129" s="64"/>
      <c r="BW129" s="64"/>
      <c r="BX129" s="64"/>
      <c r="BY129" s="64"/>
      <c r="BZ129" s="64"/>
      <c r="CA129" s="64"/>
    </row>
    <row r="130" spans="1:136" ht="15" customHeight="1" thickBot="1" x14ac:dyDescent="0.3">
      <c r="B130" s="22">
        <v>120</v>
      </c>
      <c r="C130" s="80" t="s">
        <v>338</v>
      </c>
      <c r="D130" s="174">
        <v>2020</v>
      </c>
      <c r="E130" s="22" t="s">
        <v>338</v>
      </c>
      <c r="F130" s="22" t="s">
        <v>230</v>
      </c>
      <c r="G130" s="22" t="s">
        <v>231</v>
      </c>
      <c r="H130" s="22" t="s">
        <v>135</v>
      </c>
      <c r="I130" s="55">
        <v>10.9</v>
      </c>
      <c r="J130" s="55">
        <f t="shared" si="147"/>
        <v>25</v>
      </c>
      <c r="K130" s="55">
        <f t="shared" si="120"/>
        <v>3.59</v>
      </c>
      <c r="L130" s="55">
        <f t="shared" si="121"/>
        <v>39.489999999999995</v>
      </c>
      <c r="M130" s="55">
        <f t="shared" si="122"/>
        <v>39</v>
      </c>
      <c r="N130" s="56">
        <v>41</v>
      </c>
      <c r="O130" s="57">
        <f t="shared" si="146"/>
        <v>21.941699999999997</v>
      </c>
      <c r="P130" s="58">
        <f t="shared" si="123"/>
        <v>2</v>
      </c>
      <c r="Q130" s="59">
        <f t="shared" si="127"/>
        <v>6.833333333333333</v>
      </c>
      <c r="R130" s="60">
        <v>13</v>
      </c>
      <c r="S130" s="60">
        <f>6+6+3+12+6</f>
        <v>33</v>
      </c>
      <c r="T130" s="60">
        <f t="shared" si="105"/>
        <v>30</v>
      </c>
      <c r="U130" s="61">
        <f t="shared" ref="U130:U175" si="148">R130+S130-T130</f>
        <v>16</v>
      </c>
      <c r="V130" s="62"/>
      <c r="W130" s="30">
        <v>3</v>
      </c>
      <c r="X130" s="30">
        <v>1</v>
      </c>
      <c r="Y130" s="30">
        <v>1</v>
      </c>
      <c r="Z130" s="30">
        <v>1</v>
      </c>
      <c r="AA130" s="30">
        <v>1</v>
      </c>
      <c r="AB130" s="30"/>
      <c r="AC130" s="30"/>
      <c r="AD130" s="30"/>
      <c r="AE130" s="30"/>
      <c r="AF130" s="30"/>
      <c r="AG130" s="30">
        <v>1</v>
      </c>
      <c r="AH130" s="30"/>
      <c r="AI130" s="30"/>
      <c r="AJ130" s="30"/>
      <c r="AK130" s="30"/>
      <c r="AL130" s="30"/>
      <c r="AM130" s="30"/>
      <c r="AN130" s="30"/>
      <c r="AO130" s="30"/>
      <c r="AP130" s="31"/>
      <c r="AQ130" s="32"/>
      <c r="AR130" s="33"/>
      <c r="AS130" s="31">
        <v>1</v>
      </c>
      <c r="AT130" s="63">
        <v>2</v>
      </c>
      <c r="AU130" s="34"/>
      <c r="AV130" s="34"/>
      <c r="AW130" s="34">
        <v>2</v>
      </c>
      <c r="AX130" s="34"/>
      <c r="AY130" s="34">
        <v>2</v>
      </c>
      <c r="AZ130" s="34"/>
      <c r="BA130" s="34"/>
      <c r="BB130" s="34">
        <v>1</v>
      </c>
      <c r="BC130" s="34">
        <v>1</v>
      </c>
      <c r="BD130" s="34">
        <v>3</v>
      </c>
      <c r="BE130" s="34">
        <v>4</v>
      </c>
      <c r="BF130" s="64"/>
      <c r="BL130" s="64">
        <v>2</v>
      </c>
      <c r="BN130" s="64">
        <v>1</v>
      </c>
      <c r="BQ130" s="64">
        <v>1</v>
      </c>
      <c r="BR130" s="64">
        <v>1</v>
      </c>
      <c r="BT130" s="64">
        <v>2</v>
      </c>
      <c r="BU130" s="64"/>
      <c r="BV130" s="64"/>
      <c r="BW130" s="64"/>
      <c r="BX130" s="64"/>
      <c r="BY130" s="64"/>
      <c r="BZ130" s="64"/>
      <c r="CA130" s="64"/>
    </row>
    <row r="131" spans="1:136" ht="15" customHeight="1" x14ac:dyDescent="0.25">
      <c r="A131" s="22"/>
      <c r="B131" s="29">
        <v>121</v>
      </c>
      <c r="C131" s="80" t="s">
        <v>338</v>
      </c>
      <c r="D131" s="174">
        <v>2019</v>
      </c>
      <c r="E131" s="22" t="s">
        <v>345</v>
      </c>
      <c r="F131" s="22" t="s">
        <v>230</v>
      </c>
      <c r="G131" s="22" t="s">
        <v>231</v>
      </c>
      <c r="H131" s="22" t="s">
        <v>135</v>
      </c>
      <c r="I131" s="55">
        <v>23.86</v>
      </c>
      <c r="J131" s="55">
        <f t="shared" si="147"/>
        <v>30</v>
      </c>
      <c r="K131" s="55">
        <f>(I131+J131)*0.1</f>
        <v>5.3860000000000001</v>
      </c>
      <c r="L131" s="55">
        <f>SUM(I131:K131)</f>
        <v>59.246000000000002</v>
      </c>
      <c r="M131" s="55">
        <f>ROUND(L131,0)</f>
        <v>59</v>
      </c>
      <c r="N131" s="56">
        <v>57</v>
      </c>
      <c r="O131" s="57">
        <f t="shared" si="146"/>
        <v>48.030180000000001</v>
      </c>
      <c r="P131" s="58">
        <f>N131-M131</f>
        <v>-2</v>
      </c>
      <c r="Q131" s="59">
        <f t="shared" si="127"/>
        <v>9.5</v>
      </c>
      <c r="R131" s="60">
        <v>6</v>
      </c>
      <c r="S131" s="60">
        <v>6</v>
      </c>
      <c r="T131" s="60">
        <f t="shared" si="105"/>
        <v>8</v>
      </c>
      <c r="U131" s="61">
        <f>R131+S131-T131</f>
        <v>4</v>
      </c>
      <c r="V131" s="62"/>
      <c r="W131" s="30"/>
      <c r="X131" s="30"/>
      <c r="Y131" s="30"/>
      <c r="Z131" s="30"/>
      <c r="AA131" s="30"/>
      <c r="AB131" s="30"/>
      <c r="AC131" s="30"/>
      <c r="AD131" s="30">
        <v>1</v>
      </c>
      <c r="AE131" s="30">
        <v>1</v>
      </c>
      <c r="AF131" s="30">
        <v>1</v>
      </c>
      <c r="AG131" s="30">
        <v>1</v>
      </c>
      <c r="AH131" s="30"/>
      <c r="AI131" s="30"/>
      <c r="AJ131" s="30"/>
      <c r="AK131" s="30"/>
      <c r="AL131" s="30"/>
      <c r="AM131" s="30"/>
      <c r="AN131" s="30"/>
      <c r="AO131" s="30"/>
      <c r="AP131" s="31"/>
      <c r="AQ131" s="32"/>
      <c r="AR131" s="33">
        <v>1</v>
      </c>
      <c r="AS131" s="31"/>
      <c r="AT131" s="63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64">
        <v>1</v>
      </c>
      <c r="BL131" s="64">
        <v>1</v>
      </c>
      <c r="BN131" s="64">
        <v>3</v>
      </c>
      <c r="BR131" s="64">
        <v>1</v>
      </c>
      <c r="BT131" s="64"/>
      <c r="BU131" s="64"/>
      <c r="BV131" s="64"/>
      <c r="BW131" s="64"/>
      <c r="BX131" s="64"/>
      <c r="BY131" s="64"/>
      <c r="BZ131" s="64"/>
      <c r="CA131" s="64"/>
    </row>
    <row r="132" spans="1:136" ht="15" customHeight="1" x14ac:dyDescent="0.25">
      <c r="A132" s="22"/>
      <c r="B132" s="22">
        <v>122</v>
      </c>
      <c r="C132" s="80" t="s">
        <v>338</v>
      </c>
      <c r="D132" s="174">
        <v>2012</v>
      </c>
      <c r="E132" s="22" t="s">
        <v>346</v>
      </c>
      <c r="F132" s="22" t="s">
        <v>329</v>
      </c>
      <c r="G132" s="22" t="s">
        <v>231</v>
      </c>
      <c r="H132" s="22" t="s">
        <v>84</v>
      </c>
      <c r="I132" s="55">
        <v>15.7</v>
      </c>
      <c r="J132" s="55">
        <f t="shared" si="147"/>
        <v>30</v>
      </c>
      <c r="K132" s="55">
        <f>(I132+J132)*0.1</f>
        <v>4.57</v>
      </c>
      <c r="L132" s="55">
        <f>SUM(I132:K132)</f>
        <v>50.27</v>
      </c>
      <c r="M132" s="55">
        <f>ROUND(L132,0)</f>
        <v>50</v>
      </c>
      <c r="N132" s="56">
        <v>55</v>
      </c>
      <c r="O132" s="57">
        <f t="shared" si="146"/>
        <v>31.604099999999995</v>
      </c>
      <c r="P132" s="58">
        <f>N132-M132</f>
        <v>5</v>
      </c>
      <c r="Q132" s="59">
        <f t="shared" si="127"/>
        <v>9.1666666666666661</v>
      </c>
      <c r="R132" s="60">
        <v>9</v>
      </c>
      <c r="S132" s="60">
        <v>6</v>
      </c>
      <c r="T132" s="60">
        <f t="shared" si="105"/>
        <v>8</v>
      </c>
      <c r="U132" s="61">
        <f>R132+S132-T132</f>
        <v>7</v>
      </c>
      <c r="V132" s="62"/>
      <c r="W132" s="30">
        <v>1</v>
      </c>
      <c r="X132" s="30">
        <v>1</v>
      </c>
      <c r="Y132" s="30"/>
      <c r="Z132" s="30">
        <v>1</v>
      </c>
      <c r="AA132" s="30"/>
      <c r="AB132" s="30"/>
      <c r="AC132" s="30"/>
      <c r="AD132" s="30"/>
      <c r="AE132" s="30"/>
      <c r="AF132" s="30"/>
      <c r="AG132" s="30">
        <v>2</v>
      </c>
      <c r="AH132" s="30">
        <v>1</v>
      </c>
      <c r="AI132" s="30"/>
      <c r="AJ132" s="30"/>
      <c r="AK132" s="30"/>
      <c r="AL132" s="30"/>
      <c r="AM132" s="30"/>
      <c r="AN132" s="30"/>
      <c r="AO132" s="30"/>
      <c r="AP132" s="31"/>
      <c r="AQ132" s="32"/>
      <c r="AR132" s="33"/>
      <c r="AS132" s="31"/>
      <c r="AT132" s="63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64"/>
      <c r="BT132" s="64">
        <v>2</v>
      </c>
      <c r="BU132" s="64"/>
      <c r="BV132" s="64"/>
      <c r="BW132" s="64"/>
      <c r="BX132" s="64"/>
      <c r="BY132" s="64"/>
      <c r="BZ132" s="64"/>
      <c r="CA132" s="64"/>
    </row>
    <row r="133" spans="1:136" ht="15" customHeight="1" x14ac:dyDescent="0.25">
      <c r="A133" s="71"/>
      <c r="B133" s="22">
        <v>123</v>
      </c>
      <c r="C133" s="80" t="s">
        <v>338</v>
      </c>
      <c r="D133" s="174">
        <v>2018</v>
      </c>
      <c r="E133" s="22" t="s">
        <v>347</v>
      </c>
      <c r="F133" s="22" t="s">
        <v>254</v>
      </c>
      <c r="G133" s="22" t="s">
        <v>215</v>
      </c>
      <c r="H133" s="22" t="s">
        <v>84</v>
      </c>
      <c r="I133" s="55">
        <v>35</v>
      </c>
      <c r="J133" s="55">
        <v>40</v>
      </c>
      <c r="K133" s="55">
        <f t="shared" si="120"/>
        <v>7.5</v>
      </c>
      <c r="L133" s="55">
        <f t="shared" si="121"/>
        <v>82.5</v>
      </c>
      <c r="M133" s="55">
        <f t="shared" si="122"/>
        <v>83</v>
      </c>
      <c r="N133" s="56">
        <v>83</v>
      </c>
      <c r="O133" s="57">
        <f t="shared" si="146"/>
        <v>70.454999999999998</v>
      </c>
      <c r="P133" s="58">
        <f t="shared" si="123"/>
        <v>0</v>
      </c>
      <c r="Q133" s="59">
        <f t="shared" si="127"/>
        <v>13.833333333333334</v>
      </c>
      <c r="R133" s="60">
        <v>4</v>
      </c>
      <c r="S133" s="60"/>
      <c r="T133" s="60">
        <f t="shared" si="105"/>
        <v>2</v>
      </c>
      <c r="U133" s="61">
        <f t="shared" si="148"/>
        <v>2</v>
      </c>
      <c r="V133" s="62"/>
      <c r="W133" s="30">
        <v>1</v>
      </c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1"/>
      <c r="AQ133" s="32"/>
      <c r="AR133" s="33"/>
      <c r="AS133" s="31"/>
      <c r="AT133" s="63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64"/>
      <c r="BT133" s="64">
        <v>1</v>
      </c>
      <c r="BU133" s="64"/>
      <c r="BV133" s="64"/>
      <c r="BW133" s="64"/>
      <c r="BX133" s="64"/>
      <c r="BY133" s="64"/>
      <c r="BZ133" s="64"/>
      <c r="CA133" s="64"/>
    </row>
    <row r="134" spans="1:136" ht="15" customHeight="1" x14ac:dyDescent="0.25">
      <c r="A134" s="71"/>
      <c r="B134" s="22">
        <v>124</v>
      </c>
      <c r="C134" s="80" t="s">
        <v>338</v>
      </c>
      <c r="D134" s="174">
        <v>2020</v>
      </c>
      <c r="E134" s="22" t="s">
        <v>348</v>
      </c>
      <c r="F134" s="22" t="s">
        <v>349</v>
      </c>
      <c r="G134" s="22" t="s">
        <v>350</v>
      </c>
      <c r="H134" s="22" t="s">
        <v>137</v>
      </c>
      <c r="I134" s="55">
        <v>43.24</v>
      </c>
      <c r="J134" s="55">
        <v>40</v>
      </c>
      <c r="K134" s="55">
        <f>(I134+J134)*0.1</f>
        <v>8.3240000000000016</v>
      </c>
      <c r="L134" s="55">
        <f>SUM(I134:K134)</f>
        <v>91.564000000000007</v>
      </c>
      <c r="M134" s="55">
        <f>ROUND(L134,0)</f>
        <v>92</v>
      </c>
      <c r="N134" s="56">
        <v>92</v>
      </c>
      <c r="O134" s="57">
        <f t="shared" si="146"/>
        <v>87.042119999999997</v>
      </c>
      <c r="P134" s="58">
        <f>N134-M134</f>
        <v>0</v>
      </c>
      <c r="Q134" s="59">
        <f t="shared" si="127"/>
        <v>15.333333333333334</v>
      </c>
      <c r="R134" s="60">
        <v>6</v>
      </c>
      <c r="S134" s="60">
        <f>6+6</f>
        <v>12</v>
      </c>
      <c r="T134" s="60">
        <f t="shared" si="105"/>
        <v>12</v>
      </c>
      <c r="U134" s="61">
        <f>R134+S134-T134</f>
        <v>6</v>
      </c>
      <c r="V134" s="62"/>
      <c r="W134" s="30">
        <v>1</v>
      </c>
      <c r="X134" s="30"/>
      <c r="Y134" s="30"/>
      <c r="Z134" s="30"/>
      <c r="AA134" s="30"/>
      <c r="AB134" s="30">
        <v>2</v>
      </c>
      <c r="AC134" s="30">
        <v>1</v>
      </c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1"/>
      <c r="AQ134" s="32"/>
      <c r="AR134" s="33"/>
      <c r="AS134" s="31"/>
      <c r="AT134" s="63"/>
      <c r="AU134" s="34">
        <v>2</v>
      </c>
      <c r="AV134" s="34"/>
      <c r="AW134" s="34"/>
      <c r="AX134" s="34"/>
      <c r="AY134" s="34"/>
      <c r="AZ134" s="34"/>
      <c r="BA134" s="34"/>
      <c r="BB134" s="34">
        <v>1</v>
      </c>
      <c r="BC134" s="34"/>
      <c r="BD134" s="34"/>
      <c r="BE134" s="34">
        <v>1</v>
      </c>
      <c r="BF134" s="64">
        <v>2</v>
      </c>
      <c r="BH134" s="64">
        <v>1</v>
      </c>
      <c r="BT134" s="64">
        <v>1</v>
      </c>
      <c r="BU134" s="64"/>
      <c r="BV134" s="64"/>
      <c r="BW134" s="64"/>
      <c r="BX134" s="64"/>
      <c r="BY134" s="64"/>
      <c r="BZ134" s="64"/>
      <c r="CA134" s="64"/>
    </row>
    <row r="135" spans="1:136" ht="15" customHeight="1" x14ac:dyDescent="0.25">
      <c r="A135" s="71"/>
      <c r="B135" s="29">
        <v>125</v>
      </c>
      <c r="C135" s="80" t="s">
        <v>338</v>
      </c>
      <c r="D135" s="174">
        <v>2020</v>
      </c>
      <c r="E135" s="22" t="s">
        <v>351</v>
      </c>
      <c r="F135" s="22" t="s">
        <v>222</v>
      </c>
      <c r="G135" s="22" t="s">
        <v>321</v>
      </c>
      <c r="H135" s="22" t="s">
        <v>137</v>
      </c>
      <c r="I135" s="55">
        <v>36</v>
      </c>
      <c r="J135" s="55">
        <f t="shared" ref="J135:J146" si="149">IF(I135&lt;=15,$L$2,$L$3)</f>
        <v>30</v>
      </c>
      <c r="K135" s="55">
        <f t="shared" si="120"/>
        <v>6.6000000000000005</v>
      </c>
      <c r="L135" s="55">
        <f t="shared" si="121"/>
        <v>72.599999999999994</v>
      </c>
      <c r="M135" s="55">
        <f t="shared" si="122"/>
        <v>73</v>
      </c>
      <c r="N135" s="56">
        <v>85</v>
      </c>
      <c r="O135" s="57">
        <f t="shared" si="146"/>
        <v>72.468000000000004</v>
      </c>
      <c r="P135" s="58">
        <f t="shared" si="123"/>
        <v>12</v>
      </c>
      <c r="Q135" s="59">
        <f t="shared" si="127"/>
        <v>14.166666666666666</v>
      </c>
      <c r="R135" s="60">
        <v>21</v>
      </c>
      <c r="S135" s="60"/>
      <c r="T135" s="60">
        <f t="shared" si="105"/>
        <v>11</v>
      </c>
      <c r="U135" s="60">
        <f t="shared" si="148"/>
        <v>10</v>
      </c>
      <c r="V135" s="62"/>
      <c r="W135" s="30"/>
      <c r="X135" s="30">
        <v>1</v>
      </c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1"/>
      <c r="AQ135" s="32"/>
      <c r="AR135" s="33"/>
      <c r="AS135" s="31"/>
      <c r="AT135" s="63">
        <v>1</v>
      </c>
      <c r="AU135" s="34"/>
      <c r="AV135" s="34"/>
      <c r="AW135" s="34"/>
      <c r="AX135" s="34"/>
      <c r="AY135" s="34"/>
      <c r="AZ135" s="34">
        <v>1</v>
      </c>
      <c r="BA135" s="34"/>
      <c r="BB135" s="34"/>
      <c r="BC135" s="34"/>
      <c r="BD135" s="34">
        <v>1</v>
      </c>
      <c r="BE135" s="34"/>
      <c r="BF135" s="64"/>
      <c r="BK135" s="64">
        <v>1</v>
      </c>
      <c r="BL135" s="64">
        <v>1</v>
      </c>
      <c r="BT135" s="64">
        <v>5</v>
      </c>
      <c r="BU135" s="64"/>
      <c r="BV135" s="64"/>
      <c r="BW135" s="64"/>
      <c r="BX135" s="64"/>
      <c r="BY135" s="64"/>
      <c r="BZ135" s="64"/>
      <c r="CA135" s="64"/>
    </row>
    <row r="136" spans="1:136" ht="15" customHeight="1" x14ac:dyDescent="0.25">
      <c r="A136" s="22"/>
      <c r="B136" s="22">
        <v>127</v>
      </c>
      <c r="C136" s="80" t="s">
        <v>338</v>
      </c>
      <c r="D136" s="174">
        <v>2020</v>
      </c>
      <c r="E136" s="22" t="s">
        <v>352</v>
      </c>
      <c r="F136" s="22" t="s">
        <v>353</v>
      </c>
      <c r="G136" s="22" t="s">
        <v>321</v>
      </c>
      <c r="H136" s="22" t="s">
        <v>137</v>
      </c>
      <c r="I136" s="55">
        <v>19.899999999999999</v>
      </c>
      <c r="J136" s="55">
        <f t="shared" si="149"/>
        <v>30</v>
      </c>
      <c r="K136" s="55">
        <f t="shared" si="120"/>
        <v>4.99</v>
      </c>
      <c r="L136" s="55">
        <f t="shared" si="121"/>
        <v>54.89</v>
      </c>
      <c r="M136" s="55">
        <f t="shared" ref="M136:M187" si="150">ROUND(L136,0)</f>
        <v>55</v>
      </c>
      <c r="N136" s="56">
        <v>56</v>
      </c>
      <c r="O136" s="57">
        <f t="shared" si="146"/>
        <v>40.058699999999995</v>
      </c>
      <c r="P136" s="82">
        <f t="shared" si="123"/>
        <v>1</v>
      </c>
      <c r="Q136" s="59">
        <f t="shared" si="127"/>
        <v>9.3333333333333339</v>
      </c>
      <c r="R136" s="60">
        <v>11</v>
      </c>
      <c r="S136" s="60">
        <f>6+6+6+6</f>
        <v>24</v>
      </c>
      <c r="T136" s="60">
        <f t="shared" ref="T136:T216" si="151">W136+X136+Y136+Z136+AA136+AB136+AC136+AD136+AE136+AF136+AG136+AH136+AI136+AJ136+AK136+AL136+AM136+AN136+AO136+AP136+AQ136+AR136+AS136+AT136+AU136+AV136+AW136+AX136+AY136+AZ136+BA136+BB136+BC136+BD136+BE136+BF136+BG136+BH136+BI136+BJ136+BK136+BL136+BM136+BQ136+BR136+BS136+BT136</f>
        <v>17</v>
      </c>
      <c r="U136" s="60">
        <f t="shared" si="148"/>
        <v>18</v>
      </c>
      <c r="V136" s="62"/>
      <c r="W136" s="30"/>
      <c r="X136" s="30">
        <v>1</v>
      </c>
      <c r="Y136" s="30"/>
      <c r="Z136" s="30"/>
      <c r="AA136" s="30"/>
      <c r="AB136" s="30"/>
      <c r="AC136" s="30"/>
      <c r="AD136" s="30"/>
      <c r="AE136" s="30">
        <v>1</v>
      </c>
      <c r="AF136" s="30"/>
      <c r="AG136" s="30">
        <v>2</v>
      </c>
      <c r="AH136" s="30"/>
      <c r="AI136" s="30"/>
      <c r="AJ136" s="30"/>
      <c r="AK136" s="30"/>
      <c r="AL136" s="30"/>
      <c r="AM136" s="30"/>
      <c r="AN136" s="30"/>
      <c r="AO136" s="30"/>
      <c r="AP136" s="31"/>
      <c r="AQ136" s="32">
        <v>1</v>
      </c>
      <c r="AR136" s="33">
        <v>1</v>
      </c>
      <c r="AS136" s="31"/>
      <c r="AT136" s="63">
        <v>1</v>
      </c>
      <c r="AU136" s="34"/>
      <c r="AV136" s="34"/>
      <c r="AW136" s="34"/>
      <c r="AX136" s="34"/>
      <c r="AY136" s="34">
        <v>1</v>
      </c>
      <c r="AZ136" s="34">
        <v>2</v>
      </c>
      <c r="BA136" s="34"/>
      <c r="BB136" s="34"/>
      <c r="BC136" s="34"/>
      <c r="BD136" s="34"/>
      <c r="BE136" s="34"/>
      <c r="BF136" s="64"/>
      <c r="BH136" s="64">
        <v>1</v>
      </c>
      <c r="BJ136" s="64">
        <v>3</v>
      </c>
      <c r="BM136" s="64">
        <v>2</v>
      </c>
      <c r="BT136" s="64">
        <v>1</v>
      </c>
      <c r="BU136" s="64">
        <v>1</v>
      </c>
      <c r="BV136" s="64"/>
      <c r="BW136" s="64"/>
      <c r="BX136" s="64"/>
      <c r="BY136" s="64"/>
      <c r="BZ136" s="64"/>
      <c r="CA136" s="64"/>
    </row>
    <row r="137" spans="1:136" s="1" customFormat="1" ht="15" customHeight="1" thickBot="1" x14ac:dyDescent="0.3">
      <c r="A137" s="71"/>
      <c r="B137" s="22">
        <v>128</v>
      </c>
      <c r="C137" s="80" t="s">
        <v>338</v>
      </c>
      <c r="D137" s="174">
        <v>2019</v>
      </c>
      <c r="E137" s="68" t="s">
        <v>354</v>
      </c>
      <c r="F137" s="22" t="s">
        <v>264</v>
      </c>
      <c r="G137" s="22" t="s">
        <v>81</v>
      </c>
      <c r="H137" s="22" t="s">
        <v>78</v>
      </c>
      <c r="I137" s="55">
        <v>11.8</v>
      </c>
      <c r="J137" s="55">
        <f t="shared" si="149"/>
        <v>25</v>
      </c>
      <c r="K137" s="55">
        <f t="shared" si="120"/>
        <v>3.6799999999999997</v>
      </c>
      <c r="L137" s="55">
        <f t="shared" si="121"/>
        <v>40.479999999999997</v>
      </c>
      <c r="M137" s="55">
        <f t="shared" si="150"/>
        <v>40</v>
      </c>
      <c r="N137" s="56">
        <v>41</v>
      </c>
      <c r="O137" s="57">
        <f t="shared" si="146"/>
        <v>23.753399999999999</v>
      </c>
      <c r="P137" s="58">
        <f t="shared" si="123"/>
        <v>1</v>
      </c>
      <c r="Q137" s="59">
        <f t="shared" si="127"/>
        <v>6.833333333333333</v>
      </c>
      <c r="R137" s="60">
        <v>8</v>
      </c>
      <c r="S137" s="60"/>
      <c r="T137" s="60">
        <f t="shared" si="151"/>
        <v>0</v>
      </c>
      <c r="U137" s="60">
        <f t="shared" si="148"/>
        <v>8</v>
      </c>
      <c r="V137" s="62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1"/>
      <c r="AQ137" s="32"/>
      <c r="AR137" s="33"/>
      <c r="AS137" s="31"/>
      <c r="AT137" s="63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  <c r="DS137" s="66"/>
      <c r="DT137" s="66"/>
      <c r="DU137" s="66"/>
      <c r="DV137" s="66"/>
      <c r="DW137" s="66"/>
      <c r="DX137" s="66"/>
      <c r="DY137" s="66"/>
      <c r="DZ137" s="66"/>
      <c r="EA137" s="66"/>
      <c r="EB137" s="66"/>
      <c r="EC137" s="66"/>
      <c r="ED137" s="66"/>
      <c r="EE137" s="66"/>
      <c r="EF137" s="66"/>
    </row>
    <row r="138" spans="1:136" s="1" customFormat="1" ht="15" customHeight="1" thickBot="1" x14ac:dyDescent="0.3">
      <c r="A138" s="71"/>
      <c r="B138" s="29">
        <v>129</v>
      </c>
      <c r="C138" s="80" t="s">
        <v>338</v>
      </c>
      <c r="D138" s="174">
        <v>2022</v>
      </c>
      <c r="E138" s="177" t="s">
        <v>355</v>
      </c>
      <c r="F138" s="178" t="s">
        <v>353</v>
      </c>
      <c r="G138" s="22" t="s">
        <v>321</v>
      </c>
      <c r="H138" s="22" t="s">
        <v>137</v>
      </c>
      <c r="I138" s="55">
        <v>9.9</v>
      </c>
      <c r="J138" s="55">
        <f t="shared" si="149"/>
        <v>25</v>
      </c>
      <c r="K138" s="55">
        <f t="shared" si="120"/>
        <v>3.49</v>
      </c>
      <c r="L138" s="55">
        <f t="shared" si="121"/>
        <v>38.39</v>
      </c>
      <c r="M138" s="55">
        <f t="shared" si="150"/>
        <v>38</v>
      </c>
      <c r="N138" s="56">
        <v>37</v>
      </c>
      <c r="O138" s="57">
        <f t="shared" si="146"/>
        <v>19.928699999999999</v>
      </c>
      <c r="P138" s="58">
        <f t="shared" si="123"/>
        <v>-1</v>
      </c>
      <c r="Q138" s="59">
        <f t="shared" si="127"/>
        <v>6.166666666666667</v>
      </c>
      <c r="R138" s="60">
        <v>43</v>
      </c>
      <c r="S138" s="60">
        <f>14+6+6+12+6+6+6+12+12+12+12+18</f>
        <v>122</v>
      </c>
      <c r="T138" s="60">
        <f t="shared" si="151"/>
        <v>121</v>
      </c>
      <c r="U138" s="60">
        <f t="shared" si="148"/>
        <v>44</v>
      </c>
      <c r="V138" s="69"/>
      <c r="W138" s="30">
        <v>2</v>
      </c>
      <c r="X138" s="30">
        <v>1</v>
      </c>
      <c r="Y138" s="30">
        <v>4</v>
      </c>
      <c r="Z138" s="30">
        <v>2</v>
      </c>
      <c r="AA138" s="30">
        <v>4</v>
      </c>
      <c r="AB138" s="30">
        <v>6</v>
      </c>
      <c r="AC138" s="30">
        <v>3</v>
      </c>
      <c r="AD138" s="30">
        <v>3</v>
      </c>
      <c r="AE138" s="30">
        <v>5</v>
      </c>
      <c r="AF138" s="30">
        <v>7</v>
      </c>
      <c r="AG138" s="30">
        <v>2</v>
      </c>
      <c r="AH138" s="30">
        <v>3</v>
      </c>
      <c r="AI138" s="30"/>
      <c r="AJ138" s="30"/>
      <c r="AK138" s="30"/>
      <c r="AL138" s="30"/>
      <c r="AM138" s="30"/>
      <c r="AN138" s="30"/>
      <c r="AO138" s="30"/>
      <c r="AP138" s="31"/>
      <c r="AQ138" s="32">
        <v>1</v>
      </c>
      <c r="AR138" s="33">
        <v>3</v>
      </c>
      <c r="AS138" s="31">
        <v>4</v>
      </c>
      <c r="AT138" s="63">
        <v>5</v>
      </c>
      <c r="AU138" s="34">
        <v>6</v>
      </c>
      <c r="AV138" s="34">
        <v>4</v>
      </c>
      <c r="AW138" s="34">
        <v>4</v>
      </c>
      <c r="AX138" s="34">
        <v>1</v>
      </c>
      <c r="AY138" s="34"/>
      <c r="AZ138" s="34">
        <v>3</v>
      </c>
      <c r="BA138" s="34">
        <v>11</v>
      </c>
      <c r="BB138" s="34">
        <v>1</v>
      </c>
      <c r="BC138" s="34">
        <v>1</v>
      </c>
      <c r="BD138" s="34">
        <v>2</v>
      </c>
      <c r="BE138" s="34">
        <v>4</v>
      </c>
      <c r="BF138" s="64">
        <v>3</v>
      </c>
      <c r="BG138" s="64">
        <v>4</v>
      </c>
      <c r="BH138" s="64">
        <v>5</v>
      </c>
      <c r="BI138" s="64">
        <v>3</v>
      </c>
      <c r="BJ138" s="64">
        <v>1</v>
      </c>
      <c r="BK138" s="64"/>
      <c r="BL138" s="64"/>
      <c r="BM138" s="64">
        <v>1</v>
      </c>
      <c r="BN138" s="64">
        <v>2</v>
      </c>
      <c r="BO138" s="64">
        <v>4</v>
      </c>
      <c r="BP138" s="64">
        <v>2</v>
      </c>
      <c r="BQ138" s="64">
        <v>4</v>
      </c>
      <c r="BR138" s="64">
        <v>2</v>
      </c>
      <c r="BS138" s="64"/>
      <c r="BT138" s="64">
        <v>6</v>
      </c>
      <c r="BU138" s="64">
        <v>5</v>
      </c>
      <c r="BV138" s="64"/>
      <c r="BW138" s="64"/>
      <c r="BX138" s="64"/>
      <c r="BY138" s="64"/>
      <c r="BZ138" s="64"/>
      <c r="CA138" s="64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  <c r="DS138" s="66"/>
      <c r="DT138" s="66"/>
      <c r="DU138" s="66"/>
      <c r="DV138" s="66"/>
      <c r="DW138" s="66"/>
      <c r="DX138" s="66"/>
      <c r="DY138" s="66"/>
      <c r="DZ138" s="66"/>
      <c r="EA138" s="66"/>
      <c r="EB138" s="66"/>
      <c r="EC138" s="66"/>
      <c r="ED138" s="66"/>
      <c r="EE138" s="66"/>
      <c r="EF138" s="66"/>
    </row>
    <row r="139" spans="1:136" ht="15" customHeight="1" thickBot="1" x14ac:dyDescent="0.3">
      <c r="A139" s="22"/>
      <c r="B139" s="22">
        <v>131</v>
      </c>
      <c r="C139" s="80" t="s">
        <v>338</v>
      </c>
      <c r="D139" s="174">
        <v>2019</v>
      </c>
      <c r="E139" s="22" t="s">
        <v>356</v>
      </c>
      <c r="F139" s="22" t="s">
        <v>357</v>
      </c>
      <c r="G139" s="22" t="s">
        <v>358</v>
      </c>
      <c r="H139" s="22" t="s">
        <v>78</v>
      </c>
      <c r="I139" s="55">
        <v>24</v>
      </c>
      <c r="J139" s="55">
        <f t="shared" si="149"/>
        <v>30</v>
      </c>
      <c r="K139" s="55">
        <f>(I139+J139)*0.1</f>
        <v>5.4</v>
      </c>
      <c r="L139" s="55">
        <f>SUM(I139:K139)</f>
        <v>59.4</v>
      </c>
      <c r="M139" s="55">
        <f>ROUND(L139,0)</f>
        <v>59</v>
      </c>
      <c r="N139" s="81">
        <v>59</v>
      </c>
      <c r="O139" s="57">
        <f t="shared" si="146"/>
        <v>48.311999999999991</v>
      </c>
      <c r="P139" s="58">
        <f>N139-M139</f>
        <v>0</v>
      </c>
      <c r="Q139" s="59">
        <f t="shared" ref="Q139:Q177" si="152">N139/$Q$3</f>
        <v>9.8333333333333339</v>
      </c>
      <c r="R139" s="60">
        <v>11</v>
      </c>
      <c r="S139" s="60">
        <f>6+6+6</f>
        <v>18</v>
      </c>
      <c r="T139" s="60">
        <f t="shared" si="151"/>
        <v>24</v>
      </c>
      <c r="U139" s="60">
        <f>R139+S139-T139</f>
        <v>5</v>
      </c>
      <c r="V139" s="69"/>
      <c r="W139" s="30">
        <v>1</v>
      </c>
      <c r="X139" s="30">
        <v>1</v>
      </c>
      <c r="Y139" s="30"/>
      <c r="Z139" s="30">
        <v>1</v>
      </c>
      <c r="AA139" s="30">
        <v>1</v>
      </c>
      <c r="AB139" s="30">
        <v>4</v>
      </c>
      <c r="AC139" s="30"/>
      <c r="AD139" s="30">
        <v>1</v>
      </c>
      <c r="AE139" s="30"/>
      <c r="AF139" s="30">
        <v>1</v>
      </c>
      <c r="AG139" s="30">
        <v>1</v>
      </c>
      <c r="AH139" s="30"/>
      <c r="AI139" s="30"/>
      <c r="AJ139" s="30"/>
      <c r="AK139" s="30"/>
      <c r="AL139" s="30"/>
      <c r="AM139" s="30"/>
      <c r="AN139" s="30"/>
      <c r="AO139" s="30"/>
      <c r="AP139" s="31">
        <v>1</v>
      </c>
      <c r="AQ139" s="32"/>
      <c r="AR139" s="33"/>
      <c r="AS139" s="31"/>
      <c r="AT139" s="63">
        <v>2</v>
      </c>
      <c r="AU139" s="34">
        <v>1</v>
      </c>
      <c r="AV139" s="34"/>
      <c r="AW139" s="34"/>
      <c r="AX139" s="34"/>
      <c r="AY139" s="34"/>
      <c r="AZ139" s="34">
        <v>1</v>
      </c>
      <c r="BA139" s="34"/>
      <c r="BB139" s="34"/>
      <c r="BC139" s="34"/>
      <c r="BD139" s="34">
        <v>1</v>
      </c>
      <c r="BE139" s="34">
        <v>2</v>
      </c>
      <c r="BF139" s="64"/>
      <c r="BH139" s="64">
        <v>1</v>
      </c>
      <c r="BI139" s="64">
        <v>1</v>
      </c>
      <c r="BP139" s="64">
        <v>1</v>
      </c>
      <c r="BR139" s="64">
        <v>1</v>
      </c>
      <c r="BT139" s="64">
        <v>2</v>
      </c>
      <c r="BU139" s="64"/>
      <c r="BV139" s="64"/>
      <c r="BW139" s="64"/>
      <c r="BX139" s="64"/>
      <c r="BY139" s="64"/>
      <c r="BZ139" s="64"/>
      <c r="CA139" s="64"/>
    </row>
    <row r="140" spans="1:136" ht="15" customHeight="1" x14ac:dyDescent="0.25">
      <c r="A140" s="3">
        <v>12</v>
      </c>
      <c r="B140" s="22">
        <v>132</v>
      </c>
      <c r="C140" s="32" t="s">
        <v>359</v>
      </c>
      <c r="D140" s="174">
        <v>2022</v>
      </c>
      <c r="E140" s="22" t="s">
        <v>360</v>
      </c>
      <c r="F140" s="22" t="s">
        <v>361</v>
      </c>
      <c r="G140" s="22" t="s">
        <v>215</v>
      </c>
      <c r="H140" s="22" t="s">
        <v>84</v>
      </c>
      <c r="I140" s="55">
        <v>9.9</v>
      </c>
      <c r="J140" s="55">
        <f t="shared" si="149"/>
        <v>25</v>
      </c>
      <c r="K140" s="55">
        <f t="shared" si="120"/>
        <v>3.49</v>
      </c>
      <c r="L140" s="55">
        <f t="shared" si="121"/>
        <v>38.39</v>
      </c>
      <c r="M140" s="55">
        <f t="shared" si="150"/>
        <v>38</v>
      </c>
      <c r="N140" s="56">
        <v>35</v>
      </c>
      <c r="O140" s="57">
        <f t="shared" si="146"/>
        <v>19.928699999999999</v>
      </c>
      <c r="P140" s="58">
        <f t="shared" si="123"/>
        <v>-3</v>
      </c>
      <c r="Q140" s="59">
        <f t="shared" si="152"/>
        <v>5.833333333333333</v>
      </c>
      <c r="R140" s="60">
        <v>13</v>
      </c>
      <c r="S140" s="60">
        <f>6+6+6+12</f>
        <v>30</v>
      </c>
      <c r="T140" s="60">
        <f t="shared" si="151"/>
        <v>44</v>
      </c>
      <c r="U140" s="60">
        <f>R140+S140-T140</f>
        <v>-1</v>
      </c>
      <c r="V140" s="69"/>
      <c r="W140" s="30">
        <v>3</v>
      </c>
      <c r="X140" s="30"/>
      <c r="Y140" s="30">
        <v>1</v>
      </c>
      <c r="Z140" s="30"/>
      <c r="AA140" s="30">
        <v>1</v>
      </c>
      <c r="AB140" s="30"/>
      <c r="AC140" s="30">
        <v>1</v>
      </c>
      <c r="AD140" s="30">
        <v>2</v>
      </c>
      <c r="AE140" s="30"/>
      <c r="AF140" s="30"/>
      <c r="AG140" s="30">
        <v>1</v>
      </c>
      <c r="AH140" s="30">
        <v>2</v>
      </c>
      <c r="AI140" s="30"/>
      <c r="AJ140" s="30"/>
      <c r="AK140" s="30"/>
      <c r="AL140" s="30"/>
      <c r="AM140" s="30"/>
      <c r="AN140" s="30"/>
      <c r="AO140" s="30"/>
      <c r="AP140" s="31"/>
      <c r="AQ140" s="32"/>
      <c r="AR140" s="33"/>
      <c r="AS140" s="31">
        <v>2</v>
      </c>
      <c r="AT140" s="63">
        <v>1</v>
      </c>
      <c r="AU140" s="34">
        <v>1</v>
      </c>
      <c r="AV140" s="34">
        <v>1</v>
      </c>
      <c r="AW140" s="34">
        <v>1</v>
      </c>
      <c r="AX140" s="34"/>
      <c r="AY140" s="34">
        <v>2</v>
      </c>
      <c r="AZ140" s="34"/>
      <c r="BA140" s="34">
        <v>1</v>
      </c>
      <c r="BB140" s="34">
        <v>1</v>
      </c>
      <c r="BC140" s="34">
        <v>3</v>
      </c>
      <c r="BD140" s="34">
        <v>2</v>
      </c>
      <c r="BE140" s="34"/>
      <c r="BF140" s="64">
        <v>1</v>
      </c>
      <c r="BH140" s="64">
        <v>2</v>
      </c>
      <c r="BJ140" s="64">
        <v>1</v>
      </c>
      <c r="BK140" s="64">
        <v>2</v>
      </c>
      <c r="BL140" s="64">
        <v>1</v>
      </c>
      <c r="BM140" s="64">
        <v>2</v>
      </c>
      <c r="BO140" s="64">
        <v>1</v>
      </c>
      <c r="BP140" s="64">
        <v>2</v>
      </c>
      <c r="BT140" s="64">
        <v>9</v>
      </c>
      <c r="BU140" s="64"/>
      <c r="BV140" s="64"/>
      <c r="BW140" s="64"/>
      <c r="BX140" s="64"/>
      <c r="BY140" s="64"/>
      <c r="BZ140" s="64"/>
      <c r="CA140" s="64"/>
    </row>
    <row r="141" spans="1:136" ht="14.25" customHeight="1" x14ac:dyDescent="0.25">
      <c r="A141" s="3"/>
      <c r="B141" s="29">
        <v>133</v>
      </c>
      <c r="C141" s="32" t="s">
        <v>359</v>
      </c>
      <c r="D141" s="174">
        <v>2021</v>
      </c>
      <c r="E141" s="22" t="s">
        <v>362</v>
      </c>
      <c r="F141" s="22" t="s">
        <v>361</v>
      </c>
      <c r="G141" s="22" t="s">
        <v>215</v>
      </c>
      <c r="H141" s="22" t="s">
        <v>78</v>
      </c>
      <c r="I141" s="55">
        <v>19.899999999999999</v>
      </c>
      <c r="J141" s="55">
        <f t="shared" si="149"/>
        <v>30</v>
      </c>
      <c r="K141" s="55">
        <f t="shared" si="120"/>
        <v>4.99</v>
      </c>
      <c r="L141" s="55">
        <f t="shared" si="121"/>
        <v>54.89</v>
      </c>
      <c r="M141" s="55">
        <f t="shared" si="150"/>
        <v>55</v>
      </c>
      <c r="N141" s="56">
        <v>60</v>
      </c>
      <c r="O141" s="57">
        <f t="shared" si="146"/>
        <v>40.058699999999995</v>
      </c>
      <c r="P141" s="58">
        <f t="shared" si="123"/>
        <v>5</v>
      </c>
      <c r="Q141" s="59">
        <f t="shared" si="152"/>
        <v>10</v>
      </c>
      <c r="R141" s="60">
        <v>6</v>
      </c>
      <c r="S141" s="60">
        <f>6+6+6</f>
        <v>18</v>
      </c>
      <c r="T141" s="60">
        <f t="shared" si="151"/>
        <v>13</v>
      </c>
      <c r="U141" s="60">
        <f t="shared" si="148"/>
        <v>11</v>
      </c>
      <c r="V141" s="62"/>
      <c r="W141" s="30">
        <v>3</v>
      </c>
      <c r="X141" s="30"/>
      <c r="Y141" s="30"/>
      <c r="Z141" s="30"/>
      <c r="AA141" s="30"/>
      <c r="AB141" s="30"/>
      <c r="AC141" s="30"/>
      <c r="AD141" s="30"/>
      <c r="AE141" s="30"/>
      <c r="AF141" s="30">
        <v>1</v>
      </c>
      <c r="AG141" s="30"/>
      <c r="AH141" s="30"/>
      <c r="AI141" s="30"/>
      <c r="AJ141" s="30"/>
      <c r="AK141" s="30"/>
      <c r="AL141" s="30"/>
      <c r="AM141" s="30"/>
      <c r="AN141" s="30"/>
      <c r="AO141" s="30"/>
      <c r="AP141" s="31"/>
      <c r="AQ141" s="32">
        <v>1</v>
      </c>
      <c r="AR141" s="33"/>
      <c r="AS141" s="31"/>
      <c r="AT141" s="63"/>
      <c r="AU141" s="34">
        <v>1</v>
      </c>
      <c r="AV141" s="34"/>
      <c r="AW141" s="34">
        <v>1</v>
      </c>
      <c r="AX141" s="34"/>
      <c r="AY141" s="34">
        <v>1</v>
      </c>
      <c r="AZ141" s="34">
        <v>2</v>
      </c>
      <c r="BA141" s="34"/>
      <c r="BB141" s="34"/>
      <c r="BC141" s="34"/>
      <c r="BD141" s="34">
        <v>1</v>
      </c>
      <c r="BE141" s="34"/>
      <c r="BF141" s="64"/>
      <c r="BT141" s="64">
        <v>2</v>
      </c>
      <c r="BU141" s="64"/>
      <c r="BV141" s="64"/>
      <c r="BW141" s="64"/>
      <c r="BX141" s="64"/>
      <c r="BY141" s="64"/>
      <c r="BZ141" s="64"/>
      <c r="CA141" s="64"/>
    </row>
    <row r="142" spans="1:136" ht="15" customHeight="1" x14ac:dyDescent="0.25">
      <c r="A142" s="71"/>
      <c r="B142" s="22">
        <v>134</v>
      </c>
      <c r="C142" s="32" t="s">
        <v>359</v>
      </c>
      <c r="D142" s="174">
        <v>2020</v>
      </c>
      <c r="E142" s="22" t="s">
        <v>363</v>
      </c>
      <c r="F142" s="22" t="s">
        <v>228</v>
      </c>
      <c r="G142" s="22" t="s">
        <v>77</v>
      </c>
      <c r="H142" s="22" t="s">
        <v>84</v>
      </c>
      <c r="I142" s="55">
        <v>13</v>
      </c>
      <c r="J142" s="55">
        <f t="shared" si="149"/>
        <v>25</v>
      </c>
      <c r="K142" s="55">
        <f>(I142+J142)*0.1</f>
        <v>3.8000000000000003</v>
      </c>
      <c r="L142" s="55">
        <f>SUM(I142:K142)</f>
        <v>41.8</v>
      </c>
      <c r="M142" s="55">
        <f>ROUND(L142,0)</f>
        <v>42</v>
      </c>
      <c r="N142" s="56">
        <v>42</v>
      </c>
      <c r="O142" s="57">
        <f t="shared" si="146"/>
        <v>26.168999999999997</v>
      </c>
      <c r="P142" s="58">
        <f>N142-M142</f>
        <v>0</v>
      </c>
      <c r="Q142" s="59">
        <f t="shared" si="152"/>
        <v>7</v>
      </c>
      <c r="R142" s="83">
        <v>19</v>
      </c>
      <c r="S142" s="60">
        <v>6</v>
      </c>
      <c r="T142" s="60">
        <f t="shared" si="151"/>
        <v>11</v>
      </c>
      <c r="U142" s="60">
        <f>R142+S142-T142</f>
        <v>14</v>
      </c>
      <c r="V142" s="62"/>
      <c r="W142" s="30">
        <v>1</v>
      </c>
      <c r="X142" s="30">
        <v>1</v>
      </c>
      <c r="Y142" s="30">
        <v>2</v>
      </c>
      <c r="Z142" s="30"/>
      <c r="AA142" s="30">
        <v>1</v>
      </c>
      <c r="AB142" s="30">
        <v>1</v>
      </c>
      <c r="AC142" s="30">
        <v>1</v>
      </c>
      <c r="AD142" s="30">
        <v>2</v>
      </c>
      <c r="AE142" s="30"/>
      <c r="AF142" s="30"/>
      <c r="AG142" s="30">
        <v>1</v>
      </c>
      <c r="AH142" s="30"/>
      <c r="AI142" s="30"/>
      <c r="AJ142" s="30"/>
      <c r="AK142" s="30"/>
      <c r="AL142" s="30"/>
      <c r="AM142" s="30"/>
      <c r="AN142" s="30"/>
      <c r="AO142" s="30"/>
      <c r="AP142" s="31">
        <v>1</v>
      </c>
      <c r="AQ142" s="32"/>
      <c r="AR142" s="33"/>
      <c r="AS142" s="31"/>
      <c r="AT142" s="63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64"/>
      <c r="BT142" s="64"/>
      <c r="BU142" s="64"/>
      <c r="BV142" s="64"/>
      <c r="BW142" s="64"/>
      <c r="BX142" s="64"/>
      <c r="BY142" s="64"/>
      <c r="BZ142" s="64"/>
      <c r="CA142" s="64"/>
    </row>
    <row r="143" spans="1:136" ht="15" customHeight="1" x14ac:dyDescent="0.25">
      <c r="A143" s="71"/>
      <c r="B143" s="22">
        <v>135</v>
      </c>
      <c r="C143" s="32" t="s">
        <v>359</v>
      </c>
      <c r="D143" s="174">
        <v>2020</v>
      </c>
      <c r="E143" s="22" t="s">
        <v>364</v>
      </c>
      <c r="F143" s="22" t="s">
        <v>252</v>
      </c>
      <c r="G143" s="22" t="s">
        <v>77</v>
      </c>
      <c r="H143" s="22" t="s">
        <v>78</v>
      </c>
      <c r="I143" s="55">
        <v>19.899999999999999</v>
      </c>
      <c r="J143" s="55">
        <f>IF(I143&lt;=15,$L$2,$L$3)</f>
        <v>30</v>
      </c>
      <c r="K143" s="55">
        <f>(I143+J143)*0.1</f>
        <v>4.99</v>
      </c>
      <c r="L143" s="55">
        <f>SUM(I143:K143)</f>
        <v>54.89</v>
      </c>
      <c r="M143" s="55">
        <f>ROUND(L143,0)</f>
        <v>55</v>
      </c>
      <c r="N143" s="56">
        <v>55</v>
      </c>
      <c r="O143" s="57">
        <f>I143*$O$2*1.22</f>
        <v>40.058699999999995</v>
      </c>
      <c r="P143" s="58">
        <f>N143-M143</f>
        <v>0</v>
      </c>
      <c r="Q143" s="59">
        <f>N143/$Q$3</f>
        <v>9.1666666666666661</v>
      </c>
      <c r="R143" s="83"/>
      <c r="S143" s="60">
        <v>12</v>
      </c>
      <c r="T143" s="60">
        <f>W143+X143+Y143+Z143+AA143+AB143+AC143+AD143+AE143+AF143+AG143+AH143+AI143+AJ143+AK143+AL143+AM143+AN143+AO143+AP143+AQ143+AR143+AS143+AT143+AU143+AV143+AW143+AX143+AY143+AZ143+BA143+BB143+BC143+BD143+BE143+BF143+BG143+BH143+BI143+BJ143+BK143+BL143+BM143+BQ143+BR143+BS143+BT143</f>
        <v>8</v>
      </c>
      <c r="U143" s="60">
        <f>R143+S143-T143</f>
        <v>4</v>
      </c>
      <c r="V143" s="62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>
        <v>1</v>
      </c>
      <c r="AH143" s="30">
        <v>2</v>
      </c>
      <c r="AI143" s="30"/>
      <c r="AJ143" s="30"/>
      <c r="AK143" s="30"/>
      <c r="AL143" s="30"/>
      <c r="AM143" s="30"/>
      <c r="AN143" s="30"/>
      <c r="AO143" s="30"/>
      <c r="AP143" s="31"/>
      <c r="AQ143" s="32"/>
      <c r="AR143" s="33"/>
      <c r="AS143" s="31">
        <v>2</v>
      </c>
      <c r="AT143" s="63"/>
      <c r="AU143" s="34"/>
      <c r="AV143" s="34"/>
      <c r="AW143" s="34"/>
      <c r="AX143" s="34"/>
      <c r="AY143" s="34"/>
      <c r="AZ143" s="34"/>
      <c r="BA143" s="34"/>
      <c r="BB143" s="34">
        <v>1</v>
      </c>
      <c r="BC143" s="34">
        <v>2</v>
      </c>
      <c r="BD143" s="34"/>
      <c r="BE143" s="34"/>
      <c r="BF143" s="64"/>
      <c r="BT143" s="64"/>
      <c r="BU143" s="64"/>
      <c r="BV143" s="64"/>
      <c r="BW143" s="64"/>
      <c r="BX143" s="64"/>
      <c r="BY143" s="64"/>
      <c r="BZ143" s="64"/>
      <c r="CA143" s="64"/>
    </row>
    <row r="144" spans="1:136" ht="15" customHeight="1" x14ac:dyDescent="0.25">
      <c r="A144" s="3"/>
      <c r="B144" s="22">
        <v>136</v>
      </c>
      <c r="C144" s="32" t="s">
        <v>359</v>
      </c>
      <c r="D144" s="174">
        <v>2018</v>
      </c>
      <c r="E144" s="22" t="s">
        <v>365</v>
      </c>
      <c r="F144" s="22" t="s">
        <v>366</v>
      </c>
      <c r="G144" s="22" t="s">
        <v>77</v>
      </c>
      <c r="H144" s="22" t="s">
        <v>84</v>
      </c>
      <c r="I144" s="55">
        <v>23.4</v>
      </c>
      <c r="J144" s="55">
        <f t="shared" si="149"/>
        <v>30</v>
      </c>
      <c r="K144" s="55">
        <f t="shared" si="120"/>
        <v>5.34</v>
      </c>
      <c r="L144" s="55">
        <f t="shared" si="121"/>
        <v>58.739999999999995</v>
      </c>
      <c r="M144" s="55">
        <f t="shared" si="150"/>
        <v>59</v>
      </c>
      <c r="N144" s="56">
        <v>59</v>
      </c>
      <c r="O144" s="57">
        <f t="shared" si="146"/>
        <v>47.104199999999992</v>
      </c>
      <c r="P144" s="58">
        <f t="shared" si="123"/>
        <v>0</v>
      </c>
      <c r="Q144" s="59">
        <f t="shared" si="152"/>
        <v>9.8333333333333339</v>
      </c>
      <c r="R144" s="60">
        <v>5</v>
      </c>
      <c r="S144" s="60">
        <v>6</v>
      </c>
      <c r="T144" s="60">
        <f t="shared" si="151"/>
        <v>4</v>
      </c>
      <c r="U144" s="60">
        <f t="shared" si="148"/>
        <v>7</v>
      </c>
      <c r="V144" s="62"/>
      <c r="W144" s="30"/>
      <c r="X144" s="30"/>
      <c r="Y144" s="30"/>
      <c r="Z144" s="30"/>
      <c r="AA144" s="30"/>
      <c r="AB144" s="30"/>
      <c r="AC144" s="30"/>
      <c r="AD144" s="30">
        <v>1</v>
      </c>
      <c r="AE144" s="30"/>
      <c r="AF144" s="30">
        <v>2</v>
      </c>
      <c r="AG144" s="30"/>
      <c r="AH144" s="30"/>
      <c r="AI144" s="30"/>
      <c r="AJ144" s="30"/>
      <c r="AK144" s="30"/>
      <c r="AL144" s="30"/>
      <c r="AM144" s="30"/>
      <c r="AN144" s="30"/>
      <c r="AO144" s="30"/>
      <c r="AP144" s="31"/>
      <c r="AQ144" s="32"/>
      <c r="AR144" s="33"/>
      <c r="AS144" s="31"/>
      <c r="AT144" s="63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>
        <v>1</v>
      </c>
      <c r="BF144" s="64"/>
      <c r="BT144" s="64"/>
      <c r="BU144" s="64"/>
      <c r="BV144" s="64"/>
      <c r="BW144" s="64"/>
      <c r="BX144" s="64"/>
      <c r="BY144" s="64"/>
      <c r="BZ144" s="64"/>
      <c r="CA144" s="64"/>
    </row>
    <row r="145" spans="1:79" ht="15" customHeight="1" x14ac:dyDescent="0.25">
      <c r="A145" s="22"/>
      <c r="B145" s="29">
        <v>137</v>
      </c>
      <c r="C145" s="32" t="s">
        <v>359</v>
      </c>
      <c r="D145" s="174">
        <v>2019</v>
      </c>
      <c r="E145" s="22" t="s">
        <v>367</v>
      </c>
      <c r="F145" s="22" t="s">
        <v>295</v>
      </c>
      <c r="G145" s="22" t="s">
        <v>77</v>
      </c>
      <c r="H145" s="22" t="s">
        <v>84</v>
      </c>
      <c r="I145" s="55">
        <v>22.35</v>
      </c>
      <c r="J145" s="55">
        <f t="shared" si="149"/>
        <v>30</v>
      </c>
      <c r="K145" s="55">
        <f t="shared" si="120"/>
        <v>5.2350000000000003</v>
      </c>
      <c r="L145" s="55">
        <f t="shared" si="121"/>
        <v>57.585000000000001</v>
      </c>
      <c r="M145" s="55">
        <f t="shared" si="150"/>
        <v>58</v>
      </c>
      <c r="N145" s="56">
        <v>58</v>
      </c>
      <c r="O145" s="57">
        <f t="shared" si="146"/>
        <v>44.990549999999999</v>
      </c>
      <c r="P145" s="58">
        <f t="shared" si="123"/>
        <v>0</v>
      </c>
      <c r="Q145" s="59">
        <f t="shared" si="152"/>
        <v>9.6666666666666661</v>
      </c>
      <c r="R145" s="60">
        <v>13</v>
      </c>
      <c r="S145" s="60">
        <f>6+18+6+12</f>
        <v>42</v>
      </c>
      <c r="T145" s="60">
        <f t="shared" si="151"/>
        <v>37</v>
      </c>
      <c r="U145" s="60">
        <f t="shared" si="148"/>
        <v>18</v>
      </c>
      <c r="V145" s="62"/>
      <c r="W145" s="30">
        <v>2</v>
      </c>
      <c r="X145" s="30"/>
      <c r="Y145" s="30"/>
      <c r="Z145" s="30"/>
      <c r="AA145" s="30"/>
      <c r="AB145" s="30">
        <v>3</v>
      </c>
      <c r="AC145" s="30"/>
      <c r="AD145" s="30"/>
      <c r="AE145" s="30"/>
      <c r="AF145" s="30"/>
      <c r="AG145" s="30">
        <v>4</v>
      </c>
      <c r="AH145" s="30">
        <v>3</v>
      </c>
      <c r="AI145" s="30"/>
      <c r="AJ145" s="30"/>
      <c r="AK145" s="30"/>
      <c r="AL145" s="30"/>
      <c r="AM145" s="30"/>
      <c r="AN145" s="30"/>
      <c r="AO145" s="30"/>
      <c r="AP145" s="31"/>
      <c r="AQ145" s="32">
        <v>1</v>
      </c>
      <c r="AR145" s="33"/>
      <c r="AS145" s="31">
        <v>1</v>
      </c>
      <c r="AT145" s="63"/>
      <c r="AU145" s="34">
        <v>1</v>
      </c>
      <c r="AV145" s="34">
        <v>1</v>
      </c>
      <c r="AW145" s="34">
        <v>1</v>
      </c>
      <c r="AX145" s="34">
        <v>1</v>
      </c>
      <c r="AY145" s="34">
        <v>1</v>
      </c>
      <c r="AZ145" s="34">
        <v>1</v>
      </c>
      <c r="BA145" s="34">
        <v>1</v>
      </c>
      <c r="BB145" s="34">
        <v>1</v>
      </c>
      <c r="BC145" s="34">
        <v>1</v>
      </c>
      <c r="BD145" s="34"/>
      <c r="BE145" s="34"/>
      <c r="BF145" s="64"/>
      <c r="BH145" s="64">
        <v>10</v>
      </c>
      <c r="BK145" s="64">
        <v>1</v>
      </c>
      <c r="BT145" s="64">
        <v>3</v>
      </c>
      <c r="BU145" s="64"/>
      <c r="BV145" s="64"/>
      <c r="BW145" s="64"/>
      <c r="BX145" s="64"/>
      <c r="BY145" s="64"/>
      <c r="BZ145" s="64"/>
      <c r="CA145" s="64"/>
    </row>
    <row r="146" spans="1:79" ht="15" customHeight="1" x14ac:dyDescent="0.25">
      <c r="A146" s="71"/>
      <c r="B146" s="22">
        <v>138</v>
      </c>
      <c r="C146" s="32" t="s">
        <v>359</v>
      </c>
      <c r="D146" s="174">
        <v>2021</v>
      </c>
      <c r="E146" s="22" t="s">
        <v>368</v>
      </c>
      <c r="F146" s="22" t="s">
        <v>342</v>
      </c>
      <c r="G146" s="22" t="s">
        <v>77</v>
      </c>
      <c r="H146" s="22" t="s">
        <v>78</v>
      </c>
      <c r="I146" s="55">
        <v>19.100000000000001</v>
      </c>
      <c r="J146" s="55">
        <f t="shared" si="149"/>
        <v>30</v>
      </c>
      <c r="K146" s="55">
        <f t="shared" si="120"/>
        <v>4.91</v>
      </c>
      <c r="L146" s="55">
        <f t="shared" si="121"/>
        <v>54.010000000000005</v>
      </c>
      <c r="M146" s="55">
        <f t="shared" si="150"/>
        <v>54</v>
      </c>
      <c r="N146" s="56">
        <v>54</v>
      </c>
      <c r="O146" s="57">
        <f t="shared" si="146"/>
        <v>38.448300000000003</v>
      </c>
      <c r="P146" s="58">
        <f t="shared" si="123"/>
        <v>0</v>
      </c>
      <c r="Q146" s="59">
        <f t="shared" si="152"/>
        <v>9</v>
      </c>
      <c r="R146" s="60">
        <v>7</v>
      </c>
      <c r="S146" s="60">
        <f>6+6+6+6</f>
        <v>24</v>
      </c>
      <c r="T146" s="60">
        <f t="shared" si="151"/>
        <v>14</v>
      </c>
      <c r="U146" s="60">
        <f t="shared" si="148"/>
        <v>17</v>
      </c>
      <c r="V146" s="62"/>
      <c r="W146" s="30"/>
      <c r="X146" s="30"/>
      <c r="Y146" s="30"/>
      <c r="Z146" s="30">
        <v>1</v>
      </c>
      <c r="AA146" s="30">
        <v>1</v>
      </c>
      <c r="AB146" s="30">
        <v>3</v>
      </c>
      <c r="AC146" s="30"/>
      <c r="AD146" s="30"/>
      <c r="AE146" s="30"/>
      <c r="AF146" s="30">
        <v>1</v>
      </c>
      <c r="AG146" s="30"/>
      <c r="AH146" s="30"/>
      <c r="AI146" s="30"/>
      <c r="AJ146" s="30"/>
      <c r="AK146" s="30"/>
      <c r="AL146" s="30"/>
      <c r="AM146" s="30"/>
      <c r="AN146" s="30"/>
      <c r="AO146" s="30"/>
      <c r="AP146" s="31"/>
      <c r="AQ146" s="32"/>
      <c r="AR146" s="33"/>
      <c r="AS146" s="31"/>
      <c r="AT146" s="63"/>
      <c r="AU146" s="34"/>
      <c r="AV146" s="34"/>
      <c r="AW146" s="34"/>
      <c r="AX146" s="34"/>
      <c r="AY146" s="34"/>
      <c r="AZ146" s="34">
        <v>1</v>
      </c>
      <c r="BA146" s="34">
        <v>2</v>
      </c>
      <c r="BB146" s="34">
        <v>1</v>
      </c>
      <c r="BC146" s="34"/>
      <c r="BD146" s="34">
        <v>1</v>
      </c>
      <c r="BE146" s="34">
        <v>1</v>
      </c>
      <c r="BF146" s="64"/>
      <c r="BL146" s="64">
        <v>1</v>
      </c>
      <c r="BT146" s="64">
        <v>1</v>
      </c>
      <c r="BU146" s="64"/>
      <c r="BV146" s="64"/>
      <c r="BW146" s="64"/>
      <c r="BX146" s="64"/>
      <c r="BY146" s="64"/>
      <c r="BZ146" s="64"/>
      <c r="CA146" s="64"/>
    </row>
    <row r="147" spans="1:79" ht="15" customHeight="1" x14ac:dyDescent="0.25">
      <c r="A147" s="71"/>
      <c r="B147" s="22">
        <v>139</v>
      </c>
      <c r="C147" s="32" t="s">
        <v>359</v>
      </c>
      <c r="D147" s="174">
        <v>2015</v>
      </c>
      <c r="E147" s="68" t="s">
        <v>369</v>
      </c>
      <c r="F147" s="22" t="s">
        <v>361</v>
      </c>
      <c r="G147" s="22" t="s">
        <v>77</v>
      </c>
      <c r="H147" s="22" t="s">
        <v>370</v>
      </c>
      <c r="I147" s="55">
        <v>95</v>
      </c>
      <c r="J147" s="55">
        <v>80</v>
      </c>
      <c r="K147" s="55">
        <f>(I147+J147)*0.1</f>
        <v>17.5</v>
      </c>
      <c r="L147" s="55">
        <f>SUM(I147:K147)</f>
        <v>192.5</v>
      </c>
      <c r="M147" s="55">
        <f>ROUND(L147,0)</f>
        <v>193</v>
      </c>
      <c r="N147" s="56">
        <v>200</v>
      </c>
      <c r="O147" s="57">
        <f t="shared" si="146"/>
        <v>191.23499999999999</v>
      </c>
      <c r="P147" s="58">
        <f>N147-M147</f>
        <v>7</v>
      </c>
      <c r="Q147" s="59">
        <f t="shared" si="152"/>
        <v>33.333333333333336</v>
      </c>
      <c r="R147" s="60"/>
      <c r="S147" s="60">
        <v>2</v>
      </c>
      <c r="T147" s="60">
        <f>W147+X147+Y147+Z147+AA147+AB147+AC147+AD147+AE147+AF147+AG147+AH147+AI147+AJ147+AK147+AL147+AM147+AN147+AO147+AP147+AQ147+AR147+AS147+AT147+AU147+AV147+AW147+AX147+AY147+AZ147+BA147+BB147+BC147+BD147+BE147+BF147+BG147+BH147+BI147+BJ147+BK147+BL147+BM147+BQ147+BR147+BS147+BT147</f>
        <v>0</v>
      </c>
      <c r="U147" s="60">
        <f>R147+S147-T147</f>
        <v>2</v>
      </c>
      <c r="V147" s="62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1"/>
      <c r="AQ147" s="32"/>
      <c r="AR147" s="33"/>
      <c r="AS147" s="31"/>
      <c r="AT147" s="63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64"/>
      <c r="BT147" s="64"/>
      <c r="BU147" s="64"/>
      <c r="BV147" s="64"/>
      <c r="BW147" s="64"/>
      <c r="BX147" s="64"/>
      <c r="BY147" s="64"/>
      <c r="BZ147" s="64"/>
      <c r="CA147" s="64"/>
    </row>
    <row r="148" spans="1:79" ht="15" customHeight="1" x14ac:dyDescent="0.25">
      <c r="A148" s="71"/>
      <c r="B148" s="22">
        <v>139</v>
      </c>
      <c r="C148" s="32" t="s">
        <v>359</v>
      </c>
      <c r="D148" s="174">
        <v>2021</v>
      </c>
      <c r="E148" s="68" t="s">
        <v>371</v>
      </c>
      <c r="F148" s="22" t="s">
        <v>372</v>
      </c>
      <c r="G148" s="22" t="s">
        <v>77</v>
      </c>
      <c r="H148" s="22" t="s">
        <v>78</v>
      </c>
      <c r="I148" s="55">
        <v>16.600000000000001</v>
      </c>
      <c r="J148" s="55">
        <v>25</v>
      </c>
      <c r="K148" s="55">
        <f>(I148+J148)*0.1</f>
        <v>4.16</v>
      </c>
      <c r="L148" s="55">
        <f>SUM(I148:K148)</f>
        <v>45.760000000000005</v>
      </c>
      <c r="M148" s="55">
        <f>ROUND(L148,0)</f>
        <v>46</v>
      </c>
      <c r="N148" s="56">
        <v>46</v>
      </c>
      <c r="O148" s="57">
        <f t="shared" ref="O148" si="153">I148*$O$2*1.22</f>
        <v>33.415799999999997</v>
      </c>
      <c r="P148" s="58">
        <f>N148-M148</f>
        <v>0</v>
      </c>
      <c r="Q148" s="59">
        <f t="shared" ref="Q148" si="154">N148/$Q$3</f>
        <v>7.666666666666667</v>
      </c>
      <c r="R148" s="60"/>
      <c r="S148" s="60">
        <v>12</v>
      </c>
      <c r="T148" s="60">
        <f>W148+X148+Y148+Z148+AA148+AB148+AC148+AD148+AE148+AF148+AG148+AH148+AI148+AJ148+AK148+AL148+AM148+AN148+AO148+AP148+AQ148+AR148+AS148+AT148+AU148+AV148+AW148+AX148+AY148+AZ148+BA148+BB148+BC148+BD148+BE148+BF148+BG148+BH148+BI148+BJ148+BK148+BL148+BM148+BQ148+BR148+BS148+BT148</f>
        <v>4</v>
      </c>
      <c r="U148" s="60">
        <f>R148+S148-T148</f>
        <v>8</v>
      </c>
      <c r="V148" s="62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1"/>
      <c r="AQ148" s="32"/>
      <c r="AR148" s="33"/>
      <c r="AS148" s="31"/>
      <c r="AT148" s="63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64"/>
      <c r="BT148" s="64">
        <v>4</v>
      </c>
      <c r="BU148" s="64"/>
      <c r="BV148" s="64"/>
      <c r="BW148" s="64"/>
      <c r="BX148" s="64"/>
      <c r="BY148" s="64"/>
      <c r="BZ148" s="64"/>
      <c r="CA148" s="64"/>
    </row>
    <row r="149" spans="1:79" s="54" customFormat="1" ht="15" customHeight="1" x14ac:dyDescent="0.25">
      <c r="A149" s="22"/>
      <c r="B149" s="22">
        <v>139</v>
      </c>
      <c r="C149" s="70" t="s">
        <v>373</v>
      </c>
      <c r="D149" s="187">
        <v>2019</v>
      </c>
      <c r="E149" s="203" t="s">
        <v>374</v>
      </c>
      <c r="F149" s="178" t="s">
        <v>375</v>
      </c>
      <c r="G149" s="22" t="s">
        <v>77</v>
      </c>
      <c r="H149" s="22" t="s">
        <v>87</v>
      </c>
      <c r="I149" s="55">
        <v>12</v>
      </c>
      <c r="J149" s="55">
        <v>25</v>
      </c>
      <c r="K149" s="55">
        <f t="shared" ref="K149" si="155">(I149+J149)*0.1</f>
        <v>3.7</v>
      </c>
      <c r="L149" s="55">
        <f t="shared" ref="L149" si="156">SUM(I149:K149)</f>
        <v>40.700000000000003</v>
      </c>
      <c r="M149" s="55">
        <f t="shared" ref="M149" si="157">ROUND(L149,0)</f>
        <v>41</v>
      </c>
      <c r="N149" s="56">
        <v>41</v>
      </c>
      <c r="O149" s="57">
        <f t="shared" ref="O149" si="158">I149*$O$2*1.22</f>
        <v>24.155999999999995</v>
      </c>
      <c r="P149" s="58">
        <f t="shared" ref="P149" si="159">N149-M149</f>
        <v>0</v>
      </c>
      <c r="Q149" s="59">
        <f t="shared" ref="Q149" si="160">N149/$Q$3</f>
        <v>6.833333333333333</v>
      </c>
      <c r="R149" s="60"/>
      <c r="S149" s="60">
        <f>66+66+66</f>
        <v>198</v>
      </c>
      <c r="T149" s="60">
        <f t="shared" ref="T149" si="161">W149+X149+Y149+Z149+AA149+AB149+AC149+AD149+AE149+AF149+AG149+AH149+AI149+AJ149+AK149+AL149+AM149+AN149+AO149+AP149+AQ149+AR149+AS149+AT149+AU149+AV149+AW149+AX149+AY149+AZ149+BA149+BB149+BC149+BD149+BE149+BF149+BG149+BH149+BI149+BJ149+BK149+BL149+BM149+BQ149+BR149+BS149+BT149</f>
        <v>165</v>
      </c>
      <c r="U149" s="60">
        <f t="shared" ref="U149" si="162">R149+S149-T149</f>
        <v>33</v>
      </c>
      <c r="V149" s="62"/>
      <c r="W149" s="30"/>
      <c r="X149" s="30"/>
      <c r="Y149" s="30"/>
      <c r="Z149" s="30">
        <v>1</v>
      </c>
      <c r="AA149" s="30"/>
      <c r="AB149" s="30">
        <v>2</v>
      </c>
      <c r="AC149" s="30"/>
      <c r="AD149" s="30">
        <v>1</v>
      </c>
      <c r="AE149" s="30"/>
      <c r="AF149" s="30">
        <v>1</v>
      </c>
      <c r="AG149" s="30"/>
      <c r="AH149" s="30"/>
      <c r="AI149" s="30"/>
      <c r="AJ149" s="30"/>
      <c r="AK149" s="30"/>
      <c r="AL149" s="30"/>
      <c r="AM149" s="30"/>
      <c r="AN149" s="30"/>
      <c r="AO149" s="30"/>
      <c r="AP149" s="31">
        <v>45</v>
      </c>
      <c r="AQ149" s="32">
        <v>6</v>
      </c>
      <c r="AR149" s="33">
        <v>1</v>
      </c>
      <c r="AS149" s="31">
        <v>3</v>
      </c>
      <c r="AT149" s="63">
        <v>9</v>
      </c>
      <c r="AU149" s="34">
        <v>6</v>
      </c>
      <c r="AV149" s="34">
        <v>5</v>
      </c>
      <c r="AW149" s="34">
        <v>7</v>
      </c>
      <c r="AX149" s="34">
        <v>1</v>
      </c>
      <c r="AY149" s="34">
        <v>3</v>
      </c>
      <c r="AZ149" s="34">
        <v>4</v>
      </c>
      <c r="BA149" s="34">
        <v>5</v>
      </c>
      <c r="BB149" s="34">
        <v>6</v>
      </c>
      <c r="BC149" s="34">
        <v>5</v>
      </c>
      <c r="BD149" s="34">
        <v>4</v>
      </c>
      <c r="BE149" s="34">
        <v>5</v>
      </c>
      <c r="BF149" s="64">
        <v>5</v>
      </c>
      <c r="BG149" s="64">
        <v>4</v>
      </c>
      <c r="BH149" s="64">
        <v>9</v>
      </c>
      <c r="BI149" s="64">
        <v>7</v>
      </c>
      <c r="BJ149" s="64">
        <v>2</v>
      </c>
      <c r="BK149" s="64">
        <v>5</v>
      </c>
      <c r="BL149" s="64"/>
      <c r="BM149" s="64">
        <v>5</v>
      </c>
      <c r="BN149" s="64">
        <v>8</v>
      </c>
      <c r="BO149" s="64">
        <v>4</v>
      </c>
      <c r="BP149" s="64">
        <v>4</v>
      </c>
      <c r="BQ149" s="64">
        <v>2</v>
      </c>
      <c r="BR149" s="64">
        <v>1</v>
      </c>
      <c r="BS149" s="64"/>
      <c r="BT149" s="64">
        <v>5</v>
      </c>
      <c r="BU149" s="64">
        <v>2</v>
      </c>
      <c r="BV149" s="64"/>
      <c r="BW149" s="64"/>
      <c r="BX149" s="64"/>
      <c r="BY149" s="64"/>
      <c r="BZ149" s="64"/>
      <c r="CA149" s="64"/>
    </row>
    <row r="150" spans="1:79" s="54" customFormat="1" ht="15" customHeight="1" x14ac:dyDescent="0.25">
      <c r="B150" s="22">
        <v>140</v>
      </c>
      <c r="C150" s="70" t="s">
        <v>373</v>
      </c>
      <c r="D150" s="174">
        <v>2019</v>
      </c>
      <c r="E150" s="29" t="s">
        <v>376</v>
      </c>
      <c r="F150" s="22" t="s">
        <v>86</v>
      </c>
      <c r="G150" s="22" t="s">
        <v>77</v>
      </c>
      <c r="H150" s="22" t="s">
        <v>87</v>
      </c>
      <c r="I150" s="55">
        <v>39.5</v>
      </c>
      <c r="J150" s="55">
        <v>35</v>
      </c>
      <c r="K150" s="55">
        <f t="shared" si="120"/>
        <v>7.45</v>
      </c>
      <c r="L150" s="55">
        <f t="shared" si="121"/>
        <v>81.95</v>
      </c>
      <c r="M150" s="55">
        <f t="shared" si="150"/>
        <v>82</v>
      </c>
      <c r="N150" s="56">
        <v>82</v>
      </c>
      <c r="O150" s="57">
        <f t="shared" si="146"/>
        <v>79.513499999999993</v>
      </c>
      <c r="P150" s="58">
        <f t="shared" si="123"/>
        <v>0</v>
      </c>
      <c r="Q150" s="59">
        <f t="shared" si="152"/>
        <v>13.666666666666666</v>
      </c>
      <c r="R150" s="60">
        <v>11</v>
      </c>
      <c r="S150" s="60">
        <v>6</v>
      </c>
      <c r="T150" s="60">
        <f t="shared" si="151"/>
        <v>9</v>
      </c>
      <c r="U150" s="60">
        <f t="shared" si="148"/>
        <v>8</v>
      </c>
      <c r="V150" s="62"/>
      <c r="W150" s="30"/>
      <c r="X150" s="30"/>
      <c r="Y150" s="30"/>
      <c r="Z150" s="30">
        <v>1</v>
      </c>
      <c r="AA150" s="30"/>
      <c r="AB150" s="30">
        <v>2</v>
      </c>
      <c r="AC150" s="30"/>
      <c r="AD150" s="30">
        <v>1</v>
      </c>
      <c r="AE150" s="30"/>
      <c r="AF150" s="30">
        <v>1</v>
      </c>
      <c r="AG150" s="30"/>
      <c r="AH150" s="30"/>
      <c r="AI150" s="30"/>
      <c r="AJ150" s="30"/>
      <c r="AK150" s="30"/>
      <c r="AL150" s="30"/>
      <c r="AM150" s="30"/>
      <c r="AN150" s="30"/>
      <c r="AO150" s="30"/>
      <c r="AP150" s="31"/>
      <c r="AQ150" s="32">
        <v>1</v>
      </c>
      <c r="AR150" s="33"/>
      <c r="AS150" s="31"/>
      <c r="AT150" s="63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64"/>
      <c r="BG150" s="64">
        <v>1</v>
      </c>
      <c r="BH150" s="64"/>
      <c r="BI150" s="64"/>
      <c r="BJ150" s="64"/>
      <c r="BK150" s="64"/>
      <c r="BL150" s="64">
        <v>2</v>
      </c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</row>
    <row r="151" spans="1:79" s="54" customFormat="1" ht="15" customHeight="1" x14ac:dyDescent="0.25">
      <c r="A151" s="22"/>
      <c r="B151" s="22">
        <v>140.19999999999999</v>
      </c>
      <c r="C151" s="70" t="s">
        <v>373</v>
      </c>
      <c r="D151" s="174">
        <v>2021</v>
      </c>
      <c r="E151" s="22" t="s">
        <v>377</v>
      </c>
      <c r="F151" s="22" t="s">
        <v>378</v>
      </c>
      <c r="G151" s="22" t="s">
        <v>77</v>
      </c>
      <c r="H151" s="22" t="s">
        <v>78</v>
      </c>
      <c r="I151" s="55">
        <v>17.2</v>
      </c>
      <c r="J151" s="55">
        <v>30</v>
      </c>
      <c r="K151" s="55">
        <f t="shared" ref="K151" si="163">(I151+J151)*0.1</f>
        <v>4.7200000000000006</v>
      </c>
      <c r="L151" s="55">
        <f t="shared" ref="L151" si="164">SUM(I151:K151)</f>
        <v>51.92</v>
      </c>
      <c r="M151" s="55">
        <f t="shared" ref="M151" si="165">ROUND(L151,0)</f>
        <v>52</v>
      </c>
      <c r="N151" s="56">
        <v>52</v>
      </c>
      <c r="O151" s="57">
        <f t="shared" ref="O151" si="166">I151*$O$2*1.22</f>
        <v>34.623599999999996</v>
      </c>
      <c r="P151" s="58">
        <f t="shared" ref="P151" si="167">N151-M151</f>
        <v>0</v>
      </c>
      <c r="Q151" s="59">
        <f t="shared" ref="Q151" si="168">N151/$Q$3</f>
        <v>8.6666666666666661</v>
      </c>
      <c r="R151" s="60"/>
      <c r="S151" s="60">
        <f>6+3</f>
        <v>9</v>
      </c>
      <c r="T151" s="60">
        <f t="shared" ref="T151" si="169">W151+X151+Y151+Z151+AA151+AB151+AC151+AD151+AE151+AF151+AG151+AH151+AI151+AJ151+AK151+AL151+AM151+AN151+AO151+AP151+AQ151+AR151+AS151+AT151+AU151+AV151+AW151+AX151+AY151+AZ151+BA151+BB151+BC151+BD151+BE151+BF151+BG151+BH151+BI151+BJ151+BK151+BL151+BM151+BQ151+BR151+BS151+BT151</f>
        <v>5</v>
      </c>
      <c r="U151" s="60">
        <f t="shared" ref="U151" si="170">R151+S151-T151</f>
        <v>4</v>
      </c>
      <c r="V151" s="62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1"/>
      <c r="AQ151" s="32">
        <v>1</v>
      </c>
      <c r="AR151" s="33"/>
      <c r="AS151" s="31"/>
      <c r="AT151" s="63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64"/>
      <c r="BG151" s="64"/>
      <c r="BH151" s="64">
        <v>2</v>
      </c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>
        <v>2</v>
      </c>
      <c r="BU151" s="64"/>
      <c r="BV151" s="64"/>
      <c r="BW151" s="64"/>
      <c r="BX151" s="64"/>
      <c r="BY151" s="64"/>
      <c r="BZ151" s="64"/>
      <c r="CA151" s="64"/>
    </row>
    <row r="152" spans="1:79" s="54" customFormat="1" ht="15" customHeight="1" x14ac:dyDescent="0.25">
      <c r="A152" s="22"/>
      <c r="B152" s="22">
        <v>141.19999999999999</v>
      </c>
      <c r="C152" s="70" t="s">
        <v>373</v>
      </c>
      <c r="D152" s="174">
        <v>2020</v>
      </c>
      <c r="E152" s="68" t="s">
        <v>379</v>
      </c>
      <c r="F152" s="22" t="s">
        <v>380</v>
      </c>
      <c r="G152" s="22" t="s">
        <v>77</v>
      </c>
      <c r="H152" s="22" t="s">
        <v>78</v>
      </c>
      <c r="I152" s="55">
        <v>19.899999999999999</v>
      </c>
      <c r="J152" s="55">
        <v>30</v>
      </c>
      <c r="K152" s="55">
        <f t="shared" ref="K152" si="171">(I152+J152)*0.1</f>
        <v>4.99</v>
      </c>
      <c r="L152" s="55">
        <f t="shared" ref="L152" si="172">SUM(I152:K152)</f>
        <v>54.89</v>
      </c>
      <c r="M152" s="55">
        <f t="shared" ref="M152" si="173">ROUND(L152,0)</f>
        <v>55</v>
      </c>
      <c r="N152" s="56">
        <v>55</v>
      </c>
      <c r="O152" s="57">
        <f t="shared" ref="O152" si="174">I152*$O$2*1.22</f>
        <v>40.058699999999995</v>
      </c>
      <c r="P152" s="58">
        <f t="shared" ref="P152" si="175">N152-M152</f>
        <v>0</v>
      </c>
      <c r="Q152" s="59">
        <f t="shared" ref="Q152" si="176">N152/$Q$3</f>
        <v>9.1666666666666661</v>
      </c>
      <c r="R152" s="60"/>
      <c r="S152" s="60">
        <f>6+6</f>
        <v>12</v>
      </c>
      <c r="T152" s="60">
        <f t="shared" ref="T152" si="177">W152+X152+Y152+Z152+AA152+AB152+AC152+AD152+AE152+AF152+AG152+AH152+AI152+AJ152+AK152+AL152+AM152+AN152+AO152+AP152+AQ152+AR152+AS152+AT152+AU152+AV152+AW152+AX152+AY152+AZ152+BA152+BB152+BC152+BD152+BE152+BF152+BG152+BH152+BI152+BJ152+BK152+BL152+BM152+BQ152+BR152+BS152+BT152</f>
        <v>5</v>
      </c>
      <c r="U152" s="60">
        <f t="shared" ref="U152" si="178">R152+S152-T152</f>
        <v>7</v>
      </c>
      <c r="V152" s="62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1">
        <v>2</v>
      </c>
      <c r="AQ152" s="32">
        <v>1</v>
      </c>
      <c r="AR152" s="33"/>
      <c r="AS152" s="31"/>
      <c r="AT152" s="63">
        <v>1</v>
      </c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64"/>
      <c r="BG152" s="64">
        <v>1</v>
      </c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</row>
    <row r="153" spans="1:79" s="54" customFormat="1" ht="15" customHeight="1" x14ac:dyDescent="0.25">
      <c r="A153" s="22">
        <v>18</v>
      </c>
      <c r="B153" s="22">
        <v>142.19999999999999</v>
      </c>
      <c r="C153" s="70" t="s">
        <v>373</v>
      </c>
      <c r="D153" s="187">
        <v>2022</v>
      </c>
      <c r="E153" s="191" t="s">
        <v>381</v>
      </c>
      <c r="F153" s="178" t="s">
        <v>382</v>
      </c>
      <c r="G153" s="22" t="s">
        <v>77</v>
      </c>
      <c r="H153" s="22" t="s">
        <v>383</v>
      </c>
      <c r="I153" s="55">
        <v>14.7</v>
      </c>
      <c r="J153" s="55">
        <v>25</v>
      </c>
      <c r="K153" s="55">
        <f t="shared" ref="K153" si="179">(I153+J153)*0.1</f>
        <v>3.9700000000000006</v>
      </c>
      <c r="L153" s="55">
        <f t="shared" ref="L153" si="180">SUM(I153:K153)</f>
        <v>43.67</v>
      </c>
      <c r="M153" s="55">
        <f t="shared" ref="M153" si="181">ROUND(L153,0)</f>
        <v>44</v>
      </c>
      <c r="N153" s="81">
        <v>44</v>
      </c>
      <c r="O153" s="57">
        <f t="shared" ref="O153" si="182">I153*$O$2*1.22</f>
        <v>29.591099999999997</v>
      </c>
      <c r="P153" s="58">
        <f t="shared" ref="P153" si="183">N153-M153</f>
        <v>0</v>
      </c>
      <c r="Q153" s="59">
        <f t="shared" ref="Q153" si="184">N153/$Q$3</f>
        <v>7.333333333333333</v>
      </c>
      <c r="R153" s="60"/>
      <c r="S153" s="60">
        <v>24</v>
      </c>
      <c r="T153" s="60">
        <f t="shared" ref="T153" si="185">W153+X153+Y153+Z153+AA153+AB153+AC153+AD153+AE153+AF153+AG153+AH153+AI153+AJ153+AK153+AL153+AM153+AN153+AO153+AP153+AQ153+AR153+AS153+AT153+AU153+AV153+AW153+AX153+AY153+AZ153+BA153+BB153+BC153+BD153+BE153+BF153+BG153+BH153+BI153+BJ153+BK153+BL153+BM153+BQ153+BR153+BS153+BT153</f>
        <v>10</v>
      </c>
      <c r="U153" s="60">
        <f t="shared" ref="U153" si="186">R153+S153-T153</f>
        <v>14</v>
      </c>
      <c r="V153" s="62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1"/>
      <c r="AQ153" s="32"/>
      <c r="AR153" s="33"/>
      <c r="AS153" s="31"/>
      <c r="AT153" s="63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>
        <v>10</v>
      </c>
      <c r="BU153" s="64">
        <v>3</v>
      </c>
      <c r="BV153" s="64"/>
      <c r="BW153" s="64"/>
      <c r="BX153" s="64"/>
      <c r="BY153" s="64"/>
      <c r="BZ153" s="64"/>
      <c r="CA153" s="64"/>
    </row>
    <row r="154" spans="1:79" ht="15" customHeight="1" x14ac:dyDescent="0.25">
      <c r="A154" s="22"/>
      <c r="B154" s="22">
        <v>142</v>
      </c>
      <c r="C154" s="70" t="s">
        <v>373</v>
      </c>
      <c r="D154" s="174">
        <v>2019</v>
      </c>
      <c r="E154" s="29" t="s">
        <v>384</v>
      </c>
      <c r="F154" s="22" t="s">
        <v>86</v>
      </c>
      <c r="G154" s="22" t="s">
        <v>350</v>
      </c>
      <c r="H154" s="22" t="s">
        <v>87</v>
      </c>
      <c r="I154" s="55">
        <v>20.7</v>
      </c>
      <c r="J154" s="55">
        <f>IF(I154&lt;=15,$L$2,$L$3)</f>
        <v>30</v>
      </c>
      <c r="K154" s="55">
        <f t="shared" si="120"/>
        <v>5.07</v>
      </c>
      <c r="L154" s="55">
        <f t="shared" si="121"/>
        <v>55.77</v>
      </c>
      <c r="M154" s="55">
        <f t="shared" si="150"/>
        <v>56</v>
      </c>
      <c r="N154" s="56">
        <v>50</v>
      </c>
      <c r="O154" s="57">
        <f t="shared" si="146"/>
        <v>41.669099999999993</v>
      </c>
      <c r="P154" s="58">
        <f t="shared" si="123"/>
        <v>-6</v>
      </c>
      <c r="Q154" s="59">
        <f t="shared" si="152"/>
        <v>8.3333333333333339</v>
      </c>
      <c r="R154" s="60">
        <v>5</v>
      </c>
      <c r="S154" s="60">
        <f>6+6+6+6</f>
        <v>24</v>
      </c>
      <c r="T154" s="60">
        <f t="shared" si="151"/>
        <v>21</v>
      </c>
      <c r="U154" s="60">
        <f t="shared" si="148"/>
        <v>8</v>
      </c>
      <c r="V154" s="62"/>
      <c r="W154" s="30">
        <v>1</v>
      </c>
      <c r="X154" s="30"/>
      <c r="Y154" s="30"/>
      <c r="Z154" s="30">
        <v>3</v>
      </c>
      <c r="AA154" s="30"/>
      <c r="AB154" s="30"/>
      <c r="AC154" s="30"/>
      <c r="AD154" s="30"/>
      <c r="AE154" s="30"/>
      <c r="AF154" s="30">
        <v>2</v>
      </c>
      <c r="AG154" s="30">
        <v>1</v>
      </c>
      <c r="AH154" s="30">
        <v>2</v>
      </c>
      <c r="AI154" s="30"/>
      <c r="AJ154" s="30"/>
      <c r="AK154" s="30"/>
      <c r="AL154" s="30"/>
      <c r="AM154" s="30"/>
      <c r="AN154" s="30"/>
      <c r="AO154" s="30"/>
      <c r="AP154" s="31">
        <v>1</v>
      </c>
      <c r="AQ154" s="32"/>
      <c r="AR154" s="33"/>
      <c r="AS154" s="31"/>
      <c r="AT154" s="63">
        <v>2</v>
      </c>
      <c r="AU154" s="34"/>
      <c r="AV154" s="34"/>
      <c r="AW154" s="34"/>
      <c r="AX154" s="34"/>
      <c r="AY154" s="34"/>
      <c r="AZ154" s="34"/>
      <c r="BA154" s="34"/>
      <c r="BB154" s="34">
        <v>1</v>
      </c>
      <c r="BC154" s="34"/>
      <c r="BD154" s="34"/>
      <c r="BE154" s="34"/>
      <c r="BF154" s="64"/>
      <c r="BJ154" s="64">
        <v>5</v>
      </c>
      <c r="BQ154" s="64">
        <v>1</v>
      </c>
      <c r="BR154" s="64">
        <v>1</v>
      </c>
      <c r="BT154" s="64">
        <v>1</v>
      </c>
      <c r="BU154" s="64"/>
      <c r="BV154" s="64"/>
      <c r="BW154" s="64"/>
      <c r="BX154" s="64"/>
      <c r="BY154" s="64"/>
      <c r="BZ154" s="64"/>
      <c r="CA154" s="64"/>
    </row>
    <row r="155" spans="1:79" s="54" customFormat="1" ht="15" customHeight="1" x14ac:dyDescent="0.25">
      <c r="A155" s="22"/>
      <c r="B155" s="22">
        <v>143</v>
      </c>
      <c r="C155" s="70" t="s">
        <v>373</v>
      </c>
      <c r="D155" s="174">
        <v>2020</v>
      </c>
      <c r="E155" s="68" t="s">
        <v>385</v>
      </c>
      <c r="F155" s="22" t="s">
        <v>86</v>
      </c>
      <c r="G155" s="22" t="s">
        <v>350</v>
      </c>
      <c r="H155" s="22" t="s">
        <v>87</v>
      </c>
      <c r="I155" s="55">
        <v>31.2</v>
      </c>
      <c r="J155" s="55">
        <f>IF(I155&lt;=15,$L$2,$L$3)</f>
        <v>30</v>
      </c>
      <c r="K155" s="55">
        <f t="shared" si="120"/>
        <v>6.120000000000001</v>
      </c>
      <c r="L155" s="55">
        <f t="shared" si="121"/>
        <v>67.320000000000007</v>
      </c>
      <c r="M155" s="55">
        <f t="shared" si="150"/>
        <v>67</v>
      </c>
      <c r="N155" s="56">
        <v>64</v>
      </c>
      <c r="O155" s="57">
        <f t="shared" si="146"/>
        <v>62.805599999999998</v>
      </c>
      <c r="P155" s="58">
        <f t="shared" si="123"/>
        <v>-3</v>
      </c>
      <c r="Q155" s="59">
        <f t="shared" si="152"/>
        <v>10.666666666666666</v>
      </c>
      <c r="R155" s="60">
        <v>7</v>
      </c>
      <c r="S155" s="60">
        <v>6</v>
      </c>
      <c r="T155" s="60">
        <f t="shared" si="151"/>
        <v>5</v>
      </c>
      <c r="U155" s="60">
        <f t="shared" si="148"/>
        <v>8</v>
      </c>
      <c r="V155" s="62"/>
      <c r="W155" s="30"/>
      <c r="X155" s="30"/>
      <c r="Y155" s="30"/>
      <c r="Z155" s="30"/>
      <c r="AA155" s="30"/>
      <c r="AB155" s="30"/>
      <c r="AC155" s="30"/>
      <c r="AD155" s="30"/>
      <c r="AE155" s="30"/>
      <c r="AF155" s="30">
        <v>1</v>
      </c>
      <c r="AG155" s="30"/>
      <c r="AH155" s="30"/>
      <c r="AI155" s="30"/>
      <c r="AJ155" s="30"/>
      <c r="AK155" s="30"/>
      <c r="AL155" s="30"/>
      <c r="AM155" s="30"/>
      <c r="AN155" s="30"/>
      <c r="AO155" s="30"/>
      <c r="AP155" s="31"/>
      <c r="AQ155" s="32"/>
      <c r="AR155" s="33"/>
      <c r="AS155" s="31"/>
      <c r="AT155" s="63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>
        <v>1</v>
      </c>
      <c r="BF155" s="64"/>
      <c r="BG155" s="64">
        <v>2</v>
      </c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>
        <v>1</v>
      </c>
      <c r="BU155" s="64"/>
      <c r="BV155" s="64"/>
      <c r="BW155" s="64"/>
      <c r="BX155" s="64"/>
      <c r="BY155" s="64"/>
      <c r="BZ155" s="64"/>
      <c r="CA155" s="64"/>
    </row>
    <row r="156" spans="1:79" s="54" customFormat="1" ht="15" customHeight="1" x14ac:dyDescent="0.25">
      <c r="A156" s="22"/>
      <c r="B156" s="29">
        <v>143.4</v>
      </c>
      <c r="C156" s="77" t="s">
        <v>386</v>
      </c>
      <c r="D156" s="184">
        <v>2022</v>
      </c>
      <c r="E156" s="22" t="s">
        <v>387</v>
      </c>
      <c r="F156" s="22" t="s">
        <v>388</v>
      </c>
      <c r="G156" s="22" t="s">
        <v>215</v>
      </c>
      <c r="H156" s="22" t="s">
        <v>135</v>
      </c>
      <c r="I156" s="55">
        <v>9.43</v>
      </c>
      <c r="J156" s="55">
        <f>IF(I156&lt;=15,$L$2,$L$3)</f>
        <v>25</v>
      </c>
      <c r="K156" s="55">
        <f>(I156+J156)*0.1</f>
        <v>3.4430000000000001</v>
      </c>
      <c r="L156" s="55">
        <f>SUM(I156:K156)</f>
        <v>37.872999999999998</v>
      </c>
      <c r="M156" s="55">
        <f>ROUND(L156,0)</f>
        <v>38</v>
      </c>
      <c r="N156" s="56">
        <v>37</v>
      </c>
      <c r="O156" s="57">
        <f>I156*$O$2*1.22</f>
        <v>18.982589999999998</v>
      </c>
      <c r="P156" s="58">
        <f>N156-M156</f>
        <v>-1</v>
      </c>
      <c r="Q156" s="59">
        <f>N156/$Q$3</f>
        <v>6.166666666666667</v>
      </c>
      <c r="R156" s="60">
        <v>10</v>
      </c>
      <c r="S156" s="60">
        <f>11+6+6+12+4+42</f>
        <v>81</v>
      </c>
      <c r="T156" s="60">
        <f>W156+X156+Y156+Z156+AA156+AB156+AC156+AD156+AE156+AF156+AG156+AH156+AI156+AJ156+AK156+AL156+AM156+AN156+AO156+AP156+AQ156+AR156+AS156+AT156+AU156+AV156+AW156+AX156+AY156+AZ156+BA156+BB156+BC156+BD156+BE156+BF156+BG156+BH156+BI156+BJ156+BK156+BL156+BM156+BQ156+BR156+BS156+BT156</f>
        <v>56</v>
      </c>
      <c r="U156" s="60">
        <f>R156+S156-T156</f>
        <v>35</v>
      </c>
      <c r="V156" s="62"/>
      <c r="W156" s="30">
        <v>5</v>
      </c>
      <c r="X156" s="30"/>
      <c r="Y156" s="30"/>
      <c r="Z156" s="30">
        <v>1</v>
      </c>
      <c r="AA156" s="30">
        <v>2</v>
      </c>
      <c r="AB156" s="30"/>
      <c r="AC156" s="30">
        <v>1</v>
      </c>
      <c r="AD156" s="30"/>
      <c r="AE156" s="30"/>
      <c r="AF156" s="30">
        <v>2</v>
      </c>
      <c r="AG156" s="30">
        <v>2</v>
      </c>
      <c r="AH156" s="30"/>
      <c r="AI156" s="30"/>
      <c r="AJ156" s="30"/>
      <c r="AK156" s="30"/>
      <c r="AL156" s="30"/>
      <c r="AM156" s="30"/>
      <c r="AN156" s="30"/>
      <c r="AO156" s="30"/>
      <c r="AP156" s="31"/>
      <c r="AQ156" s="32"/>
      <c r="AR156" s="33"/>
      <c r="AS156" s="31"/>
      <c r="AT156" s="63">
        <v>1</v>
      </c>
      <c r="AU156" s="34">
        <v>1</v>
      </c>
      <c r="AV156" s="34"/>
      <c r="AW156" s="34">
        <v>1</v>
      </c>
      <c r="AX156" s="34">
        <v>3</v>
      </c>
      <c r="AY156" s="34"/>
      <c r="AZ156" s="34"/>
      <c r="BA156" s="34"/>
      <c r="BB156" s="34">
        <v>2</v>
      </c>
      <c r="BC156" s="34"/>
      <c r="BD156" s="34"/>
      <c r="BE156" s="34">
        <v>1</v>
      </c>
      <c r="BF156" s="64"/>
      <c r="BG156" s="64"/>
      <c r="BH156" s="64">
        <v>2</v>
      </c>
      <c r="BI156" s="64"/>
      <c r="BJ156" s="64">
        <v>6</v>
      </c>
      <c r="BK156" s="64"/>
      <c r="BL156" s="64">
        <v>2</v>
      </c>
      <c r="BM156" s="64"/>
      <c r="BN156" s="64"/>
      <c r="BO156" s="64">
        <v>5</v>
      </c>
      <c r="BP156" s="64"/>
      <c r="BQ156" s="64"/>
      <c r="BR156" s="64"/>
      <c r="BS156" s="64"/>
      <c r="BT156" s="64">
        <v>24</v>
      </c>
      <c r="BU156" s="64"/>
      <c r="BV156" s="64"/>
      <c r="BW156" s="64"/>
      <c r="BX156" s="64"/>
      <c r="BY156" s="64"/>
      <c r="BZ156" s="64"/>
      <c r="CA156" s="64"/>
    </row>
    <row r="157" spans="1:79" ht="15" customHeight="1" x14ac:dyDescent="0.25">
      <c r="A157" s="22"/>
      <c r="B157" s="22">
        <v>144</v>
      </c>
      <c r="C157" s="77" t="s">
        <v>386</v>
      </c>
      <c r="D157" s="184">
        <v>2022</v>
      </c>
      <c r="E157" s="22" t="s">
        <v>389</v>
      </c>
      <c r="F157" s="178" t="s">
        <v>390</v>
      </c>
      <c r="G157" s="22" t="s">
        <v>215</v>
      </c>
      <c r="H157" s="22" t="s">
        <v>84</v>
      </c>
      <c r="I157" s="55">
        <v>17.149999999999999</v>
      </c>
      <c r="J157" s="55">
        <v>30</v>
      </c>
      <c r="K157" s="55">
        <f t="shared" si="120"/>
        <v>4.7149999999999999</v>
      </c>
      <c r="L157" s="55">
        <f t="shared" si="121"/>
        <v>51.864999999999995</v>
      </c>
      <c r="M157" s="55">
        <f t="shared" si="150"/>
        <v>52</v>
      </c>
      <c r="N157" s="56">
        <v>49</v>
      </c>
      <c r="O157" s="57">
        <f t="shared" ref="O157:O177" si="187">I157*$O$2*1.22</f>
        <v>34.522949999999994</v>
      </c>
      <c r="P157" s="58">
        <f t="shared" si="123"/>
        <v>-3</v>
      </c>
      <c r="Q157" s="59">
        <f t="shared" si="152"/>
        <v>8.1666666666666661</v>
      </c>
      <c r="R157" s="60">
        <v>9</v>
      </c>
      <c r="S157" s="60">
        <f>15+12+12+12+6</f>
        <v>57</v>
      </c>
      <c r="T157" s="60">
        <f t="shared" si="151"/>
        <v>36</v>
      </c>
      <c r="U157" s="60">
        <f t="shared" si="148"/>
        <v>30</v>
      </c>
      <c r="V157" s="62"/>
      <c r="W157" s="30">
        <v>1</v>
      </c>
      <c r="X157" s="30">
        <v>2</v>
      </c>
      <c r="Y157" s="30"/>
      <c r="Z157" s="30">
        <v>1</v>
      </c>
      <c r="AA157" s="30"/>
      <c r="AB157" s="30"/>
      <c r="AC157" s="30"/>
      <c r="AD157" s="30"/>
      <c r="AE157" s="30"/>
      <c r="AF157" s="30">
        <v>2</v>
      </c>
      <c r="AG157" s="30">
        <v>1</v>
      </c>
      <c r="AH157" s="30"/>
      <c r="AI157" s="30"/>
      <c r="AJ157" s="30"/>
      <c r="AK157" s="30"/>
      <c r="AL157" s="30"/>
      <c r="AM157" s="30"/>
      <c r="AN157" s="30"/>
      <c r="AO157" s="30"/>
      <c r="AP157" s="31"/>
      <c r="AQ157" s="32">
        <v>1</v>
      </c>
      <c r="AR157" s="33"/>
      <c r="AS157" s="31"/>
      <c r="AT157" s="63">
        <v>2</v>
      </c>
      <c r="AU157" s="34"/>
      <c r="AV157" s="34">
        <v>2</v>
      </c>
      <c r="AW157" s="34">
        <v>2</v>
      </c>
      <c r="AX157" s="34"/>
      <c r="AY157" s="34"/>
      <c r="AZ157" s="34">
        <v>3</v>
      </c>
      <c r="BA157" s="34"/>
      <c r="BB157" s="34"/>
      <c r="BC157" s="34"/>
      <c r="BD157" s="34">
        <v>1</v>
      </c>
      <c r="BE157" s="34">
        <v>3</v>
      </c>
      <c r="BF157" s="64">
        <v>2</v>
      </c>
      <c r="BG157" s="64">
        <v>2</v>
      </c>
      <c r="BH157" s="64">
        <v>1</v>
      </c>
      <c r="BI157" s="64">
        <v>1</v>
      </c>
      <c r="BJ157" s="64">
        <v>5</v>
      </c>
      <c r="BK157" s="64">
        <v>1</v>
      </c>
      <c r="BL157" s="64">
        <v>3</v>
      </c>
      <c r="BN157" s="64">
        <v>8</v>
      </c>
      <c r="BO157" s="64">
        <v>1</v>
      </c>
      <c r="BP157" s="64">
        <v>3</v>
      </c>
      <c r="BT157" s="64"/>
      <c r="BU157" s="64">
        <v>1</v>
      </c>
      <c r="BV157" s="64"/>
      <c r="BW157" s="64"/>
      <c r="BX157" s="64"/>
      <c r="BY157" s="64"/>
      <c r="BZ157" s="64"/>
      <c r="CA157" s="64"/>
    </row>
    <row r="158" spans="1:79" ht="15" customHeight="1" x14ac:dyDescent="0.25">
      <c r="A158" s="22"/>
      <c r="B158" s="22">
        <v>144.30000000000001</v>
      </c>
      <c r="C158" s="77" t="s">
        <v>386</v>
      </c>
      <c r="D158" s="174">
        <v>2020</v>
      </c>
      <c r="E158" s="22" t="s">
        <v>391</v>
      </c>
      <c r="F158" s="178" t="s">
        <v>392</v>
      </c>
      <c r="G158" s="22" t="s">
        <v>215</v>
      </c>
      <c r="H158" s="22" t="s">
        <v>78</v>
      </c>
      <c r="I158" s="55">
        <v>19.899999999999999</v>
      </c>
      <c r="J158" s="55">
        <v>30</v>
      </c>
      <c r="K158" s="55">
        <f t="shared" ref="K158" si="188">(I158+J158)*0.1</f>
        <v>4.99</v>
      </c>
      <c r="L158" s="55">
        <f t="shared" ref="L158" si="189">SUM(I158:K158)</f>
        <v>54.89</v>
      </c>
      <c r="M158" s="55">
        <f t="shared" ref="M158" si="190">ROUND(L158,0)</f>
        <v>55</v>
      </c>
      <c r="N158" s="56">
        <v>54</v>
      </c>
      <c r="O158" s="57">
        <f t="shared" ref="O158" si="191">I158*$O$2*1.22</f>
        <v>40.058699999999995</v>
      </c>
      <c r="P158" s="58">
        <f t="shared" ref="P158" si="192">N158-M158</f>
        <v>-1</v>
      </c>
      <c r="Q158" s="59">
        <f t="shared" ref="Q158" si="193">N158/$Q$3</f>
        <v>9</v>
      </c>
      <c r="R158" s="60"/>
      <c r="S158" s="60">
        <f>12+6+6+6+6+12</f>
        <v>48</v>
      </c>
      <c r="T158" s="60">
        <f t="shared" ref="T158" si="194">W158+X158+Y158+Z158+AA158+AB158+AC158+AD158+AE158+AF158+AG158+AH158+AI158+AJ158+AK158+AL158+AM158+AN158+AO158+AP158+AQ158+AR158+AS158+AT158+AU158+AV158+AW158+AX158+AY158+AZ158+BA158+BB158+BC158+BD158+BE158+BF158+BG158+BH158+BI158+BJ158+BK158+BL158+BM158+BQ158+BR158+BS158+BT158</f>
        <v>40</v>
      </c>
      <c r="U158" s="60">
        <f t="shared" ref="U158" si="195">R158+S158-T158</f>
        <v>8</v>
      </c>
      <c r="V158" s="62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1">
        <v>1</v>
      </c>
      <c r="AQ158" s="32"/>
      <c r="AR158" s="33"/>
      <c r="AS158" s="31">
        <v>1</v>
      </c>
      <c r="AT158" s="63">
        <v>4</v>
      </c>
      <c r="AU158" s="34">
        <v>2</v>
      </c>
      <c r="AV158" s="34">
        <v>1</v>
      </c>
      <c r="AW158" s="34"/>
      <c r="AX158" s="34"/>
      <c r="AY158" s="34"/>
      <c r="AZ158" s="34">
        <v>1</v>
      </c>
      <c r="BA158" s="34">
        <v>2</v>
      </c>
      <c r="BB158" s="34"/>
      <c r="BC158" s="34">
        <v>2</v>
      </c>
      <c r="BD158" s="34"/>
      <c r="BE158" s="34">
        <v>1</v>
      </c>
      <c r="BF158" s="64">
        <v>4</v>
      </c>
      <c r="BG158" s="64">
        <v>3</v>
      </c>
      <c r="BH158" s="64">
        <v>5</v>
      </c>
      <c r="BJ158" s="64">
        <v>2</v>
      </c>
      <c r="BK158" s="64">
        <v>1</v>
      </c>
      <c r="BL158" s="64">
        <v>2</v>
      </c>
      <c r="BN158" s="64">
        <v>2</v>
      </c>
      <c r="BO158" s="64">
        <v>1</v>
      </c>
      <c r="BR158" s="64">
        <v>3</v>
      </c>
      <c r="BT158" s="64">
        <v>5</v>
      </c>
      <c r="BU158" s="64">
        <v>1</v>
      </c>
      <c r="BV158" s="64"/>
      <c r="BW158" s="64"/>
      <c r="BX158" s="64"/>
      <c r="BY158" s="64"/>
      <c r="BZ158" s="64"/>
      <c r="CA158" s="64"/>
    </row>
    <row r="159" spans="1:79" ht="15" customHeight="1" x14ac:dyDescent="0.25">
      <c r="A159" s="22"/>
      <c r="B159" s="29">
        <v>145</v>
      </c>
      <c r="C159" s="77" t="s">
        <v>386</v>
      </c>
      <c r="D159" s="174">
        <v>2021</v>
      </c>
      <c r="E159" s="29" t="s">
        <v>393</v>
      </c>
      <c r="F159" s="22" t="s">
        <v>281</v>
      </c>
      <c r="G159" s="22" t="s">
        <v>215</v>
      </c>
      <c r="H159" s="22" t="s">
        <v>135</v>
      </c>
      <c r="I159" s="55">
        <v>52</v>
      </c>
      <c r="J159" s="55">
        <v>40</v>
      </c>
      <c r="K159" s="55">
        <f t="shared" si="120"/>
        <v>9.2000000000000011</v>
      </c>
      <c r="L159" s="55">
        <f t="shared" si="121"/>
        <v>101.2</v>
      </c>
      <c r="M159" s="55">
        <f t="shared" si="150"/>
        <v>101</v>
      </c>
      <c r="N159" s="56">
        <v>99</v>
      </c>
      <c r="O159" s="57">
        <f t="shared" si="187"/>
        <v>104.67599999999999</v>
      </c>
      <c r="P159" s="58">
        <f t="shared" si="123"/>
        <v>-2</v>
      </c>
      <c r="Q159" s="59">
        <f t="shared" si="152"/>
        <v>16.5</v>
      </c>
      <c r="R159" s="60">
        <v>9</v>
      </c>
      <c r="S159" s="60">
        <f>6+6</f>
        <v>12</v>
      </c>
      <c r="T159" s="60">
        <f t="shared" si="151"/>
        <v>12</v>
      </c>
      <c r="U159" s="60">
        <f t="shared" si="148"/>
        <v>9</v>
      </c>
      <c r="V159" s="62"/>
      <c r="W159" s="30">
        <v>1</v>
      </c>
      <c r="X159" s="30"/>
      <c r="Y159" s="30"/>
      <c r="Z159" s="30"/>
      <c r="AA159" s="30"/>
      <c r="AB159" s="30">
        <v>1</v>
      </c>
      <c r="AC159" s="30"/>
      <c r="AD159" s="30"/>
      <c r="AE159" s="30"/>
      <c r="AF159" s="30"/>
      <c r="AG159" s="30"/>
      <c r="AH159" s="30">
        <v>1</v>
      </c>
      <c r="AI159" s="30"/>
      <c r="AJ159" s="30"/>
      <c r="AK159" s="30"/>
      <c r="AL159" s="30"/>
      <c r="AM159" s="30"/>
      <c r="AN159" s="30"/>
      <c r="AO159" s="30"/>
      <c r="AP159" s="31">
        <v>1</v>
      </c>
      <c r="AQ159" s="32">
        <v>1</v>
      </c>
      <c r="AR159" s="33"/>
      <c r="AS159" s="31"/>
      <c r="AT159" s="63"/>
      <c r="AU159" s="34"/>
      <c r="AV159" s="34">
        <v>2</v>
      </c>
      <c r="AW159" s="34"/>
      <c r="AX159" s="34">
        <v>1</v>
      </c>
      <c r="AY159" s="34"/>
      <c r="AZ159" s="34">
        <v>1</v>
      </c>
      <c r="BA159" s="34"/>
      <c r="BB159" s="34"/>
      <c r="BC159" s="34">
        <v>1</v>
      </c>
      <c r="BD159" s="34"/>
      <c r="BE159" s="34"/>
      <c r="BF159" s="64"/>
      <c r="BJ159" s="64">
        <v>1</v>
      </c>
      <c r="BN159" s="64">
        <v>1</v>
      </c>
      <c r="BP159" s="64">
        <v>1</v>
      </c>
      <c r="BT159" s="64">
        <v>1</v>
      </c>
      <c r="BU159" s="64"/>
      <c r="BV159" s="64"/>
      <c r="BW159" s="64"/>
      <c r="BX159" s="64"/>
      <c r="BY159" s="64"/>
      <c r="BZ159" s="64"/>
      <c r="CA159" s="64"/>
    </row>
    <row r="160" spans="1:79" ht="15" customHeight="1" x14ac:dyDescent="0.25">
      <c r="A160" s="22"/>
      <c r="B160" s="22">
        <v>146</v>
      </c>
      <c r="C160" s="77" t="s">
        <v>386</v>
      </c>
      <c r="D160" s="174">
        <v>2012</v>
      </c>
      <c r="E160" s="22" t="s">
        <v>394</v>
      </c>
      <c r="F160" s="22" t="s">
        <v>281</v>
      </c>
      <c r="G160" s="22" t="s">
        <v>215</v>
      </c>
      <c r="H160" s="22" t="s">
        <v>135</v>
      </c>
      <c r="I160" s="55">
        <v>60.6</v>
      </c>
      <c r="J160" s="55">
        <v>60</v>
      </c>
      <c r="K160" s="55">
        <f t="shared" si="120"/>
        <v>12.06</v>
      </c>
      <c r="L160" s="55">
        <f t="shared" si="121"/>
        <v>132.66</v>
      </c>
      <c r="M160" s="55">
        <f t="shared" si="150"/>
        <v>133</v>
      </c>
      <c r="N160" s="56">
        <v>132</v>
      </c>
      <c r="O160" s="57">
        <f t="shared" si="187"/>
        <v>121.98779999999999</v>
      </c>
      <c r="P160" s="58">
        <f t="shared" si="123"/>
        <v>-1</v>
      </c>
      <c r="Q160" s="59">
        <f t="shared" si="152"/>
        <v>22</v>
      </c>
      <c r="R160" s="60">
        <v>2</v>
      </c>
      <c r="S160" s="60"/>
      <c r="T160" s="60">
        <f t="shared" si="151"/>
        <v>1</v>
      </c>
      <c r="U160" s="60">
        <f t="shared" si="148"/>
        <v>1</v>
      </c>
      <c r="V160" s="62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1"/>
      <c r="AQ160" s="32"/>
      <c r="AR160" s="33"/>
      <c r="AS160" s="31"/>
      <c r="AT160" s="63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64"/>
      <c r="BT160" s="64">
        <v>1</v>
      </c>
      <c r="BU160" s="64"/>
      <c r="BV160" s="64"/>
      <c r="BW160" s="64"/>
      <c r="BX160" s="64"/>
      <c r="BY160" s="64"/>
      <c r="BZ160" s="64"/>
      <c r="CA160" s="64"/>
    </row>
    <row r="161" spans="1:136" ht="15" customHeight="1" x14ac:dyDescent="0.25">
      <c r="A161" s="22"/>
      <c r="B161" s="22">
        <v>147</v>
      </c>
      <c r="C161" s="77" t="s">
        <v>386</v>
      </c>
      <c r="D161" s="174">
        <v>2022</v>
      </c>
      <c r="E161" s="22" t="s">
        <v>395</v>
      </c>
      <c r="F161" s="22" t="s">
        <v>76</v>
      </c>
      <c r="G161" s="22" t="s">
        <v>77</v>
      </c>
      <c r="H161" s="22" t="s">
        <v>396</v>
      </c>
      <c r="I161" s="55">
        <v>13.75</v>
      </c>
      <c r="J161" s="55">
        <f>IF(I161&lt;=15,$L$2,$L$3)</f>
        <v>25</v>
      </c>
      <c r="K161" s="55">
        <f t="shared" si="120"/>
        <v>3.875</v>
      </c>
      <c r="L161" s="55">
        <f t="shared" si="121"/>
        <v>42.625</v>
      </c>
      <c r="M161" s="55">
        <f t="shared" si="150"/>
        <v>43</v>
      </c>
      <c r="N161" s="56">
        <v>42</v>
      </c>
      <c r="O161" s="57">
        <f t="shared" si="187"/>
        <v>27.678750000000001</v>
      </c>
      <c r="P161" s="58">
        <f t="shared" si="123"/>
        <v>-1</v>
      </c>
      <c r="Q161" s="59">
        <f t="shared" si="152"/>
        <v>7</v>
      </c>
      <c r="R161" s="60">
        <v>13</v>
      </c>
      <c r="S161" s="60">
        <f>2+6</f>
        <v>8</v>
      </c>
      <c r="T161" s="60">
        <f t="shared" si="151"/>
        <v>17</v>
      </c>
      <c r="U161" s="60">
        <f t="shared" si="148"/>
        <v>4</v>
      </c>
      <c r="V161" s="62"/>
      <c r="W161" s="30"/>
      <c r="X161" s="30"/>
      <c r="Y161" s="30"/>
      <c r="Z161" s="30">
        <v>3</v>
      </c>
      <c r="AA161" s="30">
        <v>2</v>
      </c>
      <c r="AB161" s="30">
        <v>4</v>
      </c>
      <c r="AC161" s="30"/>
      <c r="AD161" s="30">
        <v>2</v>
      </c>
      <c r="AE161" s="30"/>
      <c r="AF161" s="30">
        <v>1</v>
      </c>
      <c r="AG161" s="30">
        <v>3</v>
      </c>
      <c r="AH161" s="30"/>
      <c r="AI161" s="30"/>
      <c r="AJ161" s="30"/>
      <c r="AK161" s="30"/>
      <c r="AL161" s="30"/>
      <c r="AM161" s="30"/>
      <c r="AN161" s="30"/>
      <c r="AO161" s="30"/>
      <c r="AP161" s="31"/>
      <c r="AQ161" s="32"/>
      <c r="AR161" s="33"/>
      <c r="AS161" s="31"/>
      <c r="AT161" s="63"/>
      <c r="AU161" s="34"/>
      <c r="AV161" s="34"/>
      <c r="AW161" s="34"/>
      <c r="AX161" s="34"/>
      <c r="AY161" s="34"/>
      <c r="AZ161" s="34"/>
      <c r="BA161" s="34">
        <v>1</v>
      </c>
      <c r="BB161" s="34"/>
      <c r="BC161" s="34">
        <v>1</v>
      </c>
      <c r="BD161" s="34"/>
      <c r="BE161" s="34"/>
      <c r="BF161" s="64"/>
      <c r="BT161" s="64"/>
      <c r="BU161" s="64"/>
      <c r="BV161" s="64"/>
      <c r="BW161" s="64"/>
      <c r="BX161" s="64"/>
      <c r="BY161" s="64"/>
      <c r="BZ161" s="64"/>
      <c r="CA161" s="64"/>
    </row>
    <row r="162" spans="1:136" s="54" customFormat="1" ht="15" customHeight="1" x14ac:dyDescent="0.25">
      <c r="A162" s="22"/>
      <c r="B162" s="22">
        <v>148</v>
      </c>
      <c r="C162" s="77" t="s">
        <v>386</v>
      </c>
      <c r="D162" s="174">
        <v>2019</v>
      </c>
      <c r="E162" s="22" t="s">
        <v>397</v>
      </c>
      <c r="F162" s="22" t="s">
        <v>316</v>
      </c>
      <c r="G162" s="22" t="s">
        <v>231</v>
      </c>
      <c r="H162" s="22" t="s">
        <v>137</v>
      </c>
      <c r="I162" s="55">
        <v>27.46</v>
      </c>
      <c r="J162" s="55">
        <f>IF(I162&lt;=15,$L$2,$L$3)</f>
        <v>30</v>
      </c>
      <c r="K162" s="55">
        <f t="shared" si="120"/>
        <v>5.7460000000000004</v>
      </c>
      <c r="L162" s="55">
        <f t="shared" si="121"/>
        <v>63.206000000000003</v>
      </c>
      <c r="M162" s="55">
        <f t="shared" si="150"/>
        <v>63</v>
      </c>
      <c r="N162" s="56">
        <v>66</v>
      </c>
      <c r="O162" s="57">
        <f t="shared" si="187"/>
        <v>55.276979999999995</v>
      </c>
      <c r="P162" s="58">
        <f t="shared" si="123"/>
        <v>3</v>
      </c>
      <c r="Q162" s="59">
        <f t="shared" si="152"/>
        <v>11</v>
      </c>
      <c r="R162" s="60">
        <v>8</v>
      </c>
      <c r="S162" s="60">
        <f>6+6+6</f>
        <v>18</v>
      </c>
      <c r="T162" s="60">
        <f t="shared" si="151"/>
        <v>12</v>
      </c>
      <c r="U162" s="60">
        <f t="shared" si="148"/>
        <v>14</v>
      </c>
      <c r="V162" s="62"/>
      <c r="W162" s="30"/>
      <c r="X162" s="30"/>
      <c r="Y162" s="30">
        <v>1</v>
      </c>
      <c r="Z162" s="30"/>
      <c r="AA162" s="30"/>
      <c r="AB162" s="30">
        <v>1</v>
      </c>
      <c r="AC162" s="30"/>
      <c r="AD162" s="30"/>
      <c r="AE162" s="30"/>
      <c r="AF162" s="30"/>
      <c r="AG162" s="30">
        <v>1</v>
      </c>
      <c r="AH162" s="30"/>
      <c r="AI162" s="30"/>
      <c r="AJ162" s="30"/>
      <c r="AK162" s="30"/>
      <c r="AL162" s="30"/>
      <c r="AM162" s="30"/>
      <c r="AN162" s="30"/>
      <c r="AO162" s="30"/>
      <c r="AP162" s="31"/>
      <c r="AQ162" s="32"/>
      <c r="AR162" s="33"/>
      <c r="AS162" s="31"/>
      <c r="AT162" s="63"/>
      <c r="AU162" s="34"/>
      <c r="AV162" s="34"/>
      <c r="AW162" s="34"/>
      <c r="AX162" s="34"/>
      <c r="AY162" s="34"/>
      <c r="AZ162" s="34">
        <v>1</v>
      </c>
      <c r="BA162" s="34"/>
      <c r="BB162" s="34"/>
      <c r="BC162" s="34"/>
      <c r="BD162" s="34">
        <v>2</v>
      </c>
      <c r="BE162" s="34"/>
      <c r="BF162" s="64">
        <v>3</v>
      </c>
      <c r="BG162" s="64"/>
      <c r="BH162" s="64"/>
      <c r="BI162" s="64"/>
      <c r="BJ162" s="64">
        <v>1</v>
      </c>
      <c r="BK162" s="64"/>
      <c r="BL162" s="64">
        <v>2</v>
      </c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</row>
    <row r="163" spans="1:136" ht="15" customHeight="1" x14ac:dyDescent="0.25">
      <c r="A163" s="22"/>
      <c r="B163" s="29">
        <v>149</v>
      </c>
      <c r="C163" s="77" t="s">
        <v>386</v>
      </c>
      <c r="D163" s="174">
        <v>2008</v>
      </c>
      <c r="E163" s="22" t="s">
        <v>398</v>
      </c>
      <c r="F163" s="22" t="s">
        <v>222</v>
      </c>
      <c r="G163" s="22" t="s">
        <v>223</v>
      </c>
      <c r="H163" s="22" t="s">
        <v>137</v>
      </c>
      <c r="I163" s="55">
        <v>108</v>
      </c>
      <c r="J163" s="55">
        <v>80</v>
      </c>
      <c r="K163" s="55">
        <f t="shared" si="120"/>
        <v>18.8</v>
      </c>
      <c r="L163" s="55">
        <f t="shared" si="121"/>
        <v>206.8</v>
      </c>
      <c r="M163" s="55">
        <f t="shared" si="150"/>
        <v>207</v>
      </c>
      <c r="N163" s="56">
        <v>207</v>
      </c>
      <c r="O163" s="57">
        <f t="shared" si="187"/>
        <v>217.40399999999997</v>
      </c>
      <c r="P163" s="58">
        <f t="shared" si="123"/>
        <v>0</v>
      </c>
      <c r="Q163" s="59">
        <f t="shared" si="152"/>
        <v>34.5</v>
      </c>
      <c r="R163" s="60">
        <v>2</v>
      </c>
      <c r="S163" s="60">
        <v>1</v>
      </c>
      <c r="T163" s="60">
        <f t="shared" si="151"/>
        <v>0</v>
      </c>
      <c r="U163" s="60">
        <f t="shared" si="148"/>
        <v>3</v>
      </c>
      <c r="V163" s="62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1"/>
      <c r="AQ163" s="32"/>
      <c r="AR163" s="33"/>
      <c r="AS163" s="31"/>
      <c r="AT163" s="63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64"/>
      <c r="BT163" s="64"/>
      <c r="BU163" s="64"/>
      <c r="BV163" s="64"/>
      <c r="BW163" s="64"/>
      <c r="BX163" s="64"/>
      <c r="BY163" s="64"/>
      <c r="BZ163" s="64"/>
      <c r="CA163" s="64"/>
    </row>
    <row r="164" spans="1:136" ht="15" customHeight="1" x14ac:dyDescent="0.25">
      <c r="A164" s="22"/>
      <c r="B164" s="22">
        <v>150</v>
      </c>
      <c r="C164" s="77" t="s">
        <v>386</v>
      </c>
      <c r="D164" s="174">
        <v>2019</v>
      </c>
      <c r="E164" s="22" t="s">
        <v>399</v>
      </c>
      <c r="F164" s="22" t="s">
        <v>222</v>
      </c>
      <c r="G164" s="22" t="s">
        <v>223</v>
      </c>
      <c r="H164" s="22" t="s">
        <v>78</v>
      </c>
      <c r="I164" s="55">
        <v>125</v>
      </c>
      <c r="J164" s="55">
        <v>100</v>
      </c>
      <c r="K164" s="55">
        <f>(I164+J164)*0.1</f>
        <v>22.5</v>
      </c>
      <c r="L164" s="55">
        <f>SUM(I164:K164)</f>
        <v>247.5</v>
      </c>
      <c r="M164" s="55">
        <v>250</v>
      </c>
      <c r="N164" s="56">
        <v>250</v>
      </c>
      <c r="O164" s="57">
        <f t="shared" si="187"/>
        <v>251.625</v>
      </c>
      <c r="P164" s="58">
        <f>N164-M164</f>
        <v>0</v>
      </c>
      <c r="Q164" s="59">
        <f t="shared" si="152"/>
        <v>41.666666666666664</v>
      </c>
      <c r="R164" s="60">
        <v>5</v>
      </c>
      <c r="S164" s="60"/>
      <c r="T164" s="60">
        <f t="shared" si="151"/>
        <v>1</v>
      </c>
      <c r="U164" s="60">
        <f t="shared" si="148"/>
        <v>4</v>
      </c>
      <c r="V164" s="62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1"/>
      <c r="AQ164" s="32"/>
      <c r="AR164" s="33"/>
      <c r="AS164" s="31"/>
      <c r="AT164" s="63"/>
      <c r="AU164" s="34"/>
      <c r="AV164" s="34"/>
      <c r="AW164" s="34"/>
      <c r="AX164" s="34"/>
      <c r="AY164" s="34"/>
      <c r="AZ164" s="34">
        <v>1</v>
      </c>
      <c r="BA164" s="34"/>
      <c r="BB164" s="34"/>
      <c r="BC164" s="34"/>
      <c r="BD164" s="34"/>
      <c r="BE164" s="34"/>
      <c r="BF164" s="64"/>
      <c r="BT164" s="64"/>
      <c r="BU164" s="64"/>
      <c r="BV164" s="64"/>
      <c r="BW164" s="64"/>
      <c r="BX164" s="64"/>
      <c r="BY164" s="64"/>
      <c r="BZ164" s="64"/>
      <c r="CA164" s="64"/>
    </row>
    <row r="165" spans="1:136" ht="15" customHeight="1" x14ac:dyDescent="0.25">
      <c r="A165" s="22"/>
      <c r="B165" s="22">
        <v>150.19999999999999</v>
      </c>
      <c r="C165" s="77" t="s">
        <v>386</v>
      </c>
      <c r="D165" s="174">
        <v>2020</v>
      </c>
      <c r="E165" s="22" t="s">
        <v>399</v>
      </c>
      <c r="F165" s="22" t="s">
        <v>222</v>
      </c>
      <c r="G165" s="22" t="s">
        <v>223</v>
      </c>
      <c r="H165" s="22" t="s">
        <v>226</v>
      </c>
      <c r="I165" s="55">
        <v>134</v>
      </c>
      <c r="J165" s="55">
        <v>90</v>
      </c>
      <c r="K165" s="55">
        <f>(I165+J165)*0.1</f>
        <v>22.400000000000002</v>
      </c>
      <c r="L165" s="55">
        <f>SUM(I165:K165)</f>
        <v>246.4</v>
      </c>
      <c r="M165" s="55">
        <f>ROUND(L165,0)</f>
        <v>246</v>
      </c>
      <c r="N165" s="56">
        <v>270</v>
      </c>
      <c r="O165" s="57">
        <f t="shared" ref="O165" si="196">I165*$O$2*1.22</f>
        <v>269.74199999999996</v>
      </c>
      <c r="P165" s="58">
        <f>N165-M165</f>
        <v>24</v>
      </c>
      <c r="Q165" s="59">
        <f t="shared" ref="Q165" si="197">N165/$Q$3</f>
        <v>45</v>
      </c>
      <c r="R165" s="60">
        <v>2</v>
      </c>
      <c r="S165" s="60"/>
      <c r="T165" s="60">
        <f t="shared" ref="T165" si="198">W165+X165+Y165+Z165+AA165+AB165+AC165+AD165+AE165+AF165+AG165+AH165+AI165+AJ165+AK165+AL165+AM165+AN165+AO165+AP165+AQ165+AR165+AS165+AT165+AU165+AV165+AW165+AX165+AY165+AZ165+BA165+BB165+BC165+BD165+BE165+BF165+BG165+BH165+BI165+BJ165+BK165+BL165+BM165+BQ165+BR165+BS165+BT165</f>
        <v>0</v>
      </c>
      <c r="U165" s="60">
        <f t="shared" ref="U165" si="199">R165+S165-T165</f>
        <v>2</v>
      </c>
      <c r="V165" s="62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1"/>
      <c r="AQ165" s="32"/>
      <c r="AR165" s="33"/>
      <c r="AS165" s="31"/>
      <c r="AT165" s="63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64"/>
      <c r="BT165" s="64"/>
      <c r="BU165" s="64"/>
      <c r="BV165" s="64"/>
      <c r="BW165" s="64"/>
      <c r="BX165" s="64"/>
      <c r="BY165" s="64"/>
      <c r="BZ165" s="64"/>
      <c r="CA165" s="64"/>
    </row>
    <row r="166" spans="1:136" s="84" customFormat="1" ht="15" customHeight="1" x14ac:dyDescent="0.25">
      <c r="A166" s="22"/>
      <c r="B166" s="22">
        <v>151</v>
      </c>
      <c r="C166" s="77" t="s">
        <v>386</v>
      </c>
      <c r="D166" s="174">
        <v>2017</v>
      </c>
      <c r="E166" s="22" t="s">
        <v>400</v>
      </c>
      <c r="F166" s="22" t="s">
        <v>262</v>
      </c>
      <c r="G166" s="22" t="s">
        <v>77</v>
      </c>
      <c r="H166" s="22" t="s">
        <v>78</v>
      </c>
      <c r="I166" s="55">
        <v>56</v>
      </c>
      <c r="J166" s="55">
        <v>50</v>
      </c>
      <c r="K166" s="55">
        <f t="shared" si="120"/>
        <v>10.600000000000001</v>
      </c>
      <c r="L166" s="55">
        <f t="shared" si="121"/>
        <v>116.6</v>
      </c>
      <c r="M166" s="55">
        <f t="shared" si="150"/>
        <v>117</v>
      </c>
      <c r="N166" s="56">
        <v>130</v>
      </c>
      <c r="O166" s="57">
        <f t="shared" si="187"/>
        <v>112.72799999999998</v>
      </c>
      <c r="P166" s="58">
        <f t="shared" si="123"/>
        <v>13</v>
      </c>
      <c r="Q166" s="59">
        <f t="shared" si="152"/>
        <v>21.666666666666668</v>
      </c>
      <c r="R166" s="60">
        <v>2</v>
      </c>
      <c r="S166" s="60"/>
      <c r="T166" s="60">
        <f>W166+X166+Y166+Z166+AA166+AB166+AC166+AD166+AE166+AF166+AG166+AH166+AI166+AJ166+AK166+AL166+AM166+AN166+AO166+AP166+AQ166+AR166+AS166+AT166+AU166+AV166+AW166+AX166+AY166+AZ166+BA166+BB166+BC166+BD166+BE166+BF166+BG166+BH166+BI166+BJ166+BK166+BL166+BM166+BQ166+BR166+BS166+BT166</f>
        <v>1</v>
      </c>
      <c r="U166" s="60">
        <f t="shared" si="148"/>
        <v>1</v>
      </c>
      <c r="V166" s="62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1"/>
      <c r="AQ166" s="32"/>
      <c r="AR166" s="33"/>
      <c r="AS166" s="31"/>
      <c r="AT166" s="63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>
        <v>1</v>
      </c>
      <c r="BQ166" s="64"/>
      <c r="BR166" s="64"/>
      <c r="BS166" s="64"/>
      <c r="BT166" s="64">
        <v>1</v>
      </c>
      <c r="BU166" s="64"/>
      <c r="BV166" s="64"/>
      <c r="BW166" s="64"/>
      <c r="BX166" s="64"/>
      <c r="BY166" s="64"/>
      <c r="BZ166" s="64"/>
      <c r="CA166" s="64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  <c r="DS166" s="66"/>
      <c r="DT166" s="66"/>
      <c r="DU166" s="66"/>
      <c r="DV166" s="66"/>
      <c r="DW166" s="66"/>
      <c r="DX166" s="66"/>
      <c r="DY166" s="66"/>
      <c r="DZ166" s="66"/>
      <c r="EA166" s="66"/>
      <c r="EB166" s="66"/>
      <c r="EC166" s="66"/>
      <c r="ED166" s="66"/>
      <c r="EE166" s="66"/>
      <c r="EF166" s="66"/>
    </row>
    <row r="167" spans="1:136" s="84" customFormat="1" ht="15" customHeight="1" x14ac:dyDescent="0.25">
      <c r="A167" s="22"/>
      <c r="B167" s="22">
        <v>152</v>
      </c>
      <c r="C167" s="77" t="s">
        <v>386</v>
      </c>
      <c r="D167" s="174">
        <v>2019</v>
      </c>
      <c r="E167" s="22" t="s">
        <v>400</v>
      </c>
      <c r="F167" s="22" t="s">
        <v>262</v>
      </c>
      <c r="G167" s="22" t="s">
        <v>77</v>
      </c>
      <c r="H167" s="22" t="s">
        <v>78</v>
      </c>
      <c r="I167" s="55">
        <v>64</v>
      </c>
      <c r="J167" s="55">
        <v>50</v>
      </c>
      <c r="K167" s="55">
        <f t="shared" ref="K167" si="200">(I167+J167)*0.1</f>
        <v>11.4</v>
      </c>
      <c r="L167" s="55">
        <f t="shared" ref="L167" si="201">SUM(I167:K167)</f>
        <v>125.4</v>
      </c>
      <c r="M167" s="55">
        <f t="shared" ref="M167" si="202">ROUND(L167,0)</f>
        <v>125</v>
      </c>
      <c r="N167" s="56">
        <v>125</v>
      </c>
      <c r="O167" s="57">
        <f t="shared" ref="O167" si="203">I167*$O$2*1.22</f>
        <v>128.83199999999999</v>
      </c>
      <c r="P167" s="58">
        <f t="shared" ref="P167" si="204">N167-M167</f>
        <v>0</v>
      </c>
      <c r="Q167" s="59">
        <f t="shared" ref="Q167" si="205">N167/$Q$3</f>
        <v>20.833333333333332</v>
      </c>
      <c r="R167" s="60"/>
      <c r="S167" s="60">
        <f>4+2</f>
        <v>6</v>
      </c>
      <c r="T167" s="60">
        <f>W167+X167+Y167+Z167+AA167+AB167+AC167+AD167+AE167+AF167+AG167+AH167+AI167+AJ167+AK167+AL167+AM167+AN167+AO167+AP167+AQ167+AR167+AS167+AT167+AU167+AV167+AW167+AX167+AY167+AZ167+BA167+BB167+BC167+BD167+BE167+BF167+BG167+BH167+BI167+BJ167+BK167+BL167+BM167+BQ167+BR167+BS167+BT167</f>
        <v>0</v>
      </c>
      <c r="U167" s="60">
        <f t="shared" ref="U167" si="206">R167+S167-T167</f>
        <v>6</v>
      </c>
      <c r="V167" s="62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1"/>
      <c r="AQ167" s="32"/>
      <c r="AR167" s="33"/>
      <c r="AS167" s="31"/>
      <c r="AT167" s="63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64"/>
      <c r="BG167" s="64"/>
      <c r="BH167" s="64"/>
      <c r="BI167" s="64"/>
      <c r="BJ167" s="64"/>
      <c r="BK167" s="64"/>
      <c r="BL167" s="64"/>
      <c r="BM167" s="64"/>
      <c r="BN167" s="64">
        <v>1</v>
      </c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  <c r="DS167" s="66"/>
      <c r="DT167" s="66"/>
      <c r="DU167" s="66"/>
      <c r="DV167" s="66"/>
      <c r="DW167" s="66"/>
      <c r="DX167" s="66"/>
      <c r="DY167" s="66"/>
      <c r="DZ167" s="66"/>
      <c r="EA167" s="66"/>
      <c r="EB167" s="66"/>
      <c r="EC167" s="66"/>
      <c r="ED167" s="66"/>
      <c r="EE167" s="66"/>
      <c r="EF167" s="66"/>
    </row>
    <row r="168" spans="1:136" s="84" customFormat="1" ht="15" customHeight="1" x14ac:dyDescent="0.25">
      <c r="A168" s="22"/>
      <c r="B168" s="22">
        <v>152</v>
      </c>
      <c r="C168" s="77" t="s">
        <v>386</v>
      </c>
      <c r="D168" s="174">
        <v>2016</v>
      </c>
      <c r="E168" s="22" t="s">
        <v>401</v>
      </c>
      <c r="F168" s="22" t="s">
        <v>402</v>
      </c>
      <c r="G168" s="22" t="s">
        <v>238</v>
      </c>
      <c r="H168" s="22" t="s">
        <v>137</v>
      </c>
      <c r="I168" s="55">
        <v>77</v>
      </c>
      <c r="J168" s="55">
        <v>65</v>
      </c>
      <c r="K168" s="55">
        <f t="shared" si="120"/>
        <v>14.200000000000001</v>
      </c>
      <c r="L168" s="55">
        <f t="shared" si="121"/>
        <v>156.19999999999999</v>
      </c>
      <c r="M168" s="55">
        <f t="shared" si="150"/>
        <v>156</v>
      </c>
      <c r="N168" s="56">
        <v>159</v>
      </c>
      <c r="O168" s="57">
        <f t="shared" si="187"/>
        <v>155.001</v>
      </c>
      <c r="P168" s="85">
        <f t="shared" si="123"/>
        <v>3</v>
      </c>
      <c r="Q168" s="59">
        <f t="shared" si="152"/>
        <v>26.5</v>
      </c>
      <c r="R168" s="60">
        <v>2</v>
      </c>
      <c r="S168" s="60"/>
      <c r="T168" s="60">
        <f t="shared" si="151"/>
        <v>1</v>
      </c>
      <c r="U168" s="60">
        <f t="shared" si="148"/>
        <v>1</v>
      </c>
      <c r="V168" s="69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1"/>
      <c r="AQ168" s="32">
        <v>1</v>
      </c>
      <c r="AR168" s="33"/>
      <c r="AS168" s="31"/>
      <c r="AT168" s="63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  <c r="DS168" s="66"/>
      <c r="DT168" s="66"/>
      <c r="DU168" s="66"/>
      <c r="DV168" s="66"/>
      <c r="DW168" s="66"/>
      <c r="DX168" s="66"/>
      <c r="DY168" s="66"/>
      <c r="DZ168" s="66"/>
      <c r="EA168" s="66"/>
      <c r="EB168" s="66"/>
      <c r="EC168" s="66"/>
      <c r="ED168" s="66"/>
      <c r="EE168" s="66"/>
      <c r="EF168" s="66"/>
    </row>
    <row r="169" spans="1:136" ht="14.1" customHeight="1" x14ac:dyDescent="0.25">
      <c r="A169" s="22"/>
      <c r="B169" s="29">
        <v>153</v>
      </c>
      <c r="C169" s="77" t="s">
        <v>386</v>
      </c>
      <c r="D169" s="174">
        <v>2018</v>
      </c>
      <c r="E169" s="22" t="s">
        <v>403</v>
      </c>
      <c r="F169" s="22" t="s">
        <v>404</v>
      </c>
      <c r="G169" s="22" t="s">
        <v>81</v>
      </c>
      <c r="H169" s="22" t="s">
        <v>137</v>
      </c>
      <c r="I169" s="55">
        <v>18.62</v>
      </c>
      <c r="J169" s="55">
        <f t="shared" ref="J169:J177" si="207">IF(I169&lt;=15,$L$2,$L$3)</f>
        <v>30</v>
      </c>
      <c r="K169" s="55">
        <f t="shared" si="120"/>
        <v>4.862000000000001</v>
      </c>
      <c r="L169" s="55">
        <f t="shared" si="121"/>
        <v>53.482000000000006</v>
      </c>
      <c r="M169" s="55">
        <f t="shared" si="150"/>
        <v>53</v>
      </c>
      <c r="N169" s="56">
        <v>52</v>
      </c>
      <c r="O169" s="57">
        <f t="shared" si="187"/>
        <v>37.482059999999997</v>
      </c>
      <c r="P169" s="85">
        <f t="shared" si="123"/>
        <v>-1</v>
      </c>
      <c r="Q169" s="59">
        <f t="shared" si="152"/>
        <v>8.6666666666666661</v>
      </c>
      <c r="R169" s="60">
        <v>4</v>
      </c>
      <c r="S169" s="60">
        <v>6</v>
      </c>
      <c r="T169" s="60">
        <f t="shared" si="151"/>
        <v>4</v>
      </c>
      <c r="U169" s="60">
        <f t="shared" si="148"/>
        <v>6</v>
      </c>
      <c r="V169" s="69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1"/>
      <c r="AQ169" s="32">
        <v>1</v>
      </c>
      <c r="AR169" s="33"/>
      <c r="AS169" s="31"/>
      <c r="AT169" s="63"/>
      <c r="AU169" s="34"/>
      <c r="AV169" s="34"/>
      <c r="AW169" s="34"/>
      <c r="AX169" s="34"/>
      <c r="AY169" s="34"/>
      <c r="AZ169" s="34"/>
      <c r="BA169" s="34">
        <v>1</v>
      </c>
      <c r="BB169" s="34"/>
      <c r="BC169" s="34"/>
      <c r="BD169" s="34"/>
      <c r="BE169" s="34"/>
      <c r="BF169" s="64">
        <v>1</v>
      </c>
      <c r="BH169" s="64">
        <v>1</v>
      </c>
      <c r="BT169" s="64"/>
      <c r="BU169" s="64"/>
      <c r="BV169" s="64"/>
      <c r="BW169" s="64"/>
      <c r="BX169" s="64"/>
      <c r="BY169" s="64"/>
      <c r="BZ169" s="64"/>
      <c r="CA169" s="64"/>
    </row>
    <row r="170" spans="1:136" ht="14.25" customHeight="1" x14ac:dyDescent="0.25">
      <c r="A170" s="22"/>
      <c r="B170" s="22">
        <v>154</v>
      </c>
      <c r="C170" s="77" t="s">
        <v>386</v>
      </c>
      <c r="D170" s="174">
        <v>2020</v>
      </c>
      <c r="E170" s="22" t="s">
        <v>405</v>
      </c>
      <c r="F170" s="22" t="s">
        <v>406</v>
      </c>
      <c r="G170" s="22" t="s">
        <v>81</v>
      </c>
      <c r="H170" s="22" t="s">
        <v>78</v>
      </c>
      <c r="I170" s="55">
        <v>24</v>
      </c>
      <c r="J170" s="55">
        <f t="shared" si="207"/>
        <v>30</v>
      </c>
      <c r="K170" s="55">
        <f>(I170+J170)*0.1</f>
        <v>5.4</v>
      </c>
      <c r="L170" s="55">
        <f>SUM(I170:K170)</f>
        <v>59.4</v>
      </c>
      <c r="M170" s="55">
        <f>ROUND(L170,0)</f>
        <v>59</v>
      </c>
      <c r="N170" s="56">
        <v>58</v>
      </c>
      <c r="O170" s="57">
        <f t="shared" si="187"/>
        <v>48.311999999999991</v>
      </c>
      <c r="P170" s="85">
        <f>N170-M170</f>
        <v>-1</v>
      </c>
      <c r="Q170" s="59">
        <f t="shared" si="152"/>
        <v>9.6666666666666661</v>
      </c>
      <c r="R170" s="60">
        <v>6</v>
      </c>
      <c r="S170" s="60">
        <f>2+6+6</f>
        <v>14</v>
      </c>
      <c r="T170" s="60">
        <f t="shared" si="151"/>
        <v>12</v>
      </c>
      <c r="U170" s="60">
        <f>R170+S170-T170</f>
        <v>8</v>
      </c>
      <c r="V170" s="69"/>
      <c r="W170" s="30"/>
      <c r="X170" s="30"/>
      <c r="Y170" s="30">
        <v>1</v>
      </c>
      <c r="Z170" s="30"/>
      <c r="AA170" s="30"/>
      <c r="AB170" s="30"/>
      <c r="AC170" s="30"/>
      <c r="AD170" s="30"/>
      <c r="AE170" s="30"/>
      <c r="AF170" s="30">
        <v>1</v>
      </c>
      <c r="AG170" s="30"/>
      <c r="AH170" s="30"/>
      <c r="AI170" s="30"/>
      <c r="AJ170" s="30"/>
      <c r="AK170" s="30"/>
      <c r="AL170" s="30"/>
      <c r="AM170" s="30"/>
      <c r="AN170" s="30"/>
      <c r="AO170" s="30"/>
      <c r="AP170" s="31"/>
      <c r="AQ170" s="32">
        <v>1</v>
      </c>
      <c r="AR170" s="33"/>
      <c r="AS170" s="31"/>
      <c r="AT170" s="63"/>
      <c r="AU170" s="34"/>
      <c r="AV170" s="34"/>
      <c r="AW170" s="34">
        <v>1</v>
      </c>
      <c r="AX170" s="34"/>
      <c r="AY170" s="34">
        <v>1</v>
      </c>
      <c r="AZ170" s="34"/>
      <c r="BA170" s="34"/>
      <c r="BB170" s="34"/>
      <c r="BC170" s="34"/>
      <c r="BD170" s="34"/>
      <c r="BE170" s="34"/>
      <c r="BF170" s="64">
        <v>1</v>
      </c>
      <c r="BI170" s="64">
        <v>1</v>
      </c>
      <c r="BK170" s="64">
        <v>3</v>
      </c>
      <c r="BT170" s="64">
        <v>2</v>
      </c>
      <c r="BU170" s="64"/>
      <c r="BV170" s="64"/>
      <c r="BW170" s="64"/>
      <c r="BX170" s="64"/>
      <c r="BY170" s="64"/>
      <c r="BZ170" s="64"/>
      <c r="CA170" s="64"/>
    </row>
    <row r="171" spans="1:136" ht="15" customHeight="1" x14ac:dyDescent="0.25">
      <c r="A171" s="22"/>
      <c r="B171" s="22">
        <v>155</v>
      </c>
      <c r="C171" s="77" t="s">
        <v>386</v>
      </c>
      <c r="D171" s="174">
        <v>2016</v>
      </c>
      <c r="E171" s="22" t="s">
        <v>407</v>
      </c>
      <c r="F171" s="22" t="s">
        <v>408</v>
      </c>
      <c r="G171" s="22" t="s">
        <v>409</v>
      </c>
      <c r="H171" s="22" t="s">
        <v>164</v>
      </c>
      <c r="I171" s="55">
        <v>31.75</v>
      </c>
      <c r="J171" s="55">
        <f t="shared" si="207"/>
        <v>30</v>
      </c>
      <c r="K171" s="55">
        <f t="shared" si="120"/>
        <v>6.1750000000000007</v>
      </c>
      <c r="L171" s="55">
        <f t="shared" si="121"/>
        <v>67.924999999999997</v>
      </c>
      <c r="M171" s="55">
        <f t="shared" si="150"/>
        <v>68</v>
      </c>
      <c r="N171" s="56">
        <v>68</v>
      </c>
      <c r="O171" s="57">
        <f t="shared" si="187"/>
        <v>63.912749999999996</v>
      </c>
      <c r="P171" s="58">
        <f t="shared" si="123"/>
        <v>0</v>
      </c>
      <c r="Q171" s="59">
        <f t="shared" si="152"/>
        <v>11.333333333333334</v>
      </c>
      <c r="R171" s="60">
        <v>11</v>
      </c>
      <c r="S171" s="60">
        <v>5</v>
      </c>
      <c r="T171" s="60">
        <f t="shared" si="151"/>
        <v>8</v>
      </c>
      <c r="U171" s="60">
        <f t="shared" si="148"/>
        <v>8</v>
      </c>
      <c r="V171" s="62"/>
      <c r="W171" s="30"/>
      <c r="X171" s="30"/>
      <c r="Y171" s="30"/>
      <c r="Z171" s="30"/>
      <c r="AA171" s="30">
        <v>1</v>
      </c>
      <c r="AB171" s="30"/>
      <c r="AC171" s="30"/>
      <c r="AD171" s="30"/>
      <c r="AE171" s="30"/>
      <c r="AF171" s="30"/>
      <c r="AG171" s="30">
        <v>1</v>
      </c>
      <c r="AH171" s="30"/>
      <c r="AI171" s="30"/>
      <c r="AJ171" s="30"/>
      <c r="AK171" s="30"/>
      <c r="AL171" s="30"/>
      <c r="AM171" s="30"/>
      <c r="AN171" s="30"/>
      <c r="AO171" s="30"/>
      <c r="AP171" s="31"/>
      <c r="AQ171" s="32"/>
      <c r="AR171" s="33"/>
      <c r="AS171" s="31"/>
      <c r="AT171" s="63"/>
      <c r="AU171" s="34"/>
      <c r="AV171" s="34"/>
      <c r="AW171" s="34"/>
      <c r="AX171" s="34"/>
      <c r="AY171" s="34">
        <v>1</v>
      </c>
      <c r="AZ171" s="34"/>
      <c r="BA171" s="34"/>
      <c r="BB171" s="34"/>
      <c r="BC171" s="34">
        <v>1</v>
      </c>
      <c r="BD171" s="34"/>
      <c r="BE171" s="34">
        <v>1</v>
      </c>
      <c r="BF171" s="64"/>
      <c r="BQ171" s="64">
        <v>2</v>
      </c>
      <c r="BT171" s="64">
        <v>1</v>
      </c>
      <c r="BU171" s="64"/>
      <c r="BV171" s="64"/>
      <c r="BW171" s="64"/>
      <c r="BX171" s="64"/>
      <c r="BY171" s="64"/>
      <c r="BZ171" s="64"/>
      <c r="CA171" s="64"/>
    </row>
    <row r="172" spans="1:136" ht="15" customHeight="1" x14ac:dyDescent="0.25">
      <c r="A172" s="22"/>
      <c r="B172" s="22">
        <v>156</v>
      </c>
      <c r="C172" s="77" t="s">
        <v>386</v>
      </c>
      <c r="D172" s="174">
        <v>2007</v>
      </c>
      <c r="E172" s="68" t="s">
        <v>407</v>
      </c>
      <c r="F172" s="22" t="s">
        <v>408</v>
      </c>
      <c r="G172" s="22" t="s">
        <v>409</v>
      </c>
      <c r="H172" s="22" t="s">
        <v>164</v>
      </c>
      <c r="I172" s="55">
        <v>40.9</v>
      </c>
      <c r="J172" s="55">
        <v>40</v>
      </c>
      <c r="K172" s="55">
        <f>(I172+J172)*0.1</f>
        <v>8.0900000000000016</v>
      </c>
      <c r="L172" s="55">
        <f>SUM(I172:K172)</f>
        <v>88.990000000000009</v>
      </c>
      <c r="M172" s="55">
        <f>ROUND(L172,0)</f>
        <v>89</v>
      </c>
      <c r="N172" s="56">
        <v>89</v>
      </c>
      <c r="O172" s="57">
        <f>I172*$O$2*1.22</f>
        <v>82.331699999999998</v>
      </c>
      <c r="P172" s="58">
        <f>N172-M172</f>
        <v>0</v>
      </c>
      <c r="Q172" s="59">
        <f>N172/$Q$3</f>
        <v>14.833333333333334</v>
      </c>
      <c r="R172" s="60"/>
      <c r="S172" s="60">
        <v>5</v>
      </c>
      <c r="T172" s="60">
        <f>W172+X172+Y172+Z172+AA172+AB172+AC172+AD172+AE172+AF172+AG172+AH172+AI172+AJ172+AK172+AL172+AM172+AN172+AO172+AP172+AQ172+AR172+AS172+AT172+AU172+AV172+AW172+AX172+AY172+AZ172+BA172+BB172+BC172+BD172+BE172+BF172+BG172+BH172+BI172+BJ172+BK172+BL172+BM172+BQ172+BR172+BS172+BT172</f>
        <v>2</v>
      </c>
      <c r="U172" s="60">
        <f>R172+S172-T172</f>
        <v>3</v>
      </c>
      <c r="V172" s="62"/>
      <c r="W172" s="30"/>
      <c r="X172" s="30"/>
      <c r="Y172" s="30"/>
      <c r="Z172" s="30"/>
      <c r="AA172" s="30"/>
      <c r="AB172" s="30"/>
      <c r="AC172" s="30"/>
      <c r="AD172" s="30"/>
      <c r="AE172" s="30"/>
      <c r="AF172" s="30">
        <v>1</v>
      </c>
      <c r="AG172" s="30"/>
      <c r="AH172" s="30"/>
      <c r="AI172" s="30"/>
      <c r="AJ172" s="30"/>
      <c r="AK172" s="30"/>
      <c r="AL172" s="30"/>
      <c r="AM172" s="30"/>
      <c r="AN172" s="30"/>
      <c r="AO172" s="30"/>
      <c r="AP172" s="31"/>
      <c r="AQ172" s="32"/>
      <c r="AR172" s="33"/>
      <c r="AS172" s="31"/>
      <c r="AT172" s="63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64"/>
      <c r="BJ172" s="64">
        <v>1</v>
      </c>
      <c r="BT172" s="64"/>
      <c r="BU172" s="64"/>
      <c r="BV172" s="64"/>
      <c r="BW172" s="64"/>
      <c r="BX172" s="64"/>
      <c r="BY172" s="64"/>
      <c r="BZ172" s="64"/>
      <c r="CA172" s="64"/>
    </row>
    <row r="173" spans="1:136" ht="15" customHeight="1" x14ac:dyDescent="0.25">
      <c r="A173" s="22"/>
      <c r="B173" s="22">
        <v>156.5</v>
      </c>
      <c r="C173" s="77" t="s">
        <v>386</v>
      </c>
      <c r="D173" s="186">
        <v>2019</v>
      </c>
      <c r="E173" s="68" t="s">
        <v>410</v>
      </c>
      <c r="F173" s="22" t="s">
        <v>411</v>
      </c>
      <c r="G173" s="22" t="s">
        <v>215</v>
      </c>
      <c r="H173" s="22" t="s">
        <v>132</v>
      </c>
      <c r="I173" s="55">
        <v>19.899999999999999</v>
      </c>
      <c r="J173" s="55">
        <v>30</v>
      </c>
      <c r="K173" s="55">
        <f>(I173+J173)*0.1</f>
        <v>4.99</v>
      </c>
      <c r="L173" s="55">
        <f>SUM(I173:K173)</f>
        <v>54.89</v>
      </c>
      <c r="M173" s="55">
        <f>ROUND(L173,0)</f>
        <v>55</v>
      </c>
      <c r="N173" s="56">
        <v>54</v>
      </c>
      <c r="O173" s="57">
        <f>I173*$O$2*1.22</f>
        <v>40.058699999999995</v>
      </c>
      <c r="P173" s="58">
        <f>N173-M173</f>
        <v>-1</v>
      </c>
      <c r="Q173" s="59">
        <f>N173/$Q$3</f>
        <v>9</v>
      </c>
      <c r="R173" s="60"/>
      <c r="S173" s="60">
        <v>12</v>
      </c>
      <c r="T173" s="60">
        <f>W173+X173+Y173+Z173+AA173+AB173+AC173+AD173+AE173+AF173+AG173+AH173+AI173+AJ173+AK173+AL173+AM173+AN173+AO173+AP173+AQ173+AR173+AS173+AT173+AU173+AV173+AW173+AX173+AY173+AZ173+BA173+BB173+BC173+BD173+BE173+BF173+BG173+BH173+BI173+BJ173+BK173+BL173+BM173+BQ173+BR173+BS173+BT173</f>
        <v>3</v>
      </c>
      <c r="U173" s="60">
        <f>R173+S173-T173</f>
        <v>9</v>
      </c>
      <c r="V173" s="62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1"/>
      <c r="AQ173" s="32"/>
      <c r="AR173" s="33"/>
      <c r="AS173" s="31"/>
      <c r="AT173" s="63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64"/>
      <c r="BN173" s="64">
        <v>2</v>
      </c>
      <c r="BT173" s="64">
        <v>3</v>
      </c>
      <c r="BU173" s="64"/>
      <c r="BV173" s="64"/>
      <c r="BW173" s="64"/>
      <c r="BX173" s="64"/>
      <c r="BY173" s="64"/>
      <c r="BZ173" s="64"/>
      <c r="CA173" s="64"/>
    </row>
    <row r="174" spans="1:136" ht="15" hidden="1" customHeight="1" thickBot="1" x14ac:dyDescent="0.3">
      <c r="A174" s="22" t="s">
        <v>142</v>
      </c>
      <c r="B174" s="29">
        <v>157</v>
      </c>
      <c r="C174" s="70" t="s">
        <v>412</v>
      </c>
      <c r="D174" s="174">
        <v>2021</v>
      </c>
      <c r="E174" s="177" t="s">
        <v>413</v>
      </c>
      <c r="F174" s="179" t="s">
        <v>414</v>
      </c>
      <c r="G174" s="178" t="s">
        <v>415</v>
      </c>
      <c r="H174" s="22" t="s">
        <v>416</v>
      </c>
      <c r="I174" s="55">
        <v>8.85</v>
      </c>
      <c r="J174" s="55">
        <f t="shared" si="207"/>
        <v>25</v>
      </c>
      <c r="K174" s="55">
        <f>(I174+J174)*0.1</f>
        <v>3.3850000000000002</v>
      </c>
      <c r="L174" s="55">
        <f>SUM(I174:K174)</f>
        <v>37.234999999999999</v>
      </c>
      <c r="M174" s="55">
        <f>ROUND(L174,0)</f>
        <v>37</v>
      </c>
      <c r="N174" s="56">
        <v>37</v>
      </c>
      <c r="O174" s="57">
        <f t="shared" si="187"/>
        <v>17.815049999999999</v>
      </c>
      <c r="P174" s="58">
        <f>N174-M174</f>
        <v>0</v>
      </c>
      <c r="Q174" s="59">
        <f t="shared" si="152"/>
        <v>6.166666666666667</v>
      </c>
      <c r="R174" s="60">
        <v>23</v>
      </c>
      <c r="S174" s="60">
        <f>36+60</f>
        <v>96</v>
      </c>
      <c r="T174" s="60">
        <f>W174+X174+Y174+Z174+AA174+AB174+AC174+AD174+AE174+AF174+AG174+AH174+AI174+AJ174+AK174+AL174+AM174+AN174+AO174+AP174+AQ174+AR174+AS174+AT174+AU174+AV174+AW174+AX174+AY174+AZ174+BA174+BB174+BC174+BD174+BE174+BF174+BG174+BH174+BI174+BJ174+BK174+BL174+BM174+BQ174+BR174+BS174+BT174</f>
        <v>119</v>
      </c>
      <c r="U174" s="61">
        <f>R174+S174-T174</f>
        <v>0</v>
      </c>
      <c r="V174" s="62"/>
      <c r="W174" s="30">
        <v>1</v>
      </c>
      <c r="X174" s="30">
        <v>1</v>
      </c>
      <c r="Y174" s="30">
        <v>4</v>
      </c>
      <c r="Z174" s="30"/>
      <c r="AA174" s="30">
        <v>3</v>
      </c>
      <c r="AB174" s="30">
        <v>5</v>
      </c>
      <c r="AC174" s="30"/>
      <c r="AD174" s="30">
        <v>1</v>
      </c>
      <c r="AE174" s="30"/>
      <c r="AF174" s="30"/>
      <c r="AG174" s="30"/>
      <c r="AH174" s="30">
        <v>1</v>
      </c>
      <c r="AI174" s="30"/>
      <c r="AJ174" s="30"/>
      <c r="AK174" s="30"/>
      <c r="AL174" s="30"/>
      <c r="AM174" s="30"/>
      <c r="AN174" s="30"/>
      <c r="AO174" s="30"/>
      <c r="AP174" s="31">
        <v>4</v>
      </c>
      <c r="AQ174" s="32">
        <v>7</v>
      </c>
      <c r="AR174" s="33">
        <v>22</v>
      </c>
      <c r="AS174" s="31">
        <v>3</v>
      </c>
      <c r="AT174" s="63">
        <v>5</v>
      </c>
      <c r="AU174" s="34">
        <v>11</v>
      </c>
      <c r="AV174" s="34">
        <v>7</v>
      </c>
      <c r="AW174" s="34">
        <v>2</v>
      </c>
      <c r="AX174" s="34"/>
      <c r="AY174" s="34">
        <v>2</v>
      </c>
      <c r="AZ174" s="34">
        <v>6</v>
      </c>
      <c r="BA174" s="34">
        <v>1</v>
      </c>
      <c r="BB174" s="34">
        <v>2</v>
      </c>
      <c r="BC174" s="34">
        <v>2</v>
      </c>
      <c r="BD174" s="34">
        <v>4</v>
      </c>
      <c r="BE174" s="34">
        <v>5</v>
      </c>
      <c r="BF174" s="64">
        <v>2</v>
      </c>
      <c r="BG174" s="64">
        <v>2</v>
      </c>
      <c r="BH174" s="64">
        <v>6</v>
      </c>
      <c r="BJ174" s="64">
        <v>10</v>
      </c>
      <c r="BT174" s="65"/>
    </row>
    <row r="175" spans="1:136" s="86" customFormat="1" ht="15" customHeight="1" x14ac:dyDescent="0.25">
      <c r="A175" s="71"/>
      <c r="B175" s="22">
        <v>158</v>
      </c>
      <c r="C175" s="70" t="s">
        <v>412</v>
      </c>
      <c r="D175" s="174">
        <v>2021</v>
      </c>
      <c r="E175" s="29" t="s">
        <v>417</v>
      </c>
      <c r="F175" s="22" t="s">
        <v>214</v>
      </c>
      <c r="G175" s="22" t="s">
        <v>215</v>
      </c>
      <c r="H175" s="22" t="s">
        <v>84</v>
      </c>
      <c r="I175" s="55">
        <v>7.35</v>
      </c>
      <c r="J175" s="55">
        <f t="shared" si="207"/>
        <v>25</v>
      </c>
      <c r="K175" s="55">
        <f t="shared" si="120"/>
        <v>3.2350000000000003</v>
      </c>
      <c r="L175" s="55">
        <f t="shared" si="121"/>
        <v>35.585000000000001</v>
      </c>
      <c r="M175" s="55">
        <f t="shared" si="150"/>
        <v>36</v>
      </c>
      <c r="N175" s="56">
        <v>33</v>
      </c>
      <c r="O175" s="57">
        <f t="shared" si="187"/>
        <v>14.795549999999999</v>
      </c>
      <c r="P175" s="58">
        <f t="shared" si="123"/>
        <v>-3</v>
      </c>
      <c r="Q175" s="59">
        <f t="shared" si="152"/>
        <v>5.5</v>
      </c>
      <c r="R175" s="60">
        <v>11</v>
      </c>
      <c r="S175" s="60"/>
      <c r="T175" s="60">
        <f t="shared" si="151"/>
        <v>11</v>
      </c>
      <c r="U175" s="61">
        <f t="shared" si="148"/>
        <v>0</v>
      </c>
      <c r="V175" s="62"/>
      <c r="W175" s="30"/>
      <c r="X175" s="30"/>
      <c r="Y175" s="30"/>
      <c r="Z175" s="30"/>
      <c r="AA175" s="30"/>
      <c r="AB175" s="30">
        <v>1</v>
      </c>
      <c r="AC175" s="30"/>
      <c r="AD175" s="30">
        <v>2</v>
      </c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1"/>
      <c r="AQ175" s="32"/>
      <c r="AR175" s="33"/>
      <c r="AS175" s="31"/>
      <c r="AT175" s="63">
        <v>8</v>
      </c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  <c r="DO175" s="54"/>
      <c r="DP175" s="54"/>
      <c r="DQ175" s="54"/>
      <c r="DR175" s="54"/>
      <c r="DS175" s="54"/>
      <c r="DT175" s="54"/>
      <c r="DU175" s="54"/>
      <c r="DV175" s="54"/>
      <c r="DW175" s="54"/>
      <c r="DX175" s="54"/>
      <c r="DY175" s="54"/>
      <c r="DZ175" s="54"/>
      <c r="EA175" s="54"/>
      <c r="EB175" s="54"/>
      <c r="EC175" s="54"/>
      <c r="ED175" s="54"/>
      <c r="EE175" s="54"/>
      <c r="EF175" s="54"/>
    </row>
    <row r="176" spans="1:136" ht="17.649999999999999" customHeight="1" x14ac:dyDescent="0.25">
      <c r="A176" s="71"/>
      <c r="B176" s="22">
        <v>160</v>
      </c>
      <c r="C176" s="70" t="s">
        <v>412</v>
      </c>
      <c r="D176" s="174">
        <v>2022</v>
      </c>
      <c r="E176" s="22" t="s">
        <v>418</v>
      </c>
      <c r="F176" s="22" t="s">
        <v>76</v>
      </c>
      <c r="G176" s="22" t="s">
        <v>77</v>
      </c>
      <c r="H176" s="22" t="s">
        <v>135</v>
      </c>
      <c r="I176" s="55">
        <v>14.85</v>
      </c>
      <c r="J176" s="55">
        <f t="shared" si="207"/>
        <v>25</v>
      </c>
      <c r="K176" s="55">
        <f t="shared" si="120"/>
        <v>3.9850000000000003</v>
      </c>
      <c r="L176" s="55">
        <f t="shared" si="121"/>
        <v>43.835000000000001</v>
      </c>
      <c r="M176" s="87">
        <f t="shared" si="150"/>
        <v>44</v>
      </c>
      <c r="N176" s="56">
        <v>44</v>
      </c>
      <c r="O176" s="57">
        <f t="shared" si="187"/>
        <v>29.893049999999995</v>
      </c>
      <c r="P176" s="58">
        <f t="shared" si="123"/>
        <v>0</v>
      </c>
      <c r="Q176" s="59">
        <f t="shared" si="152"/>
        <v>7.333333333333333</v>
      </c>
      <c r="R176" s="60">
        <v>4</v>
      </c>
      <c r="S176" s="60">
        <f>6+6+3+6+6+12+6+6+6</f>
        <v>57</v>
      </c>
      <c r="T176" s="60">
        <f t="shared" si="151"/>
        <v>52</v>
      </c>
      <c r="U176" s="61">
        <f>R176+S176-T176</f>
        <v>9</v>
      </c>
      <c r="V176" s="62"/>
      <c r="W176" s="30">
        <v>1</v>
      </c>
      <c r="X176" s="30"/>
      <c r="Y176" s="30">
        <v>1</v>
      </c>
      <c r="Z176" s="30">
        <v>1</v>
      </c>
      <c r="AA176" s="30">
        <v>3</v>
      </c>
      <c r="AB176" s="30"/>
      <c r="AC176" s="30">
        <v>3</v>
      </c>
      <c r="AD176" s="30">
        <v>5</v>
      </c>
      <c r="AE176" s="30">
        <v>1</v>
      </c>
      <c r="AF176" s="30"/>
      <c r="AG176" s="30">
        <v>1</v>
      </c>
      <c r="AH176" s="30">
        <v>1</v>
      </c>
      <c r="AI176" s="30"/>
      <c r="AJ176" s="30"/>
      <c r="AK176" s="30"/>
      <c r="AL176" s="30"/>
      <c r="AM176" s="30"/>
      <c r="AN176" s="30"/>
      <c r="AO176" s="30"/>
      <c r="AP176" s="31">
        <v>1</v>
      </c>
      <c r="AQ176" s="32"/>
      <c r="AR176" s="33">
        <v>1</v>
      </c>
      <c r="AS176" s="31"/>
      <c r="AT176" s="63">
        <v>1</v>
      </c>
      <c r="AU176" s="34">
        <v>4</v>
      </c>
      <c r="AV176" s="34"/>
      <c r="AW176" s="34">
        <v>1</v>
      </c>
      <c r="AX176" s="34">
        <v>2</v>
      </c>
      <c r="AY176" s="34"/>
      <c r="AZ176" s="34">
        <v>3</v>
      </c>
      <c r="BA176" s="34"/>
      <c r="BB176" s="34">
        <v>3</v>
      </c>
      <c r="BC176" s="34">
        <v>2</v>
      </c>
      <c r="BD176" s="34">
        <v>1</v>
      </c>
      <c r="BE176" s="34">
        <v>1</v>
      </c>
      <c r="BF176" s="64"/>
      <c r="BH176" s="64">
        <v>6</v>
      </c>
      <c r="BI176" s="64">
        <v>2</v>
      </c>
      <c r="BJ176" s="64">
        <v>2</v>
      </c>
      <c r="BK176" s="64">
        <v>1</v>
      </c>
      <c r="BL176" s="64">
        <v>1</v>
      </c>
      <c r="BP176" s="64">
        <v>1</v>
      </c>
      <c r="BQ176" s="64">
        <v>1</v>
      </c>
      <c r="BT176" s="64">
        <v>2</v>
      </c>
      <c r="BU176" s="64"/>
      <c r="BV176" s="64"/>
      <c r="BW176" s="64"/>
      <c r="BX176" s="64"/>
      <c r="BY176" s="64"/>
      <c r="BZ176" s="64"/>
      <c r="CA176" s="64"/>
    </row>
    <row r="177" spans="1:79" ht="15" customHeight="1" x14ac:dyDescent="0.25">
      <c r="A177" s="71"/>
      <c r="B177" s="29">
        <v>161</v>
      </c>
      <c r="C177" s="70" t="s">
        <v>412</v>
      </c>
      <c r="D177" s="174">
        <v>2022</v>
      </c>
      <c r="E177" s="22" t="s">
        <v>419</v>
      </c>
      <c r="F177" s="22" t="s">
        <v>237</v>
      </c>
      <c r="G177" s="22" t="s">
        <v>77</v>
      </c>
      <c r="H177" s="22" t="s">
        <v>78</v>
      </c>
      <c r="I177" s="55">
        <v>12.5</v>
      </c>
      <c r="J177" s="55">
        <f t="shared" si="207"/>
        <v>25</v>
      </c>
      <c r="K177" s="55">
        <f t="shared" ref="K177:K185" si="208">(I177+J177)*0.1</f>
        <v>3.75</v>
      </c>
      <c r="L177" s="55">
        <f t="shared" ref="L177:L185" si="209">SUM(I177:K177)</f>
        <v>41.25</v>
      </c>
      <c r="M177" s="55">
        <f t="shared" ref="M177:M185" si="210">ROUND(L177,0)</f>
        <v>41</v>
      </c>
      <c r="N177" s="56">
        <v>41</v>
      </c>
      <c r="O177" s="57">
        <f t="shared" si="187"/>
        <v>25.162499999999998</v>
      </c>
      <c r="P177" s="58">
        <f t="shared" ref="P177:P185" si="211">N177-M177</f>
        <v>0</v>
      </c>
      <c r="Q177" s="59">
        <f t="shared" si="152"/>
        <v>6.833333333333333</v>
      </c>
      <c r="R177" s="60">
        <v>5</v>
      </c>
      <c r="S177" s="60">
        <f>6+6+6+12+12+6</f>
        <v>48</v>
      </c>
      <c r="T177" s="60">
        <f t="shared" si="151"/>
        <v>57</v>
      </c>
      <c r="U177" s="60">
        <v>9</v>
      </c>
      <c r="V177" s="62"/>
      <c r="W177" s="30">
        <v>4</v>
      </c>
      <c r="X177" s="30">
        <v>1</v>
      </c>
      <c r="Y177" s="30"/>
      <c r="Z177" s="30">
        <v>4</v>
      </c>
      <c r="AA177" s="30"/>
      <c r="AB177" s="30">
        <v>4</v>
      </c>
      <c r="AC177" s="30"/>
      <c r="AD177" s="30">
        <v>1</v>
      </c>
      <c r="AE177" s="30">
        <v>2</v>
      </c>
      <c r="AF177" s="30">
        <v>1</v>
      </c>
      <c r="AG177" s="30">
        <v>1</v>
      </c>
      <c r="AH177" s="30">
        <v>4</v>
      </c>
      <c r="AI177" s="30"/>
      <c r="AJ177" s="30"/>
      <c r="AK177" s="30"/>
      <c r="AL177" s="30"/>
      <c r="AM177" s="30"/>
      <c r="AN177" s="30"/>
      <c r="AO177" s="30"/>
      <c r="AP177" s="31"/>
      <c r="AQ177" s="32">
        <v>2</v>
      </c>
      <c r="AR177" s="33"/>
      <c r="AS177" s="31">
        <v>7</v>
      </c>
      <c r="AT177" s="63">
        <v>5</v>
      </c>
      <c r="AU177" s="34">
        <v>1</v>
      </c>
      <c r="AV177" s="34">
        <v>1</v>
      </c>
      <c r="AW177" s="34">
        <v>1</v>
      </c>
      <c r="AX177" s="34"/>
      <c r="AY177" s="34">
        <v>1</v>
      </c>
      <c r="AZ177" s="34">
        <v>1</v>
      </c>
      <c r="BA177" s="34">
        <v>1</v>
      </c>
      <c r="BB177" s="34">
        <v>1</v>
      </c>
      <c r="BC177" s="34"/>
      <c r="BD177" s="34"/>
      <c r="BE177" s="34">
        <v>1</v>
      </c>
      <c r="BF177" s="64">
        <v>1</v>
      </c>
      <c r="BH177" s="64">
        <v>1</v>
      </c>
      <c r="BI177" s="64">
        <v>3</v>
      </c>
      <c r="BJ177" s="64">
        <v>3</v>
      </c>
      <c r="BK177" s="64">
        <v>2</v>
      </c>
      <c r="BL177" s="64">
        <v>1</v>
      </c>
      <c r="BN177" s="64">
        <v>2</v>
      </c>
      <c r="BO177" s="64">
        <v>1</v>
      </c>
      <c r="BR177" s="64">
        <v>1</v>
      </c>
      <c r="BT177" s="64">
        <v>1</v>
      </c>
      <c r="BU177" s="64"/>
      <c r="BV177" s="64"/>
      <c r="BW177" s="64"/>
      <c r="BX177" s="64"/>
      <c r="BY177" s="64"/>
      <c r="BZ177" s="64"/>
      <c r="CA177" s="64"/>
    </row>
    <row r="178" spans="1:79" ht="15" customHeight="1" x14ac:dyDescent="0.25">
      <c r="A178" s="71"/>
      <c r="B178" s="29">
        <v>161</v>
      </c>
      <c r="C178" s="70" t="s">
        <v>412</v>
      </c>
      <c r="D178" s="174">
        <v>2022</v>
      </c>
      <c r="E178" s="22" t="s">
        <v>420</v>
      </c>
      <c r="F178" s="22" t="s">
        <v>421</v>
      </c>
      <c r="G178" s="22" t="s">
        <v>422</v>
      </c>
      <c r="H178" s="22" t="s">
        <v>78</v>
      </c>
      <c r="I178" s="55">
        <v>21.5</v>
      </c>
      <c r="J178" s="55">
        <f t="shared" ref="J178" si="212">IF(I178&lt;=15,$L$2,$L$3)</f>
        <v>30</v>
      </c>
      <c r="K178" s="55">
        <f t="shared" ref="K178" si="213">(I178+J178)*0.1</f>
        <v>5.15</v>
      </c>
      <c r="L178" s="55">
        <f t="shared" ref="L178" si="214">SUM(I178:K178)</f>
        <v>56.65</v>
      </c>
      <c r="M178" s="55">
        <f t="shared" ref="M178" si="215">ROUND(L178,0)</f>
        <v>57</v>
      </c>
      <c r="N178" s="56">
        <v>57</v>
      </c>
      <c r="O178" s="57">
        <f t="shared" ref="O178" si="216">I178*$O$2*1.22</f>
        <v>43.279499999999999</v>
      </c>
      <c r="P178" s="58">
        <f t="shared" ref="P178" si="217">N178-M178</f>
        <v>0</v>
      </c>
      <c r="Q178" s="59">
        <f t="shared" ref="Q178" si="218">N178/$Q$3</f>
        <v>9.5</v>
      </c>
      <c r="R178" s="60"/>
      <c r="S178" s="60">
        <f>12+6+3</f>
        <v>21</v>
      </c>
      <c r="T178" s="60">
        <f t="shared" ref="T178" si="219">W178+X178+Y178+Z178+AA178+AB178+AC178+AD178+AE178+AF178+AG178+AH178+AI178+AJ178+AK178+AL178+AM178+AN178+AO178+AP178+AQ178+AR178+AS178+AT178+AU178+AV178+AW178+AX178+AY178+AZ178+BA178+BB178+BC178+BD178+BE178+BF178+BG178+BH178+BI178+BJ178+BK178+BL178+BM178+BQ178+BR178+BS178+BT178</f>
        <v>10</v>
      </c>
      <c r="U178" s="60">
        <v>12</v>
      </c>
      <c r="V178" s="62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1"/>
      <c r="AQ178" s="32"/>
      <c r="AR178" s="33"/>
      <c r="AS178" s="31">
        <v>1</v>
      </c>
      <c r="AT178" s="63">
        <v>2</v>
      </c>
      <c r="AU178" s="34"/>
      <c r="AV178" s="34"/>
      <c r="AW178" s="34"/>
      <c r="AX178" s="34"/>
      <c r="AY178" s="34"/>
      <c r="AZ178" s="34"/>
      <c r="BA178" s="34">
        <v>3</v>
      </c>
      <c r="BB178" s="34"/>
      <c r="BC178" s="34"/>
      <c r="BD178" s="34"/>
      <c r="BE178" s="34"/>
      <c r="BF178" s="64"/>
      <c r="BH178" s="64">
        <v>1</v>
      </c>
      <c r="BI178" s="64">
        <v>1</v>
      </c>
      <c r="BT178" s="64">
        <v>2</v>
      </c>
      <c r="BU178" s="64"/>
      <c r="BV178" s="64"/>
      <c r="BW178" s="64"/>
      <c r="BX178" s="64"/>
      <c r="BY178" s="64"/>
      <c r="BZ178" s="64"/>
      <c r="CA178" s="64"/>
    </row>
    <row r="179" spans="1:79" ht="15" customHeight="1" x14ac:dyDescent="0.25">
      <c r="A179" s="71"/>
      <c r="B179" s="29">
        <v>161</v>
      </c>
      <c r="C179" s="70" t="s">
        <v>412</v>
      </c>
      <c r="D179" s="174">
        <v>2021</v>
      </c>
      <c r="E179" s="22" t="s">
        <v>423</v>
      </c>
      <c r="F179" s="22" t="s">
        <v>424</v>
      </c>
      <c r="G179" s="22" t="s">
        <v>81</v>
      </c>
      <c r="H179" s="22" t="s">
        <v>242</v>
      </c>
      <c r="I179" s="55">
        <v>12.5</v>
      </c>
      <c r="J179" s="55">
        <f t="shared" ref="J179" si="220">IF(I179&lt;=15,$L$2,$L$3)</f>
        <v>25</v>
      </c>
      <c r="K179" s="55">
        <f t="shared" ref="K179" si="221">(I179+J179)*0.1</f>
        <v>3.75</v>
      </c>
      <c r="L179" s="55">
        <f t="shared" ref="L179" si="222">SUM(I179:K179)</f>
        <v>41.25</v>
      </c>
      <c r="M179" s="55">
        <f t="shared" ref="M179" si="223">ROUND(L179,0)</f>
        <v>41</v>
      </c>
      <c r="N179" s="56">
        <v>40</v>
      </c>
      <c r="O179" s="57">
        <f t="shared" ref="O179" si="224">I179*$O$2*1.22</f>
        <v>25.162499999999998</v>
      </c>
      <c r="P179" s="58">
        <f t="shared" ref="P179" si="225">N179-M179</f>
        <v>-1</v>
      </c>
      <c r="Q179" s="59">
        <f t="shared" ref="Q179" si="226">N179/$Q$3</f>
        <v>6.666666666666667</v>
      </c>
      <c r="R179" s="60"/>
      <c r="S179" s="60">
        <f>12+18+18</f>
        <v>48</v>
      </c>
      <c r="T179" s="60">
        <f t="shared" ref="T179" si="227">W179+X179+Y179+Z179+AA179+AB179+AC179+AD179+AE179+AF179+AG179+AH179+AI179+AJ179+AK179+AL179+AM179+AN179+AO179+AP179+AQ179+AR179+AS179+AT179+AU179+AV179+AW179+AX179+AY179+AZ179+BA179+BB179+BC179+BD179+BE179+BF179+BG179+BH179+BI179+BJ179+BK179+BL179+BM179+BQ179+BR179+BS179+BT179</f>
        <v>45</v>
      </c>
      <c r="U179" s="60">
        <v>13</v>
      </c>
      <c r="V179" s="62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1">
        <v>2</v>
      </c>
      <c r="AQ179" s="32">
        <v>4</v>
      </c>
      <c r="AR179" s="33"/>
      <c r="AS179" s="31">
        <v>3</v>
      </c>
      <c r="AT179" s="63">
        <v>6</v>
      </c>
      <c r="AU179" s="34">
        <v>2</v>
      </c>
      <c r="AV179" s="34">
        <v>2</v>
      </c>
      <c r="AW179" s="34">
        <v>1</v>
      </c>
      <c r="AX179" s="34"/>
      <c r="AY179" s="34"/>
      <c r="AZ179" s="34">
        <v>2</v>
      </c>
      <c r="BA179" s="34">
        <v>1</v>
      </c>
      <c r="BB179" s="34">
        <v>2</v>
      </c>
      <c r="BC179" s="34">
        <v>1</v>
      </c>
      <c r="BD179" s="34"/>
      <c r="BE179" s="34">
        <v>6</v>
      </c>
      <c r="BF179" s="64"/>
      <c r="BG179" s="64">
        <v>4</v>
      </c>
      <c r="BI179" s="64">
        <v>1</v>
      </c>
      <c r="BJ179" s="64">
        <v>1</v>
      </c>
      <c r="BK179" s="64">
        <v>1</v>
      </c>
      <c r="BM179" s="64">
        <v>4</v>
      </c>
      <c r="BN179" s="64">
        <v>2</v>
      </c>
      <c r="BT179" s="64">
        <v>2</v>
      </c>
      <c r="BU179" s="64"/>
      <c r="BV179" s="64"/>
      <c r="BW179" s="64"/>
      <c r="BX179" s="64"/>
      <c r="BY179" s="64"/>
      <c r="BZ179" s="64"/>
      <c r="CA179" s="64"/>
    </row>
    <row r="180" spans="1:79" ht="15" customHeight="1" x14ac:dyDescent="0.25">
      <c r="A180" s="71"/>
      <c r="B180" s="22">
        <v>162</v>
      </c>
      <c r="C180" s="70" t="s">
        <v>412</v>
      </c>
      <c r="D180" s="180">
        <v>2022</v>
      </c>
      <c r="E180" s="22" t="s">
        <v>425</v>
      </c>
      <c r="F180" s="22" t="s">
        <v>426</v>
      </c>
      <c r="G180" s="22" t="s">
        <v>77</v>
      </c>
      <c r="H180" s="22" t="s">
        <v>137</v>
      </c>
      <c r="I180" s="55">
        <v>7.5</v>
      </c>
      <c r="J180" s="55">
        <f t="shared" ref="J180" si="228">IF(I180&lt;=15,$L$2,$L$3)</f>
        <v>25</v>
      </c>
      <c r="K180" s="55">
        <f t="shared" si="208"/>
        <v>3.25</v>
      </c>
      <c r="L180" s="55">
        <f t="shared" si="209"/>
        <v>35.75</v>
      </c>
      <c r="M180" s="55">
        <f t="shared" si="210"/>
        <v>36</v>
      </c>
      <c r="N180" s="56">
        <v>35</v>
      </c>
      <c r="O180" s="57">
        <f t="shared" ref="O180" si="229">I180*$O$2*1.22</f>
        <v>15.0975</v>
      </c>
      <c r="P180" s="58">
        <f t="shared" si="211"/>
        <v>-1</v>
      </c>
      <c r="Q180" s="59">
        <f t="shared" ref="Q180" si="230">N180/$Q$3</f>
        <v>5.833333333333333</v>
      </c>
      <c r="R180" s="60">
        <v>9</v>
      </c>
      <c r="S180" s="60">
        <f>12+6+6+6+6</f>
        <v>36</v>
      </c>
      <c r="T180" s="60"/>
      <c r="U180" s="60">
        <v>9</v>
      </c>
      <c r="V180" s="62"/>
      <c r="W180" s="30"/>
      <c r="X180" s="30"/>
      <c r="Y180" s="30"/>
      <c r="Z180" s="30">
        <v>1</v>
      </c>
      <c r="AA180" s="30">
        <v>1</v>
      </c>
      <c r="AB180" s="30">
        <v>1</v>
      </c>
      <c r="AC180" s="30"/>
      <c r="AD180" s="30">
        <v>3</v>
      </c>
      <c r="AE180" s="30"/>
      <c r="AF180" s="30">
        <v>1</v>
      </c>
      <c r="AG180" s="30"/>
      <c r="AH180" s="30"/>
      <c r="AI180" s="30"/>
      <c r="AJ180" s="30"/>
      <c r="AK180" s="30"/>
      <c r="AL180" s="30"/>
      <c r="AM180" s="30"/>
      <c r="AN180" s="30"/>
      <c r="AO180" s="30"/>
      <c r="AP180" s="31"/>
      <c r="AQ180" s="32">
        <v>3</v>
      </c>
      <c r="AR180" s="33"/>
      <c r="AS180" s="31">
        <v>5</v>
      </c>
      <c r="AT180" s="63"/>
      <c r="AU180" s="34">
        <v>3</v>
      </c>
      <c r="AV180" s="34">
        <v>1</v>
      </c>
      <c r="AW180" s="34">
        <v>1</v>
      </c>
      <c r="AX180" s="34">
        <v>1</v>
      </c>
      <c r="AY180" s="34">
        <v>2</v>
      </c>
      <c r="AZ180" s="34">
        <v>1</v>
      </c>
      <c r="BA180" s="34">
        <v>1</v>
      </c>
      <c r="BB180" s="34">
        <v>2</v>
      </c>
      <c r="BC180" s="34">
        <v>2</v>
      </c>
      <c r="BD180" s="34">
        <v>1</v>
      </c>
      <c r="BE180" s="34"/>
      <c r="BF180" s="64"/>
      <c r="BK180" s="64">
        <v>3</v>
      </c>
      <c r="BM180" s="64">
        <v>2</v>
      </c>
      <c r="BQ180" s="64">
        <v>1</v>
      </c>
      <c r="BT180" s="64">
        <v>1</v>
      </c>
      <c r="BU180" s="64"/>
      <c r="BV180" s="64"/>
      <c r="BW180" s="64"/>
      <c r="BX180" s="64"/>
      <c r="BY180" s="64"/>
      <c r="BZ180" s="64"/>
      <c r="CA180" s="64"/>
    </row>
    <row r="181" spans="1:79" ht="15" customHeight="1" x14ac:dyDescent="0.25">
      <c r="A181" s="22"/>
      <c r="B181" s="22">
        <v>163</v>
      </c>
      <c r="C181" s="74" t="s">
        <v>427</v>
      </c>
      <c r="D181" s="174">
        <v>2016</v>
      </c>
      <c r="E181" s="22" t="s">
        <v>428</v>
      </c>
      <c r="F181" s="22" t="s">
        <v>429</v>
      </c>
      <c r="G181" s="22" t="s">
        <v>92</v>
      </c>
      <c r="H181" s="22" t="s">
        <v>132</v>
      </c>
      <c r="I181" s="55">
        <v>11.5</v>
      </c>
      <c r="J181" s="55">
        <f>IF(I181&lt;=15,$L$2,$L$3)</f>
        <v>25</v>
      </c>
      <c r="K181" s="55">
        <f t="shared" si="208"/>
        <v>3.6500000000000004</v>
      </c>
      <c r="L181" s="55">
        <f t="shared" si="209"/>
        <v>40.15</v>
      </c>
      <c r="M181" s="55">
        <f t="shared" si="210"/>
        <v>40</v>
      </c>
      <c r="N181" s="56">
        <v>38</v>
      </c>
      <c r="O181" s="57">
        <f t="shared" ref="O181:O201" si="231">I181*$O$2*1.22</f>
        <v>23.149499999999996</v>
      </c>
      <c r="P181" s="58">
        <f t="shared" si="211"/>
        <v>-2</v>
      </c>
      <c r="Q181" s="59">
        <f t="shared" ref="Q181:Q252" si="232">N181/$Q$3</f>
        <v>6.333333333333333</v>
      </c>
      <c r="R181" s="60">
        <v>5</v>
      </c>
      <c r="S181" s="60"/>
      <c r="T181" s="60">
        <f t="shared" si="151"/>
        <v>1</v>
      </c>
      <c r="U181" s="61">
        <f t="shared" ref="U181:U218" si="233">R181+S181-T181</f>
        <v>4</v>
      </c>
      <c r="V181" s="62"/>
      <c r="W181" s="30"/>
      <c r="X181" s="30"/>
      <c r="Y181" s="30"/>
      <c r="Z181" s="30">
        <v>1</v>
      </c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1"/>
      <c r="AQ181" s="32"/>
      <c r="AR181" s="33"/>
      <c r="AS181" s="31"/>
      <c r="AT181" s="63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64"/>
      <c r="BT181" s="64"/>
      <c r="BU181" s="64"/>
      <c r="BV181" s="64"/>
      <c r="BW181" s="64"/>
      <c r="BX181" s="64"/>
      <c r="BY181" s="64"/>
      <c r="BZ181" s="64"/>
      <c r="CA181" s="64"/>
    </row>
    <row r="182" spans="1:79" ht="15" customHeight="1" x14ac:dyDescent="0.25">
      <c r="A182" s="22"/>
      <c r="B182" s="22">
        <v>164</v>
      </c>
      <c r="C182" s="74" t="s">
        <v>427</v>
      </c>
      <c r="D182" s="184">
        <v>2022</v>
      </c>
      <c r="E182" s="22" t="s">
        <v>430</v>
      </c>
      <c r="F182" s="22" t="s">
        <v>139</v>
      </c>
      <c r="G182" s="22" t="s">
        <v>275</v>
      </c>
      <c r="H182" s="22" t="s">
        <v>78</v>
      </c>
      <c r="I182" s="55">
        <v>11.2</v>
      </c>
      <c r="J182" s="55">
        <v>25</v>
      </c>
      <c r="K182" s="55">
        <f t="shared" si="208"/>
        <v>3.6200000000000006</v>
      </c>
      <c r="L182" s="55">
        <f t="shared" si="209"/>
        <v>39.82</v>
      </c>
      <c r="M182" s="55">
        <f t="shared" si="210"/>
        <v>40</v>
      </c>
      <c r="N182" s="56">
        <v>40</v>
      </c>
      <c r="O182" s="57">
        <f t="shared" si="231"/>
        <v>22.545599999999997</v>
      </c>
      <c r="P182" s="58">
        <f t="shared" si="211"/>
        <v>0</v>
      </c>
      <c r="Q182" s="59">
        <f t="shared" si="232"/>
        <v>6.666666666666667</v>
      </c>
      <c r="R182" s="60">
        <v>1</v>
      </c>
      <c r="S182" s="60">
        <f>18+6+6+6+6</f>
        <v>42</v>
      </c>
      <c r="T182" s="60">
        <f t="shared" si="151"/>
        <v>26</v>
      </c>
      <c r="U182" s="61">
        <f t="shared" si="233"/>
        <v>17</v>
      </c>
      <c r="V182" s="62"/>
      <c r="W182" s="30">
        <v>2</v>
      </c>
      <c r="X182" s="30">
        <v>2</v>
      </c>
      <c r="Y182" s="30"/>
      <c r="Z182" s="30"/>
      <c r="AA182" s="30">
        <v>1</v>
      </c>
      <c r="AB182" s="30">
        <v>2</v>
      </c>
      <c r="AC182" s="30">
        <v>1</v>
      </c>
      <c r="AD182" s="30">
        <v>1</v>
      </c>
      <c r="AE182" s="30">
        <v>3</v>
      </c>
      <c r="AF182" s="30"/>
      <c r="AG182" s="30">
        <v>1</v>
      </c>
      <c r="AH182" s="30"/>
      <c r="AI182" s="30"/>
      <c r="AJ182" s="30"/>
      <c r="AK182" s="30"/>
      <c r="AL182" s="30"/>
      <c r="AM182" s="30"/>
      <c r="AN182" s="30"/>
      <c r="AO182" s="30"/>
      <c r="AP182" s="31"/>
      <c r="AQ182" s="32"/>
      <c r="AR182" s="33">
        <v>3</v>
      </c>
      <c r="AS182" s="31"/>
      <c r="AT182" s="63"/>
      <c r="AU182" s="34">
        <v>1</v>
      </c>
      <c r="AV182" s="34"/>
      <c r="AW182" s="34"/>
      <c r="AX182" s="34"/>
      <c r="AY182" s="34">
        <v>1</v>
      </c>
      <c r="AZ182" s="34"/>
      <c r="BA182" s="34"/>
      <c r="BB182" s="34"/>
      <c r="BC182" s="34"/>
      <c r="BD182" s="34"/>
      <c r="BE182" s="34">
        <v>1</v>
      </c>
      <c r="BF182" s="64">
        <v>1</v>
      </c>
      <c r="BI182" s="64">
        <v>1</v>
      </c>
      <c r="BK182" s="64">
        <v>1</v>
      </c>
      <c r="BL182" s="64">
        <v>2</v>
      </c>
      <c r="BO182" s="64">
        <v>1</v>
      </c>
      <c r="BR182" s="64">
        <v>1</v>
      </c>
      <c r="BT182" s="64">
        <v>1</v>
      </c>
      <c r="BU182" s="64"/>
      <c r="BV182" s="64"/>
      <c r="BW182" s="64"/>
      <c r="BX182" s="64"/>
      <c r="BY182" s="64"/>
      <c r="BZ182" s="64"/>
      <c r="CA182" s="64"/>
    </row>
    <row r="183" spans="1:79" ht="15" customHeight="1" x14ac:dyDescent="0.25">
      <c r="A183" s="22"/>
      <c r="B183" s="29">
        <v>165</v>
      </c>
      <c r="C183" s="74" t="s">
        <v>427</v>
      </c>
      <c r="D183" s="174">
        <v>2020</v>
      </c>
      <c r="E183" s="22" t="s">
        <v>431</v>
      </c>
      <c r="F183" s="22" t="s">
        <v>432</v>
      </c>
      <c r="G183" s="22" t="s">
        <v>105</v>
      </c>
      <c r="H183" s="22" t="s">
        <v>171</v>
      </c>
      <c r="I183" s="55">
        <v>11.5</v>
      </c>
      <c r="J183" s="55">
        <v>25</v>
      </c>
      <c r="K183" s="55">
        <f t="shared" si="208"/>
        <v>3.6500000000000004</v>
      </c>
      <c r="L183" s="55">
        <f t="shared" si="209"/>
        <v>40.15</v>
      </c>
      <c r="M183" s="55">
        <f t="shared" si="210"/>
        <v>40</v>
      </c>
      <c r="N183" s="56">
        <v>40</v>
      </c>
      <c r="O183" s="57">
        <f t="shared" si="231"/>
        <v>23.149499999999996</v>
      </c>
      <c r="P183" s="58">
        <f t="shared" si="211"/>
        <v>0</v>
      </c>
      <c r="Q183" s="59">
        <f t="shared" si="232"/>
        <v>6.666666666666667</v>
      </c>
      <c r="R183" s="60">
        <v>5</v>
      </c>
      <c r="S183" s="60">
        <f>12+12+12</f>
        <v>36</v>
      </c>
      <c r="T183" s="60">
        <f t="shared" si="151"/>
        <v>41</v>
      </c>
      <c r="U183" s="61">
        <f t="shared" si="233"/>
        <v>0</v>
      </c>
      <c r="V183" s="62"/>
      <c r="W183" s="30"/>
      <c r="X183" s="30"/>
      <c r="Y183" s="30"/>
      <c r="Z183" s="30"/>
      <c r="AA183" s="30"/>
      <c r="AB183" s="30">
        <v>3</v>
      </c>
      <c r="AC183" s="30">
        <v>2</v>
      </c>
      <c r="AD183" s="30">
        <v>1</v>
      </c>
      <c r="AE183" s="30">
        <v>3</v>
      </c>
      <c r="AF183" s="30">
        <v>1</v>
      </c>
      <c r="AG183" s="30"/>
      <c r="AH183" s="30"/>
      <c r="AI183" s="30"/>
      <c r="AJ183" s="30"/>
      <c r="AK183" s="30"/>
      <c r="AL183" s="30"/>
      <c r="AM183" s="30"/>
      <c r="AN183" s="30"/>
      <c r="AO183" s="30"/>
      <c r="AP183" s="31"/>
      <c r="AQ183" s="32">
        <v>2</v>
      </c>
      <c r="AR183" s="33"/>
      <c r="AS183" s="31"/>
      <c r="AT183" s="63">
        <v>1</v>
      </c>
      <c r="AU183" s="34">
        <v>2</v>
      </c>
      <c r="AV183" s="34">
        <v>1</v>
      </c>
      <c r="AW183" s="34"/>
      <c r="AX183" s="34"/>
      <c r="AY183" s="34"/>
      <c r="AZ183" s="34"/>
      <c r="BA183" s="34">
        <v>1</v>
      </c>
      <c r="BB183" s="34">
        <v>1</v>
      </c>
      <c r="BC183" s="34"/>
      <c r="BD183" s="34"/>
      <c r="BE183" s="34">
        <v>4</v>
      </c>
      <c r="BF183" s="64"/>
      <c r="BG183" s="64">
        <v>14</v>
      </c>
      <c r="BI183" s="64">
        <v>1</v>
      </c>
      <c r="BK183" s="64">
        <v>2</v>
      </c>
      <c r="BL183" s="64">
        <v>1</v>
      </c>
      <c r="BM183" s="64">
        <v>1</v>
      </c>
      <c r="BO183" s="64">
        <v>1</v>
      </c>
      <c r="BT183" s="64"/>
      <c r="BU183" s="64">
        <v>1</v>
      </c>
      <c r="BV183" s="64"/>
      <c r="BW183" s="64"/>
      <c r="BX183" s="64"/>
      <c r="BY183" s="64"/>
      <c r="BZ183" s="64"/>
      <c r="CA183" s="64"/>
    </row>
    <row r="184" spans="1:79" ht="15" customHeight="1" x14ac:dyDescent="0.25">
      <c r="A184" s="22"/>
      <c r="B184" s="22">
        <v>166</v>
      </c>
      <c r="C184" s="74" t="s">
        <v>427</v>
      </c>
      <c r="D184" s="174">
        <v>2021</v>
      </c>
      <c r="E184" s="22" t="s">
        <v>433</v>
      </c>
      <c r="F184" s="22" t="s">
        <v>432</v>
      </c>
      <c r="G184" s="22" t="s">
        <v>105</v>
      </c>
      <c r="H184" s="22" t="s">
        <v>171</v>
      </c>
      <c r="I184" s="55">
        <v>12.6</v>
      </c>
      <c r="J184" s="55">
        <v>25</v>
      </c>
      <c r="K184" s="55">
        <f t="shared" si="208"/>
        <v>3.7600000000000002</v>
      </c>
      <c r="L184" s="55">
        <f t="shared" si="209"/>
        <v>41.36</v>
      </c>
      <c r="M184" s="55">
        <f t="shared" si="210"/>
        <v>41</v>
      </c>
      <c r="N184" s="56">
        <v>42</v>
      </c>
      <c r="O184" s="57">
        <f t="shared" si="231"/>
        <v>25.363799999999998</v>
      </c>
      <c r="P184" s="58">
        <f t="shared" si="211"/>
        <v>1</v>
      </c>
      <c r="Q184" s="59">
        <f t="shared" si="232"/>
        <v>7</v>
      </c>
      <c r="R184" s="60">
        <v>12</v>
      </c>
      <c r="S184" s="60">
        <f>13+12</f>
        <v>25</v>
      </c>
      <c r="T184" s="60">
        <f t="shared" si="151"/>
        <v>19</v>
      </c>
      <c r="U184" s="61">
        <f t="shared" si="233"/>
        <v>18</v>
      </c>
      <c r="V184" s="62"/>
      <c r="W184" s="30">
        <v>1</v>
      </c>
      <c r="X184" s="30">
        <v>2</v>
      </c>
      <c r="Y184" s="30">
        <v>1</v>
      </c>
      <c r="Z184" s="30"/>
      <c r="AA184" s="30">
        <v>2</v>
      </c>
      <c r="AB184" s="30"/>
      <c r="AC184" s="30">
        <v>1</v>
      </c>
      <c r="AD184" s="30"/>
      <c r="AE184" s="30">
        <v>1</v>
      </c>
      <c r="AF184" s="30">
        <v>1</v>
      </c>
      <c r="AG184" s="30"/>
      <c r="AH184" s="30">
        <v>1</v>
      </c>
      <c r="AI184" s="30"/>
      <c r="AJ184" s="30"/>
      <c r="AK184" s="30"/>
      <c r="AL184" s="30"/>
      <c r="AM184" s="30"/>
      <c r="AN184" s="30"/>
      <c r="AO184" s="30"/>
      <c r="AP184" s="31"/>
      <c r="AQ184" s="32"/>
      <c r="AR184" s="33"/>
      <c r="AS184" s="31"/>
      <c r="AT184" s="63">
        <v>1</v>
      </c>
      <c r="AU184" s="34">
        <v>1</v>
      </c>
      <c r="AV184" s="34"/>
      <c r="AW184" s="34"/>
      <c r="AX184" s="34"/>
      <c r="AY184" s="34"/>
      <c r="AZ184" s="34">
        <v>1</v>
      </c>
      <c r="BA184" s="34">
        <v>1</v>
      </c>
      <c r="BB184" s="34">
        <v>1</v>
      </c>
      <c r="BC184" s="34"/>
      <c r="BD184" s="34">
        <v>1</v>
      </c>
      <c r="BE184" s="34"/>
      <c r="BF184" s="64"/>
      <c r="BI184" s="64">
        <v>1</v>
      </c>
      <c r="BR184" s="64">
        <v>2</v>
      </c>
      <c r="BT184" s="64"/>
      <c r="BU184" s="64">
        <v>1</v>
      </c>
      <c r="BV184" s="64"/>
      <c r="BW184" s="64"/>
      <c r="BX184" s="64"/>
      <c r="BY184" s="64"/>
      <c r="BZ184" s="64"/>
      <c r="CA184" s="64"/>
    </row>
    <row r="185" spans="1:79" ht="15" customHeight="1" x14ac:dyDescent="0.25">
      <c r="A185" s="22"/>
      <c r="B185" s="22">
        <v>167</v>
      </c>
      <c r="C185" s="74" t="s">
        <v>427</v>
      </c>
      <c r="D185" s="174"/>
      <c r="E185" s="22" t="s">
        <v>434</v>
      </c>
      <c r="F185" s="22" t="s">
        <v>432</v>
      </c>
      <c r="G185" s="22" t="s">
        <v>105</v>
      </c>
      <c r="H185" s="22" t="s">
        <v>171</v>
      </c>
      <c r="I185" s="55">
        <v>18</v>
      </c>
      <c r="J185" s="55">
        <v>30</v>
      </c>
      <c r="K185" s="55">
        <f t="shared" si="208"/>
        <v>4.8000000000000007</v>
      </c>
      <c r="L185" s="55">
        <f t="shared" si="209"/>
        <v>52.8</v>
      </c>
      <c r="M185" s="55">
        <f t="shared" si="210"/>
        <v>53</v>
      </c>
      <c r="N185" s="81">
        <v>53</v>
      </c>
      <c r="O185" s="57">
        <f t="shared" si="231"/>
        <v>36.234000000000002</v>
      </c>
      <c r="P185" s="58">
        <f t="shared" si="211"/>
        <v>0</v>
      </c>
      <c r="Q185" s="59">
        <f t="shared" si="232"/>
        <v>8.8333333333333339</v>
      </c>
      <c r="R185" s="60">
        <v>5</v>
      </c>
      <c r="S185" s="60">
        <v>6</v>
      </c>
      <c r="T185" s="60">
        <f t="shared" si="151"/>
        <v>2</v>
      </c>
      <c r="U185" s="61">
        <f t="shared" si="233"/>
        <v>9</v>
      </c>
      <c r="V185" s="62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1"/>
      <c r="AQ185" s="32"/>
      <c r="AR185" s="33"/>
      <c r="AS185" s="31"/>
      <c r="AT185" s="63"/>
      <c r="AU185" s="34"/>
      <c r="AV185" s="34"/>
      <c r="AW185" s="34"/>
      <c r="AX185" s="34"/>
      <c r="AY185" s="34"/>
      <c r="AZ185" s="34"/>
      <c r="BA185" s="34"/>
      <c r="BB185" s="34"/>
      <c r="BC185" s="34">
        <v>2</v>
      </c>
      <c r="BD185" s="34"/>
      <c r="BE185" s="34"/>
      <c r="BF185" s="64"/>
      <c r="BT185" s="64"/>
      <c r="BU185" s="64"/>
      <c r="BV185" s="64"/>
      <c r="BW185" s="64"/>
      <c r="BX185" s="64"/>
      <c r="BY185" s="64"/>
      <c r="BZ185" s="64"/>
      <c r="CA185" s="64"/>
    </row>
    <row r="186" spans="1:79" ht="15" customHeight="1" x14ac:dyDescent="0.25">
      <c r="A186" s="22"/>
      <c r="B186" s="22">
        <v>168</v>
      </c>
      <c r="C186" s="74" t="s">
        <v>427</v>
      </c>
      <c r="D186" s="174">
        <v>2018</v>
      </c>
      <c r="E186" s="22" t="s">
        <v>435</v>
      </c>
      <c r="F186" s="22" t="s">
        <v>436</v>
      </c>
      <c r="G186" s="22" t="s">
        <v>437</v>
      </c>
      <c r="H186" s="22" t="s">
        <v>137</v>
      </c>
      <c r="I186" s="55">
        <v>11</v>
      </c>
      <c r="J186" s="55">
        <f>IF(I186&lt;=15,$L$2,$L$3)</f>
        <v>25</v>
      </c>
      <c r="K186" s="55">
        <f t="shared" si="120"/>
        <v>3.6</v>
      </c>
      <c r="L186" s="55">
        <f t="shared" si="121"/>
        <v>39.6</v>
      </c>
      <c r="M186" s="55">
        <f t="shared" si="150"/>
        <v>40</v>
      </c>
      <c r="N186" s="56">
        <v>36</v>
      </c>
      <c r="O186" s="57">
        <f t="shared" si="231"/>
        <v>22.142999999999997</v>
      </c>
      <c r="P186" s="58">
        <f t="shared" si="123"/>
        <v>-4</v>
      </c>
      <c r="Q186" s="59">
        <f t="shared" si="232"/>
        <v>6</v>
      </c>
      <c r="R186" s="60">
        <v>12</v>
      </c>
      <c r="S186" s="60"/>
      <c r="T186" s="60">
        <f t="shared" si="151"/>
        <v>1</v>
      </c>
      <c r="U186" s="61">
        <f t="shared" si="233"/>
        <v>11</v>
      </c>
      <c r="V186" s="62"/>
      <c r="W186" s="30">
        <v>1</v>
      </c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1"/>
      <c r="AQ186" s="32"/>
      <c r="AR186" s="33"/>
      <c r="AS186" s="31"/>
      <c r="AT186" s="63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64"/>
      <c r="BT186" s="64"/>
      <c r="BU186" s="64"/>
      <c r="BV186" s="64"/>
      <c r="BW186" s="64"/>
      <c r="BX186" s="64"/>
      <c r="BY186" s="64"/>
      <c r="BZ186" s="64"/>
      <c r="CA186" s="64"/>
    </row>
    <row r="187" spans="1:79" ht="15" customHeight="1" x14ac:dyDescent="0.25">
      <c r="A187" s="22"/>
      <c r="B187" s="29">
        <v>169</v>
      </c>
      <c r="C187" s="74" t="s">
        <v>427</v>
      </c>
      <c r="D187" s="174">
        <v>2021</v>
      </c>
      <c r="E187" s="22" t="s">
        <v>438</v>
      </c>
      <c r="F187" s="22" t="s">
        <v>439</v>
      </c>
      <c r="G187" s="22" t="s">
        <v>437</v>
      </c>
      <c r="H187" s="22" t="s">
        <v>78</v>
      </c>
      <c r="I187" s="55">
        <v>17.3</v>
      </c>
      <c r="J187" s="55">
        <v>30</v>
      </c>
      <c r="K187" s="55">
        <f t="shared" si="120"/>
        <v>4.7299999999999995</v>
      </c>
      <c r="L187" s="55">
        <f t="shared" si="121"/>
        <v>52.029999999999994</v>
      </c>
      <c r="M187" s="55">
        <f t="shared" si="150"/>
        <v>52</v>
      </c>
      <c r="N187" s="56">
        <v>52</v>
      </c>
      <c r="O187" s="57">
        <f t="shared" si="231"/>
        <v>34.8249</v>
      </c>
      <c r="P187" s="58">
        <f t="shared" si="123"/>
        <v>0</v>
      </c>
      <c r="Q187" s="59">
        <f t="shared" si="232"/>
        <v>8.6666666666666661</v>
      </c>
      <c r="R187" s="60">
        <v>8</v>
      </c>
      <c r="S187" s="60">
        <v>3</v>
      </c>
      <c r="T187" s="60">
        <f t="shared" si="151"/>
        <v>5</v>
      </c>
      <c r="U187" s="61">
        <f t="shared" si="233"/>
        <v>6</v>
      </c>
      <c r="V187" s="62"/>
      <c r="W187" s="30">
        <v>2</v>
      </c>
      <c r="X187" s="30"/>
      <c r="Y187" s="30"/>
      <c r="Z187" s="30">
        <v>1</v>
      </c>
      <c r="AA187" s="30"/>
      <c r="AB187" s="30">
        <v>1</v>
      </c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1"/>
      <c r="AQ187" s="32"/>
      <c r="AR187" s="33"/>
      <c r="AS187" s="31"/>
      <c r="AT187" s="63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64"/>
      <c r="BT187" s="64">
        <v>1</v>
      </c>
      <c r="BU187" s="64"/>
      <c r="BV187" s="64"/>
      <c r="BW187" s="64"/>
      <c r="BX187" s="64"/>
      <c r="BY187" s="64"/>
      <c r="BZ187" s="64"/>
      <c r="CA187" s="64"/>
    </row>
    <row r="188" spans="1:79" ht="15" customHeight="1" x14ac:dyDescent="0.25">
      <c r="A188" s="22"/>
      <c r="B188" s="29">
        <v>170.2</v>
      </c>
      <c r="C188" s="74" t="s">
        <v>427</v>
      </c>
      <c r="D188" s="174">
        <v>2012</v>
      </c>
      <c r="E188" s="22" t="s">
        <v>440</v>
      </c>
      <c r="F188" s="22" t="s">
        <v>441</v>
      </c>
      <c r="G188" s="22" t="s">
        <v>437</v>
      </c>
      <c r="H188" s="22" t="s">
        <v>137</v>
      </c>
      <c r="I188" s="55">
        <v>72.099999999999994</v>
      </c>
      <c r="J188" s="55">
        <v>50</v>
      </c>
      <c r="K188" s="55">
        <f t="shared" ref="K188" si="234">(I188+J188)*0.1</f>
        <v>12.21</v>
      </c>
      <c r="L188" s="55">
        <f t="shared" ref="L188" si="235">SUM(I188:K188)</f>
        <v>134.31</v>
      </c>
      <c r="M188" s="55">
        <f t="shared" ref="M188" si="236">ROUND(L188,0)</f>
        <v>134</v>
      </c>
      <c r="N188" s="56">
        <v>145</v>
      </c>
      <c r="O188" s="57">
        <f t="shared" ref="O188" si="237">I188*$O$2*1.22</f>
        <v>145.13729999999998</v>
      </c>
      <c r="P188" s="58">
        <f t="shared" ref="P188" si="238">N188-M188</f>
        <v>11</v>
      </c>
      <c r="Q188" s="59">
        <f t="shared" ref="Q188" si="239">N188/$Q$3</f>
        <v>24.166666666666668</v>
      </c>
      <c r="R188" s="60"/>
      <c r="S188" s="60">
        <v>4</v>
      </c>
      <c r="T188" s="60">
        <f t="shared" ref="T188" si="240">W188+X188+Y188+Z188+AA188+AB188+AC188+AD188+AE188+AF188+AG188+AH188+AI188+AJ188+AK188+AL188+AM188+AN188+AO188+AP188+AQ188+AR188+AS188+AT188+AU188+AV188+AW188+AX188+AY188+AZ188+BA188+BB188+BC188+BD188+BE188+BF188+BG188+BH188+BI188+BJ188+BK188+BL188+BM188+BQ188+BR188+BS188+BT188</f>
        <v>1</v>
      </c>
      <c r="U188" s="61">
        <f t="shared" ref="U188" si="241">R188+S188-T188</f>
        <v>3</v>
      </c>
      <c r="V188" s="62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1"/>
      <c r="AQ188" s="32"/>
      <c r="AR188" s="33"/>
      <c r="AS188" s="31"/>
      <c r="AT188" s="63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64"/>
      <c r="BP188" s="64">
        <v>1</v>
      </c>
      <c r="BT188" s="64">
        <v>1</v>
      </c>
      <c r="BU188" s="64"/>
      <c r="BV188" s="64"/>
      <c r="BW188" s="64"/>
      <c r="BX188" s="64"/>
      <c r="BY188" s="64"/>
      <c r="BZ188" s="64"/>
      <c r="CA188" s="64"/>
    </row>
    <row r="189" spans="1:79" ht="15" customHeight="1" x14ac:dyDescent="0.25">
      <c r="A189" s="22"/>
      <c r="B189" s="29">
        <v>170.2</v>
      </c>
      <c r="C189" s="74" t="s">
        <v>427</v>
      </c>
      <c r="D189" s="174">
        <v>2015</v>
      </c>
      <c r="E189" s="22" t="s">
        <v>440</v>
      </c>
      <c r="F189" s="22" t="s">
        <v>441</v>
      </c>
      <c r="G189" s="22" t="s">
        <v>437</v>
      </c>
      <c r="H189" s="22" t="s">
        <v>137</v>
      </c>
      <c r="I189" s="55">
        <v>66</v>
      </c>
      <c r="J189" s="55">
        <v>50</v>
      </c>
      <c r="K189" s="55">
        <f t="shared" ref="K189" si="242">(I189+J189)*0.1</f>
        <v>11.600000000000001</v>
      </c>
      <c r="L189" s="55">
        <f t="shared" ref="L189" si="243">SUM(I189:K189)</f>
        <v>127.6</v>
      </c>
      <c r="M189" s="55">
        <f t="shared" ref="M189" si="244">ROUND(L189,0)</f>
        <v>128</v>
      </c>
      <c r="N189" s="56">
        <v>132</v>
      </c>
      <c r="O189" s="57">
        <f t="shared" ref="O189" si="245">I189*$O$2*1.22</f>
        <v>132.85799999999998</v>
      </c>
      <c r="P189" s="58">
        <f t="shared" ref="P189" si="246">N189-M189</f>
        <v>4</v>
      </c>
      <c r="Q189" s="59">
        <f t="shared" ref="Q189" si="247">N189/$Q$3</f>
        <v>22</v>
      </c>
      <c r="R189" s="60"/>
      <c r="S189" s="60">
        <v>3</v>
      </c>
      <c r="T189" s="60">
        <f t="shared" ref="T189" si="248">W189+X189+Y189+Z189+AA189+AB189+AC189+AD189+AE189+AF189+AG189+AH189+AI189+AJ189+AK189+AL189+AM189+AN189+AO189+AP189+AQ189+AR189+AS189+AT189+AU189+AV189+AW189+AX189+AY189+AZ189+BA189+BB189+BC189+BD189+BE189+BF189+BG189+BH189+BI189+BJ189+BK189+BL189+BM189+BQ189+BR189+BS189+BT189</f>
        <v>1</v>
      </c>
      <c r="U189" s="61">
        <f t="shared" ref="U189" si="249">R189+S189-T189</f>
        <v>2</v>
      </c>
      <c r="V189" s="62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1"/>
      <c r="AQ189" s="32"/>
      <c r="AR189" s="33"/>
      <c r="AS189" s="31"/>
      <c r="AT189" s="63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64"/>
      <c r="BT189" s="64">
        <v>1</v>
      </c>
      <c r="BU189" s="64"/>
      <c r="BV189" s="64"/>
      <c r="BW189" s="64"/>
      <c r="BX189" s="64"/>
      <c r="BY189" s="64"/>
      <c r="BZ189" s="64"/>
      <c r="CA189" s="64"/>
    </row>
    <row r="190" spans="1:79" ht="15" customHeight="1" x14ac:dyDescent="0.25">
      <c r="A190" s="22"/>
      <c r="B190" s="22">
        <v>170</v>
      </c>
      <c r="C190" s="74" t="s">
        <v>427</v>
      </c>
      <c r="D190" s="174">
        <v>2020</v>
      </c>
      <c r="E190" s="22" t="s">
        <v>442</v>
      </c>
      <c r="F190" s="22" t="s">
        <v>443</v>
      </c>
      <c r="G190" s="22" t="s">
        <v>437</v>
      </c>
      <c r="H190" s="22" t="s">
        <v>78</v>
      </c>
      <c r="I190" s="55">
        <v>20.5</v>
      </c>
      <c r="J190" s="55">
        <v>30</v>
      </c>
      <c r="K190" s="55">
        <f t="shared" ref="K190:K301" si="250">(I190+J190)*0.1</f>
        <v>5.0500000000000007</v>
      </c>
      <c r="L190" s="55">
        <f t="shared" ref="L190:L301" si="251">SUM(I190:K190)</f>
        <v>55.55</v>
      </c>
      <c r="M190" s="55">
        <f t="shared" ref="M190:M205" si="252">ROUND(L190,0)</f>
        <v>56</v>
      </c>
      <c r="N190" s="56">
        <v>55</v>
      </c>
      <c r="O190" s="57">
        <f t="shared" si="231"/>
        <v>41.266499999999994</v>
      </c>
      <c r="P190" s="58">
        <f t="shared" ref="P190:P301" si="253">N190-M190</f>
        <v>-1</v>
      </c>
      <c r="Q190" s="59">
        <f t="shared" si="232"/>
        <v>9.1666666666666661</v>
      </c>
      <c r="R190" s="60">
        <v>3</v>
      </c>
      <c r="S190" s="60">
        <v>4</v>
      </c>
      <c r="T190" s="60">
        <f t="shared" si="151"/>
        <v>2</v>
      </c>
      <c r="U190" s="61">
        <f t="shared" si="233"/>
        <v>5</v>
      </c>
      <c r="V190" s="88"/>
      <c r="W190" s="89"/>
      <c r="X190" s="89"/>
      <c r="Y190" s="89"/>
      <c r="Z190" s="89">
        <v>1</v>
      </c>
      <c r="AA190" s="89"/>
      <c r="AB190" s="89"/>
      <c r="AC190" s="89"/>
      <c r="AD190" s="89"/>
      <c r="AE190" s="89"/>
      <c r="AF190" s="89"/>
      <c r="AG190" s="89"/>
      <c r="AH190" s="89">
        <v>1</v>
      </c>
      <c r="AI190" s="89"/>
      <c r="AJ190" s="89"/>
      <c r="AK190" s="89"/>
      <c r="AL190" s="89"/>
      <c r="AM190" s="89"/>
      <c r="AN190" s="89"/>
      <c r="AO190" s="30"/>
      <c r="AP190" s="31"/>
      <c r="AQ190" s="32"/>
      <c r="AR190" s="33"/>
      <c r="AS190" s="31"/>
      <c r="AT190" s="63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64"/>
      <c r="BT190" s="64"/>
      <c r="BU190" s="64"/>
      <c r="BV190" s="64"/>
      <c r="BW190" s="64"/>
      <c r="BX190" s="64"/>
      <c r="BY190" s="64"/>
      <c r="BZ190" s="64"/>
      <c r="CA190" s="64"/>
    </row>
    <row r="191" spans="1:79" ht="15" customHeight="1" x14ac:dyDescent="0.25">
      <c r="A191" s="22"/>
      <c r="B191" s="22">
        <v>171</v>
      </c>
      <c r="C191" s="74" t="s">
        <v>427</v>
      </c>
      <c r="D191" s="174">
        <v>2018</v>
      </c>
      <c r="E191" s="22" t="s">
        <v>444</v>
      </c>
      <c r="F191" s="22" t="s">
        <v>445</v>
      </c>
      <c r="G191" s="22" t="s">
        <v>446</v>
      </c>
      <c r="H191" s="22" t="s">
        <v>132</v>
      </c>
      <c r="I191" s="55">
        <v>9.5</v>
      </c>
      <c r="J191" s="55">
        <f>IF(I191&lt;=15,$L$2,$L$3)</f>
        <v>25</v>
      </c>
      <c r="K191" s="55">
        <f t="shared" si="250"/>
        <v>3.45</v>
      </c>
      <c r="L191" s="55">
        <f t="shared" si="251"/>
        <v>37.950000000000003</v>
      </c>
      <c r="M191" s="55">
        <f t="shared" si="252"/>
        <v>38</v>
      </c>
      <c r="N191" s="56">
        <v>36</v>
      </c>
      <c r="O191" s="57">
        <f t="shared" si="231"/>
        <v>19.1235</v>
      </c>
      <c r="P191" s="58">
        <f t="shared" si="253"/>
        <v>-2</v>
      </c>
      <c r="Q191" s="59">
        <f t="shared" si="232"/>
        <v>6</v>
      </c>
      <c r="R191" s="60">
        <v>0</v>
      </c>
      <c r="S191" s="60"/>
      <c r="T191" s="60">
        <f t="shared" si="151"/>
        <v>0</v>
      </c>
      <c r="U191" s="60">
        <f t="shared" si="233"/>
        <v>0</v>
      </c>
      <c r="V191" s="88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30"/>
      <c r="AP191" s="31"/>
      <c r="AQ191" s="32"/>
      <c r="AR191" s="33"/>
      <c r="AS191" s="31"/>
      <c r="AT191" s="63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64"/>
      <c r="BT191" s="64"/>
      <c r="BU191" s="64"/>
      <c r="BV191" s="64"/>
      <c r="BW191" s="64"/>
      <c r="BX191" s="64"/>
      <c r="BY191" s="64"/>
      <c r="BZ191" s="64"/>
      <c r="CA191" s="64"/>
    </row>
    <row r="192" spans="1:79" ht="14.25" customHeight="1" x14ac:dyDescent="0.25">
      <c r="A192" s="22"/>
      <c r="B192" s="22">
        <v>172</v>
      </c>
      <c r="C192" s="74" t="s">
        <v>427</v>
      </c>
      <c r="D192" s="174">
        <v>2018</v>
      </c>
      <c r="E192" s="22" t="s">
        <v>447</v>
      </c>
      <c r="F192" s="22" t="s">
        <v>445</v>
      </c>
      <c r="G192" s="22" t="s">
        <v>446</v>
      </c>
      <c r="H192" s="22" t="s">
        <v>132</v>
      </c>
      <c r="I192" s="55">
        <v>9.5</v>
      </c>
      <c r="J192" s="55">
        <f>IF(I192&lt;=15,$L$2,$L$3)</f>
        <v>25</v>
      </c>
      <c r="K192" s="55">
        <f t="shared" si="250"/>
        <v>3.45</v>
      </c>
      <c r="L192" s="55">
        <f t="shared" si="251"/>
        <v>37.950000000000003</v>
      </c>
      <c r="M192" s="55">
        <f t="shared" si="252"/>
        <v>38</v>
      </c>
      <c r="N192" s="56">
        <v>36</v>
      </c>
      <c r="O192" s="57">
        <f t="shared" si="231"/>
        <v>19.1235</v>
      </c>
      <c r="P192" s="58">
        <f t="shared" si="253"/>
        <v>-2</v>
      </c>
      <c r="Q192" s="59">
        <f t="shared" si="232"/>
        <v>6</v>
      </c>
      <c r="R192" s="60">
        <v>10</v>
      </c>
      <c r="S192" s="60"/>
      <c r="T192" s="60">
        <f t="shared" si="151"/>
        <v>0</v>
      </c>
      <c r="U192" s="60">
        <f t="shared" si="233"/>
        <v>10</v>
      </c>
      <c r="V192" s="62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1"/>
      <c r="AQ192" s="32"/>
      <c r="AR192" s="33"/>
      <c r="AS192" s="31"/>
      <c r="AT192" s="63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64"/>
      <c r="BT192" s="64"/>
      <c r="BU192" s="64"/>
      <c r="BV192" s="64"/>
      <c r="BW192" s="64"/>
      <c r="BX192" s="64"/>
      <c r="BY192" s="64"/>
      <c r="BZ192" s="64"/>
      <c r="CA192" s="64"/>
    </row>
    <row r="193" spans="1:136" s="54" customFormat="1" ht="14.25" customHeight="1" x14ac:dyDescent="0.25">
      <c r="A193" s="22"/>
      <c r="B193" s="29">
        <v>173</v>
      </c>
      <c r="C193" s="74" t="s">
        <v>427</v>
      </c>
      <c r="D193" s="174">
        <v>2016</v>
      </c>
      <c r="E193" s="22" t="s">
        <v>448</v>
      </c>
      <c r="F193" s="22" t="s">
        <v>449</v>
      </c>
      <c r="G193" s="22" t="s">
        <v>422</v>
      </c>
      <c r="H193" s="22" t="s">
        <v>137</v>
      </c>
      <c r="I193" s="55">
        <v>61</v>
      </c>
      <c r="J193" s="55">
        <v>50</v>
      </c>
      <c r="K193" s="55">
        <f>(I193+J193)*0.1</f>
        <v>11.100000000000001</v>
      </c>
      <c r="L193" s="55">
        <f>SUM(I193:K193)</f>
        <v>122.1</v>
      </c>
      <c r="M193" s="55">
        <f>ROUND(L193,0)</f>
        <v>122</v>
      </c>
      <c r="N193" s="56">
        <v>123</v>
      </c>
      <c r="O193" s="57">
        <f t="shared" si="231"/>
        <v>122.79299999999999</v>
      </c>
      <c r="P193" s="58">
        <f>N193-M193</f>
        <v>1</v>
      </c>
      <c r="Q193" s="59">
        <f t="shared" si="232"/>
        <v>20.5</v>
      </c>
      <c r="R193" s="60">
        <v>3</v>
      </c>
      <c r="S193" s="60"/>
      <c r="T193" s="60">
        <f t="shared" si="151"/>
        <v>0</v>
      </c>
      <c r="U193" s="61">
        <f t="shared" si="233"/>
        <v>3</v>
      </c>
      <c r="V193" s="62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1"/>
      <c r="AQ193" s="32"/>
      <c r="AR193" s="33"/>
      <c r="AS193" s="31"/>
      <c r="AT193" s="63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</row>
    <row r="194" spans="1:136" ht="15" customHeight="1" x14ac:dyDescent="0.25">
      <c r="A194" s="3"/>
      <c r="B194" s="22">
        <v>174</v>
      </c>
      <c r="C194" s="74" t="s">
        <v>427</v>
      </c>
      <c r="D194" s="174">
        <v>2021</v>
      </c>
      <c r="E194" s="22" t="s">
        <v>450</v>
      </c>
      <c r="F194" s="22" t="s">
        <v>449</v>
      </c>
      <c r="G194" s="22" t="s">
        <v>451</v>
      </c>
      <c r="H194" s="22" t="s">
        <v>137</v>
      </c>
      <c r="I194" s="55">
        <v>11.5</v>
      </c>
      <c r="J194" s="55">
        <f t="shared" ref="J194:J199" si="254">IF(I194&lt;=15,$L$2,$L$3)</f>
        <v>25</v>
      </c>
      <c r="K194" s="55">
        <f t="shared" si="250"/>
        <v>3.6500000000000004</v>
      </c>
      <c r="L194" s="55">
        <f t="shared" si="251"/>
        <v>40.15</v>
      </c>
      <c r="M194" s="55">
        <f t="shared" si="252"/>
        <v>40</v>
      </c>
      <c r="N194" s="56">
        <v>40</v>
      </c>
      <c r="O194" s="57">
        <f t="shared" si="231"/>
        <v>23.149499999999996</v>
      </c>
      <c r="P194" s="58">
        <f t="shared" si="253"/>
        <v>0</v>
      </c>
      <c r="Q194" s="59">
        <f t="shared" si="232"/>
        <v>6.666666666666667</v>
      </c>
      <c r="R194" s="60">
        <v>8</v>
      </c>
      <c r="S194" s="60">
        <f>6+6</f>
        <v>12</v>
      </c>
      <c r="T194" s="60">
        <f t="shared" si="151"/>
        <v>7</v>
      </c>
      <c r="U194" s="60">
        <f t="shared" si="233"/>
        <v>13</v>
      </c>
      <c r="V194" s="62"/>
      <c r="W194" s="30"/>
      <c r="X194" s="30">
        <v>1</v>
      </c>
      <c r="Y194" s="30"/>
      <c r="Z194" s="30"/>
      <c r="AA194" s="30"/>
      <c r="AB194" s="30"/>
      <c r="AC194" s="30"/>
      <c r="AD194" s="30">
        <v>1</v>
      </c>
      <c r="AE194" s="30">
        <v>1</v>
      </c>
      <c r="AF194" s="30">
        <v>1</v>
      </c>
      <c r="AG194" s="30"/>
      <c r="AH194" s="30"/>
      <c r="AI194" s="30"/>
      <c r="AJ194" s="30"/>
      <c r="AK194" s="30"/>
      <c r="AL194" s="30"/>
      <c r="AM194" s="30"/>
      <c r="AN194" s="30"/>
      <c r="AO194" s="30"/>
      <c r="AP194" s="31"/>
      <c r="AQ194" s="32"/>
      <c r="AR194" s="33"/>
      <c r="AS194" s="31"/>
      <c r="AT194" s="63"/>
      <c r="AU194" s="34">
        <v>1</v>
      </c>
      <c r="AV194" s="34"/>
      <c r="AW194" s="34"/>
      <c r="AX194" s="34"/>
      <c r="AY194" s="34"/>
      <c r="AZ194" s="34"/>
      <c r="BA194" s="34"/>
      <c r="BB194" s="34">
        <v>2</v>
      </c>
      <c r="BC194" s="34"/>
      <c r="BD194" s="34"/>
      <c r="BE194" s="34"/>
      <c r="BF194" s="64"/>
      <c r="BT194" s="64"/>
      <c r="BU194" s="64"/>
      <c r="BV194" s="64"/>
      <c r="BW194" s="64"/>
      <c r="BX194" s="64"/>
      <c r="BY194" s="64"/>
      <c r="BZ194" s="64"/>
      <c r="CA194" s="64"/>
    </row>
    <row r="195" spans="1:136" ht="15" customHeight="1" x14ac:dyDescent="0.25">
      <c r="A195" s="22"/>
      <c r="B195" s="22">
        <v>175</v>
      </c>
      <c r="C195" s="74" t="s">
        <v>427</v>
      </c>
      <c r="D195" s="174">
        <v>2021</v>
      </c>
      <c r="E195" s="22" t="s">
        <v>452</v>
      </c>
      <c r="F195" s="22" t="s">
        <v>453</v>
      </c>
      <c r="G195" s="22" t="s">
        <v>95</v>
      </c>
      <c r="H195" s="22" t="s">
        <v>78</v>
      </c>
      <c r="I195" s="55">
        <v>19.3</v>
      </c>
      <c r="J195" s="55">
        <f t="shared" si="254"/>
        <v>30</v>
      </c>
      <c r="K195" s="55">
        <f t="shared" si="250"/>
        <v>4.93</v>
      </c>
      <c r="L195" s="55">
        <f t="shared" si="251"/>
        <v>54.23</v>
      </c>
      <c r="M195" s="55">
        <f t="shared" si="252"/>
        <v>54</v>
      </c>
      <c r="N195" s="56">
        <v>54</v>
      </c>
      <c r="O195" s="57">
        <f t="shared" si="231"/>
        <v>38.850899999999996</v>
      </c>
      <c r="P195" s="58">
        <f t="shared" si="253"/>
        <v>0</v>
      </c>
      <c r="Q195" s="59">
        <f t="shared" si="232"/>
        <v>9</v>
      </c>
      <c r="R195" s="60">
        <v>10</v>
      </c>
      <c r="S195" s="60"/>
      <c r="T195" s="60">
        <f t="shared" si="151"/>
        <v>0</v>
      </c>
      <c r="U195" s="60">
        <f t="shared" si="233"/>
        <v>10</v>
      </c>
      <c r="V195" s="62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1"/>
      <c r="AQ195" s="32"/>
      <c r="AR195" s="33"/>
      <c r="AS195" s="31"/>
      <c r="AT195" s="63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64"/>
      <c r="BT195" s="64"/>
      <c r="BU195" s="64"/>
      <c r="BV195" s="64"/>
      <c r="BW195" s="64"/>
      <c r="BX195" s="64"/>
      <c r="BY195" s="64"/>
      <c r="BZ195" s="64"/>
      <c r="CA195" s="64"/>
    </row>
    <row r="196" spans="1:136" s="1" customFormat="1" ht="15" customHeight="1" x14ac:dyDescent="0.25">
      <c r="A196" s="22"/>
      <c r="B196" s="22">
        <v>176</v>
      </c>
      <c r="C196" s="74" t="s">
        <v>427</v>
      </c>
      <c r="D196" s="174">
        <v>2022</v>
      </c>
      <c r="E196" s="22" t="s">
        <v>454</v>
      </c>
      <c r="F196" s="22" t="s">
        <v>455</v>
      </c>
      <c r="G196" s="22" t="s">
        <v>98</v>
      </c>
      <c r="H196" s="22" t="s">
        <v>78</v>
      </c>
      <c r="I196" s="55">
        <v>8.9</v>
      </c>
      <c r="J196" s="55">
        <f t="shared" si="254"/>
        <v>25</v>
      </c>
      <c r="K196" s="55">
        <f t="shared" si="250"/>
        <v>3.39</v>
      </c>
      <c r="L196" s="55">
        <f t="shared" si="251"/>
        <v>37.29</v>
      </c>
      <c r="M196" s="55">
        <f t="shared" si="252"/>
        <v>37</v>
      </c>
      <c r="N196" s="56">
        <v>37</v>
      </c>
      <c r="O196" s="57">
        <f t="shared" si="231"/>
        <v>17.915700000000001</v>
      </c>
      <c r="P196" s="58">
        <f t="shared" si="253"/>
        <v>0</v>
      </c>
      <c r="Q196" s="59">
        <f t="shared" si="232"/>
        <v>6.166666666666667</v>
      </c>
      <c r="R196" s="60">
        <v>6</v>
      </c>
      <c r="S196" s="60">
        <v>6</v>
      </c>
      <c r="T196" s="60">
        <f t="shared" si="151"/>
        <v>1</v>
      </c>
      <c r="U196" s="60">
        <f t="shared" si="233"/>
        <v>11</v>
      </c>
      <c r="V196" s="62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1"/>
      <c r="AQ196" s="32"/>
      <c r="AR196" s="33"/>
      <c r="AS196" s="31"/>
      <c r="AT196" s="63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>
        <v>1</v>
      </c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>
        <v>3</v>
      </c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  <c r="DS196" s="66"/>
      <c r="DT196" s="66"/>
      <c r="DU196" s="66"/>
      <c r="DV196" s="66"/>
      <c r="DW196" s="66"/>
      <c r="DX196" s="66"/>
      <c r="DY196" s="66"/>
      <c r="DZ196" s="66"/>
      <c r="EA196" s="66"/>
      <c r="EB196" s="66"/>
      <c r="EC196" s="66"/>
      <c r="ED196" s="66"/>
      <c r="EE196" s="66"/>
      <c r="EF196" s="66"/>
    </row>
    <row r="197" spans="1:136" s="1" customFormat="1" ht="15" customHeight="1" x14ac:dyDescent="0.25">
      <c r="A197" s="22"/>
      <c r="B197" s="29">
        <v>177</v>
      </c>
      <c r="C197" s="74" t="s">
        <v>427</v>
      </c>
      <c r="D197" s="174">
        <v>2022</v>
      </c>
      <c r="E197" s="22" t="s">
        <v>456</v>
      </c>
      <c r="F197" s="22" t="s">
        <v>457</v>
      </c>
      <c r="G197" s="22" t="s">
        <v>95</v>
      </c>
      <c r="H197" s="22" t="s">
        <v>171</v>
      </c>
      <c r="I197" s="55">
        <v>8.6999999999999993</v>
      </c>
      <c r="J197" s="55">
        <f t="shared" si="254"/>
        <v>25</v>
      </c>
      <c r="K197" s="55">
        <f>(I197+J197)*0.1</f>
        <v>3.3700000000000006</v>
      </c>
      <c r="L197" s="55">
        <f>SUM(I197:K197)</f>
        <v>37.07</v>
      </c>
      <c r="M197" s="55">
        <f>ROUND(L197,0)</f>
        <v>37</v>
      </c>
      <c r="N197" s="56">
        <v>36</v>
      </c>
      <c r="O197" s="57">
        <f t="shared" si="231"/>
        <v>17.513099999999998</v>
      </c>
      <c r="P197" s="58">
        <f>N197-M197</f>
        <v>-1</v>
      </c>
      <c r="Q197" s="59">
        <f t="shared" si="232"/>
        <v>6</v>
      </c>
      <c r="R197" s="60">
        <v>20</v>
      </c>
      <c r="S197" s="60">
        <v>6</v>
      </c>
      <c r="T197" s="60">
        <f t="shared" si="151"/>
        <v>17</v>
      </c>
      <c r="U197" s="60">
        <f t="shared" si="233"/>
        <v>9</v>
      </c>
      <c r="V197" s="62"/>
      <c r="W197" s="30"/>
      <c r="X197" s="30"/>
      <c r="Y197" s="30"/>
      <c r="Z197" s="30"/>
      <c r="AA197" s="30">
        <v>1</v>
      </c>
      <c r="AB197" s="30"/>
      <c r="AC197" s="30"/>
      <c r="AD197" s="30"/>
      <c r="AE197" s="30"/>
      <c r="AF197" s="30"/>
      <c r="AG197" s="30"/>
      <c r="AH197" s="30">
        <v>5</v>
      </c>
      <c r="AI197" s="30"/>
      <c r="AJ197" s="30"/>
      <c r="AK197" s="30"/>
      <c r="AL197" s="30"/>
      <c r="AM197" s="30"/>
      <c r="AN197" s="30"/>
      <c r="AO197" s="30"/>
      <c r="AP197" s="31"/>
      <c r="AQ197" s="32"/>
      <c r="AR197" s="33"/>
      <c r="AS197" s="31"/>
      <c r="AT197" s="63"/>
      <c r="AU197" s="34">
        <v>1</v>
      </c>
      <c r="AV197" s="34"/>
      <c r="AW197" s="34">
        <v>1</v>
      </c>
      <c r="AX197" s="34"/>
      <c r="AY197" s="34"/>
      <c r="AZ197" s="34">
        <v>2</v>
      </c>
      <c r="BA197" s="34"/>
      <c r="BB197" s="34"/>
      <c r="BC197" s="34"/>
      <c r="BD197" s="34"/>
      <c r="BE197" s="34"/>
      <c r="BF197" s="64">
        <v>1</v>
      </c>
      <c r="BG197" s="64"/>
      <c r="BH197" s="64">
        <v>1</v>
      </c>
      <c r="BI197" s="64"/>
      <c r="BJ197" s="64"/>
      <c r="BK197" s="64">
        <v>5</v>
      </c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  <c r="DS197" s="66"/>
      <c r="DT197" s="66"/>
      <c r="DU197" s="66"/>
      <c r="DV197" s="66"/>
      <c r="DW197" s="66"/>
      <c r="DX197" s="66"/>
      <c r="DY197" s="66"/>
      <c r="DZ197" s="66"/>
      <c r="EA197" s="66"/>
      <c r="EB197" s="66"/>
      <c r="EC197" s="66"/>
      <c r="ED197" s="66"/>
      <c r="EE197" s="66"/>
      <c r="EF197" s="66"/>
    </row>
    <row r="198" spans="1:136" s="1" customFormat="1" ht="15" customHeight="1" x14ac:dyDescent="0.25">
      <c r="A198" s="22"/>
      <c r="B198" s="22">
        <v>178</v>
      </c>
      <c r="C198" s="74" t="s">
        <v>427</v>
      </c>
      <c r="D198" s="174">
        <v>2021</v>
      </c>
      <c r="E198" s="22" t="s">
        <v>458</v>
      </c>
      <c r="F198" s="22" t="s">
        <v>459</v>
      </c>
      <c r="G198" s="22" t="s">
        <v>95</v>
      </c>
      <c r="H198" s="22" t="s">
        <v>78</v>
      </c>
      <c r="I198" s="55">
        <v>23.9</v>
      </c>
      <c r="J198" s="55">
        <f t="shared" si="254"/>
        <v>30</v>
      </c>
      <c r="K198" s="55">
        <f>(I198+J198)*0.1</f>
        <v>5.3900000000000006</v>
      </c>
      <c r="L198" s="55">
        <f>SUM(I198:K198)</f>
        <v>59.29</v>
      </c>
      <c r="M198" s="55">
        <f>ROUND(L198,0)</f>
        <v>59</v>
      </c>
      <c r="N198" s="56">
        <v>58</v>
      </c>
      <c r="O198" s="57">
        <f t="shared" si="231"/>
        <v>48.110699999999994</v>
      </c>
      <c r="P198" s="58">
        <f>N198-M198</f>
        <v>-1</v>
      </c>
      <c r="Q198" s="59">
        <f t="shared" si="232"/>
        <v>9.6666666666666661</v>
      </c>
      <c r="R198" s="60">
        <v>9</v>
      </c>
      <c r="S198" s="60">
        <v>2</v>
      </c>
      <c r="T198" s="60">
        <f t="shared" si="151"/>
        <v>5</v>
      </c>
      <c r="U198" s="60">
        <f t="shared" si="233"/>
        <v>6</v>
      </c>
      <c r="V198" s="62"/>
      <c r="W198" s="30"/>
      <c r="X198" s="30"/>
      <c r="Y198" s="30"/>
      <c r="Z198" s="30">
        <v>1</v>
      </c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1"/>
      <c r="AQ198" s="32"/>
      <c r="AR198" s="33"/>
      <c r="AS198" s="31"/>
      <c r="AT198" s="63"/>
      <c r="AU198" s="34"/>
      <c r="AV198" s="34"/>
      <c r="AW198" s="34"/>
      <c r="AX198" s="34"/>
      <c r="AY198" s="34"/>
      <c r="AZ198" s="34"/>
      <c r="BA198" s="34">
        <v>1</v>
      </c>
      <c r="BB198" s="34"/>
      <c r="BC198" s="34">
        <v>3</v>
      </c>
      <c r="BD198" s="34"/>
      <c r="BE198" s="3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  <c r="DR198" s="66"/>
      <c r="DS198" s="66"/>
      <c r="DT198" s="66"/>
      <c r="DU198" s="66"/>
      <c r="DV198" s="66"/>
      <c r="DW198" s="66"/>
      <c r="DX198" s="66"/>
      <c r="DY198" s="66"/>
      <c r="DZ198" s="66"/>
      <c r="EA198" s="66"/>
      <c r="EB198" s="66"/>
      <c r="EC198" s="66"/>
      <c r="ED198" s="66"/>
      <c r="EE198" s="66"/>
      <c r="EF198" s="66"/>
    </row>
    <row r="199" spans="1:136" s="1" customFormat="1" ht="15" customHeight="1" x14ac:dyDescent="0.25">
      <c r="A199" s="22"/>
      <c r="B199" s="22">
        <v>179</v>
      </c>
      <c r="C199" s="74" t="s">
        <v>427</v>
      </c>
      <c r="D199" s="174">
        <v>2021</v>
      </c>
      <c r="E199" s="22" t="s">
        <v>460</v>
      </c>
      <c r="F199" s="22" t="s">
        <v>461</v>
      </c>
      <c r="G199" s="22" t="s">
        <v>95</v>
      </c>
      <c r="H199" s="22" t="s">
        <v>78</v>
      </c>
      <c r="I199" s="55">
        <v>10.69</v>
      </c>
      <c r="J199" s="55">
        <f t="shared" si="254"/>
        <v>25</v>
      </c>
      <c r="K199" s="55">
        <f>(I199+J199)*0.1</f>
        <v>3.569</v>
      </c>
      <c r="L199" s="55">
        <f>SUM(I199:K199)</f>
        <v>39.259</v>
      </c>
      <c r="M199" s="55">
        <f>ROUND(L199,0)</f>
        <v>39</v>
      </c>
      <c r="N199" s="56">
        <v>39</v>
      </c>
      <c r="O199" s="57">
        <f t="shared" ref="O199" si="255">I199*$O$2*1.22</f>
        <v>21.518969999999996</v>
      </c>
      <c r="P199" s="58">
        <f>N199-M199</f>
        <v>0</v>
      </c>
      <c r="Q199" s="59">
        <f t="shared" ref="Q199" si="256">N199/$Q$3</f>
        <v>6.5</v>
      </c>
      <c r="R199" s="60">
        <v>0</v>
      </c>
      <c r="S199" s="60">
        <v>6</v>
      </c>
      <c r="T199" s="60">
        <f t="shared" ref="T199" si="257">W199+X199+Y199+Z199+AA199+AB199+AC199+AD199+AE199+AF199+AG199+AH199+AI199+AJ199+AK199+AL199+AM199+AN199+AO199+AP199+AQ199+AR199+AS199+AT199+AU199+AV199+AW199+AX199+AY199+AZ199+BA199+BB199+BC199+BD199+BE199+BF199+BG199+BH199+BI199+BJ199+BK199+BL199+BM199+BQ199+BR199+BS199+BT199</f>
        <v>0</v>
      </c>
      <c r="U199" s="60">
        <f t="shared" ref="U199" si="258">R199+S199-T199</f>
        <v>6</v>
      </c>
      <c r="V199" s="62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1"/>
      <c r="AQ199" s="32"/>
      <c r="AR199" s="33"/>
      <c r="AS199" s="31"/>
      <c r="AT199" s="63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  <c r="DS199" s="66"/>
      <c r="DT199" s="66"/>
      <c r="DU199" s="66"/>
      <c r="DV199" s="66"/>
      <c r="DW199" s="66"/>
      <c r="DX199" s="66"/>
      <c r="DY199" s="66"/>
      <c r="DZ199" s="66"/>
      <c r="EA199" s="66"/>
      <c r="EB199" s="66"/>
      <c r="EC199" s="66"/>
      <c r="ED199" s="66"/>
      <c r="EE199" s="66"/>
      <c r="EF199" s="66"/>
    </row>
    <row r="200" spans="1:136" s="1" customFormat="1" ht="15" customHeight="1" x14ac:dyDescent="0.25">
      <c r="A200" s="22"/>
      <c r="B200" s="22">
        <v>179.5</v>
      </c>
      <c r="C200" s="74" t="s">
        <v>427</v>
      </c>
      <c r="D200" s="174">
        <v>2021</v>
      </c>
      <c r="E200" s="22" t="s">
        <v>462</v>
      </c>
      <c r="F200" s="22" t="s">
        <v>463</v>
      </c>
      <c r="G200" s="22" t="s">
        <v>422</v>
      </c>
      <c r="H200" s="22" t="s">
        <v>132</v>
      </c>
      <c r="I200" s="55">
        <v>15.5</v>
      </c>
      <c r="J200" s="55">
        <f t="shared" ref="J200" si="259">IF(I200&lt;=15,$L$2,$L$3)</f>
        <v>30</v>
      </c>
      <c r="K200" s="55">
        <f>(I200+J200)*0.1</f>
        <v>4.55</v>
      </c>
      <c r="L200" s="55">
        <f>SUM(I200:K200)</f>
        <v>50.05</v>
      </c>
      <c r="M200" s="55">
        <f>ROUND(L200,0)</f>
        <v>50</v>
      </c>
      <c r="N200" s="56">
        <v>50</v>
      </c>
      <c r="O200" s="57">
        <f t="shared" ref="O200" si="260">I200*$O$2*1.22</f>
        <v>31.201499999999999</v>
      </c>
      <c r="P200" s="58">
        <f>N200-M200</f>
        <v>0</v>
      </c>
      <c r="Q200" s="59">
        <f t="shared" ref="Q200" si="261">N200/$Q$3</f>
        <v>8.3333333333333339</v>
      </c>
      <c r="R200" s="60">
        <v>0</v>
      </c>
      <c r="S200" s="60">
        <v>6</v>
      </c>
      <c r="T200" s="60">
        <f t="shared" ref="T200" si="262">W200+X200+Y200+Z200+AA200+AB200+AC200+AD200+AE200+AF200+AG200+AH200+AI200+AJ200+AK200+AL200+AM200+AN200+AO200+AP200+AQ200+AR200+AS200+AT200+AU200+AV200+AW200+AX200+AY200+AZ200+BA200+BB200+BC200+BD200+BE200+BF200+BG200+BH200+BI200+BJ200+BK200+BL200+BM200+BQ200+BR200+BS200+BT200</f>
        <v>4</v>
      </c>
      <c r="U200" s="60">
        <f t="shared" ref="U200" si="263">R200+S200-T200</f>
        <v>2</v>
      </c>
      <c r="V200" s="62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1"/>
      <c r="AQ200" s="32"/>
      <c r="AR200" s="33"/>
      <c r="AS200" s="31"/>
      <c r="AT200" s="63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64"/>
      <c r="BG200" s="64"/>
      <c r="BH200" s="64"/>
      <c r="BI200" s="64"/>
      <c r="BJ200" s="64"/>
      <c r="BK200" s="64">
        <v>1</v>
      </c>
      <c r="BL200" s="64">
        <v>2</v>
      </c>
      <c r="BM200" s="64"/>
      <c r="BN200" s="64"/>
      <c r="BO200" s="64"/>
      <c r="BP200" s="64"/>
      <c r="BQ200" s="64"/>
      <c r="BR200" s="64"/>
      <c r="BS200" s="64"/>
      <c r="BT200" s="64">
        <v>1</v>
      </c>
      <c r="BU200" s="64"/>
      <c r="BV200" s="64"/>
      <c r="BW200" s="64"/>
      <c r="BX200" s="64"/>
      <c r="BY200" s="64"/>
      <c r="BZ200" s="64"/>
      <c r="CA200" s="64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  <c r="DR200" s="66"/>
      <c r="DS200" s="66"/>
      <c r="DT200" s="66"/>
      <c r="DU200" s="66"/>
      <c r="DV200" s="66"/>
      <c r="DW200" s="66"/>
      <c r="DX200" s="66"/>
      <c r="DY200" s="66"/>
      <c r="DZ200" s="66"/>
      <c r="EA200" s="66"/>
      <c r="EB200" s="66"/>
      <c r="EC200" s="66"/>
      <c r="ED200" s="66"/>
      <c r="EE200" s="66"/>
      <c r="EF200" s="66"/>
    </row>
    <row r="201" spans="1:136" ht="15" customHeight="1" x14ac:dyDescent="0.25">
      <c r="A201" s="22"/>
      <c r="B201" s="22">
        <v>179</v>
      </c>
      <c r="C201" s="76" t="s">
        <v>207</v>
      </c>
      <c r="D201" s="174">
        <v>2018</v>
      </c>
      <c r="E201" s="22" t="s">
        <v>464</v>
      </c>
      <c r="F201" s="22" t="s">
        <v>465</v>
      </c>
      <c r="G201" s="22" t="s">
        <v>466</v>
      </c>
      <c r="H201" s="22" t="s">
        <v>78</v>
      </c>
      <c r="I201" s="55">
        <v>23.5</v>
      </c>
      <c r="J201" s="55">
        <v>30</v>
      </c>
      <c r="K201" s="55">
        <f t="shared" si="250"/>
        <v>5.3500000000000005</v>
      </c>
      <c r="L201" s="55">
        <f t="shared" si="251"/>
        <v>58.85</v>
      </c>
      <c r="M201" s="55">
        <f t="shared" si="252"/>
        <v>59</v>
      </c>
      <c r="N201" s="56">
        <v>59</v>
      </c>
      <c r="O201" s="57">
        <f t="shared" si="231"/>
        <v>47.305499999999995</v>
      </c>
      <c r="P201" s="58">
        <f t="shared" si="253"/>
        <v>0</v>
      </c>
      <c r="Q201" s="59">
        <f t="shared" si="232"/>
        <v>9.8333333333333339</v>
      </c>
      <c r="R201" s="60">
        <v>8</v>
      </c>
      <c r="S201" s="60"/>
      <c r="T201" s="60">
        <f t="shared" si="151"/>
        <v>0</v>
      </c>
      <c r="U201" s="60">
        <f t="shared" si="233"/>
        <v>8</v>
      </c>
      <c r="V201" s="62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1"/>
      <c r="AQ201" s="32"/>
      <c r="AR201" s="33"/>
      <c r="AS201" s="31"/>
      <c r="AT201" s="63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64"/>
      <c r="BP201" s="64">
        <v>1</v>
      </c>
      <c r="BT201" s="64"/>
      <c r="BU201" s="64"/>
      <c r="BV201" s="64"/>
      <c r="BW201" s="64"/>
      <c r="BX201" s="64"/>
      <c r="BY201" s="64"/>
      <c r="BZ201" s="64"/>
      <c r="CA201" s="64"/>
    </row>
    <row r="202" spans="1:136" ht="15" customHeight="1" x14ac:dyDescent="0.25">
      <c r="A202" s="22"/>
      <c r="B202" s="22">
        <v>180</v>
      </c>
      <c r="C202" s="76" t="s">
        <v>207</v>
      </c>
      <c r="D202" s="174">
        <v>2008</v>
      </c>
      <c r="E202" s="22" t="s">
        <v>467</v>
      </c>
      <c r="F202" s="22" t="s">
        <v>468</v>
      </c>
      <c r="G202" s="22" t="s">
        <v>469</v>
      </c>
      <c r="H202" s="22" t="s">
        <v>177</v>
      </c>
      <c r="I202" s="55">
        <v>28</v>
      </c>
      <c r="J202" s="55">
        <v>30</v>
      </c>
      <c r="K202" s="55">
        <f>(I202+J202)*0.1</f>
        <v>5.8000000000000007</v>
      </c>
      <c r="L202" s="55">
        <f>SUM(I202:K202)</f>
        <v>63.8</v>
      </c>
      <c r="M202" s="55">
        <f>ROUND(L202,0)</f>
        <v>64</v>
      </c>
      <c r="N202" s="56">
        <v>63</v>
      </c>
      <c r="O202" s="57">
        <v>63</v>
      </c>
      <c r="P202" s="58">
        <f>N202-M202</f>
        <v>-1</v>
      </c>
      <c r="Q202" s="59">
        <f t="shared" si="232"/>
        <v>10.5</v>
      </c>
      <c r="R202" s="60">
        <v>3</v>
      </c>
      <c r="S202" s="60"/>
      <c r="T202" s="60">
        <f t="shared" si="151"/>
        <v>5</v>
      </c>
      <c r="U202" s="60">
        <f t="shared" si="233"/>
        <v>-2</v>
      </c>
      <c r="V202" s="62"/>
      <c r="W202" s="30"/>
      <c r="X202" s="30">
        <v>1</v>
      </c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1"/>
      <c r="AQ202" s="32"/>
      <c r="AR202" s="33"/>
      <c r="AS202" s="31"/>
      <c r="AT202" s="63">
        <v>1</v>
      </c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>
        <v>1</v>
      </c>
      <c r="BF202" s="64"/>
      <c r="BK202" s="64">
        <v>1</v>
      </c>
      <c r="BT202" s="64">
        <v>1</v>
      </c>
      <c r="BU202" s="64"/>
      <c r="BV202" s="64"/>
      <c r="BW202" s="64"/>
      <c r="BX202" s="64"/>
      <c r="BY202" s="64"/>
      <c r="BZ202" s="64"/>
      <c r="CA202" s="64"/>
    </row>
    <row r="203" spans="1:136" ht="15" customHeight="1" x14ac:dyDescent="0.25">
      <c r="A203" s="22"/>
      <c r="B203" s="29">
        <v>181</v>
      </c>
      <c r="C203" s="76" t="s">
        <v>207</v>
      </c>
      <c r="D203" s="174">
        <v>2014</v>
      </c>
      <c r="E203" s="22" t="s">
        <v>470</v>
      </c>
      <c r="F203" s="22" t="s">
        <v>468</v>
      </c>
      <c r="G203" s="22" t="s">
        <v>469</v>
      </c>
      <c r="H203" s="22" t="s">
        <v>177</v>
      </c>
      <c r="I203" s="55">
        <v>19.899999999999999</v>
      </c>
      <c r="J203" s="55">
        <v>30</v>
      </c>
      <c r="K203" s="55">
        <f>(I203+J203)*0.1</f>
        <v>4.99</v>
      </c>
      <c r="L203" s="55">
        <f>SUM(I203:K203)</f>
        <v>54.89</v>
      </c>
      <c r="M203" s="55">
        <f>ROUND(L203,0)</f>
        <v>55</v>
      </c>
      <c r="N203" s="56">
        <v>55</v>
      </c>
      <c r="O203" s="57">
        <v>63</v>
      </c>
      <c r="P203" s="58">
        <f>N203-M203</f>
        <v>0</v>
      </c>
      <c r="Q203" s="59">
        <f t="shared" si="232"/>
        <v>9.1666666666666661</v>
      </c>
      <c r="R203" s="60">
        <v>6</v>
      </c>
      <c r="S203" s="60"/>
      <c r="T203" s="60">
        <f t="shared" si="151"/>
        <v>1</v>
      </c>
      <c r="U203" s="60">
        <f t="shared" si="233"/>
        <v>5</v>
      </c>
      <c r="V203" s="62"/>
      <c r="W203" s="30"/>
      <c r="X203" s="30"/>
      <c r="Y203" s="30"/>
      <c r="Z203" s="30"/>
      <c r="AA203" s="30"/>
      <c r="AB203" s="30"/>
      <c r="AC203" s="30"/>
      <c r="AD203" s="30">
        <v>1</v>
      </c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1"/>
      <c r="AQ203" s="32"/>
      <c r="AR203" s="33"/>
      <c r="AS203" s="31"/>
      <c r="AT203" s="63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64"/>
      <c r="BO203" s="64">
        <v>1</v>
      </c>
      <c r="BT203" s="64"/>
      <c r="BU203" s="64"/>
      <c r="BV203" s="64"/>
      <c r="BW203" s="64"/>
      <c r="BX203" s="64"/>
      <c r="BY203" s="64"/>
      <c r="BZ203" s="64"/>
      <c r="CA203" s="64"/>
    </row>
    <row r="204" spans="1:136" ht="15" customHeight="1" x14ac:dyDescent="0.25">
      <c r="A204" s="22"/>
      <c r="B204" s="22">
        <v>182</v>
      </c>
      <c r="C204" s="76" t="s">
        <v>207</v>
      </c>
      <c r="D204" s="174">
        <v>2021</v>
      </c>
      <c r="E204" s="22" t="s">
        <v>471</v>
      </c>
      <c r="F204" s="22" t="s">
        <v>472</v>
      </c>
      <c r="G204" s="22" t="s">
        <v>473</v>
      </c>
      <c r="H204" s="22" t="s">
        <v>137</v>
      </c>
      <c r="I204" s="55">
        <v>19.36</v>
      </c>
      <c r="J204" s="55">
        <v>30</v>
      </c>
      <c r="K204" s="55">
        <f t="shared" si="250"/>
        <v>4.9359999999999999</v>
      </c>
      <c r="L204" s="55">
        <f t="shared" si="251"/>
        <v>54.295999999999999</v>
      </c>
      <c r="M204" s="55">
        <f t="shared" si="252"/>
        <v>54</v>
      </c>
      <c r="N204" s="56">
        <v>54</v>
      </c>
      <c r="O204" s="57">
        <f t="shared" ref="O204:O237" si="264">I204*$O$2*1.22</f>
        <v>38.971679999999999</v>
      </c>
      <c r="P204" s="58">
        <f t="shared" si="253"/>
        <v>0</v>
      </c>
      <c r="Q204" s="59">
        <f t="shared" si="232"/>
        <v>9</v>
      </c>
      <c r="R204" s="60">
        <v>7</v>
      </c>
      <c r="S204" s="60"/>
      <c r="T204" s="60">
        <f t="shared" si="151"/>
        <v>2</v>
      </c>
      <c r="U204" s="60">
        <f t="shared" si="233"/>
        <v>5</v>
      </c>
      <c r="V204" s="62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1">
        <v>1</v>
      </c>
      <c r="AQ204" s="32"/>
      <c r="AR204" s="33"/>
      <c r="AS204" s="31">
        <v>1</v>
      </c>
      <c r="AT204" s="63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64"/>
      <c r="BT204" s="64"/>
      <c r="BU204" s="64"/>
      <c r="BV204" s="64"/>
      <c r="BW204" s="64"/>
      <c r="BX204" s="64"/>
      <c r="BY204" s="64"/>
      <c r="BZ204" s="64"/>
      <c r="CA204" s="64"/>
    </row>
    <row r="205" spans="1:136" ht="15" customHeight="1" x14ac:dyDescent="0.25">
      <c r="A205" s="22"/>
      <c r="B205" s="22">
        <v>183</v>
      </c>
      <c r="C205" s="76" t="s">
        <v>207</v>
      </c>
      <c r="D205" s="174">
        <v>2020</v>
      </c>
      <c r="E205" s="22" t="s">
        <v>474</v>
      </c>
      <c r="F205" s="22" t="s">
        <v>472</v>
      </c>
      <c r="G205" s="22" t="s">
        <v>473</v>
      </c>
      <c r="H205" s="22" t="s">
        <v>137</v>
      </c>
      <c r="I205" s="55">
        <v>39.200000000000003</v>
      </c>
      <c r="J205" s="55">
        <v>35</v>
      </c>
      <c r="K205" s="55">
        <f t="shared" si="250"/>
        <v>7.4200000000000008</v>
      </c>
      <c r="L205" s="55">
        <f t="shared" si="251"/>
        <v>81.62</v>
      </c>
      <c r="M205" s="55">
        <f t="shared" si="252"/>
        <v>82</v>
      </c>
      <c r="N205" s="56">
        <v>82</v>
      </c>
      <c r="O205" s="57">
        <f t="shared" si="264"/>
        <v>78.909600000000012</v>
      </c>
      <c r="P205" s="58">
        <f t="shared" si="253"/>
        <v>0</v>
      </c>
      <c r="Q205" s="59">
        <f t="shared" si="232"/>
        <v>13.666666666666666</v>
      </c>
      <c r="R205" s="60">
        <v>5</v>
      </c>
      <c r="S205" s="60"/>
      <c r="T205" s="60">
        <f t="shared" si="151"/>
        <v>0</v>
      </c>
      <c r="U205" s="60">
        <f t="shared" si="233"/>
        <v>5</v>
      </c>
      <c r="V205" s="62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1"/>
      <c r="AQ205" s="32"/>
      <c r="AR205" s="33"/>
      <c r="AS205" s="31"/>
      <c r="AT205" s="63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64"/>
      <c r="BT205" s="64"/>
      <c r="BU205" s="64"/>
      <c r="BV205" s="64"/>
      <c r="BW205" s="64"/>
      <c r="BX205" s="64"/>
      <c r="BY205" s="64"/>
      <c r="BZ205" s="64"/>
      <c r="CA205" s="64"/>
    </row>
    <row r="206" spans="1:136" s="54" customFormat="1" ht="15" customHeight="1" x14ac:dyDescent="0.25">
      <c r="A206" s="22"/>
      <c r="B206" s="22">
        <v>184</v>
      </c>
      <c r="C206" s="76" t="s">
        <v>207</v>
      </c>
      <c r="D206" s="174">
        <v>2019</v>
      </c>
      <c r="E206" s="22" t="s">
        <v>475</v>
      </c>
      <c r="F206" s="22" t="s">
        <v>211</v>
      </c>
      <c r="G206" s="22" t="s">
        <v>469</v>
      </c>
      <c r="H206" s="22" t="s">
        <v>78</v>
      </c>
      <c r="I206" s="55">
        <v>43.5</v>
      </c>
      <c r="J206" s="55">
        <v>40</v>
      </c>
      <c r="K206" s="55">
        <f t="shared" si="250"/>
        <v>8.35</v>
      </c>
      <c r="L206" s="55">
        <f t="shared" si="251"/>
        <v>91.85</v>
      </c>
      <c r="M206" s="55">
        <v>90</v>
      </c>
      <c r="N206" s="56">
        <v>89</v>
      </c>
      <c r="O206" s="57">
        <f t="shared" si="264"/>
        <v>87.565499999999986</v>
      </c>
      <c r="P206" s="58">
        <f t="shared" si="253"/>
        <v>-1</v>
      </c>
      <c r="Q206" s="59">
        <f t="shared" si="232"/>
        <v>14.833333333333334</v>
      </c>
      <c r="R206" s="60">
        <v>4</v>
      </c>
      <c r="S206" s="60"/>
      <c r="T206" s="60">
        <f t="shared" si="151"/>
        <v>1</v>
      </c>
      <c r="U206" s="60">
        <f t="shared" si="233"/>
        <v>3</v>
      </c>
      <c r="V206" s="62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1"/>
      <c r="AQ206" s="32"/>
      <c r="AR206" s="33"/>
      <c r="AS206" s="31"/>
      <c r="AT206" s="63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64"/>
      <c r="BG206" s="64"/>
      <c r="BH206" s="64"/>
      <c r="BI206" s="64">
        <v>1</v>
      </c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</row>
    <row r="207" spans="1:136" s="54" customFormat="1" ht="15" customHeight="1" x14ac:dyDescent="0.25">
      <c r="A207" s="22">
        <v>6</v>
      </c>
      <c r="B207" s="22">
        <v>184.3</v>
      </c>
      <c r="C207" s="76" t="s">
        <v>207</v>
      </c>
      <c r="D207" s="174">
        <v>2021</v>
      </c>
      <c r="E207" s="22" t="s">
        <v>476</v>
      </c>
      <c r="F207" s="22" t="s">
        <v>477</v>
      </c>
      <c r="G207" s="22" t="s">
        <v>469</v>
      </c>
      <c r="H207" s="22" t="s">
        <v>132</v>
      </c>
      <c r="I207" s="55">
        <v>27.95</v>
      </c>
      <c r="J207" s="55">
        <v>25</v>
      </c>
      <c r="K207" s="55">
        <f t="shared" ref="K207:K208" si="265">(I207+J207)*0.1</f>
        <v>5.2950000000000008</v>
      </c>
      <c r="L207" s="55">
        <f t="shared" ref="L207:L208" si="266">SUM(I207:K207)</f>
        <v>58.245000000000005</v>
      </c>
      <c r="M207" s="55">
        <v>58</v>
      </c>
      <c r="N207" s="56">
        <v>58</v>
      </c>
      <c r="O207" s="57">
        <f t="shared" ref="O207:O208" si="267">I207*$O$2*1.22</f>
        <v>56.263349999999996</v>
      </c>
      <c r="P207" s="58">
        <f t="shared" ref="P207:P208" si="268">N207-M207</f>
        <v>0</v>
      </c>
      <c r="Q207" s="59">
        <f t="shared" ref="Q207:Q208" si="269">N207/$Q$3</f>
        <v>9.6666666666666661</v>
      </c>
      <c r="R207" s="60"/>
      <c r="S207" s="60">
        <v>6</v>
      </c>
      <c r="T207" s="60">
        <f t="shared" ref="T207:T208" si="270">W207+X207+Y207+Z207+AA207+AB207+AC207+AD207+AE207+AF207+AG207+AH207+AI207+AJ207+AK207+AL207+AM207+AN207+AO207+AP207+AQ207+AR207+AS207+AT207+AU207+AV207+AW207+AX207+AY207+AZ207+BA207+BB207+BC207+BD207+BE207+BF207+BG207+BH207+BI207+BJ207+BK207+BL207+BM207+BQ207+BR207+BS207+BT207</f>
        <v>0</v>
      </c>
      <c r="U207" s="60">
        <f t="shared" ref="U207:U208" si="271">R207+S207-T207</f>
        <v>6</v>
      </c>
      <c r="V207" s="62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1"/>
      <c r="AQ207" s="32"/>
      <c r="AR207" s="33"/>
      <c r="AS207" s="31"/>
      <c r="AT207" s="63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>
        <v>1</v>
      </c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</row>
    <row r="208" spans="1:136" s="54" customFormat="1" ht="15" customHeight="1" x14ac:dyDescent="0.25">
      <c r="A208" s="22"/>
      <c r="B208" s="22">
        <v>184.5</v>
      </c>
      <c r="C208" s="76" t="s">
        <v>207</v>
      </c>
      <c r="D208" s="174">
        <v>2021</v>
      </c>
      <c r="E208" s="22" t="s">
        <v>478</v>
      </c>
      <c r="F208" s="22" t="s">
        <v>477</v>
      </c>
      <c r="G208" s="22" t="s">
        <v>469</v>
      </c>
      <c r="H208" s="22" t="s">
        <v>132</v>
      </c>
      <c r="I208" s="55">
        <v>49.25</v>
      </c>
      <c r="J208" s="55">
        <v>40</v>
      </c>
      <c r="K208" s="55">
        <f t="shared" si="265"/>
        <v>8.9250000000000007</v>
      </c>
      <c r="L208" s="55">
        <f t="shared" si="266"/>
        <v>98.174999999999997</v>
      </c>
      <c r="M208" s="55">
        <v>90</v>
      </c>
      <c r="N208" s="56">
        <v>95</v>
      </c>
      <c r="O208" s="57">
        <f t="shared" si="267"/>
        <v>99.14024999999998</v>
      </c>
      <c r="P208" s="58">
        <f t="shared" si="268"/>
        <v>5</v>
      </c>
      <c r="Q208" s="59">
        <f t="shared" si="269"/>
        <v>15.833333333333334</v>
      </c>
      <c r="R208" s="60"/>
      <c r="S208" s="60">
        <v>3</v>
      </c>
      <c r="T208" s="60">
        <f t="shared" si="270"/>
        <v>0</v>
      </c>
      <c r="U208" s="60">
        <f t="shared" si="271"/>
        <v>3</v>
      </c>
      <c r="V208" s="62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1"/>
      <c r="AQ208" s="32"/>
      <c r="AR208" s="33"/>
      <c r="AS208" s="31"/>
      <c r="AT208" s="63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>
        <v>3</v>
      </c>
      <c r="BV208" s="64"/>
      <c r="BW208" s="64"/>
      <c r="BX208" s="64"/>
      <c r="BY208" s="64"/>
      <c r="BZ208" s="64"/>
      <c r="CA208" s="64"/>
    </row>
    <row r="209" spans="1:79" s="54" customFormat="1" ht="15" customHeight="1" x14ac:dyDescent="0.25">
      <c r="A209" s="22"/>
      <c r="B209" s="29">
        <v>185</v>
      </c>
      <c r="C209" s="76" t="s">
        <v>207</v>
      </c>
      <c r="D209" s="174">
        <v>2021</v>
      </c>
      <c r="E209" s="22" t="s">
        <v>479</v>
      </c>
      <c r="F209" s="22" t="s">
        <v>480</v>
      </c>
      <c r="G209" s="22" t="s">
        <v>481</v>
      </c>
      <c r="H209" s="22" t="s">
        <v>78</v>
      </c>
      <c r="I209" s="55">
        <v>21.5</v>
      </c>
      <c r="J209" s="55">
        <v>30</v>
      </c>
      <c r="K209" s="55">
        <f>(I209+J209)*0.1</f>
        <v>5.15</v>
      </c>
      <c r="L209" s="55">
        <f>SUM(I209:K209)</f>
        <v>56.65</v>
      </c>
      <c r="M209" s="55">
        <v>52</v>
      </c>
      <c r="N209" s="56">
        <v>50</v>
      </c>
      <c r="O209" s="57">
        <f t="shared" si="264"/>
        <v>43.279499999999999</v>
      </c>
      <c r="P209" s="58">
        <f>N209-M209</f>
        <v>-2</v>
      </c>
      <c r="Q209" s="59">
        <f t="shared" si="232"/>
        <v>8.3333333333333339</v>
      </c>
      <c r="R209" s="60">
        <v>9</v>
      </c>
      <c r="S209" s="60">
        <f>6+6</f>
        <v>12</v>
      </c>
      <c r="T209" s="60">
        <f t="shared" si="151"/>
        <v>10</v>
      </c>
      <c r="U209" s="60">
        <f t="shared" si="233"/>
        <v>11</v>
      </c>
      <c r="V209" s="62"/>
      <c r="W209" s="30">
        <v>3</v>
      </c>
      <c r="X209" s="30"/>
      <c r="Y209" s="30"/>
      <c r="Z209" s="30">
        <v>1</v>
      </c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1"/>
      <c r="AQ209" s="32"/>
      <c r="AR209" s="33">
        <v>1</v>
      </c>
      <c r="AS209" s="31"/>
      <c r="AT209" s="63">
        <v>1</v>
      </c>
      <c r="AU209" s="34"/>
      <c r="AV209" s="34"/>
      <c r="AW209" s="34"/>
      <c r="AX209" s="34"/>
      <c r="AY209" s="34"/>
      <c r="AZ209" s="34"/>
      <c r="BA209" s="34"/>
      <c r="BB209" s="34"/>
      <c r="BC209" s="34">
        <v>1</v>
      </c>
      <c r="BD209" s="34"/>
      <c r="BE209" s="34"/>
      <c r="BF209" s="64"/>
      <c r="BG209" s="64"/>
      <c r="BH209" s="64"/>
      <c r="BI209" s="64"/>
      <c r="BJ209" s="64"/>
      <c r="BK209" s="64">
        <v>3</v>
      </c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</row>
    <row r="210" spans="1:79" s="54" customFormat="1" ht="15" customHeight="1" x14ac:dyDescent="0.25">
      <c r="A210" s="22"/>
      <c r="B210" s="22">
        <v>186</v>
      </c>
      <c r="C210" s="76" t="s">
        <v>207</v>
      </c>
      <c r="D210" s="174">
        <v>2020</v>
      </c>
      <c r="E210" s="22" t="s">
        <v>482</v>
      </c>
      <c r="F210" s="22" t="s">
        <v>480</v>
      </c>
      <c r="G210" s="22" t="s">
        <v>481</v>
      </c>
      <c r="H210" s="22" t="s">
        <v>78</v>
      </c>
      <c r="I210" s="55">
        <v>51.9</v>
      </c>
      <c r="J210" s="55">
        <v>40</v>
      </c>
      <c r="K210" s="55">
        <f>(I210+J210)*0.1</f>
        <v>9.1900000000000013</v>
      </c>
      <c r="L210" s="55">
        <f>SUM(I210:K210)</f>
        <v>101.09</v>
      </c>
      <c r="M210" s="55">
        <v>95</v>
      </c>
      <c r="N210" s="56">
        <v>95</v>
      </c>
      <c r="O210" s="57">
        <f t="shared" si="264"/>
        <v>104.47469999999998</v>
      </c>
      <c r="P210" s="58">
        <f>N210-M210</f>
        <v>0</v>
      </c>
      <c r="Q210" s="59">
        <f t="shared" si="232"/>
        <v>15.833333333333334</v>
      </c>
      <c r="R210" s="60">
        <v>3</v>
      </c>
      <c r="S210" s="60">
        <v>6</v>
      </c>
      <c r="T210" s="60">
        <f t="shared" si="151"/>
        <v>0</v>
      </c>
      <c r="U210" s="60">
        <f t="shared" si="233"/>
        <v>9</v>
      </c>
      <c r="V210" s="62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1"/>
      <c r="AQ210" s="32"/>
      <c r="AR210" s="33"/>
      <c r="AS210" s="31"/>
      <c r="AT210" s="63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</row>
    <row r="211" spans="1:79" s="54" customFormat="1" ht="15" customHeight="1" x14ac:dyDescent="0.25">
      <c r="A211" s="22"/>
      <c r="B211" s="22">
        <v>187</v>
      </c>
      <c r="C211" s="76" t="s">
        <v>207</v>
      </c>
      <c r="D211" s="174">
        <v>2019</v>
      </c>
      <c r="E211" s="22" t="s">
        <v>483</v>
      </c>
      <c r="F211" s="22" t="s">
        <v>206</v>
      </c>
      <c r="G211" s="22" t="s">
        <v>484</v>
      </c>
      <c r="H211" s="22" t="s">
        <v>78</v>
      </c>
      <c r="I211" s="55">
        <v>38.9</v>
      </c>
      <c r="J211" s="55">
        <v>35</v>
      </c>
      <c r="K211" s="55">
        <f>(I211+J211)*0.1</f>
        <v>7.3900000000000006</v>
      </c>
      <c r="L211" s="55">
        <f>SUM(I211:K211)</f>
        <v>81.290000000000006</v>
      </c>
      <c r="M211" s="55">
        <v>80</v>
      </c>
      <c r="N211" s="56">
        <v>80</v>
      </c>
      <c r="O211" s="57">
        <f t="shared" si="264"/>
        <v>78.305699999999987</v>
      </c>
      <c r="P211" s="58">
        <f>N211-M211</f>
        <v>0</v>
      </c>
      <c r="Q211" s="59">
        <f t="shared" si="232"/>
        <v>13.333333333333334</v>
      </c>
      <c r="R211" s="60">
        <v>2</v>
      </c>
      <c r="S211" s="60"/>
      <c r="T211" s="60">
        <f t="shared" si="151"/>
        <v>0</v>
      </c>
      <c r="U211" s="60">
        <f t="shared" si="233"/>
        <v>2</v>
      </c>
      <c r="V211" s="62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1"/>
      <c r="AQ211" s="32"/>
      <c r="AR211" s="33"/>
      <c r="AS211" s="31"/>
      <c r="AT211" s="63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</row>
    <row r="212" spans="1:79" s="54" customFormat="1" ht="15" hidden="1" customHeight="1" x14ac:dyDescent="0.25">
      <c r="A212" s="22" t="s">
        <v>142</v>
      </c>
      <c r="B212" s="22">
        <v>188</v>
      </c>
      <c r="C212" s="76" t="s">
        <v>207</v>
      </c>
      <c r="D212" s="174">
        <v>2016</v>
      </c>
      <c r="E212" s="22" t="s">
        <v>485</v>
      </c>
      <c r="F212" s="22" t="s">
        <v>486</v>
      </c>
      <c r="G212" s="22" t="s">
        <v>487</v>
      </c>
      <c r="H212" s="22" t="s">
        <v>177</v>
      </c>
      <c r="I212" s="55">
        <v>26.6</v>
      </c>
      <c r="J212" s="55">
        <v>30</v>
      </c>
      <c r="K212" s="55">
        <f>(I212+J212)*0.1</f>
        <v>5.66</v>
      </c>
      <c r="L212" s="55">
        <f>SUM(I212:K212)</f>
        <v>62.260000000000005</v>
      </c>
      <c r="M212" s="55">
        <v>63</v>
      </c>
      <c r="N212" s="56">
        <v>63</v>
      </c>
      <c r="O212" s="57">
        <f t="shared" si="264"/>
        <v>53.5458</v>
      </c>
      <c r="P212" s="58">
        <f>N212-M212</f>
        <v>0</v>
      </c>
      <c r="Q212" s="59">
        <f t="shared" si="232"/>
        <v>10.5</v>
      </c>
      <c r="R212" s="60">
        <v>3</v>
      </c>
      <c r="S212" s="60"/>
      <c r="T212" s="60">
        <f t="shared" si="151"/>
        <v>3</v>
      </c>
      <c r="U212" s="60">
        <f t="shared" si="233"/>
        <v>0</v>
      </c>
      <c r="V212" s="62"/>
      <c r="W212" s="30"/>
      <c r="X212" s="30"/>
      <c r="Y212" s="30"/>
      <c r="Z212" s="30"/>
      <c r="AA212" s="30">
        <v>1</v>
      </c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1"/>
      <c r="AQ212" s="32"/>
      <c r="AR212" s="33"/>
      <c r="AS212" s="31"/>
      <c r="AT212" s="63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>
        <v>2</v>
      </c>
      <c r="BU212" s="64"/>
      <c r="BV212" s="64"/>
      <c r="BW212" s="64"/>
      <c r="BX212" s="64"/>
      <c r="BY212" s="64"/>
      <c r="BZ212" s="64"/>
      <c r="CA212" s="64"/>
    </row>
    <row r="213" spans="1:79" s="54" customFormat="1" ht="15" customHeight="1" x14ac:dyDescent="0.25">
      <c r="A213" s="22"/>
      <c r="B213" s="29">
        <v>189</v>
      </c>
      <c r="C213" s="76" t="s">
        <v>207</v>
      </c>
      <c r="D213" s="174">
        <v>2022</v>
      </c>
      <c r="E213" s="22" t="s">
        <v>488</v>
      </c>
      <c r="F213" s="22" t="s">
        <v>489</v>
      </c>
      <c r="G213" s="22" t="s">
        <v>207</v>
      </c>
      <c r="H213" s="22" t="s">
        <v>84</v>
      </c>
      <c r="I213" s="55">
        <v>13.95</v>
      </c>
      <c r="J213" s="55">
        <f>IF(I213&lt;=15,$L$2,$L$3)</f>
        <v>25</v>
      </c>
      <c r="K213" s="55">
        <f t="shared" si="250"/>
        <v>3.8950000000000005</v>
      </c>
      <c r="L213" s="55">
        <f t="shared" si="251"/>
        <v>42.845000000000006</v>
      </c>
      <c r="M213" s="55">
        <f t="shared" ref="M213:N216" si="272">ROUND(L213,0)</f>
        <v>43</v>
      </c>
      <c r="N213" s="56">
        <f t="shared" si="272"/>
        <v>43</v>
      </c>
      <c r="O213" s="57">
        <f t="shared" si="264"/>
        <v>28.081349999999997</v>
      </c>
      <c r="P213" s="58">
        <f t="shared" si="253"/>
        <v>0</v>
      </c>
      <c r="Q213" s="59">
        <f t="shared" si="232"/>
        <v>7.166666666666667</v>
      </c>
      <c r="R213" s="60">
        <v>20</v>
      </c>
      <c r="S213" s="60">
        <f>6+6</f>
        <v>12</v>
      </c>
      <c r="T213" s="60">
        <f t="shared" si="151"/>
        <v>16</v>
      </c>
      <c r="U213" s="60">
        <f t="shared" si="233"/>
        <v>16</v>
      </c>
      <c r="V213" s="62"/>
      <c r="W213" s="30"/>
      <c r="X213" s="30">
        <v>1</v>
      </c>
      <c r="Y213" s="30"/>
      <c r="Z213" s="30"/>
      <c r="AA213" s="30"/>
      <c r="AB213" s="30"/>
      <c r="AC213" s="30"/>
      <c r="AD213" s="30">
        <v>1</v>
      </c>
      <c r="AE213" s="30">
        <v>1</v>
      </c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1"/>
      <c r="AQ213" s="32"/>
      <c r="AR213" s="33"/>
      <c r="AS213" s="31">
        <v>1</v>
      </c>
      <c r="AT213" s="63"/>
      <c r="AU213" s="34"/>
      <c r="AV213" s="34"/>
      <c r="AW213" s="34"/>
      <c r="AX213" s="34">
        <v>2</v>
      </c>
      <c r="AY213" s="34"/>
      <c r="AZ213" s="34"/>
      <c r="BA213" s="34"/>
      <c r="BB213" s="34"/>
      <c r="BC213" s="34">
        <v>1</v>
      </c>
      <c r="BD213" s="34"/>
      <c r="BE213" s="34"/>
      <c r="BF213" s="64"/>
      <c r="BG213" s="64">
        <v>1</v>
      </c>
      <c r="BH213" s="64"/>
      <c r="BI213" s="64"/>
      <c r="BJ213" s="64"/>
      <c r="BK213" s="64"/>
      <c r="BL213" s="64"/>
      <c r="BM213" s="64">
        <v>8</v>
      </c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</row>
    <row r="214" spans="1:79" s="54" customFormat="1" ht="15" customHeight="1" x14ac:dyDescent="0.25">
      <c r="A214" s="22"/>
      <c r="B214" s="22">
        <v>190</v>
      </c>
      <c r="C214" s="76" t="s">
        <v>207</v>
      </c>
      <c r="D214" s="174">
        <v>2020</v>
      </c>
      <c r="E214" s="22" t="s">
        <v>490</v>
      </c>
      <c r="F214" s="22" t="s">
        <v>489</v>
      </c>
      <c r="G214" s="22" t="s">
        <v>207</v>
      </c>
      <c r="H214" s="22" t="s">
        <v>84</v>
      </c>
      <c r="I214" s="55">
        <v>44.5</v>
      </c>
      <c r="J214" s="55">
        <v>45</v>
      </c>
      <c r="K214" s="55">
        <f t="shared" ref="K214:K219" si="273">(I214+J214)*0.1</f>
        <v>8.9500000000000011</v>
      </c>
      <c r="L214" s="55">
        <f t="shared" ref="L214:L219" si="274">SUM(I214:K214)</f>
        <v>98.45</v>
      </c>
      <c r="M214" s="55">
        <f t="shared" si="272"/>
        <v>98</v>
      </c>
      <c r="N214" s="56">
        <f t="shared" si="272"/>
        <v>98</v>
      </c>
      <c r="O214" s="57">
        <f t="shared" si="264"/>
        <v>89.578499999999991</v>
      </c>
      <c r="P214" s="58">
        <f t="shared" ref="P214:P219" si="275">N214-M214</f>
        <v>0</v>
      </c>
      <c r="Q214" s="59">
        <f t="shared" si="232"/>
        <v>16.333333333333332</v>
      </c>
      <c r="R214" s="60">
        <v>5</v>
      </c>
      <c r="S214" s="60"/>
      <c r="T214" s="60">
        <f t="shared" si="151"/>
        <v>2</v>
      </c>
      <c r="U214" s="60">
        <f t="shared" si="233"/>
        <v>3</v>
      </c>
      <c r="V214" s="62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1"/>
      <c r="AQ214" s="32"/>
      <c r="AR214" s="33"/>
      <c r="AS214" s="31"/>
      <c r="AT214" s="63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64"/>
      <c r="BG214" s="64"/>
      <c r="BH214" s="64"/>
      <c r="BI214" s="64"/>
      <c r="BJ214" s="64"/>
      <c r="BK214" s="64">
        <v>1</v>
      </c>
      <c r="BL214" s="64"/>
      <c r="BM214" s="64"/>
      <c r="BN214" s="64"/>
      <c r="BO214" s="64"/>
      <c r="BP214" s="64"/>
      <c r="BQ214" s="64"/>
      <c r="BR214" s="64"/>
      <c r="BS214" s="64"/>
      <c r="BT214" s="64">
        <v>1</v>
      </c>
      <c r="BU214" s="64"/>
      <c r="BV214" s="64"/>
      <c r="BW214" s="64"/>
      <c r="BX214" s="64"/>
      <c r="BY214" s="64"/>
      <c r="BZ214" s="64"/>
      <c r="CA214" s="64"/>
    </row>
    <row r="215" spans="1:79" s="54" customFormat="1" ht="15" customHeight="1" x14ac:dyDescent="0.25">
      <c r="A215" s="22"/>
      <c r="B215" s="22">
        <v>191</v>
      </c>
      <c r="C215" s="76" t="s">
        <v>207</v>
      </c>
      <c r="D215" s="174">
        <v>2018</v>
      </c>
      <c r="E215" s="22" t="s">
        <v>491</v>
      </c>
      <c r="F215" s="22" t="s">
        <v>489</v>
      </c>
      <c r="G215" s="22" t="s">
        <v>207</v>
      </c>
      <c r="H215" s="22" t="s">
        <v>84</v>
      </c>
      <c r="I215" s="55">
        <v>79.5</v>
      </c>
      <c r="J215" s="55">
        <v>70</v>
      </c>
      <c r="K215" s="55">
        <f t="shared" si="273"/>
        <v>14.950000000000001</v>
      </c>
      <c r="L215" s="55">
        <f t="shared" si="274"/>
        <v>164.45</v>
      </c>
      <c r="M215" s="55">
        <f t="shared" si="272"/>
        <v>164</v>
      </c>
      <c r="N215" s="56">
        <f t="shared" si="272"/>
        <v>164</v>
      </c>
      <c r="O215" s="57">
        <f t="shared" si="264"/>
        <v>160.03349999999998</v>
      </c>
      <c r="P215" s="58">
        <f t="shared" si="275"/>
        <v>0</v>
      </c>
      <c r="Q215" s="59">
        <f t="shared" si="232"/>
        <v>27.333333333333332</v>
      </c>
      <c r="R215" s="60">
        <v>1</v>
      </c>
      <c r="S215" s="60"/>
      <c r="T215" s="60">
        <f t="shared" si="151"/>
        <v>1</v>
      </c>
      <c r="U215" s="60">
        <f t="shared" si="233"/>
        <v>0</v>
      </c>
      <c r="V215" s="62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1"/>
      <c r="AQ215" s="32"/>
      <c r="AR215" s="33"/>
      <c r="AS215" s="31"/>
      <c r="AT215" s="63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>
        <v>1</v>
      </c>
      <c r="BU215" s="64"/>
      <c r="BV215" s="64"/>
      <c r="BW215" s="64"/>
      <c r="BX215" s="64"/>
      <c r="BY215" s="64"/>
      <c r="BZ215" s="64"/>
      <c r="CA215" s="64"/>
    </row>
    <row r="216" spans="1:79" s="54" customFormat="1" ht="15" customHeight="1" x14ac:dyDescent="0.25">
      <c r="A216" s="22"/>
      <c r="B216" s="22">
        <v>192</v>
      </c>
      <c r="C216" s="76" t="s">
        <v>207</v>
      </c>
      <c r="D216" s="174">
        <v>2016</v>
      </c>
      <c r="E216" s="22" t="s">
        <v>491</v>
      </c>
      <c r="F216" s="22" t="s">
        <v>489</v>
      </c>
      <c r="G216" s="22" t="s">
        <v>207</v>
      </c>
      <c r="H216" s="22" t="s">
        <v>84</v>
      </c>
      <c r="I216" s="55">
        <v>85</v>
      </c>
      <c r="J216" s="55">
        <v>70</v>
      </c>
      <c r="K216" s="55">
        <f t="shared" si="273"/>
        <v>15.5</v>
      </c>
      <c r="L216" s="55">
        <f t="shared" si="274"/>
        <v>170.5</v>
      </c>
      <c r="M216" s="55">
        <f t="shared" si="272"/>
        <v>171</v>
      </c>
      <c r="N216" s="56">
        <f t="shared" si="272"/>
        <v>171</v>
      </c>
      <c r="O216" s="57">
        <f t="shared" si="264"/>
        <v>171.10499999999999</v>
      </c>
      <c r="P216" s="58">
        <f t="shared" si="275"/>
        <v>0</v>
      </c>
      <c r="Q216" s="59">
        <f t="shared" si="232"/>
        <v>28.5</v>
      </c>
      <c r="R216" s="60">
        <v>1</v>
      </c>
      <c r="S216" s="60"/>
      <c r="T216" s="60">
        <f t="shared" si="151"/>
        <v>0</v>
      </c>
      <c r="U216" s="60">
        <f t="shared" si="233"/>
        <v>1</v>
      </c>
      <c r="V216" s="62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1"/>
      <c r="AQ216" s="32"/>
      <c r="AR216" s="33"/>
      <c r="AS216" s="31"/>
      <c r="AT216" s="63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</row>
    <row r="217" spans="1:79" s="54" customFormat="1" ht="15" customHeight="1" x14ac:dyDescent="0.25">
      <c r="A217" s="22"/>
      <c r="B217" s="29">
        <v>193</v>
      </c>
      <c r="C217" s="76" t="s">
        <v>207</v>
      </c>
      <c r="D217" s="174">
        <v>2018</v>
      </c>
      <c r="E217" s="22" t="s">
        <v>492</v>
      </c>
      <c r="F217" s="22" t="s">
        <v>493</v>
      </c>
      <c r="G217" s="22" t="s">
        <v>207</v>
      </c>
      <c r="H217" s="22" t="s">
        <v>171</v>
      </c>
      <c r="I217" s="55">
        <v>43.5</v>
      </c>
      <c r="J217" s="55">
        <v>35</v>
      </c>
      <c r="K217" s="55">
        <f t="shared" si="273"/>
        <v>7.8500000000000005</v>
      </c>
      <c r="L217" s="55">
        <f t="shared" si="274"/>
        <v>86.35</v>
      </c>
      <c r="M217" s="55">
        <f>ROUND(L217,0)</f>
        <v>86</v>
      </c>
      <c r="N217" s="56">
        <v>89</v>
      </c>
      <c r="O217" s="57">
        <f t="shared" si="264"/>
        <v>87.565499999999986</v>
      </c>
      <c r="P217" s="58">
        <f t="shared" si="275"/>
        <v>3</v>
      </c>
      <c r="Q217" s="59">
        <f t="shared" si="232"/>
        <v>14.833333333333334</v>
      </c>
      <c r="R217" s="60"/>
      <c r="S217" s="60">
        <v>6</v>
      </c>
      <c r="T217" s="60">
        <f>W217+X217+Y217+Z217+AA217+AB217+AC217+AD217+AE217+AF217+AG217+AH217+AI217+AJ217+AK217+AL217+AM217+AN217+AO217+AP217+AQ217+AR217+AS217+AT217+AU217+AV217+AW217+AX217+AY217+AZ217+BA217+BB217+BC217+BD217+BE217+BF217+BG217+BH217+BI217+BJ217+BK217+BL217+BM217+BQ217+BR217+BS217+BT217</f>
        <v>0</v>
      </c>
      <c r="U217" s="60">
        <f t="shared" si="233"/>
        <v>6</v>
      </c>
      <c r="V217" s="62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1"/>
      <c r="AQ217" s="32"/>
      <c r="AR217" s="33"/>
      <c r="AS217" s="31"/>
      <c r="AT217" s="63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</row>
    <row r="218" spans="1:79" s="54" customFormat="1" ht="15" customHeight="1" x14ac:dyDescent="0.25">
      <c r="A218" s="22"/>
      <c r="B218" s="22">
        <v>194</v>
      </c>
      <c r="C218" s="76" t="s">
        <v>207</v>
      </c>
      <c r="D218" s="174">
        <v>2019</v>
      </c>
      <c r="E218" s="22" t="s">
        <v>494</v>
      </c>
      <c r="F218" s="22" t="s">
        <v>495</v>
      </c>
      <c r="G218" s="22" t="s">
        <v>207</v>
      </c>
      <c r="H218" s="22" t="s">
        <v>171</v>
      </c>
      <c r="I218" s="55">
        <v>14.5</v>
      </c>
      <c r="J218" s="55">
        <v>25</v>
      </c>
      <c r="K218" s="55">
        <f t="shared" si="273"/>
        <v>3.95</v>
      </c>
      <c r="L218" s="55">
        <f t="shared" si="274"/>
        <v>43.45</v>
      </c>
      <c r="M218" s="55">
        <f>ROUND(L218,0)</f>
        <v>43</v>
      </c>
      <c r="N218" s="56">
        <f>ROUND(M218,0)</f>
        <v>43</v>
      </c>
      <c r="O218" s="57">
        <f t="shared" si="264"/>
        <v>29.188499999999998</v>
      </c>
      <c r="P218" s="58">
        <f t="shared" si="275"/>
        <v>0</v>
      </c>
      <c r="Q218" s="59">
        <f t="shared" si="232"/>
        <v>7.166666666666667</v>
      </c>
      <c r="R218" s="60">
        <v>11</v>
      </c>
      <c r="S218" s="60">
        <v>6</v>
      </c>
      <c r="T218" s="60">
        <f t="shared" ref="T218:T286" si="276">W218+X218+Y218+Z218+AA218+AB218+AC218+AD218+AE218+AF218+AG218+AH218+AI218+AJ218+AK218+AL218+AM218+AN218+AO218+AP218+AQ218+AR218+AS218+AT218+AU218+AV218+AW218+AX218+AY218+AZ218+BA218+BB218+BC218+BD218+BE218+BF218+BG218+BH218+BI218+BJ218+BK218+BL218+BM218+BQ218+BR218+BS218+BT218</f>
        <v>6</v>
      </c>
      <c r="U218" s="60">
        <f t="shared" si="233"/>
        <v>11</v>
      </c>
      <c r="V218" s="62"/>
      <c r="W218" s="30"/>
      <c r="X218" s="30"/>
      <c r="Y218" s="30">
        <v>5</v>
      </c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1"/>
      <c r="AQ218" s="32"/>
      <c r="AR218" s="33"/>
      <c r="AS218" s="31"/>
      <c r="AT218" s="63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64"/>
      <c r="BG218" s="64"/>
      <c r="BH218" s="64"/>
      <c r="BI218" s="64"/>
      <c r="BJ218" s="64">
        <v>1</v>
      </c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</row>
    <row r="219" spans="1:79" s="54" customFormat="1" ht="15" customHeight="1" x14ac:dyDescent="0.25">
      <c r="A219" s="22"/>
      <c r="B219" s="22">
        <v>195</v>
      </c>
      <c r="C219" s="76" t="s">
        <v>207</v>
      </c>
      <c r="D219" s="174">
        <v>2018</v>
      </c>
      <c r="E219" s="22" t="s">
        <v>496</v>
      </c>
      <c r="F219" s="22" t="s">
        <v>495</v>
      </c>
      <c r="G219" s="22" t="s">
        <v>207</v>
      </c>
      <c r="H219" s="22" t="s">
        <v>171</v>
      </c>
      <c r="I219" s="55">
        <v>25.9</v>
      </c>
      <c r="J219" s="55">
        <v>30</v>
      </c>
      <c r="K219" s="55">
        <f t="shared" si="273"/>
        <v>5.59</v>
      </c>
      <c r="L219" s="55">
        <f t="shared" si="274"/>
        <v>61.489999999999995</v>
      </c>
      <c r="M219" s="55">
        <f>ROUND(L219,0)</f>
        <v>61</v>
      </c>
      <c r="N219" s="56">
        <f>ROUND(M219,0)</f>
        <v>61</v>
      </c>
      <c r="O219" s="57">
        <f t="shared" si="264"/>
        <v>52.13669999999999</v>
      </c>
      <c r="P219" s="58">
        <f t="shared" si="275"/>
        <v>0</v>
      </c>
      <c r="Q219" s="59">
        <f t="shared" si="232"/>
        <v>10.166666666666666</v>
      </c>
      <c r="R219" s="60">
        <v>5</v>
      </c>
      <c r="S219" s="60"/>
      <c r="T219" s="60">
        <f t="shared" si="276"/>
        <v>2</v>
      </c>
      <c r="U219" s="60">
        <f t="shared" ref="U219:U250" si="277">R219+S219-T219</f>
        <v>3</v>
      </c>
      <c r="V219" s="62"/>
      <c r="W219" s="30"/>
      <c r="X219" s="30"/>
      <c r="Y219" s="30"/>
      <c r="Z219" s="30"/>
      <c r="AA219" s="30"/>
      <c r="AB219" s="30">
        <v>2</v>
      </c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1"/>
      <c r="AQ219" s="32"/>
      <c r="AR219" s="33"/>
      <c r="AS219" s="31"/>
      <c r="AT219" s="63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>
        <v>1</v>
      </c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</row>
    <row r="220" spans="1:79" s="54" customFormat="1" ht="15" customHeight="1" x14ac:dyDescent="0.25">
      <c r="A220" s="22"/>
      <c r="B220" s="22">
        <v>196</v>
      </c>
      <c r="C220" s="76" t="s">
        <v>101</v>
      </c>
      <c r="D220" s="174">
        <v>2020</v>
      </c>
      <c r="E220" s="22" t="s">
        <v>497</v>
      </c>
      <c r="F220" s="22" t="s">
        <v>498</v>
      </c>
      <c r="G220" s="22" t="s">
        <v>499</v>
      </c>
      <c r="H220" s="22" t="s">
        <v>78</v>
      </c>
      <c r="I220" s="55">
        <v>22</v>
      </c>
      <c r="J220" s="55">
        <v>30</v>
      </c>
      <c r="K220" s="55">
        <f t="shared" si="250"/>
        <v>5.2</v>
      </c>
      <c r="L220" s="55">
        <f t="shared" si="251"/>
        <v>57.2</v>
      </c>
      <c r="M220" s="55">
        <f t="shared" ref="M220:M271" si="278">ROUND(L220,0)</f>
        <v>57</v>
      </c>
      <c r="N220" s="56">
        <v>57</v>
      </c>
      <c r="O220" s="57">
        <f t="shared" si="264"/>
        <v>44.285999999999994</v>
      </c>
      <c r="P220" s="58">
        <f t="shared" si="253"/>
        <v>0</v>
      </c>
      <c r="Q220" s="59">
        <f t="shared" si="232"/>
        <v>9.5</v>
      </c>
      <c r="R220" s="60">
        <v>6</v>
      </c>
      <c r="S220" s="60">
        <v>5</v>
      </c>
      <c r="T220" s="60">
        <f t="shared" si="276"/>
        <v>3</v>
      </c>
      <c r="U220" s="60">
        <f t="shared" si="277"/>
        <v>8</v>
      </c>
      <c r="V220" s="62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1"/>
      <c r="AQ220" s="32"/>
      <c r="AR220" s="33"/>
      <c r="AS220" s="31"/>
      <c r="AT220" s="63">
        <v>1</v>
      </c>
      <c r="AU220" s="34"/>
      <c r="AV220" s="34">
        <v>1</v>
      </c>
      <c r="AW220" s="34"/>
      <c r="AX220" s="34"/>
      <c r="AY220" s="34"/>
      <c r="AZ220" s="34"/>
      <c r="BA220" s="34"/>
      <c r="BB220" s="34"/>
      <c r="BC220" s="34"/>
      <c r="BD220" s="34"/>
      <c r="BE220" s="34"/>
      <c r="BF220" s="64"/>
      <c r="BG220" s="64">
        <v>1</v>
      </c>
      <c r="BH220" s="64"/>
      <c r="BI220" s="64"/>
      <c r="BJ220" s="64"/>
      <c r="BK220" s="64"/>
      <c r="BL220" s="64"/>
      <c r="BM220" s="64"/>
      <c r="BN220" s="64">
        <v>1</v>
      </c>
      <c r="BO220" s="64"/>
      <c r="BP220" s="64">
        <v>1</v>
      </c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</row>
    <row r="221" spans="1:79" s="54" customFormat="1" ht="15" customHeight="1" x14ac:dyDescent="0.25">
      <c r="A221" s="22"/>
      <c r="B221" s="29">
        <v>197</v>
      </c>
      <c r="C221" s="76" t="s">
        <v>101</v>
      </c>
      <c r="D221" s="174" t="s">
        <v>500</v>
      </c>
      <c r="E221" s="22" t="s">
        <v>501</v>
      </c>
      <c r="F221" s="22" t="s">
        <v>502</v>
      </c>
      <c r="G221" s="22" t="s">
        <v>503</v>
      </c>
      <c r="H221" s="22" t="s">
        <v>78</v>
      </c>
      <c r="I221" s="55">
        <v>33.9</v>
      </c>
      <c r="J221" s="55">
        <f t="shared" ref="J221:J228" si="279">IF(I221&lt;=15,$L$2,$L$3)</f>
        <v>30</v>
      </c>
      <c r="K221" s="55">
        <f t="shared" si="250"/>
        <v>6.3900000000000006</v>
      </c>
      <c r="L221" s="55">
        <f t="shared" si="251"/>
        <v>70.289999999999992</v>
      </c>
      <c r="M221" s="55">
        <f t="shared" si="278"/>
        <v>70</v>
      </c>
      <c r="N221" s="56">
        <v>69</v>
      </c>
      <c r="O221" s="57">
        <f t="shared" si="264"/>
        <v>68.24069999999999</v>
      </c>
      <c r="P221" s="58">
        <f t="shared" si="253"/>
        <v>-1</v>
      </c>
      <c r="Q221" s="59">
        <f t="shared" si="232"/>
        <v>11.5</v>
      </c>
      <c r="R221" s="60">
        <v>6</v>
      </c>
      <c r="S221" s="60"/>
      <c r="T221" s="60">
        <f t="shared" si="276"/>
        <v>3</v>
      </c>
      <c r="U221" s="61">
        <f t="shared" si="277"/>
        <v>3</v>
      </c>
      <c r="V221" s="62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1"/>
      <c r="AQ221" s="32"/>
      <c r="AR221" s="33"/>
      <c r="AS221" s="31"/>
      <c r="AT221" s="63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>
        <v>1</v>
      </c>
      <c r="BS221" s="64"/>
      <c r="BT221" s="64">
        <v>2</v>
      </c>
      <c r="BU221" s="64"/>
      <c r="BV221" s="64"/>
      <c r="BW221" s="64"/>
      <c r="BX221" s="64"/>
      <c r="BY221" s="64"/>
      <c r="BZ221" s="64"/>
      <c r="CA221" s="64"/>
    </row>
    <row r="222" spans="1:79" ht="15" customHeight="1" x14ac:dyDescent="0.25">
      <c r="A222" s="22"/>
      <c r="B222" s="22">
        <v>198</v>
      </c>
      <c r="C222" s="76" t="s">
        <v>101</v>
      </c>
      <c r="D222" s="174">
        <v>2022</v>
      </c>
      <c r="E222" s="22" t="s">
        <v>504</v>
      </c>
      <c r="F222" s="22" t="s">
        <v>209</v>
      </c>
      <c r="G222" s="22" t="s">
        <v>505</v>
      </c>
      <c r="H222" s="22" t="s">
        <v>78</v>
      </c>
      <c r="I222" s="55">
        <v>19.899999999999999</v>
      </c>
      <c r="J222" s="55">
        <f t="shared" si="279"/>
        <v>30</v>
      </c>
      <c r="K222" s="55">
        <f t="shared" si="250"/>
        <v>4.99</v>
      </c>
      <c r="L222" s="55">
        <f t="shared" si="251"/>
        <v>54.89</v>
      </c>
      <c r="M222" s="55">
        <f t="shared" si="278"/>
        <v>55</v>
      </c>
      <c r="N222" s="56">
        <v>54</v>
      </c>
      <c r="O222" s="57">
        <f t="shared" si="264"/>
        <v>40.058699999999995</v>
      </c>
      <c r="P222" s="58">
        <f t="shared" si="253"/>
        <v>-1</v>
      </c>
      <c r="Q222" s="59">
        <f t="shared" si="232"/>
        <v>9</v>
      </c>
      <c r="R222" s="60">
        <v>9</v>
      </c>
      <c r="S222" s="60"/>
      <c r="T222" s="60">
        <f t="shared" si="276"/>
        <v>10</v>
      </c>
      <c r="U222" s="61">
        <f t="shared" si="277"/>
        <v>-1</v>
      </c>
      <c r="V222" s="62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1"/>
      <c r="AQ222" s="32"/>
      <c r="AR222" s="33"/>
      <c r="AS222" s="31"/>
      <c r="AT222" s="63">
        <v>2</v>
      </c>
      <c r="AU222" s="34">
        <v>1</v>
      </c>
      <c r="AV222" s="34">
        <v>1</v>
      </c>
      <c r="AW222" s="34">
        <v>1</v>
      </c>
      <c r="AX222" s="34"/>
      <c r="AY222" s="34"/>
      <c r="AZ222" s="34">
        <v>1</v>
      </c>
      <c r="BA222" s="34"/>
      <c r="BB222" s="34"/>
      <c r="BC222" s="34"/>
      <c r="BD222" s="34"/>
      <c r="BE222" s="34">
        <v>2</v>
      </c>
      <c r="BF222" s="64">
        <v>1</v>
      </c>
      <c r="BT222" s="64">
        <v>1</v>
      </c>
      <c r="BU222" s="64"/>
      <c r="BV222" s="64"/>
      <c r="BW222" s="64"/>
      <c r="BX222" s="64"/>
      <c r="BY222" s="64"/>
      <c r="BZ222" s="64"/>
      <c r="CA222" s="64"/>
    </row>
    <row r="223" spans="1:79" ht="15" customHeight="1" x14ac:dyDescent="0.25">
      <c r="A223" s="22"/>
      <c r="B223" s="22">
        <v>199</v>
      </c>
      <c r="C223" s="76" t="s">
        <v>101</v>
      </c>
      <c r="D223" s="174">
        <v>2017</v>
      </c>
      <c r="E223" s="22" t="s">
        <v>506</v>
      </c>
      <c r="F223" s="22" t="s">
        <v>507</v>
      </c>
      <c r="G223" s="22" t="s">
        <v>508</v>
      </c>
      <c r="H223" s="22" t="s">
        <v>78</v>
      </c>
      <c r="I223" s="55">
        <v>29.1</v>
      </c>
      <c r="J223" s="55">
        <f t="shared" si="279"/>
        <v>30</v>
      </c>
      <c r="K223" s="55">
        <f>(I223+J223)*0.1</f>
        <v>5.91</v>
      </c>
      <c r="L223" s="55">
        <f>SUM(I223:K223)</f>
        <v>65.010000000000005</v>
      </c>
      <c r="M223" s="55">
        <f>ROUND(L223,0)</f>
        <v>65</v>
      </c>
      <c r="N223" s="56">
        <v>65</v>
      </c>
      <c r="O223" s="57">
        <f t="shared" si="264"/>
        <v>58.578299999999999</v>
      </c>
      <c r="P223" s="58">
        <f>N223-M223</f>
        <v>0</v>
      </c>
      <c r="Q223" s="59">
        <f t="shared" si="232"/>
        <v>10.833333333333334</v>
      </c>
      <c r="R223" s="60">
        <v>3</v>
      </c>
      <c r="S223" s="60"/>
      <c r="T223" s="60">
        <f t="shared" si="276"/>
        <v>0</v>
      </c>
      <c r="U223" s="61">
        <f t="shared" si="277"/>
        <v>3</v>
      </c>
      <c r="V223" s="62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1"/>
      <c r="AQ223" s="32"/>
      <c r="AR223" s="33"/>
      <c r="AS223" s="31"/>
      <c r="AT223" s="63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64"/>
      <c r="BT223" s="64"/>
      <c r="BU223" s="64"/>
      <c r="BV223" s="64"/>
      <c r="BW223" s="64"/>
      <c r="BX223" s="64"/>
      <c r="BY223" s="64"/>
      <c r="BZ223" s="64"/>
      <c r="CA223" s="64"/>
    </row>
    <row r="224" spans="1:79" ht="15" customHeight="1" x14ac:dyDescent="0.25">
      <c r="A224" s="22"/>
      <c r="B224" s="22">
        <v>200</v>
      </c>
      <c r="C224" s="76" t="s">
        <v>101</v>
      </c>
      <c r="D224" s="174">
        <v>2017</v>
      </c>
      <c r="E224" s="22" t="s">
        <v>509</v>
      </c>
      <c r="F224" s="22" t="s">
        <v>510</v>
      </c>
      <c r="G224" s="22" t="s">
        <v>511</v>
      </c>
      <c r="H224" s="22" t="s">
        <v>78</v>
      </c>
      <c r="I224" s="55">
        <v>17.899999999999999</v>
      </c>
      <c r="J224" s="55">
        <f t="shared" si="279"/>
        <v>30</v>
      </c>
      <c r="K224" s="55">
        <f t="shared" si="250"/>
        <v>4.79</v>
      </c>
      <c r="L224" s="55">
        <f t="shared" si="251"/>
        <v>52.69</v>
      </c>
      <c r="M224" s="55">
        <f t="shared" si="278"/>
        <v>53</v>
      </c>
      <c r="N224" s="56">
        <v>52</v>
      </c>
      <c r="O224" s="57">
        <f t="shared" si="264"/>
        <v>36.032699999999998</v>
      </c>
      <c r="P224" s="58">
        <f t="shared" si="253"/>
        <v>-1</v>
      </c>
      <c r="Q224" s="59">
        <f t="shared" si="232"/>
        <v>8.6666666666666661</v>
      </c>
      <c r="R224" s="60">
        <v>0</v>
      </c>
      <c r="S224" s="60"/>
      <c r="T224" s="60">
        <f t="shared" si="276"/>
        <v>0</v>
      </c>
      <c r="U224" s="61">
        <f t="shared" si="277"/>
        <v>0</v>
      </c>
      <c r="V224" s="62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1"/>
      <c r="AQ224" s="32"/>
      <c r="AR224" s="33"/>
      <c r="AS224" s="31"/>
      <c r="AT224" s="63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64"/>
      <c r="BT224" s="64"/>
      <c r="BU224" s="64"/>
      <c r="BV224" s="64"/>
      <c r="BW224" s="64"/>
      <c r="BX224" s="64"/>
      <c r="BY224" s="64"/>
      <c r="BZ224" s="64"/>
      <c r="CA224" s="64"/>
    </row>
    <row r="225" spans="1:136" ht="15" customHeight="1" x14ac:dyDescent="0.25">
      <c r="A225" s="22"/>
      <c r="B225" s="29">
        <v>201</v>
      </c>
      <c r="C225" s="76" t="s">
        <v>207</v>
      </c>
      <c r="D225" s="174">
        <v>2020</v>
      </c>
      <c r="E225" s="22" t="s">
        <v>512</v>
      </c>
      <c r="F225" s="22" t="s">
        <v>513</v>
      </c>
      <c r="G225" s="22" t="s">
        <v>469</v>
      </c>
      <c r="H225" s="22" t="s">
        <v>132</v>
      </c>
      <c r="I225" s="55">
        <v>21.5</v>
      </c>
      <c r="J225" s="55">
        <f t="shared" si="279"/>
        <v>30</v>
      </c>
      <c r="K225" s="55">
        <f t="shared" si="250"/>
        <v>5.15</v>
      </c>
      <c r="L225" s="55">
        <f t="shared" si="251"/>
        <v>56.65</v>
      </c>
      <c r="M225" s="55">
        <f t="shared" si="278"/>
        <v>57</v>
      </c>
      <c r="N225" s="56">
        <v>55</v>
      </c>
      <c r="O225" s="57">
        <f t="shared" si="264"/>
        <v>43.279499999999999</v>
      </c>
      <c r="P225" s="58">
        <f t="shared" si="253"/>
        <v>-2</v>
      </c>
      <c r="Q225" s="59">
        <f t="shared" si="232"/>
        <v>9.1666666666666661</v>
      </c>
      <c r="R225" s="60"/>
      <c r="S225" s="60">
        <f>4+3</f>
        <v>7</v>
      </c>
      <c r="T225" s="60">
        <f t="shared" si="276"/>
        <v>5</v>
      </c>
      <c r="U225" s="61">
        <f t="shared" si="277"/>
        <v>2</v>
      </c>
      <c r="V225" s="62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1"/>
      <c r="AQ225" s="32"/>
      <c r="AR225" s="33"/>
      <c r="AS225" s="31">
        <v>1</v>
      </c>
      <c r="AT225" s="63">
        <v>1</v>
      </c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>
        <v>1</v>
      </c>
      <c r="BF225" s="64"/>
      <c r="BN225" s="64">
        <v>1</v>
      </c>
      <c r="BO225" s="64">
        <v>1</v>
      </c>
      <c r="BQ225" s="64">
        <v>1</v>
      </c>
      <c r="BT225" s="64">
        <v>1</v>
      </c>
      <c r="BU225" s="64"/>
      <c r="BV225" s="64"/>
      <c r="BW225" s="64"/>
      <c r="BX225" s="64"/>
      <c r="BY225" s="64"/>
      <c r="BZ225" s="64"/>
      <c r="CA225" s="64"/>
    </row>
    <row r="226" spans="1:136" ht="15" customHeight="1" x14ac:dyDescent="0.25">
      <c r="A226" s="22"/>
      <c r="B226" s="22">
        <v>202</v>
      </c>
      <c r="C226" s="76" t="s">
        <v>207</v>
      </c>
      <c r="D226" s="174">
        <v>2020</v>
      </c>
      <c r="E226" s="22" t="s">
        <v>514</v>
      </c>
      <c r="F226" s="22" t="s">
        <v>515</v>
      </c>
      <c r="G226" s="22" t="s">
        <v>469</v>
      </c>
      <c r="H226" s="22" t="s">
        <v>177</v>
      </c>
      <c r="I226" s="55">
        <v>17.8</v>
      </c>
      <c r="J226" s="55">
        <f t="shared" si="279"/>
        <v>30</v>
      </c>
      <c r="K226" s="55">
        <f>(I226+J226)*0.1</f>
        <v>4.78</v>
      </c>
      <c r="L226" s="55">
        <f>SUM(I226:K226)</f>
        <v>52.58</v>
      </c>
      <c r="M226" s="55">
        <f>ROUND(L226,0)</f>
        <v>53</v>
      </c>
      <c r="N226" s="56">
        <v>52</v>
      </c>
      <c r="O226" s="57">
        <f t="shared" si="264"/>
        <v>35.831400000000002</v>
      </c>
      <c r="P226" s="58">
        <f>N226-M226</f>
        <v>-1</v>
      </c>
      <c r="Q226" s="59">
        <f t="shared" si="232"/>
        <v>8.6666666666666661</v>
      </c>
      <c r="R226" s="60">
        <v>7</v>
      </c>
      <c r="S226" s="60"/>
      <c r="T226" s="60">
        <f t="shared" si="276"/>
        <v>7</v>
      </c>
      <c r="U226" s="61">
        <f t="shared" si="277"/>
        <v>0</v>
      </c>
      <c r="V226" s="62"/>
      <c r="W226" s="30">
        <v>1</v>
      </c>
      <c r="X226" s="30"/>
      <c r="Y226" s="30">
        <v>1</v>
      </c>
      <c r="Z226" s="30">
        <v>1</v>
      </c>
      <c r="AA226" s="30">
        <v>1</v>
      </c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1"/>
      <c r="AQ226" s="32"/>
      <c r="AR226" s="33"/>
      <c r="AS226" s="31"/>
      <c r="AT226" s="63">
        <v>3</v>
      </c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64"/>
      <c r="BT226" s="64"/>
      <c r="BU226" s="64"/>
      <c r="BV226" s="64"/>
      <c r="BW226" s="64"/>
      <c r="BX226" s="64"/>
      <c r="BY226" s="64"/>
      <c r="BZ226" s="64"/>
      <c r="CA226" s="64"/>
    </row>
    <row r="227" spans="1:136" ht="15" customHeight="1" thickBot="1" x14ac:dyDescent="0.3">
      <c r="A227" s="22"/>
      <c r="B227" s="22">
        <v>203</v>
      </c>
      <c r="C227" s="76" t="s">
        <v>516</v>
      </c>
      <c r="D227" s="174">
        <v>2017</v>
      </c>
      <c r="E227" s="22" t="s">
        <v>517</v>
      </c>
      <c r="F227" s="22" t="s">
        <v>518</v>
      </c>
      <c r="G227" s="22" t="s">
        <v>519</v>
      </c>
      <c r="H227" s="22" t="s">
        <v>177</v>
      </c>
      <c r="I227" s="55">
        <v>21.8</v>
      </c>
      <c r="J227" s="55">
        <f t="shared" si="279"/>
        <v>30</v>
      </c>
      <c r="K227" s="55">
        <f>(I227+J227)*0.1</f>
        <v>5.18</v>
      </c>
      <c r="L227" s="55">
        <f>SUM(I227:K227)</f>
        <v>56.98</v>
      </c>
      <c r="M227" s="55">
        <f>ROUND(L227,0)</f>
        <v>57</v>
      </c>
      <c r="N227" s="56">
        <v>57</v>
      </c>
      <c r="O227" s="57">
        <f t="shared" si="264"/>
        <v>43.883399999999995</v>
      </c>
      <c r="P227" s="58">
        <f>N227-M227</f>
        <v>0</v>
      </c>
      <c r="Q227" s="59">
        <f t="shared" si="232"/>
        <v>9.5</v>
      </c>
      <c r="R227" s="60">
        <v>2</v>
      </c>
      <c r="S227" s="60"/>
      <c r="T227" s="60">
        <f t="shared" si="276"/>
        <v>1</v>
      </c>
      <c r="U227" s="61">
        <f t="shared" si="277"/>
        <v>1</v>
      </c>
      <c r="V227" s="62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1"/>
      <c r="AQ227" s="32"/>
      <c r="AR227" s="33"/>
      <c r="AS227" s="31"/>
      <c r="AT227" s="63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64"/>
      <c r="BQ227" s="64">
        <v>1</v>
      </c>
      <c r="BT227" s="64"/>
      <c r="BU227" s="64"/>
      <c r="BV227" s="64"/>
      <c r="BW227" s="64"/>
      <c r="BX227" s="64"/>
      <c r="BY227" s="64"/>
      <c r="BZ227" s="64"/>
      <c r="CA227" s="64"/>
    </row>
    <row r="228" spans="1:136" ht="15" customHeight="1" x14ac:dyDescent="0.25">
      <c r="A228" s="22"/>
      <c r="B228" s="22">
        <v>204</v>
      </c>
      <c r="C228" s="76" t="s">
        <v>516</v>
      </c>
      <c r="D228" s="174">
        <v>2018</v>
      </c>
      <c r="E228" s="22" t="s">
        <v>248</v>
      </c>
      <c r="F228" s="22" t="s">
        <v>520</v>
      </c>
      <c r="G228" s="22" t="s">
        <v>519</v>
      </c>
      <c r="H228" s="22" t="s">
        <v>177</v>
      </c>
      <c r="I228" s="55">
        <v>31.15</v>
      </c>
      <c r="J228" s="55">
        <f t="shared" si="279"/>
        <v>30</v>
      </c>
      <c r="K228" s="55">
        <f>(I228+J228)*0.1</f>
        <v>6.1150000000000002</v>
      </c>
      <c r="L228" s="55">
        <f>SUM(I228:K228)</f>
        <v>67.265000000000001</v>
      </c>
      <c r="M228" s="55">
        <f>ROUND(L228,0)</f>
        <v>67</v>
      </c>
      <c r="N228" s="56">
        <v>67</v>
      </c>
      <c r="O228" s="57">
        <f t="shared" si="264"/>
        <v>62.70494999999999</v>
      </c>
      <c r="P228" s="58">
        <f>N228-M228</f>
        <v>0</v>
      </c>
      <c r="Q228" s="59">
        <f t="shared" si="232"/>
        <v>11.166666666666666</v>
      </c>
      <c r="R228" s="60">
        <v>6</v>
      </c>
      <c r="S228" s="60"/>
      <c r="T228" s="60">
        <f t="shared" si="276"/>
        <v>4</v>
      </c>
      <c r="U228" s="61">
        <f t="shared" si="277"/>
        <v>2</v>
      </c>
      <c r="V228" s="62"/>
      <c r="W228" s="30">
        <v>1</v>
      </c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1"/>
      <c r="AQ228" s="32">
        <v>1</v>
      </c>
      <c r="AR228" s="33"/>
      <c r="AS228" s="31"/>
      <c r="AT228" s="63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>
        <v>1</v>
      </c>
      <c r="BE228" s="34"/>
      <c r="BF228" s="64"/>
      <c r="BT228" s="64">
        <v>1</v>
      </c>
      <c r="BU228" s="64"/>
      <c r="BV228" s="64"/>
      <c r="BW228" s="64"/>
      <c r="BX228" s="64"/>
      <c r="BY228" s="64"/>
      <c r="BZ228" s="64"/>
      <c r="CA228" s="64"/>
    </row>
    <row r="229" spans="1:136" s="54" customFormat="1" ht="15" customHeight="1" x14ac:dyDescent="0.25">
      <c r="A229" s="22"/>
      <c r="B229" s="29">
        <v>205</v>
      </c>
      <c r="C229" s="95" t="s">
        <v>161</v>
      </c>
      <c r="D229" s="174">
        <v>2021</v>
      </c>
      <c r="E229" s="22" t="s">
        <v>521</v>
      </c>
      <c r="F229" s="22" t="s">
        <v>522</v>
      </c>
      <c r="G229" s="22" t="s">
        <v>161</v>
      </c>
      <c r="H229" s="22" t="s">
        <v>171</v>
      </c>
      <c r="I229" s="55">
        <v>22.5</v>
      </c>
      <c r="J229" s="55">
        <v>30</v>
      </c>
      <c r="K229" s="55">
        <f t="shared" si="250"/>
        <v>5.25</v>
      </c>
      <c r="L229" s="55">
        <f t="shared" si="251"/>
        <v>57.75</v>
      </c>
      <c r="M229" s="55">
        <f t="shared" si="278"/>
        <v>58</v>
      </c>
      <c r="N229" s="56">
        <v>58</v>
      </c>
      <c r="O229" s="57">
        <f t="shared" si="264"/>
        <v>45.292499999999997</v>
      </c>
      <c r="P229" s="58">
        <f t="shared" si="253"/>
        <v>0</v>
      </c>
      <c r="Q229" s="59">
        <f t="shared" si="232"/>
        <v>9.6666666666666661</v>
      </c>
      <c r="R229" s="60"/>
      <c r="S229" s="60">
        <v>12</v>
      </c>
      <c r="T229" s="60">
        <f t="shared" si="276"/>
        <v>6</v>
      </c>
      <c r="U229" s="60">
        <f t="shared" si="277"/>
        <v>6</v>
      </c>
      <c r="V229" s="62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1"/>
      <c r="AQ229" s="32"/>
      <c r="AR229" s="33"/>
      <c r="AS229" s="31"/>
      <c r="AT229" s="63"/>
      <c r="AU229" s="34">
        <v>1</v>
      </c>
      <c r="AV229" s="34"/>
      <c r="AW229" s="34"/>
      <c r="AX229" s="34"/>
      <c r="AY229" s="34"/>
      <c r="AZ229" s="34"/>
      <c r="BA229" s="34">
        <v>1</v>
      </c>
      <c r="BB229" s="34"/>
      <c r="BC229" s="34"/>
      <c r="BD229" s="34">
        <v>1</v>
      </c>
      <c r="BE229" s="34"/>
      <c r="BF229" s="64"/>
      <c r="BG229" s="64"/>
      <c r="BH229" s="64">
        <v>1</v>
      </c>
      <c r="BI229" s="64"/>
      <c r="BJ229" s="64"/>
      <c r="BK229" s="64"/>
      <c r="BL229" s="64"/>
      <c r="BM229" s="64"/>
      <c r="BN229" s="64"/>
      <c r="BO229" s="64"/>
      <c r="BP229" s="64"/>
      <c r="BQ229" s="64">
        <v>2</v>
      </c>
      <c r="BR229" s="64"/>
      <c r="BS229" s="64"/>
      <c r="BT229" s="64"/>
      <c r="BU229" s="64">
        <v>2</v>
      </c>
      <c r="BV229" s="64"/>
      <c r="BW229" s="64"/>
      <c r="BX229" s="64"/>
      <c r="BY229" s="64"/>
      <c r="BZ229" s="64"/>
      <c r="CA229" s="64"/>
    </row>
    <row r="230" spans="1:136" s="96" customFormat="1" ht="15" customHeight="1" x14ac:dyDescent="0.25">
      <c r="A230" s="22"/>
      <c r="B230" s="22">
        <v>206</v>
      </c>
      <c r="C230" s="95" t="s">
        <v>161</v>
      </c>
      <c r="D230" s="174">
        <v>2020</v>
      </c>
      <c r="E230" s="22" t="s">
        <v>523</v>
      </c>
      <c r="F230" s="22" t="s">
        <v>524</v>
      </c>
      <c r="G230" s="22" t="s">
        <v>161</v>
      </c>
      <c r="H230" s="22" t="s">
        <v>78</v>
      </c>
      <c r="I230" s="55">
        <v>30.4</v>
      </c>
      <c r="J230" s="55">
        <v>30</v>
      </c>
      <c r="K230" s="55">
        <f>(I230+J230)*0.1</f>
        <v>6.04</v>
      </c>
      <c r="L230" s="55">
        <f>SUM(I230:K230)</f>
        <v>66.44</v>
      </c>
      <c r="M230" s="55">
        <f>ROUND(L230,0)</f>
        <v>66</v>
      </c>
      <c r="N230" s="56">
        <v>70</v>
      </c>
      <c r="O230" s="57">
        <f t="shared" si="264"/>
        <v>61.195199999999993</v>
      </c>
      <c r="P230" s="58">
        <f>N230-M230</f>
        <v>4</v>
      </c>
      <c r="Q230" s="59">
        <f t="shared" si="232"/>
        <v>11.666666666666666</v>
      </c>
      <c r="R230" s="60">
        <v>8</v>
      </c>
      <c r="S230" s="60">
        <v>6</v>
      </c>
      <c r="T230" s="60">
        <f t="shared" si="276"/>
        <v>4</v>
      </c>
      <c r="U230" s="60">
        <f t="shared" si="277"/>
        <v>10</v>
      </c>
      <c r="V230" s="62"/>
      <c r="W230" s="30">
        <v>2</v>
      </c>
      <c r="X230" s="30"/>
      <c r="Y230" s="30"/>
      <c r="Z230" s="30"/>
      <c r="AA230" s="30">
        <v>2</v>
      </c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1"/>
      <c r="AQ230" s="32"/>
      <c r="AR230" s="33"/>
      <c r="AS230" s="31"/>
      <c r="AT230" s="63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  <c r="DO230" s="54"/>
      <c r="DP230" s="54"/>
      <c r="DQ230" s="54"/>
      <c r="DR230" s="54"/>
      <c r="DS230" s="54"/>
      <c r="DT230" s="54"/>
      <c r="DU230" s="54"/>
      <c r="DV230" s="54"/>
      <c r="DW230" s="54"/>
      <c r="DX230" s="54"/>
      <c r="DY230" s="54"/>
      <c r="DZ230" s="54"/>
      <c r="EA230" s="54"/>
      <c r="EB230" s="54"/>
      <c r="EC230" s="54"/>
      <c r="ED230" s="54"/>
      <c r="EE230" s="54"/>
      <c r="EF230" s="54"/>
    </row>
    <row r="231" spans="1:136" s="96" customFormat="1" ht="15" customHeight="1" x14ac:dyDescent="0.25">
      <c r="A231" s="22"/>
      <c r="B231" s="22">
        <v>207</v>
      </c>
      <c r="C231" s="95" t="s">
        <v>161</v>
      </c>
      <c r="D231" s="174" t="s">
        <v>525</v>
      </c>
      <c r="E231" s="22" t="s">
        <v>526</v>
      </c>
      <c r="F231" s="22" t="s">
        <v>527</v>
      </c>
      <c r="G231" s="22" t="s">
        <v>161</v>
      </c>
      <c r="H231" s="22" t="s">
        <v>78</v>
      </c>
      <c r="I231" s="55">
        <v>52.2</v>
      </c>
      <c r="J231" s="55">
        <v>40</v>
      </c>
      <c r="K231" s="55">
        <f>(I231+J231)*0.1</f>
        <v>9.2200000000000006</v>
      </c>
      <c r="L231" s="55">
        <f>SUM(I231:K231)</f>
        <v>101.42</v>
      </c>
      <c r="M231" s="55">
        <f>ROUND(L231,0)</f>
        <v>101</v>
      </c>
      <c r="N231" s="56">
        <v>98</v>
      </c>
      <c r="O231" s="57">
        <f t="shared" si="264"/>
        <v>105.07859999999999</v>
      </c>
      <c r="P231" s="58">
        <f>N231-M231</f>
        <v>-3</v>
      </c>
      <c r="Q231" s="59">
        <f t="shared" si="232"/>
        <v>16.333333333333332</v>
      </c>
      <c r="R231" s="60">
        <v>0</v>
      </c>
      <c r="S231" s="60"/>
      <c r="T231" s="60">
        <f t="shared" si="276"/>
        <v>0</v>
      </c>
      <c r="U231" s="60">
        <f t="shared" si="277"/>
        <v>0</v>
      </c>
      <c r="V231" s="62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1"/>
      <c r="AQ231" s="32"/>
      <c r="AR231" s="33"/>
      <c r="AS231" s="31"/>
      <c r="AT231" s="63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  <c r="DO231" s="54"/>
      <c r="DP231" s="54"/>
      <c r="DQ231" s="54"/>
      <c r="DR231" s="54"/>
      <c r="DS231" s="54"/>
      <c r="DT231" s="54"/>
      <c r="DU231" s="54"/>
      <c r="DV231" s="54"/>
      <c r="DW231" s="54"/>
      <c r="DX231" s="54"/>
      <c r="DY231" s="54"/>
      <c r="DZ231" s="54"/>
      <c r="EA231" s="54"/>
      <c r="EB231" s="54"/>
      <c r="EC231" s="54"/>
      <c r="ED231" s="54"/>
      <c r="EE231" s="54"/>
      <c r="EF231" s="54"/>
    </row>
    <row r="232" spans="1:136" ht="14.25" customHeight="1" x14ac:dyDescent="0.25">
      <c r="A232" s="22"/>
      <c r="B232" s="22">
        <v>208</v>
      </c>
      <c r="C232" s="95" t="s">
        <v>161</v>
      </c>
      <c r="D232" s="174">
        <v>2021</v>
      </c>
      <c r="E232" s="22" t="s">
        <v>528</v>
      </c>
      <c r="F232" s="22" t="s">
        <v>529</v>
      </c>
      <c r="G232" s="22" t="s">
        <v>161</v>
      </c>
      <c r="H232" s="22" t="s">
        <v>171</v>
      </c>
      <c r="I232" s="55">
        <v>16.5</v>
      </c>
      <c r="J232" s="55">
        <v>25</v>
      </c>
      <c r="K232" s="55">
        <f>(I232+J232)*0.1</f>
        <v>4.1500000000000004</v>
      </c>
      <c r="L232" s="55">
        <f>SUM(I232:K232)</f>
        <v>45.65</v>
      </c>
      <c r="M232" s="55">
        <f>ROUND(L232,0)</f>
        <v>46</v>
      </c>
      <c r="N232" s="56">
        <v>46</v>
      </c>
      <c r="O232" s="57">
        <f t="shared" si="264"/>
        <v>33.214499999999994</v>
      </c>
      <c r="P232" s="58">
        <f>N232-M232</f>
        <v>0</v>
      </c>
      <c r="Q232" s="59">
        <f t="shared" si="232"/>
        <v>7.666666666666667</v>
      </c>
      <c r="R232" s="60">
        <v>9</v>
      </c>
      <c r="S232" s="60"/>
      <c r="T232" s="60">
        <f t="shared" si="276"/>
        <v>3</v>
      </c>
      <c r="U232" s="60">
        <f t="shared" si="277"/>
        <v>6</v>
      </c>
      <c r="V232" s="62"/>
      <c r="W232" s="30"/>
      <c r="X232" s="30"/>
      <c r="Y232" s="30"/>
      <c r="Z232" s="30"/>
      <c r="AA232" s="30"/>
      <c r="AB232" s="30">
        <v>2</v>
      </c>
      <c r="AC232" s="30"/>
      <c r="AD232" s="30">
        <v>1</v>
      </c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1"/>
      <c r="AQ232" s="32"/>
      <c r="AR232" s="33"/>
      <c r="AS232" s="31"/>
      <c r="AT232" s="63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64"/>
      <c r="BT232" s="64"/>
      <c r="BU232" s="64"/>
      <c r="BV232" s="64"/>
      <c r="BW232" s="64"/>
      <c r="BX232" s="64"/>
      <c r="BY232" s="64"/>
      <c r="BZ232" s="64"/>
      <c r="CA232" s="64"/>
    </row>
    <row r="233" spans="1:136" ht="14.25" customHeight="1" x14ac:dyDescent="0.25">
      <c r="A233" s="3"/>
      <c r="B233" s="29">
        <v>209</v>
      </c>
      <c r="C233" s="95" t="s">
        <v>161</v>
      </c>
      <c r="D233" s="174">
        <v>2021</v>
      </c>
      <c r="E233" s="22" t="s">
        <v>530</v>
      </c>
      <c r="F233" s="22" t="s">
        <v>531</v>
      </c>
      <c r="G233" s="22" t="s">
        <v>161</v>
      </c>
      <c r="H233" s="22" t="s">
        <v>78</v>
      </c>
      <c r="I233" s="55">
        <v>24.9</v>
      </c>
      <c r="J233" s="55">
        <f>IF(I233&lt;=15,$L$2,$L$3)</f>
        <v>30</v>
      </c>
      <c r="K233" s="55">
        <f t="shared" si="250"/>
        <v>5.49</v>
      </c>
      <c r="L233" s="55">
        <f t="shared" si="251"/>
        <v>60.39</v>
      </c>
      <c r="M233" s="55">
        <f t="shared" si="278"/>
        <v>60</v>
      </c>
      <c r="N233" s="56">
        <v>60</v>
      </c>
      <c r="O233" s="57">
        <f t="shared" si="264"/>
        <v>50.123699999999992</v>
      </c>
      <c r="P233" s="58">
        <f t="shared" si="253"/>
        <v>0</v>
      </c>
      <c r="Q233" s="59">
        <f t="shared" si="232"/>
        <v>10</v>
      </c>
      <c r="R233" s="60">
        <v>7</v>
      </c>
      <c r="S233" s="60">
        <v>6</v>
      </c>
      <c r="T233" s="60">
        <f t="shared" si="276"/>
        <v>5</v>
      </c>
      <c r="U233" s="60">
        <f t="shared" si="277"/>
        <v>8</v>
      </c>
      <c r="V233" s="62"/>
      <c r="W233" s="30"/>
      <c r="X233" s="30"/>
      <c r="Y233" s="30"/>
      <c r="Z233" s="30"/>
      <c r="AA233" s="30"/>
      <c r="AB233" s="30">
        <v>1</v>
      </c>
      <c r="AC233" s="30"/>
      <c r="AD233" s="30"/>
      <c r="AE233" s="30">
        <v>1</v>
      </c>
      <c r="AF233" s="30"/>
      <c r="AG233" s="30">
        <v>3</v>
      </c>
      <c r="AH233" s="30"/>
      <c r="AI233" s="30"/>
      <c r="AJ233" s="30"/>
      <c r="AK233" s="30"/>
      <c r="AL233" s="30"/>
      <c r="AM233" s="30"/>
      <c r="AN233" s="30"/>
      <c r="AO233" s="30"/>
      <c r="AP233" s="31"/>
      <c r="AQ233" s="32"/>
      <c r="AR233" s="33"/>
      <c r="AS233" s="31"/>
      <c r="AT233" s="63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64"/>
      <c r="BT233" s="64"/>
      <c r="BU233" s="64"/>
      <c r="BV233" s="64"/>
      <c r="BW233" s="64"/>
      <c r="BX233" s="64"/>
      <c r="BY233" s="64"/>
      <c r="BZ233" s="64"/>
      <c r="CA233" s="64"/>
    </row>
    <row r="234" spans="1:136" ht="15" customHeight="1" x14ac:dyDescent="0.25">
      <c r="A234" s="22"/>
      <c r="B234" s="22">
        <v>210</v>
      </c>
      <c r="C234" s="95" t="s">
        <v>161</v>
      </c>
      <c r="D234" s="174" t="s">
        <v>532</v>
      </c>
      <c r="E234" s="22" t="s">
        <v>533</v>
      </c>
      <c r="F234" s="22" t="s">
        <v>534</v>
      </c>
      <c r="G234" s="22" t="s">
        <v>161</v>
      </c>
      <c r="H234" s="22" t="s">
        <v>78</v>
      </c>
      <c r="I234" s="55">
        <v>47.9</v>
      </c>
      <c r="J234" s="55">
        <v>35</v>
      </c>
      <c r="K234" s="55">
        <f>(I234+J234)*0.1</f>
        <v>8.2900000000000009</v>
      </c>
      <c r="L234" s="55">
        <f>SUM(I234:K234)</f>
        <v>91.190000000000012</v>
      </c>
      <c r="M234" s="55">
        <f>ROUND(L234,0)</f>
        <v>91</v>
      </c>
      <c r="N234" s="56">
        <v>89</v>
      </c>
      <c r="O234" s="57">
        <f t="shared" si="264"/>
        <v>96.422699999999992</v>
      </c>
      <c r="P234" s="58">
        <f>N234-M234</f>
        <v>-2</v>
      </c>
      <c r="Q234" s="59">
        <f t="shared" si="232"/>
        <v>14.833333333333334</v>
      </c>
      <c r="R234" s="60">
        <v>7</v>
      </c>
      <c r="S234" s="60"/>
      <c r="T234" s="60">
        <f t="shared" si="276"/>
        <v>1</v>
      </c>
      <c r="U234" s="60">
        <f t="shared" si="277"/>
        <v>6</v>
      </c>
      <c r="V234" s="62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1"/>
      <c r="AQ234" s="32"/>
      <c r="AR234" s="33"/>
      <c r="AS234" s="31"/>
      <c r="AT234" s="63"/>
      <c r="AU234" s="34"/>
      <c r="AV234" s="34"/>
      <c r="AW234" s="34">
        <v>1</v>
      </c>
      <c r="AX234" s="34"/>
      <c r="AY234" s="34"/>
      <c r="AZ234" s="34"/>
      <c r="BA234" s="34"/>
      <c r="BB234" s="34"/>
      <c r="BC234" s="34"/>
      <c r="BD234" s="34"/>
      <c r="BE234" s="34"/>
      <c r="BF234" s="64"/>
      <c r="BT234" s="64"/>
      <c r="BU234" s="64"/>
      <c r="BV234" s="64"/>
      <c r="BW234" s="64"/>
      <c r="BX234" s="64"/>
      <c r="BY234" s="64"/>
      <c r="BZ234" s="64"/>
      <c r="CA234" s="64"/>
    </row>
    <row r="235" spans="1:136" ht="15" customHeight="1" x14ac:dyDescent="0.25">
      <c r="A235" s="22"/>
      <c r="B235" s="22">
        <v>211</v>
      </c>
      <c r="C235" s="95" t="s">
        <v>161</v>
      </c>
      <c r="D235" s="174" t="s">
        <v>535</v>
      </c>
      <c r="E235" s="22" t="s">
        <v>536</v>
      </c>
      <c r="F235" s="22" t="s">
        <v>537</v>
      </c>
      <c r="G235" s="22" t="s">
        <v>161</v>
      </c>
      <c r="H235" s="22" t="s">
        <v>171</v>
      </c>
      <c r="I235" s="55">
        <v>21.5</v>
      </c>
      <c r="J235" s="55">
        <v>30</v>
      </c>
      <c r="K235" s="55">
        <f>(I235+J235)*0.1</f>
        <v>5.15</v>
      </c>
      <c r="L235" s="55">
        <f>SUM(I235:K235)</f>
        <v>56.65</v>
      </c>
      <c r="M235" s="55">
        <f>ROUND(L235,0)</f>
        <v>57</v>
      </c>
      <c r="N235" s="56">
        <v>57</v>
      </c>
      <c r="O235" s="57">
        <f t="shared" si="264"/>
        <v>43.279499999999999</v>
      </c>
      <c r="P235" s="58">
        <f>N235-M235</f>
        <v>0</v>
      </c>
      <c r="Q235" s="59">
        <f t="shared" si="232"/>
        <v>9.5</v>
      </c>
      <c r="R235" s="60">
        <v>7</v>
      </c>
      <c r="S235" s="60"/>
      <c r="T235" s="60">
        <f t="shared" si="276"/>
        <v>4</v>
      </c>
      <c r="U235" s="60">
        <f t="shared" si="277"/>
        <v>3</v>
      </c>
      <c r="V235" s="62"/>
      <c r="W235" s="30">
        <v>1</v>
      </c>
      <c r="X235" s="30"/>
      <c r="Y235" s="30"/>
      <c r="Z235" s="30"/>
      <c r="AA235" s="30"/>
      <c r="AB235" s="30">
        <v>2</v>
      </c>
      <c r="AC235" s="30"/>
      <c r="AD235" s="30"/>
      <c r="AE235" s="30">
        <v>1</v>
      </c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1"/>
      <c r="AQ235" s="32"/>
      <c r="AR235" s="33"/>
      <c r="AS235" s="31"/>
      <c r="AT235" s="63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64"/>
      <c r="BT235" s="64"/>
      <c r="BU235" s="64"/>
      <c r="BV235" s="64"/>
      <c r="BW235" s="64"/>
      <c r="BX235" s="64"/>
      <c r="BY235" s="64"/>
      <c r="BZ235" s="64"/>
      <c r="CA235" s="64"/>
    </row>
    <row r="236" spans="1:136" ht="15" customHeight="1" x14ac:dyDescent="0.25">
      <c r="A236" s="22"/>
      <c r="B236" s="22">
        <v>212</v>
      </c>
      <c r="C236" s="95" t="s">
        <v>161</v>
      </c>
      <c r="D236" s="174">
        <v>2018</v>
      </c>
      <c r="E236" s="22" t="s">
        <v>538</v>
      </c>
      <c r="F236" s="22" t="s">
        <v>539</v>
      </c>
      <c r="G236" s="22" t="s">
        <v>161</v>
      </c>
      <c r="H236" s="22" t="s">
        <v>171</v>
      </c>
      <c r="I236" s="55">
        <v>56.5</v>
      </c>
      <c r="J236" s="55">
        <v>45</v>
      </c>
      <c r="K236" s="55">
        <f>(I236+J236)*0.1</f>
        <v>10.15</v>
      </c>
      <c r="L236" s="55">
        <f>SUM(I236:K236)</f>
        <v>111.65</v>
      </c>
      <c r="M236" s="55">
        <f>ROUND(L236,0)</f>
        <v>112</v>
      </c>
      <c r="N236" s="56">
        <v>112</v>
      </c>
      <c r="O236" s="57">
        <f t="shared" si="264"/>
        <v>113.7345</v>
      </c>
      <c r="P236" s="58">
        <f>N236-M236</f>
        <v>0</v>
      </c>
      <c r="Q236" s="59">
        <f t="shared" si="232"/>
        <v>18.666666666666668</v>
      </c>
      <c r="R236" s="60">
        <v>3</v>
      </c>
      <c r="S236" s="60"/>
      <c r="T236" s="60">
        <f t="shared" si="276"/>
        <v>1</v>
      </c>
      <c r="U236" s="60">
        <f t="shared" si="277"/>
        <v>2</v>
      </c>
      <c r="V236" s="62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1"/>
      <c r="AQ236" s="32">
        <v>1</v>
      </c>
      <c r="AR236" s="33"/>
      <c r="AS236" s="31"/>
      <c r="AT236" s="63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64"/>
      <c r="BT236" s="64"/>
      <c r="BU236" s="64"/>
      <c r="BV236" s="64"/>
      <c r="BW236" s="64"/>
      <c r="BX236" s="64"/>
      <c r="BY236" s="64"/>
      <c r="BZ236" s="64"/>
      <c r="CA236" s="64"/>
    </row>
    <row r="237" spans="1:136" ht="15" customHeight="1" x14ac:dyDescent="0.25">
      <c r="A237" s="22"/>
      <c r="B237" s="29">
        <v>213</v>
      </c>
      <c r="C237" s="95" t="s">
        <v>161</v>
      </c>
      <c r="D237" s="174">
        <v>2021</v>
      </c>
      <c r="E237" s="22" t="s">
        <v>540</v>
      </c>
      <c r="F237" s="22" t="s">
        <v>541</v>
      </c>
      <c r="G237" s="22" t="s">
        <v>161</v>
      </c>
      <c r="H237" s="22" t="s">
        <v>171</v>
      </c>
      <c r="I237" s="55">
        <v>27</v>
      </c>
      <c r="J237" s="55">
        <v>30</v>
      </c>
      <c r="K237" s="55">
        <f>(I237+J237)*0.1</f>
        <v>5.7</v>
      </c>
      <c r="L237" s="55">
        <f>SUM(I237:K237)</f>
        <v>62.7</v>
      </c>
      <c r="M237" s="55">
        <f>ROUND(L237,0)</f>
        <v>63</v>
      </c>
      <c r="N237" s="56">
        <v>65</v>
      </c>
      <c r="O237" s="57">
        <f t="shared" si="264"/>
        <v>54.350999999999992</v>
      </c>
      <c r="P237" s="58">
        <f>N237-M237</f>
        <v>2</v>
      </c>
      <c r="Q237" s="59">
        <f t="shared" si="232"/>
        <v>10.833333333333334</v>
      </c>
      <c r="R237" s="60">
        <v>5</v>
      </c>
      <c r="S237" s="60">
        <v>12</v>
      </c>
      <c r="T237" s="60">
        <f t="shared" si="276"/>
        <v>6</v>
      </c>
      <c r="U237" s="60">
        <f t="shared" si="277"/>
        <v>11</v>
      </c>
      <c r="V237" s="62"/>
      <c r="W237" s="30">
        <v>1</v>
      </c>
      <c r="X237" s="30"/>
      <c r="Y237" s="30"/>
      <c r="Z237" s="30"/>
      <c r="AA237" s="30">
        <v>1</v>
      </c>
      <c r="AB237" s="30"/>
      <c r="AC237" s="30"/>
      <c r="AD237" s="30">
        <v>1</v>
      </c>
      <c r="AE237" s="30"/>
      <c r="AF237" s="30"/>
      <c r="AG237" s="30"/>
      <c r="AH237" s="30">
        <v>1</v>
      </c>
      <c r="AI237" s="30"/>
      <c r="AJ237" s="30"/>
      <c r="AK237" s="30"/>
      <c r="AL237" s="30"/>
      <c r="AM237" s="30"/>
      <c r="AN237" s="30"/>
      <c r="AO237" s="30"/>
      <c r="AP237" s="31"/>
      <c r="AQ237" s="32"/>
      <c r="AR237" s="33"/>
      <c r="AS237" s="31">
        <v>1</v>
      </c>
      <c r="AT237" s="63">
        <v>1</v>
      </c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64"/>
      <c r="BO237" s="64">
        <v>1</v>
      </c>
      <c r="BT237" s="64"/>
      <c r="BU237" s="64"/>
      <c r="BV237" s="64"/>
      <c r="BW237" s="64"/>
      <c r="BX237" s="64"/>
      <c r="BY237" s="64"/>
      <c r="BZ237" s="64"/>
      <c r="CA237" s="64"/>
    </row>
    <row r="238" spans="1:136" ht="15" customHeight="1" x14ac:dyDescent="0.25">
      <c r="A238" s="22"/>
      <c r="B238" s="22">
        <v>214</v>
      </c>
      <c r="C238" s="95" t="s">
        <v>161</v>
      </c>
      <c r="D238" s="174">
        <v>2020</v>
      </c>
      <c r="E238" s="22" t="s">
        <v>542</v>
      </c>
      <c r="F238" s="22" t="s">
        <v>543</v>
      </c>
      <c r="G238" s="22" t="s">
        <v>161</v>
      </c>
      <c r="H238" s="22" t="s">
        <v>171</v>
      </c>
      <c r="I238" s="55">
        <v>28.5</v>
      </c>
      <c r="J238" s="55">
        <v>30</v>
      </c>
      <c r="K238" s="55">
        <f>(I238+J238)*0.1</f>
        <v>5.8500000000000005</v>
      </c>
      <c r="L238" s="55">
        <f>SUM(I238:K238)</f>
        <v>64.349999999999994</v>
      </c>
      <c r="M238" s="55">
        <f>ROUND(L238,0)</f>
        <v>64</v>
      </c>
      <c r="N238" s="56">
        <v>64</v>
      </c>
      <c r="O238" s="57">
        <f t="shared" ref="O238:O273" si="280">I238*$O$2*1.22</f>
        <v>57.3705</v>
      </c>
      <c r="P238" s="58">
        <f>N238-M238</f>
        <v>0</v>
      </c>
      <c r="Q238" s="59">
        <f t="shared" si="232"/>
        <v>10.666666666666666</v>
      </c>
      <c r="R238" s="60"/>
      <c r="S238" s="60">
        <v>6</v>
      </c>
      <c r="T238" s="60">
        <f>W238+X238+Y238+Z238+AA238+AB238+AC238+AD238+AE238+AF238+AG238+AH238+AI238+AJ238+AK238+AL238+AM238+AN238+AO238+AP238+AQ238+AR238+AS238+AT238+AU238+AV238+AW238+AX238+AY238+AZ238+BA238+BB238+BC238+BD238+BE238+BF238+BG238+BH238+BI238+BJ238+BK238+BL238+BM238+BQ238+BR238+BS238+BT238</f>
        <v>1</v>
      </c>
      <c r="U238" s="60">
        <f t="shared" si="277"/>
        <v>5</v>
      </c>
      <c r="V238" s="62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1"/>
      <c r="AQ238" s="32"/>
      <c r="AR238" s="33"/>
      <c r="AS238" s="31"/>
      <c r="AT238" s="63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64"/>
      <c r="BH238" s="64">
        <v>1</v>
      </c>
      <c r="BT238" s="64"/>
      <c r="BU238" s="64"/>
      <c r="BV238" s="64"/>
      <c r="BW238" s="64"/>
      <c r="BX238" s="64"/>
      <c r="BY238" s="64"/>
      <c r="BZ238" s="64"/>
      <c r="CA238" s="64"/>
    </row>
    <row r="239" spans="1:136" s="54" customFormat="1" ht="15" customHeight="1" x14ac:dyDescent="0.25">
      <c r="A239" s="22"/>
      <c r="B239" s="22">
        <v>215</v>
      </c>
      <c r="C239" s="80" t="s">
        <v>544</v>
      </c>
      <c r="D239" s="174">
        <v>2020</v>
      </c>
      <c r="E239" s="22" t="s">
        <v>545</v>
      </c>
      <c r="F239" s="22" t="s">
        <v>546</v>
      </c>
      <c r="G239" s="22" t="s">
        <v>81</v>
      </c>
      <c r="H239" s="22" t="s">
        <v>135</v>
      </c>
      <c r="I239" s="55">
        <v>12.6</v>
      </c>
      <c r="J239" s="55">
        <f t="shared" ref="J239:J247" si="281">IF(I239&lt;=15,$L$2,$L$3)</f>
        <v>25</v>
      </c>
      <c r="K239" s="55">
        <f t="shared" si="250"/>
        <v>3.7600000000000002</v>
      </c>
      <c r="L239" s="55">
        <f t="shared" si="251"/>
        <v>41.36</v>
      </c>
      <c r="M239" s="55">
        <f t="shared" si="278"/>
        <v>41</v>
      </c>
      <c r="N239" s="56">
        <v>40</v>
      </c>
      <c r="O239" s="57">
        <f t="shared" si="280"/>
        <v>25.363799999999998</v>
      </c>
      <c r="P239" s="58">
        <f t="shared" si="253"/>
        <v>-1</v>
      </c>
      <c r="Q239" s="59">
        <f t="shared" si="232"/>
        <v>6.666666666666667</v>
      </c>
      <c r="R239" s="60">
        <v>6</v>
      </c>
      <c r="S239" s="60"/>
      <c r="T239" s="60">
        <f t="shared" si="276"/>
        <v>4</v>
      </c>
      <c r="U239" s="60">
        <f t="shared" si="277"/>
        <v>2</v>
      </c>
      <c r="V239" s="62"/>
      <c r="W239" s="30"/>
      <c r="X239" s="30"/>
      <c r="Y239" s="30"/>
      <c r="Z239" s="30"/>
      <c r="AA239" s="30"/>
      <c r="AB239" s="30">
        <v>1</v>
      </c>
      <c r="AC239" s="30">
        <v>1</v>
      </c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1"/>
      <c r="AQ239" s="32"/>
      <c r="AR239" s="33"/>
      <c r="AS239" s="31">
        <v>1</v>
      </c>
      <c r="AT239" s="63"/>
      <c r="AU239" s="34"/>
      <c r="AV239" s="34"/>
      <c r="AW239" s="34"/>
      <c r="AX239" s="34"/>
      <c r="AY239" s="34"/>
      <c r="AZ239" s="34"/>
      <c r="BA239" s="34"/>
      <c r="BB239" s="34">
        <v>1</v>
      </c>
      <c r="BC239" s="34"/>
      <c r="BD239" s="34"/>
      <c r="BE239" s="3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</row>
    <row r="240" spans="1:136" s="54" customFormat="1" ht="15" customHeight="1" x14ac:dyDescent="0.25">
      <c r="A240" s="22"/>
      <c r="B240" s="22">
        <v>216</v>
      </c>
      <c r="C240" s="80" t="s">
        <v>544</v>
      </c>
      <c r="D240" s="174">
        <v>2020</v>
      </c>
      <c r="E240" s="68" t="s">
        <v>547</v>
      </c>
      <c r="F240" s="22" t="s">
        <v>305</v>
      </c>
      <c r="G240" s="22" t="s">
        <v>81</v>
      </c>
      <c r="H240" s="22" t="s">
        <v>78</v>
      </c>
      <c r="I240" s="55">
        <v>13.1</v>
      </c>
      <c r="J240" s="55">
        <f t="shared" si="281"/>
        <v>25</v>
      </c>
      <c r="K240" s="55">
        <f>(I240+J240)*0.1</f>
        <v>3.8100000000000005</v>
      </c>
      <c r="L240" s="55">
        <f>SUM(I240:K240)</f>
        <v>41.910000000000004</v>
      </c>
      <c r="M240" s="55">
        <f>ROUND(L240,0)</f>
        <v>42</v>
      </c>
      <c r="N240" s="56">
        <v>40</v>
      </c>
      <c r="O240" s="57">
        <f t="shared" si="280"/>
        <v>26.370299999999997</v>
      </c>
      <c r="P240" s="58">
        <f>N240-M240</f>
        <v>-2</v>
      </c>
      <c r="Q240" s="59">
        <f t="shared" si="232"/>
        <v>6.666666666666667</v>
      </c>
      <c r="R240" s="60">
        <v>7</v>
      </c>
      <c r="S240" s="60">
        <f>6+6+12+6+6+6</f>
        <v>42</v>
      </c>
      <c r="T240" s="60">
        <f t="shared" si="276"/>
        <v>35</v>
      </c>
      <c r="U240" s="60">
        <f t="shared" si="277"/>
        <v>14</v>
      </c>
      <c r="V240" s="62"/>
      <c r="W240" s="30">
        <v>3</v>
      </c>
      <c r="X240" s="30">
        <v>1</v>
      </c>
      <c r="Y240" s="30"/>
      <c r="Z240" s="30"/>
      <c r="AA240" s="30"/>
      <c r="AB240" s="30">
        <v>2</v>
      </c>
      <c r="AC240" s="30"/>
      <c r="AD240" s="30">
        <v>2</v>
      </c>
      <c r="AE240" s="30"/>
      <c r="AF240" s="30">
        <v>2</v>
      </c>
      <c r="AG240" s="30"/>
      <c r="AH240" s="30">
        <v>2</v>
      </c>
      <c r="AI240" s="30"/>
      <c r="AJ240" s="30"/>
      <c r="AK240" s="30"/>
      <c r="AL240" s="30"/>
      <c r="AM240" s="30"/>
      <c r="AN240" s="30"/>
      <c r="AO240" s="30"/>
      <c r="AP240" s="31"/>
      <c r="AQ240" s="32">
        <v>3</v>
      </c>
      <c r="AR240" s="33"/>
      <c r="AS240" s="31">
        <v>5</v>
      </c>
      <c r="AT240" s="63">
        <v>1</v>
      </c>
      <c r="AU240" s="34"/>
      <c r="AV240" s="34"/>
      <c r="AW240" s="34">
        <v>2</v>
      </c>
      <c r="AX240" s="34"/>
      <c r="AY240" s="34"/>
      <c r="AZ240" s="34">
        <v>1</v>
      </c>
      <c r="BA240" s="34">
        <v>1</v>
      </c>
      <c r="BB240" s="34"/>
      <c r="BC240" s="34">
        <v>4</v>
      </c>
      <c r="BD240" s="34"/>
      <c r="BE240" s="34"/>
      <c r="BF240" s="64">
        <v>1</v>
      </c>
      <c r="BG240" s="64">
        <v>1</v>
      </c>
      <c r="BH240" s="64"/>
      <c r="BI240" s="64"/>
      <c r="BJ240" s="64"/>
      <c r="BK240" s="64">
        <v>1</v>
      </c>
      <c r="BL240" s="64"/>
      <c r="BM240" s="64"/>
      <c r="BN240" s="64"/>
      <c r="BO240" s="64"/>
      <c r="BP240" s="64">
        <v>1</v>
      </c>
      <c r="BQ240" s="64">
        <v>1</v>
      </c>
      <c r="BR240" s="64"/>
      <c r="BS240" s="64"/>
      <c r="BT240" s="64">
        <v>2</v>
      </c>
      <c r="BU240" s="64">
        <v>2</v>
      </c>
      <c r="BV240" s="64"/>
      <c r="BW240" s="64"/>
      <c r="BX240" s="64"/>
      <c r="BY240" s="64"/>
      <c r="BZ240" s="64"/>
      <c r="CA240" s="64"/>
    </row>
    <row r="241" spans="1:136" s="54" customFormat="1" ht="15" customHeight="1" x14ac:dyDescent="0.25">
      <c r="A241" s="22"/>
      <c r="B241" s="22">
        <v>216.5</v>
      </c>
      <c r="C241" s="80" t="s">
        <v>544</v>
      </c>
      <c r="D241" s="187">
        <v>2022</v>
      </c>
      <c r="E241" s="191" t="s">
        <v>548</v>
      </c>
      <c r="F241" s="178" t="s">
        <v>411</v>
      </c>
      <c r="G241" s="22" t="s">
        <v>81</v>
      </c>
      <c r="H241" s="22" t="s">
        <v>132</v>
      </c>
      <c r="I241" s="55">
        <v>14</v>
      </c>
      <c r="J241" s="55">
        <f t="shared" ref="J241" si="282">IF(I241&lt;=15,$L$2,$L$3)</f>
        <v>25</v>
      </c>
      <c r="K241" s="55">
        <f>(I241+J241)*0.1</f>
        <v>3.9000000000000004</v>
      </c>
      <c r="L241" s="55">
        <f>SUM(I241:K241)</f>
        <v>42.9</v>
      </c>
      <c r="M241" s="55">
        <f>ROUND(L241,0)</f>
        <v>43</v>
      </c>
      <c r="N241" s="56">
        <v>42</v>
      </c>
      <c r="O241" s="57">
        <f t="shared" ref="O241" si="283">I241*$O$2*1.22</f>
        <v>28.181999999999995</v>
      </c>
      <c r="P241" s="58">
        <f>N241-M241</f>
        <v>-1</v>
      </c>
      <c r="Q241" s="59">
        <f t="shared" ref="Q241" si="284">N241/$Q$3</f>
        <v>7</v>
      </c>
      <c r="R241" s="60"/>
      <c r="S241" s="60">
        <v>66</v>
      </c>
      <c r="T241" s="60">
        <f t="shared" ref="T241" si="285">W241+X241+Y241+Z241+AA241+AB241+AC241+AD241+AE241+AF241+AG241+AH241+AI241+AJ241+AK241+AL241+AM241+AN241+AO241+AP241+AQ241+AR241+AS241+AT241+AU241+AV241+AW241+AX241+AY241+AZ241+BA241+BB241+BC241+BD241+BE241+BF241+BG241+BH241+BI241+BJ241+BK241+BL241+BM241+BQ241+BR241+BS241+BT241</f>
        <v>3</v>
      </c>
      <c r="U241" s="60">
        <f t="shared" ref="U241" si="286">R241+S241-T241</f>
        <v>63</v>
      </c>
      <c r="V241" s="62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1"/>
      <c r="AQ241" s="32"/>
      <c r="AR241" s="33"/>
      <c r="AS241" s="31"/>
      <c r="AT241" s="63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64"/>
      <c r="BG241" s="64"/>
      <c r="BH241" s="64"/>
      <c r="BI241" s="64"/>
      <c r="BJ241" s="64"/>
      <c r="BK241" s="64"/>
      <c r="BL241" s="64"/>
      <c r="BM241" s="64"/>
      <c r="BN241" s="64">
        <v>1</v>
      </c>
      <c r="BO241" s="64"/>
      <c r="BP241" s="64"/>
      <c r="BQ241" s="64"/>
      <c r="BR241" s="64"/>
      <c r="BS241" s="64"/>
      <c r="BT241" s="64">
        <v>3</v>
      </c>
      <c r="BU241" s="64"/>
      <c r="BV241" s="64"/>
      <c r="BW241" s="64"/>
      <c r="BX241" s="64"/>
      <c r="BY241" s="64"/>
      <c r="BZ241" s="64"/>
      <c r="CA241" s="64"/>
    </row>
    <row r="242" spans="1:136" s="54" customFormat="1" ht="15" customHeight="1" x14ac:dyDescent="0.25">
      <c r="A242" s="71"/>
      <c r="B242" s="29">
        <v>217</v>
      </c>
      <c r="C242" s="80" t="s">
        <v>544</v>
      </c>
      <c r="D242" s="174">
        <v>2019</v>
      </c>
      <c r="E242" s="29" t="s">
        <v>549</v>
      </c>
      <c r="F242" s="22" t="s">
        <v>233</v>
      </c>
      <c r="G242" s="22" t="s">
        <v>77</v>
      </c>
      <c r="H242" s="22" t="s">
        <v>78</v>
      </c>
      <c r="I242" s="55">
        <v>11.8</v>
      </c>
      <c r="J242" s="55">
        <f t="shared" si="281"/>
        <v>25</v>
      </c>
      <c r="K242" s="55">
        <f t="shared" si="250"/>
        <v>3.6799999999999997</v>
      </c>
      <c r="L242" s="55">
        <f t="shared" si="251"/>
        <v>40.479999999999997</v>
      </c>
      <c r="M242" s="55">
        <f t="shared" si="278"/>
        <v>40</v>
      </c>
      <c r="N242" s="56">
        <v>38</v>
      </c>
      <c r="O242" s="57">
        <f t="shared" si="280"/>
        <v>23.753399999999999</v>
      </c>
      <c r="P242" s="58">
        <f t="shared" si="253"/>
        <v>-2</v>
      </c>
      <c r="Q242" s="59">
        <f t="shared" si="232"/>
        <v>6.333333333333333</v>
      </c>
      <c r="R242" s="60">
        <v>2</v>
      </c>
      <c r="S242" s="60"/>
      <c r="T242" s="60">
        <f t="shared" si="276"/>
        <v>3</v>
      </c>
      <c r="U242" s="60">
        <f t="shared" si="277"/>
        <v>-1</v>
      </c>
      <c r="V242" s="62"/>
      <c r="W242" s="30">
        <v>1</v>
      </c>
      <c r="X242" s="30"/>
      <c r="Y242" s="30"/>
      <c r="Z242" s="30"/>
      <c r="AA242" s="30"/>
      <c r="AB242" s="30">
        <v>1</v>
      </c>
      <c r="AC242" s="30"/>
      <c r="AD242" s="30"/>
      <c r="AE242" s="30">
        <v>1</v>
      </c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1"/>
      <c r="AQ242" s="32"/>
      <c r="AR242" s="33"/>
      <c r="AS242" s="31"/>
      <c r="AT242" s="63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</row>
    <row r="243" spans="1:136" s="54" customFormat="1" ht="15" customHeight="1" x14ac:dyDescent="0.25">
      <c r="A243" s="71"/>
      <c r="B243" s="22">
        <v>218</v>
      </c>
      <c r="C243" s="80" t="s">
        <v>544</v>
      </c>
      <c r="D243" s="174">
        <v>2020</v>
      </c>
      <c r="E243" s="22" t="s">
        <v>550</v>
      </c>
      <c r="F243" s="22" t="s">
        <v>406</v>
      </c>
      <c r="G243" s="22" t="s">
        <v>77</v>
      </c>
      <c r="H243" s="22" t="s">
        <v>78</v>
      </c>
      <c r="I243" s="55">
        <v>14.5</v>
      </c>
      <c r="J243" s="55">
        <f t="shared" si="281"/>
        <v>25</v>
      </c>
      <c r="K243" s="55">
        <f>(I243+J243)*0.1</f>
        <v>3.95</v>
      </c>
      <c r="L243" s="55">
        <f>SUM(I243:K243)</f>
        <v>43.45</v>
      </c>
      <c r="M243" s="55">
        <f>ROUND(L243,0)</f>
        <v>43</v>
      </c>
      <c r="N243" s="56">
        <v>41</v>
      </c>
      <c r="O243" s="57">
        <f t="shared" si="280"/>
        <v>29.188499999999998</v>
      </c>
      <c r="P243" s="58">
        <f>N243-M243</f>
        <v>-2</v>
      </c>
      <c r="Q243" s="59">
        <f t="shared" si="232"/>
        <v>6.833333333333333</v>
      </c>
      <c r="R243" s="60">
        <v>13</v>
      </c>
      <c r="S243" s="60">
        <f>6+6+6</f>
        <v>18</v>
      </c>
      <c r="T243" s="60">
        <f t="shared" si="276"/>
        <v>15</v>
      </c>
      <c r="U243" s="60">
        <f t="shared" si="277"/>
        <v>16</v>
      </c>
      <c r="V243" s="62"/>
      <c r="W243" s="30"/>
      <c r="X243" s="30">
        <v>1</v>
      </c>
      <c r="Y243" s="30"/>
      <c r="Z243" s="30"/>
      <c r="AA243" s="30">
        <v>1</v>
      </c>
      <c r="AB243" s="30">
        <v>1</v>
      </c>
      <c r="AC243" s="30"/>
      <c r="AD243" s="30"/>
      <c r="AE243" s="30"/>
      <c r="AF243" s="30">
        <v>2</v>
      </c>
      <c r="AG243" s="30"/>
      <c r="AH243" s="30"/>
      <c r="AI243" s="30"/>
      <c r="AJ243" s="30"/>
      <c r="AK243" s="30"/>
      <c r="AL243" s="30"/>
      <c r="AM243" s="30"/>
      <c r="AN243" s="30"/>
      <c r="AO243" s="30"/>
      <c r="AP243" s="31"/>
      <c r="AQ243" s="32"/>
      <c r="AR243" s="33"/>
      <c r="AS243" s="31"/>
      <c r="AT243" s="63"/>
      <c r="AU243" s="34"/>
      <c r="AV243" s="34"/>
      <c r="AW243" s="34">
        <v>1</v>
      </c>
      <c r="AX243" s="34"/>
      <c r="AY243" s="34"/>
      <c r="AZ243" s="34"/>
      <c r="BA243" s="34"/>
      <c r="BB243" s="34">
        <v>2</v>
      </c>
      <c r="BC243" s="34"/>
      <c r="BD243" s="34"/>
      <c r="BE243" s="34"/>
      <c r="BF243" s="64">
        <v>1</v>
      </c>
      <c r="BG243" s="64">
        <v>3</v>
      </c>
      <c r="BH243" s="64"/>
      <c r="BI243" s="64"/>
      <c r="BJ243" s="64"/>
      <c r="BK243" s="64"/>
      <c r="BL243" s="64"/>
      <c r="BM243" s="64">
        <v>3</v>
      </c>
      <c r="BN243" s="64"/>
      <c r="BO243" s="64">
        <v>1</v>
      </c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</row>
    <row r="244" spans="1:136" s="54" customFormat="1" ht="15" customHeight="1" x14ac:dyDescent="0.25">
      <c r="A244" s="22"/>
      <c r="B244" s="22">
        <v>219</v>
      </c>
      <c r="C244" s="80" t="s">
        <v>544</v>
      </c>
      <c r="D244" s="174">
        <v>2012</v>
      </c>
      <c r="E244" s="22" t="s">
        <v>551</v>
      </c>
      <c r="F244" s="22" t="s">
        <v>267</v>
      </c>
      <c r="G244" s="22" t="s">
        <v>77</v>
      </c>
      <c r="H244" s="22" t="s">
        <v>132</v>
      </c>
      <c r="I244" s="55">
        <v>19.95</v>
      </c>
      <c r="J244" s="55">
        <f t="shared" si="281"/>
        <v>30</v>
      </c>
      <c r="K244" s="55">
        <f t="shared" si="250"/>
        <v>4.995000000000001</v>
      </c>
      <c r="L244" s="55">
        <f t="shared" si="251"/>
        <v>54.945000000000007</v>
      </c>
      <c r="M244" s="55">
        <f t="shared" si="278"/>
        <v>55</v>
      </c>
      <c r="N244" s="56">
        <v>53</v>
      </c>
      <c r="O244" s="57">
        <f t="shared" si="280"/>
        <v>40.159349999999996</v>
      </c>
      <c r="P244" s="58">
        <f t="shared" si="253"/>
        <v>-2</v>
      </c>
      <c r="Q244" s="59">
        <f t="shared" si="232"/>
        <v>8.8333333333333339</v>
      </c>
      <c r="R244" s="60">
        <v>8</v>
      </c>
      <c r="S244" s="60">
        <v>13</v>
      </c>
      <c r="T244" s="60">
        <f t="shared" si="276"/>
        <v>14</v>
      </c>
      <c r="U244" s="60">
        <f t="shared" si="277"/>
        <v>7</v>
      </c>
      <c r="V244" s="62"/>
      <c r="W244" s="30">
        <v>2</v>
      </c>
      <c r="X244" s="30">
        <v>1</v>
      </c>
      <c r="Y244" s="30"/>
      <c r="Z244" s="30"/>
      <c r="AA244" s="30"/>
      <c r="AB244" s="30"/>
      <c r="AC244" s="30"/>
      <c r="AD244" s="30"/>
      <c r="AE244" s="30">
        <v>2</v>
      </c>
      <c r="AF244" s="30">
        <v>1</v>
      </c>
      <c r="AG244" s="30">
        <v>1</v>
      </c>
      <c r="AH244" s="30"/>
      <c r="AI244" s="30"/>
      <c r="AJ244" s="30"/>
      <c r="AK244" s="30"/>
      <c r="AL244" s="30"/>
      <c r="AM244" s="30"/>
      <c r="AN244" s="30"/>
      <c r="AO244" s="30"/>
      <c r="AP244" s="31"/>
      <c r="AQ244" s="32"/>
      <c r="AR244" s="33"/>
      <c r="AS244" s="31"/>
      <c r="AT244" s="63">
        <v>1</v>
      </c>
      <c r="AU244" s="34"/>
      <c r="AV244" s="34"/>
      <c r="AW244" s="34"/>
      <c r="AX244" s="34"/>
      <c r="AY244" s="34"/>
      <c r="AZ244" s="34">
        <v>2</v>
      </c>
      <c r="BA244" s="34"/>
      <c r="BB244" s="34"/>
      <c r="BC244" s="34"/>
      <c r="BD244" s="34"/>
      <c r="BE244" s="34">
        <v>1</v>
      </c>
      <c r="BF244" s="64"/>
      <c r="BG244" s="64"/>
      <c r="BH244" s="64">
        <v>1</v>
      </c>
      <c r="BI244" s="64"/>
      <c r="BJ244" s="64"/>
      <c r="BK244" s="64"/>
      <c r="BL244" s="64"/>
      <c r="BM244" s="64">
        <v>1</v>
      </c>
      <c r="BN244" s="64"/>
      <c r="BO244" s="64"/>
      <c r="BP244" s="64"/>
      <c r="BQ244" s="64">
        <v>1</v>
      </c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</row>
    <row r="245" spans="1:136" ht="15" customHeight="1" x14ac:dyDescent="0.25">
      <c r="A245" s="22"/>
      <c r="B245" s="22">
        <v>220</v>
      </c>
      <c r="C245" s="80" t="s">
        <v>544</v>
      </c>
      <c r="D245" s="174">
        <v>2018</v>
      </c>
      <c r="E245" s="68" t="s">
        <v>552</v>
      </c>
      <c r="F245" s="22" t="s">
        <v>553</v>
      </c>
      <c r="G245" s="22" t="s">
        <v>81</v>
      </c>
      <c r="H245" s="22" t="s">
        <v>78</v>
      </c>
      <c r="I245" s="55">
        <v>10.9</v>
      </c>
      <c r="J245" s="55">
        <f t="shared" si="281"/>
        <v>25</v>
      </c>
      <c r="K245" s="55">
        <f t="shared" si="250"/>
        <v>3.59</v>
      </c>
      <c r="L245" s="55">
        <f t="shared" si="251"/>
        <v>39.489999999999995</v>
      </c>
      <c r="M245" s="55">
        <f t="shared" si="278"/>
        <v>39</v>
      </c>
      <c r="N245" s="56">
        <v>36</v>
      </c>
      <c r="O245" s="57">
        <f t="shared" si="280"/>
        <v>21.941699999999997</v>
      </c>
      <c r="P245" s="58">
        <f t="shared" si="253"/>
        <v>-3</v>
      </c>
      <c r="Q245" s="59">
        <f t="shared" si="232"/>
        <v>6</v>
      </c>
      <c r="R245" s="60">
        <v>5</v>
      </c>
      <c r="S245" s="60"/>
      <c r="T245" s="60">
        <f t="shared" si="276"/>
        <v>0</v>
      </c>
      <c r="U245" s="60">
        <f t="shared" si="277"/>
        <v>5</v>
      </c>
      <c r="V245" s="62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1"/>
      <c r="AQ245" s="32"/>
      <c r="AR245" s="33"/>
      <c r="AS245" s="31"/>
      <c r="AT245" s="63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64"/>
      <c r="BT245" s="64"/>
      <c r="BU245" s="64"/>
      <c r="BV245" s="64"/>
      <c r="BW245" s="64"/>
      <c r="BX245" s="64"/>
      <c r="BY245" s="64"/>
      <c r="BZ245" s="64"/>
      <c r="CA245" s="64"/>
    </row>
    <row r="246" spans="1:136" s="84" customFormat="1" ht="15" customHeight="1" x14ac:dyDescent="0.25">
      <c r="A246" s="22"/>
      <c r="B246" s="29">
        <v>221</v>
      </c>
      <c r="C246" s="80" t="s">
        <v>544</v>
      </c>
      <c r="D246" s="174">
        <v>2020</v>
      </c>
      <c r="E246" s="22" t="s">
        <v>554</v>
      </c>
      <c r="F246" s="178" t="s">
        <v>555</v>
      </c>
      <c r="G246" s="22" t="s">
        <v>556</v>
      </c>
      <c r="H246" s="22" t="s">
        <v>84</v>
      </c>
      <c r="I246" s="55">
        <v>12.8</v>
      </c>
      <c r="J246" s="55">
        <f t="shared" si="281"/>
        <v>25</v>
      </c>
      <c r="K246" s="55">
        <f t="shared" si="250"/>
        <v>3.78</v>
      </c>
      <c r="L246" s="55">
        <f t="shared" si="251"/>
        <v>41.58</v>
      </c>
      <c r="M246" s="55">
        <f t="shared" si="278"/>
        <v>42</v>
      </c>
      <c r="N246" s="56">
        <v>40</v>
      </c>
      <c r="O246" s="57">
        <f t="shared" si="280"/>
        <v>25.766400000000001</v>
      </c>
      <c r="P246" s="58">
        <f t="shared" si="253"/>
        <v>-2</v>
      </c>
      <c r="Q246" s="59">
        <f t="shared" si="232"/>
        <v>6.666666666666667</v>
      </c>
      <c r="R246" s="60">
        <v>27</v>
      </c>
      <c r="S246" s="60">
        <f>12+6</f>
        <v>18</v>
      </c>
      <c r="T246" s="60">
        <f t="shared" si="276"/>
        <v>41</v>
      </c>
      <c r="U246" s="60">
        <f t="shared" si="277"/>
        <v>4</v>
      </c>
      <c r="V246" s="62"/>
      <c r="W246" s="30">
        <v>1</v>
      </c>
      <c r="X246" s="30">
        <v>2</v>
      </c>
      <c r="Y246" s="30">
        <v>1</v>
      </c>
      <c r="Z246" s="30">
        <v>2</v>
      </c>
      <c r="AA246" s="30">
        <v>1</v>
      </c>
      <c r="AB246" s="30">
        <v>2</v>
      </c>
      <c r="AC246" s="30">
        <v>5</v>
      </c>
      <c r="AD246" s="30">
        <v>3</v>
      </c>
      <c r="AE246" s="30">
        <v>1</v>
      </c>
      <c r="AF246" s="30">
        <v>2</v>
      </c>
      <c r="AG246" s="30">
        <v>4</v>
      </c>
      <c r="AH246" s="30">
        <v>4</v>
      </c>
      <c r="AI246" s="30"/>
      <c r="AJ246" s="30"/>
      <c r="AK246" s="30"/>
      <c r="AL246" s="30"/>
      <c r="AM246" s="30"/>
      <c r="AN246" s="30"/>
      <c r="AO246" s="30"/>
      <c r="AP246" s="31"/>
      <c r="AQ246" s="32"/>
      <c r="AR246" s="33"/>
      <c r="AS246" s="31"/>
      <c r="AT246" s="63"/>
      <c r="AU246" s="34"/>
      <c r="AV246" s="34"/>
      <c r="AW246" s="34"/>
      <c r="AX246" s="34"/>
      <c r="AY246" s="34"/>
      <c r="AZ246" s="34"/>
      <c r="BA246" s="34">
        <v>1</v>
      </c>
      <c r="BB246" s="34">
        <v>3</v>
      </c>
      <c r="BC246" s="34">
        <v>2</v>
      </c>
      <c r="BD246" s="34"/>
      <c r="BE246" s="34">
        <v>1</v>
      </c>
      <c r="BF246" s="64"/>
      <c r="BG246" s="64">
        <v>2</v>
      </c>
      <c r="BH246" s="64"/>
      <c r="BI246" s="64">
        <v>1</v>
      </c>
      <c r="BJ246" s="64"/>
      <c r="BK246" s="64">
        <v>1</v>
      </c>
      <c r="BL246" s="64"/>
      <c r="BM246" s="64"/>
      <c r="BN246" s="64"/>
      <c r="BO246" s="64">
        <v>3</v>
      </c>
      <c r="BP246" s="64">
        <v>1</v>
      </c>
      <c r="BQ246" s="64"/>
      <c r="BR246" s="64"/>
      <c r="BS246" s="64"/>
      <c r="BT246" s="64">
        <v>2</v>
      </c>
      <c r="BU246" s="64"/>
      <c r="BV246" s="64"/>
      <c r="BW246" s="64"/>
      <c r="BX246" s="64"/>
      <c r="BY246" s="64"/>
      <c r="BZ246" s="64"/>
      <c r="CA246" s="64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  <c r="DS246" s="66"/>
      <c r="DT246" s="66"/>
      <c r="DU246" s="66"/>
      <c r="DV246" s="66"/>
      <c r="DW246" s="66"/>
      <c r="DX246" s="66"/>
      <c r="DY246" s="66"/>
      <c r="DZ246" s="66"/>
      <c r="EA246" s="66"/>
      <c r="EB246" s="66"/>
      <c r="EC246" s="66"/>
      <c r="ED246" s="66"/>
      <c r="EE246" s="66"/>
      <c r="EF246" s="66"/>
    </row>
    <row r="247" spans="1:136" s="84" customFormat="1" ht="15" customHeight="1" x14ac:dyDescent="0.25">
      <c r="A247" s="22"/>
      <c r="B247" s="22">
        <v>222</v>
      </c>
      <c r="C247" s="80" t="s">
        <v>544</v>
      </c>
      <c r="D247" s="174">
        <v>2020</v>
      </c>
      <c r="E247" s="29" t="s">
        <v>557</v>
      </c>
      <c r="F247" s="22" t="s">
        <v>558</v>
      </c>
      <c r="G247" s="22" t="s">
        <v>77</v>
      </c>
      <c r="H247" s="22" t="s">
        <v>177</v>
      </c>
      <c r="I247" s="55">
        <v>17.899999999999999</v>
      </c>
      <c r="J247" s="55">
        <f t="shared" si="281"/>
        <v>30</v>
      </c>
      <c r="K247" s="55">
        <f>(I247+J247)*0.1</f>
        <v>4.79</v>
      </c>
      <c r="L247" s="55">
        <f>SUM(I247:K247)</f>
        <v>52.69</v>
      </c>
      <c r="M247" s="55">
        <f>ROUND(L247,0)</f>
        <v>53</v>
      </c>
      <c r="N247" s="56">
        <v>53</v>
      </c>
      <c r="O247" s="57">
        <f t="shared" si="280"/>
        <v>36.032699999999998</v>
      </c>
      <c r="P247" s="58">
        <f>N247-M247</f>
        <v>0</v>
      </c>
      <c r="Q247" s="59">
        <f t="shared" si="232"/>
        <v>8.8333333333333339</v>
      </c>
      <c r="R247" s="60">
        <v>6</v>
      </c>
      <c r="S247" s="60"/>
      <c r="T247" s="60">
        <f t="shared" si="276"/>
        <v>6</v>
      </c>
      <c r="U247" s="60">
        <f t="shared" si="277"/>
        <v>0</v>
      </c>
      <c r="V247" s="62"/>
      <c r="W247" s="30">
        <v>1</v>
      </c>
      <c r="X247" s="30"/>
      <c r="Y247" s="30"/>
      <c r="Z247" s="30"/>
      <c r="AA247" s="30"/>
      <c r="AB247" s="30"/>
      <c r="AC247" s="30">
        <v>1</v>
      </c>
      <c r="AD247" s="30">
        <v>1</v>
      </c>
      <c r="AE247" s="30"/>
      <c r="AF247" s="30">
        <v>1</v>
      </c>
      <c r="AG247" s="30">
        <v>1</v>
      </c>
      <c r="AH247" s="30"/>
      <c r="AI247" s="30"/>
      <c r="AJ247" s="30"/>
      <c r="AK247" s="30"/>
      <c r="AL247" s="30"/>
      <c r="AM247" s="30"/>
      <c r="AN247" s="30"/>
      <c r="AO247" s="30"/>
      <c r="AP247" s="31"/>
      <c r="AQ247" s="32"/>
      <c r="AR247" s="33"/>
      <c r="AS247" s="31">
        <v>1</v>
      </c>
      <c r="AT247" s="63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  <c r="DS247" s="66"/>
      <c r="DT247" s="66"/>
      <c r="DU247" s="66"/>
      <c r="DV247" s="66"/>
      <c r="DW247" s="66"/>
      <c r="DX247" s="66"/>
      <c r="DY247" s="66"/>
      <c r="DZ247" s="66"/>
      <c r="EA247" s="66"/>
      <c r="EB247" s="66"/>
      <c r="EC247" s="66"/>
      <c r="ED247" s="66"/>
      <c r="EE247" s="66"/>
      <c r="EF247" s="66"/>
    </row>
    <row r="248" spans="1:136" ht="15" customHeight="1" x14ac:dyDescent="0.25">
      <c r="A248" s="71"/>
      <c r="B248" s="22">
        <v>223</v>
      </c>
      <c r="C248" s="80" t="s">
        <v>544</v>
      </c>
      <c r="D248" s="174">
        <v>2018</v>
      </c>
      <c r="E248" s="22" t="s">
        <v>559</v>
      </c>
      <c r="F248" s="22" t="s">
        <v>404</v>
      </c>
      <c r="G248" s="22" t="s">
        <v>81</v>
      </c>
      <c r="H248" s="22" t="s">
        <v>137</v>
      </c>
      <c r="I248" s="55">
        <v>16.12</v>
      </c>
      <c r="J248" s="55">
        <v>25</v>
      </c>
      <c r="K248" s="55">
        <f t="shared" si="250"/>
        <v>4.112000000000001</v>
      </c>
      <c r="L248" s="55">
        <f t="shared" si="251"/>
        <v>45.232000000000006</v>
      </c>
      <c r="M248" s="55">
        <f t="shared" si="278"/>
        <v>45</v>
      </c>
      <c r="N248" s="56">
        <v>44</v>
      </c>
      <c r="O248" s="57">
        <f t="shared" si="280"/>
        <v>32.449559999999998</v>
      </c>
      <c r="P248" s="85">
        <f t="shared" si="253"/>
        <v>-1</v>
      </c>
      <c r="Q248" s="59">
        <f t="shared" si="232"/>
        <v>7.333333333333333</v>
      </c>
      <c r="R248" s="60">
        <v>4</v>
      </c>
      <c r="S248" s="60">
        <f>6+6+6+6</f>
        <v>24</v>
      </c>
      <c r="T248" s="60">
        <f t="shared" si="276"/>
        <v>12</v>
      </c>
      <c r="U248" s="60">
        <f t="shared" si="277"/>
        <v>16</v>
      </c>
      <c r="V248" s="69"/>
      <c r="W248" s="30"/>
      <c r="X248" s="30"/>
      <c r="Y248" s="30"/>
      <c r="Z248" s="30"/>
      <c r="AA248" s="30"/>
      <c r="AB248" s="30"/>
      <c r="AC248" s="30">
        <v>1</v>
      </c>
      <c r="AD248" s="30"/>
      <c r="AE248" s="30"/>
      <c r="AF248" s="30">
        <v>1</v>
      </c>
      <c r="AG248" s="30">
        <v>2</v>
      </c>
      <c r="AH248" s="30"/>
      <c r="AI248" s="30"/>
      <c r="AJ248" s="30"/>
      <c r="AK248" s="30"/>
      <c r="AL248" s="30"/>
      <c r="AM248" s="30"/>
      <c r="AN248" s="30"/>
      <c r="AO248" s="30"/>
      <c r="AP248" s="31">
        <v>1</v>
      </c>
      <c r="AQ248" s="32"/>
      <c r="AR248" s="33"/>
      <c r="AS248" s="31">
        <v>1</v>
      </c>
      <c r="AT248" s="63"/>
      <c r="AU248" s="34"/>
      <c r="AV248" s="34"/>
      <c r="AW248" s="34"/>
      <c r="AX248" s="34"/>
      <c r="AY248" s="34"/>
      <c r="AZ248" s="34">
        <v>1</v>
      </c>
      <c r="BA248" s="34"/>
      <c r="BB248" s="34">
        <v>1</v>
      </c>
      <c r="BC248" s="34">
        <v>1</v>
      </c>
      <c r="BD248" s="34">
        <v>1</v>
      </c>
      <c r="BE248" s="34">
        <v>1</v>
      </c>
      <c r="BF248" s="64"/>
      <c r="BN248" s="64">
        <v>1</v>
      </c>
      <c r="BT248" s="64">
        <v>1</v>
      </c>
      <c r="BU248" s="64"/>
      <c r="BV248" s="64"/>
      <c r="BW248" s="64"/>
      <c r="BX248" s="64"/>
      <c r="BY248" s="64"/>
      <c r="BZ248" s="64"/>
      <c r="CA248" s="64"/>
    </row>
    <row r="249" spans="1:136" ht="15" customHeight="1" x14ac:dyDescent="0.25">
      <c r="A249" s="71"/>
      <c r="B249" s="22">
        <v>224</v>
      </c>
      <c r="C249" s="80" t="s">
        <v>544</v>
      </c>
      <c r="D249" s="174">
        <v>2022</v>
      </c>
      <c r="E249" s="22" t="s">
        <v>560</v>
      </c>
      <c r="F249" s="22" t="s">
        <v>404</v>
      </c>
      <c r="G249" s="22" t="s">
        <v>81</v>
      </c>
      <c r="H249" s="22" t="s">
        <v>137</v>
      </c>
      <c r="I249" s="55">
        <v>11.1</v>
      </c>
      <c r="J249" s="55">
        <v>25</v>
      </c>
      <c r="K249" s="55">
        <f t="shared" ref="K249" si="287">(I249+J249)*0.1</f>
        <v>3.6100000000000003</v>
      </c>
      <c r="L249" s="55">
        <f t="shared" ref="L249" si="288">SUM(I249:K249)</f>
        <v>39.71</v>
      </c>
      <c r="M249" s="55">
        <f t="shared" ref="M249" si="289">ROUND(L249,0)</f>
        <v>40</v>
      </c>
      <c r="N249" s="56">
        <v>38</v>
      </c>
      <c r="O249" s="57">
        <f t="shared" ref="O249" si="290">I249*$O$2*1.22</f>
        <v>22.344299999999997</v>
      </c>
      <c r="P249" s="85">
        <f t="shared" ref="P249" si="291">N249-M249</f>
        <v>-2</v>
      </c>
      <c r="Q249" s="59">
        <f t="shared" ref="Q249" si="292">N249/$Q$3</f>
        <v>6.333333333333333</v>
      </c>
      <c r="R249" s="60"/>
      <c r="S249" s="60">
        <v>6</v>
      </c>
      <c r="T249" s="60">
        <f t="shared" ref="T249" si="293">W249+X249+Y249+Z249+AA249+AB249+AC249+AD249+AE249+AF249+AG249+AH249+AI249+AJ249+AK249+AL249+AM249+AN249+AO249+AP249+AQ249+AR249+AS249+AT249+AU249+AV249+AW249+AX249+AY249+AZ249+BA249+BB249+BC249+BD249+BE249+BF249+BG249+BH249+BI249+BJ249+BK249+BL249+BM249+BQ249+BR249+BS249+BT249</f>
        <v>8</v>
      </c>
      <c r="U249" s="60">
        <f t="shared" ref="U249" si="294">R249+S249-T249</f>
        <v>-2</v>
      </c>
      <c r="V249" s="69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1"/>
      <c r="AQ249" s="32"/>
      <c r="AR249" s="33"/>
      <c r="AS249" s="31"/>
      <c r="AT249" s="63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>
        <v>1</v>
      </c>
      <c r="BF249" s="64"/>
      <c r="BJ249" s="64">
        <v>5</v>
      </c>
      <c r="BK249" s="64">
        <v>1</v>
      </c>
      <c r="BM249" s="64">
        <v>1</v>
      </c>
      <c r="BT249" s="64"/>
      <c r="BU249" s="64"/>
      <c r="BV249" s="64"/>
      <c r="BW249" s="64"/>
      <c r="BX249" s="64"/>
      <c r="BY249" s="64"/>
      <c r="BZ249" s="64"/>
      <c r="CA249" s="64"/>
    </row>
    <row r="250" spans="1:136" ht="15" customHeight="1" x14ac:dyDescent="0.25">
      <c r="A250" s="22"/>
      <c r="B250" s="22">
        <v>224</v>
      </c>
      <c r="C250" s="80" t="s">
        <v>544</v>
      </c>
      <c r="D250" s="174">
        <v>2018</v>
      </c>
      <c r="E250" s="22" t="s">
        <v>561</v>
      </c>
      <c r="F250" s="22" t="s">
        <v>250</v>
      </c>
      <c r="G250" s="22" t="s">
        <v>77</v>
      </c>
      <c r="H250" s="22" t="s">
        <v>135</v>
      </c>
      <c r="I250" s="55">
        <v>9.5399999999999991</v>
      </c>
      <c r="J250" s="55">
        <f>IF(I250&lt;=15,$L$2,$L$3)</f>
        <v>25</v>
      </c>
      <c r="K250" s="55">
        <f t="shared" si="250"/>
        <v>3.4540000000000002</v>
      </c>
      <c r="L250" s="55">
        <f t="shared" si="251"/>
        <v>37.994</v>
      </c>
      <c r="M250" s="55">
        <f t="shared" si="278"/>
        <v>38</v>
      </c>
      <c r="N250" s="56">
        <v>36</v>
      </c>
      <c r="O250" s="57">
        <f t="shared" si="280"/>
        <v>19.204019999999996</v>
      </c>
      <c r="P250" s="58">
        <f t="shared" si="253"/>
        <v>-2</v>
      </c>
      <c r="Q250" s="59">
        <f t="shared" si="232"/>
        <v>6</v>
      </c>
      <c r="R250" s="60">
        <v>3</v>
      </c>
      <c r="S250" s="60"/>
      <c r="T250" s="60">
        <f t="shared" si="276"/>
        <v>0</v>
      </c>
      <c r="U250" s="60">
        <f t="shared" si="277"/>
        <v>3</v>
      </c>
      <c r="V250" s="62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1"/>
      <c r="AQ250" s="32"/>
      <c r="AR250" s="33"/>
      <c r="AS250" s="31"/>
      <c r="AT250" s="63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64"/>
      <c r="BT250" s="64"/>
      <c r="BU250" s="64"/>
      <c r="BV250" s="64"/>
      <c r="BW250" s="64"/>
      <c r="BX250" s="64"/>
      <c r="BY250" s="64"/>
      <c r="BZ250" s="64"/>
      <c r="CA250" s="64"/>
    </row>
    <row r="251" spans="1:136" ht="15" customHeight="1" x14ac:dyDescent="0.25">
      <c r="A251" s="22"/>
      <c r="B251" s="29">
        <v>225</v>
      </c>
      <c r="C251" s="80" t="s">
        <v>544</v>
      </c>
      <c r="D251" s="174">
        <v>2018</v>
      </c>
      <c r="E251" s="22" t="s">
        <v>562</v>
      </c>
      <c r="F251" s="22" t="s">
        <v>380</v>
      </c>
      <c r="G251" s="22" t="s">
        <v>77</v>
      </c>
      <c r="H251" s="22" t="s">
        <v>84</v>
      </c>
      <c r="I251" s="55">
        <v>6.9</v>
      </c>
      <c r="J251" s="55">
        <f>IF(I251&lt;=15,$L$2,$L$3)</f>
        <v>25</v>
      </c>
      <c r="K251" s="55">
        <f t="shared" si="250"/>
        <v>3.19</v>
      </c>
      <c r="L251" s="55">
        <f t="shared" si="251"/>
        <v>35.089999999999996</v>
      </c>
      <c r="M251" s="55">
        <f t="shared" si="278"/>
        <v>35</v>
      </c>
      <c r="N251" s="56">
        <v>33</v>
      </c>
      <c r="O251" s="57">
        <f t="shared" si="280"/>
        <v>13.889699999999999</v>
      </c>
      <c r="P251" s="58">
        <f t="shared" si="253"/>
        <v>-2</v>
      </c>
      <c r="Q251" s="59">
        <f t="shared" si="232"/>
        <v>5.5</v>
      </c>
      <c r="R251" s="60">
        <v>3</v>
      </c>
      <c r="S251" s="60"/>
      <c r="T251" s="60">
        <f t="shared" si="276"/>
        <v>0</v>
      </c>
      <c r="U251" s="60">
        <f t="shared" ref="U251:U291" si="295">R251+S251-T251</f>
        <v>3</v>
      </c>
      <c r="V251" s="62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1"/>
      <c r="AQ251" s="32"/>
      <c r="AR251" s="33"/>
      <c r="AS251" s="31"/>
      <c r="AT251" s="63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64"/>
      <c r="BT251" s="64"/>
      <c r="BU251" s="64"/>
      <c r="BV251" s="64"/>
      <c r="BW251" s="64"/>
      <c r="BX251" s="64"/>
      <c r="BY251" s="64"/>
      <c r="BZ251" s="64"/>
      <c r="CA251" s="64"/>
    </row>
    <row r="252" spans="1:136" ht="15" customHeight="1" x14ac:dyDescent="0.25">
      <c r="A252" s="22"/>
      <c r="B252" s="22">
        <v>226</v>
      </c>
      <c r="C252" s="80" t="s">
        <v>544</v>
      </c>
      <c r="D252" s="174">
        <v>2017</v>
      </c>
      <c r="E252" s="22" t="s">
        <v>563</v>
      </c>
      <c r="F252" s="22" t="s">
        <v>564</v>
      </c>
      <c r="G252" s="22" t="s">
        <v>77</v>
      </c>
      <c r="H252" s="22" t="s">
        <v>84</v>
      </c>
      <c r="I252" s="55">
        <v>9.6</v>
      </c>
      <c r="J252" s="55">
        <f>IF(I252&lt;=15,$L$2,$L$3)</f>
        <v>25</v>
      </c>
      <c r="K252" s="55">
        <f t="shared" si="250"/>
        <v>3.4600000000000004</v>
      </c>
      <c r="L252" s="55">
        <f t="shared" si="251"/>
        <v>38.06</v>
      </c>
      <c r="M252" s="55">
        <f t="shared" si="278"/>
        <v>38</v>
      </c>
      <c r="N252" s="56">
        <v>36</v>
      </c>
      <c r="O252" s="57">
        <f t="shared" si="280"/>
        <v>19.324799999999996</v>
      </c>
      <c r="P252" s="58">
        <f t="shared" si="253"/>
        <v>-2</v>
      </c>
      <c r="Q252" s="59">
        <f t="shared" si="232"/>
        <v>6</v>
      </c>
      <c r="R252" s="60">
        <v>3</v>
      </c>
      <c r="S252" s="60"/>
      <c r="T252" s="60">
        <f t="shared" si="276"/>
        <v>0</v>
      </c>
      <c r="U252" s="60">
        <f t="shared" si="295"/>
        <v>3</v>
      </c>
      <c r="V252" s="62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1"/>
      <c r="AQ252" s="32"/>
      <c r="AR252" s="33"/>
      <c r="AS252" s="31"/>
      <c r="AT252" s="63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64"/>
      <c r="BT252" s="64"/>
      <c r="BU252" s="64"/>
      <c r="BV252" s="64"/>
      <c r="BW252" s="64"/>
      <c r="BX252" s="64"/>
      <c r="BY252" s="64"/>
      <c r="BZ252" s="64"/>
      <c r="CA252" s="64"/>
    </row>
    <row r="253" spans="1:136" ht="15" customHeight="1" thickBot="1" x14ac:dyDescent="0.3">
      <c r="A253" s="22"/>
      <c r="B253" s="22">
        <v>227</v>
      </c>
      <c r="C253" s="80" t="s">
        <v>565</v>
      </c>
      <c r="D253" s="174">
        <v>2021</v>
      </c>
      <c r="E253" s="68" t="s">
        <v>566</v>
      </c>
      <c r="F253" s="22" t="s">
        <v>247</v>
      </c>
      <c r="G253" s="22" t="s">
        <v>81</v>
      </c>
      <c r="H253" s="22" t="s">
        <v>84</v>
      </c>
      <c r="I253" s="55">
        <v>14.15</v>
      </c>
      <c r="J253" s="55">
        <f>IF(I253&lt;=15,$L$2,$L$3)</f>
        <v>25</v>
      </c>
      <c r="K253" s="55">
        <f t="shared" si="250"/>
        <v>3.915</v>
      </c>
      <c r="L253" s="55">
        <f t="shared" si="251"/>
        <v>43.064999999999998</v>
      </c>
      <c r="M253" s="55">
        <f t="shared" si="278"/>
        <v>43</v>
      </c>
      <c r="N253" s="56">
        <v>43</v>
      </c>
      <c r="O253" s="57">
        <f t="shared" si="280"/>
        <v>28.48395</v>
      </c>
      <c r="P253" s="58">
        <f t="shared" si="253"/>
        <v>0</v>
      </c>
      <c r="Q253" s="59">
        <f t="shared" ref="Q253:Q317" si="296">N253/$Q$3</f>
        <v>7.166666666666667</v>
      </c>
      <c r="R253" s="60">
        <v>14</v>
      </c>
      <c r="S253" s="60">
        <f>14+6+6+12</f>
        <v>38</v>
      </c>
      <c r="T253" s="60">
        <f t="shared" si="276"/>
        <v>40</v>
      </c>
      <c r="U253" s="60">
        <f t="shared" si="295"/>
        <v>12</v>
      </c>
      <c r="V253" s="62"/>
      <c r="W253" s="30">
        <v>3</v>
      </c>
      <c r="X253" s="30"/>
      <c r="Y253" s="30">
        <v>1</v>
      </c>
      <c r="Z253" s="30"/>
      <c r="AA253" s="30">
        <v>2</v>
      </c>
      <c r="AB253" s="30"/>
      <c r="AC253" s="30"/>
      <c r="AD253" s="30">
        <v>1</v>
      </c>
      <c r="AE253" s="30">
        <v>3</v>
      </c>
      <c r="AF253" s="30">
        <v>1</v>
      </c>
      <c r="AG253" s="30"/>
      <c r="AH253" s="30">
        <v>2</v>
      </c>
      <c r="AI253" s="30"/>
      <c r="AJ253" s="30"/>
      <c r="AK253" s="30"/>
      <c r="AL253" s="30"/>
      <c r="AM253" s="30"/>
      <c r="AN253" s="30"/>
      <c r="AO253" s="30"/>
      <c r="AP253" s="31">
        <v>2</v>
      </c>
      <c r="AQ253" s="32"/>
      <c r="AR253" s="33"/>
      <c r="AS253" s="31"/>
      <c r="AT253" s="63">
        <v>1</v>
      </c>
      <c r="AU253" s="34">
        <v>1</v>
      </c>
      <c r="AV253" s="34"/>
      <c r="AW253" s="34"/>
      <c r="AX253" s="34"/>
      <c r="AY253" s="34"/>
      <c r="AZ253" s="34"/>
      <c r="BA253" s="34">
        <v>2</v>
      </c>
      <c r="BB253" s="34">
        <v>1</v>
      </c>
      <c r="BC253" s="34">
        <v>1</v>
      </c>
      <c r="BD253" s="34">
        <v>1</v>
      </c>
      <c r="BE253" s="34">
        <v>6</v>
      </c>
      <c r="BF253" s="64"/>
      <c r="BG253" s="64">
        <v>1</v>
      </c>
      <c r="BH253" s="64">
        <v>2</v>
      </c>
      <c r="BJ253" s="64">
        <v>1</v>
      </c>
      <c r="BK253" s="64">
        <v>1</v>
      </c>
      <c r="BM253" s="64">
        <v>2</v>
      </c>
      <c r="BN253" s="64">
        <v>1</v>
      </c>
      <c r="BT253" s="64">
        <v>5</v>
      </c>
      <c r="BU253" s="64"/>
      <c r="BV253" s="64"/>
      <c r="BW253" s="64"/>
      <c r="BX253" s="64"/>
      <c r="BY253" s="64"/>
      <c r="BZ253" s="64"/>
      <c r="CA253" s="64"/>
    </row>
    <row r="254" spans="1:136" ht="15" customHeight="1" thickBot="1" x14ac:dyDescent="0.3">
      <c r="A254" s="22"/>
      <c r="B254" s="22">
        <v>228</v>
      </c>
      <c r="C254" s="80" t="s">
        <v>565</v>
      </c>
      <c r="D254" s="174">
        <v>2022</v>
      </c>
      <c r="E254" s="177" t="s">
        <v>567</v>
      </c>
      <c r="F254" s="178" t="s">
        <v>426</v>
      </c>
      <c r="G254" s="22" t="s">
        <v>81</v>
      </c>
      <c r="H254" s="22" t="s">
        <v>78</v>
      </c>
      <c r="I254" s="55">
        <v>8.6</v>
      </c>
      <c r="J254" s="55">
        <v>25</v>
      </c>
      <c r="K254" s="55">
        <f t="shared" si="250"/>
        <v>3.3600000000000003</v>
      </c>
      <c r="L254" s="55">
        <f t="shared" si="251"/>
        <v>36.96</v>
      </c>
      <c r="M254" s="55">
        <f t="shared" si="278"/>
        <v>37</v>
      </c>
      <c r="N254" s="56">
        <v>36</v>
      </c>
      <c r="O254" s="57">
        <f t="shared" si="280"/>
        <v>17.311799999999998</v>
      </c>
      <c r="P254" s="58">
        <f t="shared" si="253"/>
        <v>-1</v>
      </c>
      <c r="Q254" s="59">
        <f t="shared" si="296"/>
        <v>6</v>
      </c>
      <c r="R254" s="60"/>
      <c r="S254" s="60">
        <f>48+6+12+12+6+6+6</f>
        <v>96</v>
      </c>
      <c r="T254" s="60">
        <f t="shared" si="276"/>
        <v>62</v>
      </c>
      <c r="U254" s="60">
        <f t="shared" si="295"/>
        <v>34</v>
      </c>
      <c r="V254" s="62"/>
      <c r="W254" s="30"/>
      <c r="X254" s="30">
        <v>1</v>
      </c>
      <c r="Y254" s="30">
        <v>1</v>
      </c>
      <c r="Z254" s="30">
        <v>2</v>
      </c>
      <c r="AA254" s="30">
        <v>3</v>
      </c>
      <c r="AB254" s="30"/>
      <c r="AC254" s="30"/>
      <c r="AD254" s="30">
        <v>1</v>
      </c>
      <c r="AE254" s="30">
        <v>2</v>
      </c>
      <c r="AF254" s="30">
        <v>1</v>
      </c>
      <c r="AG254" s="30">
        <v>1</v>
      </c>
      <c r="AH254" s="30"/>
      <c r="AI254" s="30"/>
      <c r="AJ254" s="30"/>
      <c r="AK254" s="30"/>
      <c r="AL254" s="30"/>
      <c r="AM254" s="30"/>
      <c r="AN254" s="30"/>
      <c r="AO254" s="30"/>
      <c r="AP254" s="31">
        <v>1</v>
      </c>
      <c r="AQ254" s="32">
        <v>1</v>
      </c>
      <c r="AR254" s="33">
        <v>1</v>
      </c>
      <c r="AS254" s="31">
        <v>2</v>
      </c>
      <c r="AT254" s="63">
        <v>3</v>
      </c>
      <c r="AU254" s="34">
        <v>6</v>
      </c>
      <c r="AV254" s="34"/>
      <c r="AW254" s="34">
        <v>1</v>
      </c>
      <c r="AX254" s="34">
        <v>1</v>
      </c>
      <c r="AY254" s="34">
        <v>1</v>
      </c>
      <c r="AZ254" s="34">
        <v>4</v>
      </c>
      <c r="BA254" s="34">
        <v>2</v>
      </c>
      <c r="BB254" s="34">
        <v>2</v>
      </c>
      <c r="BC254" s="34">
        <v>2</v>
      </c>
      <c r="BD254" s="34"/>
      <c r="BE254" s="34">
        <v>5</v>
      </c>
      <c r="BF254" s="64"/>
      <c r="BG254" s="64">
        <v>3</v>
      </c>
      <c r="BI254" s="64">
        <v>1</v>
      </c>
      <c r="BJ254" s="64">
        <v>3</v>
      </c>
      <c r="BM254" s="64">
        <v>3</v>
      </c>
      <c r="BN254" s="64">
        <v>2</v>
      </c>
      <c r="BO254" s="64">
        <v>3</v>
      </c>
      <c r="BP254" s="64">
        <v>1</v>
      </c>
      <c r="BQ254" s="64">
        <v>5</v>
      </c>
      <c r="BR254" s="64">
        <v>2</v>
      </c>
      <c r="BT254" s="64">
        <v>1</v>
      </c>
      <c r="BU254" s="64"/>
      <c r="BV254" s="64"/>
      <c r="BW254" s="64"/>
      <c r="BX254" s="64"/>
      <c r="BY254" s="64"/>
      <c r="BZ254" s="64"/>
      <c r="CA254" s="64"/>
    </row>
    <row r="255" spans="1:136" ht="14.25" customHeight="1" x14ac:dyDescent="0.25">
      <c r="A255" s="22"/>
      <c r="B255" s="29">
        <v>229</v>
      </c>
      <c r="C255" s="80" t="s">
        <v>565</v>
      </c>
      <c r="D255" s="174">
        <v>2021</v>
      </c>
      <c r="E255" s="29" t="s">
        <v>568</v>
      </c>
      <c r="F255" s="22" t="s">
        <v>569</v>
      </c>
      <c r="G255" s="22" t="s">
        <v>81</v>
      </c>
      <c r="H255" s="22" t="s">
        <v>78</v>
      </c>
      <c r="I255" s="55">
        <v>16.5</v>
      </c>
      <c r="J255" s="55">
        <v>25</v>
      </c>
      <c r="K255" s="55">
        <f t="shared" si="250"/>
        <v>4.1500000000000004</v>
      </c>
      <c r="L255" s="55">
        <f t="shared" si="251"/>
        <v>45.65</v>
      </c>
      <c r="M255" s="55">
        <f t="shared" si="278"/>
        <v>46</v>
      </c>
      <c r="N255" s="56">
        <v>46</v>
      </c>
      <c r="O255" s="57">
        <f t="shared" si="280"/>
        <v>33.214499999999994</v>
      </c>
      <c r="P255" s="58">
        <f t="shared" si="253"/>
        <v>0</v>
      </c>
      <c r="Q255" s="59">
        <f t="shared" si="296"/>
        <v>7.666666666666667</v>
      </c>
      <c r="R255" s="60">
        <v>6</v>
      </c>
      <c r="S255" s="60">
        <f>16+6+6</f>
        <v>28</v>
      </c>
      <c r="T255" s="60">
        <f t="shared" si="276"/>
        <v>25</v>
      </c>
      <c r="U255" s="60">
        <f t="shared" si="295"/>
        <v>9</v>
      </c>
      <c r="V255" s="62"/>
      <c r="W255" s="30">
        <v>1</v>
      </c>
      <c r="X255" s="30">
        <v>3</v>
      </c>
      <c r="Y255" s="30">
        <v>3</v>
      </c>
      <c r="Z255" s="30">
        <v>1</v>
      </c>
      <c r="AA255" s="30"/>
      <c r="AB255" s="30"/>
      <c r="AC255" s="30">
        <v>1</v>
      </c>
      <c r="AD255" s="30"/>
      <c r="AE255" s="30">
        <v>3</v>
      </c>
      <c r="AF255" s="30">
        <v>1</v>
      </c>
      <c r="AG255" s="30"/>
      <c r="AH255" s="30"/>
      <c r="AI255" s="30"/>
      <c r="AJ255" s="30"/>
      <c r="AK255" s="30"/>
      <c r="AL255" s="30"/>
      <c r="AM255" s="30"/>
      <c r="AN255" s="30"/>
      <c r="AO255" s="30"/>
      <c r="AP255" s="31">
        <v>2</v>
      </c>
      <c r="AQ255" s="32"/>
      <c r="AR255" s="33"/>
      <c r="AS255" s="31"/>
      <c r="AT255" s="63"/>
      <c r="AU255" s="34"/>
      <c r="AV255" s="34"/>
      <c r="AW255" s="34">
        <v>1</v>
      </c>
      <c r="AX255" s="34"/>
      <c r="AY255" s="34"/>
      <c r="AZ255" s="34"/>
      <c r="BA255" s="34"/>
      <c r="BB255" s="34">
        <v>1</v>
      </c>
      <c r="BC255" s="34"/>
      <c r="BD255" s="34">
        <v>5</v>
      </c>
      <c r="BE255" s="34">
        <v>1</v>
      </c>
      <c r="BF255" s="64"/>
      <c r="BJ255" s="64">
        <v>1</v>
      </c>
      <c r="BO255" s="64">
        <v>1</v>
      </c>
      <c r="BP255" s="64">
        <v>2</v>
      </c>
      <c r="BT255" s="64">
        <v>1</v>
      </c>
      <c r="BU255" s="64"/>
      <c r="BV255" s="64"/>
      <c r="BW255" s="64"/>
      <c r="BX255" s="64"/>
      <c r="BY255" s="64"/>
      <c r="BZ255" s="64"/>
      <c r="CA255" s="64"/>
    </row>
    <row r="256" spans="1:136" s="1" customFormat="1" ht="15" customHeight="1" x14ac:dyDescent="0.25">
      <c r="A256" s="3">
        <v>18</v>
      </c>
      <c r="B256" s="22">
        <v>230</v>
      </c>
      <c r="C256" s="95" t="s">
        <v>373</v>
      </c>
      <c r="D256" s="174">
        <v>2022</v>
      </c>
      <c r="E256" s="22" t="s">
        <v>570</v>
      </c>
      <c r="F256" s="22" t="s">
        <v>571</v>
      </c>
      <c r="G256" s="22" t="s">
        <v>81</v>
      </c>
      <c r="H256" s="22" t="s">
        <v>383</v>
      </c>
      <c r="I256" s="55">
        <v>12.3</v>
      </c>
      <c r="J256" s="55">
        <f>IF(I256&lt;=15,$L$2,$L$3)</f>
        <v>25</v>
      </c>
      <c r="K256" s="55">
        <f t="shared" si="250"/>
        <v>3.73</v>
      </c>
      <c r="L256" s="55">
        <f t="shared" si="251"/>
        <v>41.029999999999994</v>
      </c>
      <c r="M256" s="55">
        <f t="shared" si="278"/>
        <v>41</v>
      </c>
      <c r="N256" s="81">
        <v>41</v>
      </c>
      <c r="O256" s="57">
        <f t="shared" si="280"/>
        <v>24.759900000000002</v>
      </c>
      <c r="P256" s="58">
        <f t="shared" si="253"/>
        <v>0</v>
      </c>
      <c r="Q256" s="59">
        <f t="shared" si="296"/>
        <v>6.833333333333333</v>
      </c>
      <c r="R256" s="60"/>
      <c r="S256" s="60">
        <v>24</v>
      </c>
      <c r="T256" s="60"/>
      <c r="U256" s="60">
        <f t="shared" si="295"/>
        <v>24</v>
      </c>
      <c r="V256" s="62"/>
      <c r="W256" s="30"/>
      <c r="X256" s="30"/>
      <c r="Y256" s="30">
        <v>2</v>
      </c>
      <c r="Z256" s="30"/>
      <c r="AA256" s="30">
        <v>2</v>
      </c>
      <c r="AB256" s="30">
        <v>7</v>
      </c>
      <c r="AC256" s="30">
        <v>1</v>
      </c>
      <c r="AD256" s="30"/>
      <c r="AE256" s="30">
        <v>2</v>
      </c>
      <c r="AF256" s="30">
        <v>1</v>
      </c>
      <c r="AG256" s="30"/>
      <c r="AH256" s="30"/>
      <c r="AI256" s="30"/>
      <c r="AJ256" s="30"/>
      <c r="AK256" s="30"/>
      <c r="AL256" s="30"/>
      <c r="AM256" s="30"/>
      <c r="AN256" s="30"/>
      <c r="AO256" s="30"/>
      <c r="AP256" s="31"/>
      <c r="AQ256" s="32"/>
      <c r="AR256" s="33"/>
      <c r="AS256" s="31"/>
      <c r="AT256" s="63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>
        <v>9</v>
      </c>
      <c r="BU256" s="64">
        <v>2</v>
      </c>
      <c r="BV256" s="64"/>
      <c r="BW256" s="64"/>
      <c r="BX256" s="64"/>
      <c r="BY256" s="64"/>
      <c r="BZ256" s="64"/>
      <c r="CA256" s="64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  <c r="DS256" s="66"/>
      <c r="DT256" s="66"/>
      <c r="DU256" s="66"/>
      <c r="DV256" s="66"/>
      <c r="DW256" s="66"/>
      <c r="DX256" s="66"/>
      <c r="DY256" s="66"/>
      <c r="DZ256" s="66"/>
      <c r="EA256" s="66"/>
      <c r="EB256" s="66"/>
      <c r="EC256" s="66"/>
      <c r="ED256" s="66"/>
      <c r="EE256" s="66"/>
      <c r="EF256" s="66"/>
    </row>
    <row r="257" spans="1:79" ht="15" customHeight="1" x14ac:dyDescent="0.25">
      <c r="A257" s="3"/>
      <c r="B257" s="22">
        <v>231</v>
      </c>
      <c r="C257" s="97" t="s">
        <v>572</v>
      </c>
      <c r="D257" s="174">
        <v>2020</v>
      </c>
      <c r="E257" s="68" t="s">
        <v>573</v>
      </c>
      <c r="F257" s="22" t="s">
        <v>357</v>
      </c>
      <c r="G257" s="22" t="s">
        <v>215</v>
      </c>
      <c r="H257" s="22" t="s">
        <v>135</v>
      </c>
      <c r="I257" s="55">
        <v>23.5</v>
      </c>
      <c r="J257" s="55">
        <v>30</v>
      </c>
      <c r="K257" s="55">
        <f t="shared" si="250"/>
        <v>5.3500000000000005</v>
      </c>
      <c r="L257" s="55">
        <f t="shared" si="251"/>
        <v>58.85</v>
      </c>
      <c r="M257" s="55">
        <f t="shared" si="278"/>
        <v>59</v>
      </c>
      <c r="N257" s="56">
        <v>61</v>
      </c>
      <c r="O257" s="57">
        <f t="shared" si="280"/>
        <v>47.305499999999995</v>
      </c>
      <c r="P257" s="58">
        <f t="shared" si="253"/>
        <v>2</v>
      </c>
      <c r="Q257" s="59">
        <f t="shared" si="296"/>
        <v>10.166666666666666</v>
      </c>
      <c r="R257" s="60">
        <v>14</v>
      </c>
      <c r="S257" s="79">
        <v>12</v>
      </c>
      <c r="T257" s="60">
        <f t="shared" si="276"/>
        <v>18</v>
      </c>
      <c r="U257" s="60">
        <f t="shared" si="295"/>
        <v>8</v>
      </c>
      <c r="V257" s="62"/>
      <c r="W257" s="30">
        <v>3</v>
      </c>
      <c r="X257" s="30"/>
      <c r="Y257" s="30"/>
      <c r="Z257" s="30"/>
      <c r="AA257" s="30"/>
      <c r="AB257" s="30"/>
      <c r="AC257" s="30"/>
      <c r="AD257" s="30">
        <v>1</v>
      </c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1"/>
      <c r="AQ257" s="32">
        <v>1</v>
      </c>
      <c r="AR257" s="33"/>
      <c r="AS257" s="31"/>
      <c r="AT257" s="63"/>
      <c r="AU257" s="34"/>
      <c r="AV257" s="34"/>
      <c r="AW257" s="34">
        <v>3</v>
      </c>
      <c r="AX257" s="34"/>
      <c r="AY257" s="34"/>
      <c r="AZ257" s="34"/>
      <c r="BA257" s="34">
        <v>1</v>
      </c>
      <c r="BB257" s="34">
        <v>1</v>
      </c>
      <c r="BC257" s="34">
        <v>1</v>
      </c>
      <c r="BD257" s="34"/>
      <c r="BE257" s="34">
        <v>1</v>
      </c>
      <c r="BF257" s="64"/>
      <c r="BG257" s="64">
        <v>1</v>
      </c>
      <c r="BH257" s="64">
        <v>1</v>
      </c>
      <c r="BI257" s="64">
        <v>1</v>
      </c>
      <c r="BP257" s="64">
        <v>1</v>
      </c>
      <c r="BQ257" s="64">
        <v>1</v>
      </c>
      <c r="BR257" s="64">
        <v>1</v>
      </c>
      <c r="BT257" s="64">
        <v>1</v>
      </c>
      <c r="BU257" s="64"/>
      <c r="BV257" s="64"/>
      <c r="BW257" s="64"/>
      <c r="BX257" s="64"/>
      <c r="BY257" s="64"/>
      <c r="BZ257" s="64"/>
      <c r="CA257" s="64"/>
    </row>
    <row r="258" spans="1:79" ht="15" customHeight="1" x14ac:dyDescent="0.25">
      <c r="A258" s="71"/>
      <c r="B258" s="29">
        <v>237</v>
      </c>
      <c r="C258" s="97" t="s">
        <v>572</v>
      </c>
      <c r="D258" s="204">
        <v>2022</v>
      </c>
      <c r="E258" s="191" t="s">
        <v>574</v>
      </c>
      <c r="F258" s="178" t="s">
        <v>357</v>
      </c>
      <c r="G258" s="22" t="s">
        <v>215</v>
      </c>
      <c r="H258" s="22" t="s">
        <v>135</v>
      </c>
      <c r="I258" s="55">
        <v>14</v>
      </c>
      <c r="J258" s="55">
        <f>IF(I258&lt;=15,$L$2,$L$3)</f>
        <v>25</v>
      </c>
      <c r="K258" s="55">
        <f>(I258+J258)*0.1</f>
        <v>3.9000000000000004</v>
      </c>
      <c r="L258" s="55">
        <f>SUM(I258:K258)</f>
        <v>42.9</v>
      </c>
      <c r="M258" s="55">
        <f>ROUND(L258,0)</f>
        <v>43</v>
      </c>
      <c r="N258" s="56">
        <v>42</v>
      </c>
      <c r="O258" s="57">
        <f>I258*$O$2*1.22</f>
        <v>28.181999999999995</v>
      </c>
      <c r="P258" s="58">
        <f>N258-M258</f>
        <v>-1</v>
      </c>
      <c r="Q258" s="59">
        <f>N258/$Q$3</f>
        <v>7</v>
      </c>
      <c r="R258" s="60">
        <v>-4</v>
      </c>
      <c r="S258" s="60">
        <f>30+12+18+6+12+18+24</f>
        <v>120</v>
      </c>
      <c r="T258" s="60">
        <f>W258+X258+Y258+Z258+AA258+AB258+AC258+AD258+AE258+AF258+AG258+AH258+AI258+AJ258+AK258+AL258+AM258+AN258+AO258+AP258+AQ258+AR258+AS258+AT258+AU258+AV258+AW258+AX258+AY258+AZ258+BA258+BB258+BC258+BD258+BE258+BF258+BG258+BH258+BI258+BJ258+BK258+BL258+BM258+BQ258+BR258+BS258+BT258</f>
        <v>86</v>
      </c>
      <c r="U258" s="60">
        <f>R258+S258-T258</f>
        <v>30</v>
      </c>
      <c r="V258" s="62"/>
      <c r="W258" s="30">
        <v>3</v>
      </c>
      <c r="X258" s="30">
        <v>1</v>
      </c>
      <c r="Y258" s="30">
        <v>5</v>
      </c>
      <c r="Z258" s="30">
        <v>5</v>
      </c>
      <c r="AA258" s="30">
        <v>5</v>
      </c>
      <c r="AB258" s="30">
        <v>10</v>
      </c>
      <c r="AC258" s="30">
        <v>6</v>
      </c>
      <c r="AD258" s="30">
        <v>1</v>
      </c>
      <c r="AE258" s="30">
        <v>4</v>
      </c>
      <c r="AF258" s="30">
        <v>1</v>
      </c>
      <c r="AG258" s="30">
        <v>4</v>
      </c>
      <c r="AH258" s="30"/>
      <c r="AI258" s="30"/>
      <c r="AJ258" s="30"/>
      <c r="AK258" s="30"/>
      <c r="AL258" s="30"/>
      <c r="AM258" s="30"/>
      <c r="AN258" s="30"/>
      <c r="AO258" s="30"/>
      <c r="AP258" s="31">
        <v>2</v>
      </c>
      <c r="AQ258" s="32"/>
      <c r="AR258" s="33"/>
      <c r="AS258" s="31">
        <v>2</v>
      </c>
      <c r="AT258" s="63">
        <v>2</v>
      </c>
      <c r="AU258" s="34"/>
      <c r="AV258" s="34"/>
      <c r="AW258" s="34">
        <v>1</v>
      </c>
      <c r="AX258" s="34"/>
      <c r="AY258" s="34"/>
      <c r="AZ258" s="34">
        <v>4</v>
      </c>
      <c r="BA258" s="34">
        <v>1</v>
      </c>
      <c r="BB258" s="34">
        <v>1</v>
      </c>
      <c r="BC258" s="34">
        <v>2</v>
      </c>
      <c r="BD258" s="34">
        <v>2</v>
      </c>
      <c r="BE258" s="34">
        <v>1</v>
      </c>
      <c r="BF258" s="64">
        <v>1</v>
      </c>
      <c r="BG258" s="64">
        <v>1</v>
      </c>
      <c r="BH258" s="64">
        <v>1</v>
      </c>
      <c r="BI258" s="64">
        <v>4</v>
      </c>
      <c r="BJ258" s="64">
        <v>1</v>
      </c>
      <c r="BK258" s="64">
        <v>1</v>
      </c>
      <c r="BL258" s="64">
        <v>7</v>
      </c>
      <c r="BO258" s="64">
        <v>3</v>
      </c>
      <c r="BP258" s="64">
        <v>1</v>
      </c>
      <c r="BT258" s="64">
        <v>7</v>
      </c>
      <c r="BU258" s="64">
        <v>4</v>
      </c>
      <c r="BV258" s="64"/>
      <c r="BW258" s="64"/>
      <c r="BX258" s="64"/>
      <c r="BY258" s="64"/>
      <c r="BZ258" s="64"/>
      <c r="CA258" s="64"/>
    </row>
    <row r="259" spans="1:79" ht="15" customHeight="1" x14ac:dyDescent="0.25">
      <c r="A259" s="71"/>
      <c r="B259" s="29">
        <v>231.2</v>
      </c>
      <c r="C259" s="97" t="s">
        <v>572</v>
      </c>
      <c r="D259" s="186">
        <v>2019</v>
      </c>
      <c r="E259" s="190" t="s">
        <v>575</v>
      </c>
      <c r="F259" s="178" t="s">
        <v>357</v>
      </c>
      <c r="G259" s="22" t="s">
        <v>215</v>
      </c>
      <c r="H259" s="22" t="s">
        <v>78</v>
      </c>
      <c r="I259" s="55">
        <v>89</v>
      </c>
      <c r="J259" s="55">
        <v>70</v>
      </c>
      <c r="K259" s="55">
        <f>(I259+J259)*0.1</f>
        <v>15.9</v>
      </c>
      <c r="L259" s="55">
        <f>SUM(I259:K259)</f>
        <v>174.9</v>
      </c>
      <c r="M259" s="55">
        <f>ROUND(L259,0)</f>
        <v>175</v>
      </c>
      <c r="N259" s="56">
        <v>180</v>
      </c>
      <c r="O259" s="57">
        <f>I259*$O$2*1.22</f>
        <v>179.15699999999998</v>
      </c>
      <c r="P259" s="58">
        <f>N259-M259</f>
        <v>5</v>
      </c>
      <c r="Q259" s="59">
        <f>N259/$Q$3</f>
        <v>30</v>
      </c>
      <c r="R259" s="60">
        <v>3</v>
      </c>
      <c r="S259" s="60"/>
      <c r="T259" s="60"/>
      <c r="U259" s="60">
        <f>R259+S259-T259</f>
        <v>3</v>
      </c>
      <c r="V259" s="62"/>
      <c r="W259" s="30">
        <v>3</v>
      </c>
      <c r="X259" s="30">
        <v>1</v>
      </c>
      <c r="Y259" s="30">
        <v>5</v>
      </c>
      <c r="Z259" s="30">
        <v>5</v>
      </c>
      <c r="AA259" s="30">
        <v>5</v>
      </c>
      <c r="AB259" s="30">
        <v>10</v>
      </c>
      <c r="AC259" s="30">
        <v>6</v>
      </c>
      <c r="AD259" s="30">
        <v>1</v>
      </c>
      <c r="AE259" s="30">
        <v>4</v>
      </c>
      <c r="AF259" s="30">
        <v>1</v>
      </c>
      <c r="AG259" s="30">
        <v>4</v>
      </c>
      <c r="AH259" s="30"/>
      <c r="AI259" s="30"/>
      <c r="AJ259" s="30"/>
      <c r="AK259" s="30"/>
      <c r="AL259" s="30"/>
      <c r="AM259" s="30"/>
      <c r="AN259" s="30"/>
      <c r="AO259" s="30"/>
      <c r="AP259" s="31">
        <v>2</v>
      </c>
      <c r="AQ259" s="32"/>
      <c r="AR259" s="33"/>
      <c r="AS259" s="31">
        <v>2</v>
      </c>
      <c r="AT259" s="63">
        <v>2</v>
      </c>
      <c r="AU259" s="34"/>
      <c r="AV259" s="34"/>
      <c r="AW259" s="34">
        <v>1</v>
      </c>
      <c r="AX259" s="34"/>
      <c r="AY259" s="34"/>
      <c r="AZ259" s="34">
        <v>4</v>
      </c>
      <c r="BA259" s="34">
        <v>1</v>
      </c>
      <c r="BB259" s="34">
        <v>1</v>
      </c>
      <c r="BC259" s="34">
        <v>2</v>
      </c>
      <c r="BD259" s="34">
        <v>2</v>
      </c>
      <c r="BE259" s="34">
        <v>1</v>
      </c>
      <c r="BF259" s="64"/>
      <c r="BT259" s="64"/>
      <c r="BU259" s="64"/>
      <c r="BV259" s="64"/>
      <c r="BW259" s="64"/>
      <c r="BX259" s="64"/>
      <c r="BY259" s="64"/>
      <c r="BZ259" s="64"/>
      <c r="CA259" s="64"/>
    </row>
    <row r="260" spans="1:79" s="54" customFormat="1" ht="15" customHeight="1" x14ac:dyDescent="0.25">
      <c r="A260" s="22"/>
      <c r="B260" s="22">
        <v>232</v>
      </c>
      <c r="C260" s="97" t="s">
        <v>572</v>
      </c>
      <c r="D260" s="205">
        <v>2019</v>
      </c>
      <c r="E260" s="203" t="s">
        <v>576</v>
      </c>
      <c r="F260" s="178" t="s">
        <v>577</v>
      </c>
      <c r="G260" s="22" t="s">
        <v>215</v>
      </c>
      <c r="H260" s="22" t="s">
        <v>84</v>
      </c>
      <c r="I260" s="55">
        <v>17.2</v>
      </c>
      <c r="J260" s="55">
        <f>IF(I260&lt;=15,$L$2,$L$3)</f>
        <v>30</v>
      </c>
      <c r="K260" s="55">
        <f t="shared" si="250"/>
        <v>4.7200000000000006</v>
      </c>
      <c r="L260" s="55">
        <f t="shared" si="251"/>
        <v>51.92</v>
      </c>
      <c r="M260" s="55">
        <f t="shared" si="278"/>
        <v>52</v>
      </c>
      <c r="N260" s="56">
        <v>50</v>
      </c>
      <c r="O260" s="57">
        <f t="shared" si="280"/>
        <v>34.623599999999996</v>
      </c>
      <c r="P260" s="58">
        <f t="shared" si="253"/>
        <v>-2</v>
      </c>
      <c r="Q260" s="59">
        <f t="shared" si="296"/>
        <v>8.3333333333333339</v>
      </c>
      <c r="R260" s="60">
        <v>18</v>
      </c>
      <c r="S260" s="60">
        <f>12+48+12+12+12+18+12+12</f>
        <v>138</v>
      </c>
      <c r="T260" s="60">
        <f t="shared" si="276"/>
        <v>121</v>
      </c>
      <c r="U260" s="60">
        <f t="shared" si="295"/>
        <v>35</v>
      </c>
      <c r="V260" s="62"/>
      <c r="W260" s="30">
        <v>3</v>
      </c>
      <c r="X260" s="30"/>
      <c r="Y260" s="30">
        <v>1</v>
      </c>
      <c r="Z260" s="30">
        <v>1</v>
      </c>
      <c r="AA260" s="30">
        <v>2</v>
      </c>
      <c r="AB260" s="30">
        <v>1</v>
      </c>
      <c r="AC260" s="30">
        <v>2</v>
      </c>
      <c r="AD260" s="30">
        <v>4</v>
      </c>
      <c r="AE260" s="30">
        <f>3+2</f>
        <v>5</v>
      </c>
      <c r="AF260" s="30">
        <v>4</v>
      </c>
      <c r="AG260" s="30">
        <v>1</v>
      </c>
      <c r="AH260" s="30">
        <v>1</v>
      </c>
      <c r="AI260" s="30"/>
      <c r="AJ260" s="30"/>
      <c r="AK260" s="30"/>
      <c r="AL260" s="30"/>
      <c r="AM260" s="30"/>
      <c r="AN260" s="30"/>
      <c r="AO260" s="30"/>
      <c r="AP260" s="31">
        <v>1</v>
      </c>
      <c r="AQ260" s="32">
        <v>3</v>
      </c>
      <c r="AR260" s="33"/>
      <c r="AS260" s="31">
        <v>7</v>
      </c>
      <c r="AT260" s="63">
        <v>2</v>
      </c>
      <c r="AU260" s="34">
        <v>6</v>
      </c>
      <c r="AV260" s="34">
        <v>4</v>
      </c>
      <c r="AW260" s="34">
        <v>3</v>
      </c>
      <c r="AX260" s="34"/>
      <c r="AY260" s="34">
        <v>4</v>
      </c>
      <c r="AZ260" s="34">
        <v>7</v>
      </c>
      <c r="BA260" s="34">
        <v>2</v>
      </c>
      <c r="BB260" s="34">
        <v>2</v>
      </c>
      <c r="BC260" s="34">
        <v>3</v>
      </c>
      <c r="BD260" s="34">
        <v>5</v>
      </c>
      <c r="BE260" s="34">
        <v>3</v>
      </c>
      <c r="BF260" s="64">
        <v>1</v>
      </c>
      <c r="BG260" s="64">
        <v>2</v>
      </c>
      <c r="BH260" s="64">
        <v>7</v>
      </c>
      <c r="BI260" s="64">
        <v>4</v>
      </c>
      <c r="BJ260" s="64">
        <v>5</v>
      </c>
      <c r="BK260" s="64">
        <v>2</v>
      </c>
      <c r="BL260" s="64"/>
      <c r="BM260" s="64">
        <v>4</v>
      </c>
      <c r="BN260" s="64">
        <v>3</v>
      </c>
      <c r="BO260" s="64">
        <v>6</v>
      </c>
      <c r="BP260" s="64">
        <v>4</v>
      </c>
      <c r="BQ260" s="64">
        <v>10</v>
      </c>
      <c r="BR260" s="64">
        <v>8</v>
      </c>
      <c r="BS260" s="64"/>
      <c r="BT260" s="64">
        <v>1</v>
      </c>
      <c r="BU260" s="64">
        <v>7</v>
      </c>
      <c r="BV260" s="64"/>
      <c r="BW260" s="64"/>
      <c r="BX260" s="64"/>
      <c r="BY260" s="64"/>
      <c r="BZ260" s="64"/>
      <c r="CA260" s="64"/>
    </row>
    <row r="261" spans="1:79" s="54" customFormat="1" ht="15" customHeight="1" x14ac:dyDescent="0.25">
      <c r="A261" s="22">
        <v>2</v>
      </c>
      <c r="B261" s="29">
        <v>233</v>
      </c>
      <c r="C261" s="97" t="s">
        <v>572</v>
      </c>
      <c r="D261" s="174">
        <v>2013</v>
      </c>
      <c r="E261" s="29" t="s">
        <v>578</v>
      </c>
      <c r="F261" s="22" t="s">
        <v>577</v>
      </c>
      <c r="G261" s="22" t="s">
        <v>215</v>
      </c>
      <c r="H261" s="22" t="s">
        <v>84</v>
      </c>
      <c r="I261" s="55">
        <v>37.5</v>
      </c>
      <c r="J261" s="55">
        <v>35</v>
      </c>
      <c r="K261" s="55">
        <f>(I261+J261)*0.1</f>
        <v>7.25</v>
      </c>
      <c r="L261" s="55">
        <f>SUM(I261:K261)</f>
        <v>79.75</v>
      </c>
      <c r="M261" s="55">
        <f>ROUND(L261,0)</f>
        <v>80</v>
      </c>
      <c r="N261" s="56">
        <v>85</v>
      </c>
      <c r="O261" s="57">
        <f t="shared" si="280"/>
        <v>75.487499999999997</v>
      </c>
      <c r="P261" s="58">
        <f>N261-M261</f>
        <v>5</v>
      </c>
      <c r="Q261" s="59">
        <f t="shared" si="296"/>
        <v>14.166666666666666</v>
      </c>
      <c r="R261" s="60"/>
      <c r="S261" s="60">
        <v>6</v>
      </c>
      <c r="T261" s="60">
        <f t="shared" si="276"/>
        <v>4</v>
      </c>
      <c r="U261" s="60">
        <f>R261+S261-T261</f>
        <v>2</v>
      </c>
      <c r="V261" s="62"/>
      <c r="W261" s="30">
        <v>1</v>
      </c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1"/>
      <c r="AQ261" s="32"/>
      <c r="AR261" s="33"/>
      <c r="AS261" s="31"/>
      <c r="AT261" s="63"/>
      <c r="AU261" s="34"/>
      <c r="AV261" s="34">
        <v>1</v>
      </c>
      <c r="AW261" s="34"/>
      <c r="AX261" s="34"/>
      <c r="AY261" s="34"/>
      <c r="AZ261" s="34"/>
      <c r="BA261" s="34"/>
      <c r="BB261" s="34"/>
      <c r="BC261" s="34"/>
      <c r="BD261" s="34"/>
      <c r="BE261" s="34"/>
      <c r="BF261" s="64"/>
      <c r="BG261" s="64"/>
      <c r="BH261" s="64">
        <v>1</v>
      </c>
      <c r="BI261" s="64"/>
      <c r="BJ261" s="64"/>
      <c r="BK261" s="64"/>
      <c r="BL261" s="64"/>
      <c r="BM261" s="64">
        <v>1</v>
      </c>
      <c r="BN261" s="64"/>
      <c r="BO261" s="64"/>
      <c r="BP261" s="64"/>
      <c r="BQ261" s="64"/>
      <c r="BR261" s="64"/>
      <c r="BS261" s="64"/>
      <c r="BT261" s="64"/>
      <c r="BU261" s="64">
        <v>1</v>
      </c>
      <c r="BV261" s="64"/>
      <c r="BW261" s="64"/>
      <c r="BX261" s="64"/>
      <c r="BY261" s="64"/>
      <c r="BZ261" s="64"/>
      <c r="CA261" s="64"/>
    </row>
    <row r="262" spans="1:79" s="54" customFormat="1" ht="15" customHeight="1" x14ac:dyDescent="0.25">
      <c r="A262" s="22"/>
      <c r="B262" s="22">
        <v>234</v>
      </c>
      <c r="C262" s="97" t="s">
        <v>572</v>
      </c>
      <c r="D262" s="174">
        <v>2017</v>
      </c>
      <c r="E262" s="22" t="s">
        <v>579</v>
      </c>
      <c r="F262" s="22" t="s">
        <v>577</v>
      </c>
      <c r="G262" s="22" t="s">
        <v>215</v>
      </c>
      <c r="H262" s="22" t="s">
        <v>84</v>
      </c>
      <c r="I262" s="55">
        <v>29.25</v>
      </c>
      <c r="J262" s="55">
        <f>IF(I262&lt;=15,$L$2,$L$3)</f>
        <v>30</v>
      </c>
      <c r="K262" s="55">
        <f>(I262+J262)*0.1</f>
        <v>5.9250000000000007</v>
      </c>
      <c r="L262" s="55">
        <f>SUM(I262:K262)</f>
        <v>65.174999999999997</v>
      </c>
      <c r="M262" s="55">
        <f>ROUND(L262,0)</f>
        <v>65</v>
      </c>
      <c r="N262" s="56">
        <v>65</v>
      </c>
      <c r="O262" s="57">
        <f t="shared" si="280"/>
        <v>58.880249999999997</v>
      </c>
      <c r="P262" s="58">
        <f>N262-M262</f>
        <v>0</v>
      </c>
      <c r="Q262" s="59">
        <f t="shared" si="296"/>
        <v>10.833333333333334</v>
      </c>
      <c r="R262" s="60">
        <v>2</v>
      </c>
      <c r="S262" s="60">
        <f>11+6+6+6</f>
        <v>29</v>
      </c>
      <c r="T262" s="60">
        <f t="shared" si="276"/>
        <v>19</v>
      </c>
      <c r="U262" s="60">
        <f>R262+S262-T262</f>
        <v>12</v>
      </c>
      <c r="V262" s="62"/>
      <c r="W262" s="30">
        <v>2</v>
      </c>
      <c r="X262" s="30"/>
      <c r="Y262" s="30"/>
      <c r="Z262" s="30"/>
      <c r="AA262" s="30"/>
      <c r="AB262" s="30"/>
      <c r="AC262" s="30"/>
      <c r="AD262" s="30">
        <v>2</v>
      </c>
      <c r="AE262" s="30"/>
      <c r="AF262" s="30"/>
      <c r="AG262" s="30"/>
      <c r="AH262" s="30">
        <v>1</v>
      </c>
      <c r="AI262" s="30"/>
      <c r="AJ262" s="30"/>
      <c r="AK262" s="30"/>
      <c r="AL262" s="30"/>
      <c r="AM262" s="30"/>
      <c r="AN262" s="30"/>
      <c r="AO262" s="30"/>
      <c r="AP262" s="31"/>
      <c r="AQ262" s="32">
        <v>2</v>
      </c>
      <c r="AR262" s="33"/>
      <c r="AS262" s="31"/>
      <c r="AT262" s="63"/>
      <c r="AU262" s="34">
        <v>1</v>
      </c>
      <c r="AV262" s="34"/>
      <c r="AW262" s="34"/>
      <c r="AX262" s="34"/>
      <c r="AY262" s="34"/>
      <c r="AZ262" s="34"/>
      <c r="BA262" s="34"/>
      <c r="BB262" s="34"/>
      <c r="BC262" s="34"/>
      <c r="BD262" s="34">
        <v>2</v>
      </c>
      <c r="BE262" s="34">
        <v>1</v>
      </c>
      <c r="BF262" s="64"/>
      <c r="BG262" s="64">
        <v>3</v>
      </c>
      <c r="BH262" s="64">
        <v>1</v>
      </c>
      <c r="BI262" s="64"/>
      <c r="BJ262" s="64"/>
      <c r="BK262" s="64"/>
      <c r="BL262" s="64"/>
      <c r="BM262" s="64">
        <v>2</v>
      </c>
      <c r="BN262" s="64"/>
      <c r="BO262" s="64"/>
      <c r="BP262" s="64">
        <v>1</v>
      </c>
      <c r="BQ262" s="64"/>
      <c r="BR262" s="64"/>
      <c r="BS262" s="64"/>
      <c r="BT262" s="64">
        <v>2</v>
      </c>
      <c r="BU262" s="64"/>
      <c r="BV262" s="64"/>
      <c r="BW262" s="64"/>
      <c r="BX262" s="64"/>
      <c r="BY262" s="64"/>
      <c r="BZ262" s="64"/>
      <c r="CA262" s="64"/>
    </row>
    <row r="263" spans="1:79" s="54" customFormat="1" ht="15" customHeight="1" x14ac:dyDescent="0.25">
      <c r="A263" s="22">
        <v>2</v>
      </c>
      <c r="B263" s="22">
        <v>234</v>
      </c>
      <c r="C263" s="97" t="s">
        <v>572</v>
      </c>
      <c r="D263" s="174">
        <v>2017</v>
      </c>
      <c r="E263" s="22" t="s">
        <v>580</v>
      </c>
      <c r="F263" s="22" t="s">
        <v>577</v>
      </c>
      <c r="G263" s="22" t="s">
        <v>215</v>
      </c>
      <c r="H263" s="22" t="s">
        <v>84</v>
      </c>
      <c r="I263" s="55">
        <v>63</v>
      </c>
      <c r="J263" s="55">
        <v>60</v>
      </c>
      <c r="K263" s="55">
        <f>(I263+J263)*0.1</f>
        <v>12.3</v>
      </c>
      <c r="L263" s="55">
        <f>SUM(I263:K263)</f>
        <v>135.30000000000001</v>
      </c>
      <c r="M263" s="55">
        <f>ROUND(L263,0)</f>
        <v>135</v>
      </c>
      <c r="N263" s="56">
        <v>135</v>
      </c>
      <c r="O263" s="57">
        <f t="shared" ref="O263" si="297">I263*$O$2*1.22</f>
        <v>126.81899999999999</v>
      </c>
      <c r="P263" s="58">
        <f>N263-M263</f>
        <v>0</v>
      </c>
      <c r="Q263" s="59">
        <f t="shared" ref="Q263" si="298">N263/$Q$3</f>
        <v>22.5</v>
      </c>
      <c r="R263" s="60"/>
      <c r="S263" s="60">
        <v>2</v>
      </c>
      <c r="T263" s="60">
        <f t="shared" ref="T263" si="299">W263+X263+Y263+Z263+AA263+AB263+AC263+AD263+AE263+AF263+AG263+AH263+AI263+AJ263+AK263+AL263+AM263+AN263+AO263+AP263+AQ263+AR263+AS263+AT263+AU263+AV263+AW263+AX263+AY263+AZ263+BA263+BB263+BC263+BD263+BE263+BF263+BG263+BH263+BI263+BJ263+BK263+BL263+BM263+BQ263+BR263+BS263+BT263</f>
        <v>1</v>
      </c>
      <c r="U263" s="60">
        <f>R263+S263-T263</f>
        <v>1</v>
      </c>
      <c r="V263" s="62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1"/>
      <c r="AQ263" s="32"/>
      <c r="AR263" s="33"/>
      <c r="AS263" s="31"/>
      <c r="AT263" s="63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>
        <v>1</v>
      </c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>
        <v>2</v>
      </c>
      <c r="BV263" s="64"/>
      <c r="BW263" s="64"/>
      <c r="BX263" s="64"/>
      <c r="BY263" s="64"/>
      <c r="BZ263" s="64"/>
      <c r="CA263" s="64"/>
    </row>
    <row r="264" spans="1:79" s="54" customFormat="1" ht="15" customHeight="1" x14ac:dyDescent="0.25">
      <c r="A264" s="22"/>
      <c r="B264" s="22">
        <v>235</v>
      </c>
      <c r="C264" s="97" t="s">
        <v>572</v>
      </c>
      <c r="D264" s="174">
        <v>2015</v>
      </c>
      <c r="E264" s="22" t="s">
        <v>581</v>
      </c>
      <c r="F264" s="22" t="s">
        <v>577</v>
      </c>
      <c r="G264" s="22" t="s">
        <v>215</v>
      </c>
      <c r="H264" s="22" t="s">
        <v>84</v>
      </c>
      <c r="I264" s="55">
        <v>37</v>
      </c>
      <c r="J264" s="55">
        <v>35</v>
      </c>
      <c r="K264" s="55">
        <f>(I264+J264)*0.1</f>
        <v>7.2</v>
      </c>
      <c r="L264" s="55">
        <f>SUM(I264:K264)</f>
        <v>79.2</v>
      </c>
      <c r="M264" s="55">
        <f>ROUND(L264,0)</f>
        <v>79</v>
      </c>
      <c r="N264" s="56">
        <v>90</v>
      </c>
      <c r="O264" s="57">
        <f t="shared" si="280"/>
        <v>74.480999999999995</v>
      </c>
      <c r="P264" s="58">
        <f>N264-M264</f>
        <v>11</v>
      </c>
      <c r="Q264" s="59">
        <f t="shared" si="296"/>
        <v>15</v>
      </c>
      <c r="R264" s="60">
        <v>6</v>
      </c>
      <c r="S264" s="60">
        <f>6+3+3</f>
        <v>12</v>
      </c>
      <c r="T264" s="60">
        <f t="shared" si="276"/>
        <v>9</v>
      </c>
      <c r="U264" s="60">
        <f>R264+S264-T264</f>
        <v>9</v>
      </c>
      <c r="V264" s="62"/>
      <c r="W264" s="30">
        <v>1</v>
      </c>
      <c r="X264" s="30"/>
      <c r="Y264" s="30"/>
      <c r="Z264" s="30"/>
      <c r="AA264" s="30"/>
      <c r="AB264" s="30"/>
      <c r="AC264" s="30">
        <v>1</v>
      </c>
      <c r="AD264" s="30">
        <v>2</v>
      </c>
      <c r="AE264" s="30">
        <v>1</v>
      </c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1"/>
      <c r="AQ264" s="32"/>
      <c r="AR264" s="33"/>
      <c r="AS264" s="31">
        <v>1</v>
      </c>
      <c r="AT264" s="63"/>
      <c r="AU264" s="34">
        <v>1</v>
      </c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64"/>
      <c r="BG264" s="64"/>
      <c r="BH264" s="64"/>
      <c r="BI264" s="64">
        <v>1</v>
      </c>
      <c r="BJ264" s="64"/>
      <c r="BK264" s="64"/>
      <c r="BL264" s="64"/>
      <c r="BM264" s="64"/>
      <c r="BN264" s="64"/>
      <c r="BO264" s="64">
        <v>1</v>
      </c>
      <c r="BP264" s="64"/>
      <c r="BQ264" s="64"/>
      <c r="BR264" s="64"/>
      <c r="BS264" s="64"/>
      <c r="BT264" s="64">
        <v>1</v>
      </c>
      <c r="BU264" s="64"/>
      <c r="BV264" s="64"/>
      <c r="BW264" s="64"/>
      <c r="BX264" s="64"/>
      <c r="BY264" s="64"/>
      <c r="BZ264" s="64"/>
      <c r="CA264" s="64"/>
    </row>
    <row r="265" spans="1:79" ht="15" customHeight="1" x14ac:dyDescent="0.25">
      <c r="A265" s="71"/>
      <c r="B265" s="22">
        <v>236</v>
      </c>
      <c r="C265" s="97" t="s">
        <v>572</v>
      </c>
      <c r="D265" s="174">
        <v>2019</v>
      </c>
      <c r="E265" s="68" t="s">
        <v>582</v>
      </c>
      <c r="F265" s="22" t="s">
        <v>388</v>
      </c>
      <c r="G265" s="22" t="s">
        <v>215</v>
      </c>
      <c r="H265" s="22" t="s">
        <v>135</v>
      </c>
      <c r="I265" s="55">
        <v>28.75</v>
      </c>
      <c r="J265" s="55">
        <f>IF(I265&lt;=15,$L$2,$L$3)</f>
        <v>30</v>
      </c>
      <c r="K265" s="55">
        <f>(I265+J265)*0.1</f>
        <v>5.875</v>
      </c>
      <c r="L265" s="55">
        <f>SUM(I265:K265)</f>
        <v>64.625</v>
      </c>
      <c r="M265" s="55">
        <f>ROUND(L265,0)</f>
        <v>65</v>
      </c>
      <c r="N265" s="56">
        <v>65</v>
      </c>
      <c r="O265" s="57">
        <f>I265*$O$2*1.22</f>
        <v>57.873750000000001</v>
      </c>
      <c r="P265" s="58">
        <f>N265-M265</f>
        <v>0</v>
      </c>
      <c r="Q265" s="59">
        <f>N265/$Q$3</f>
        <v>10.833333333333334</v>
      </c>
      <c r="R265" s="60">
        <v>11</v>
      </c>
      <c r="S265" s="60">
        <f>6+6+6+6</f>
        <v>24</v>
      </c>
      <c r="T265" s="60">
        <f>W265+X265+Y265+Z265+AA265+AB265+AC265+AD265+AE265+AF265+AG265+AH265+AI265+AJ265+AK265+AL265+AM265+AN265+AO265+AP265+AQ265+AR265+AS265+AT265+AU265+AV265+AW265+AX265+AY265+AZ265+BA265+BB265+BC265+BD265+BE265+BF265+BG265+BH265+BI265+BJ265+BK265+BL265+BM265+BQ265+BR265+BS265+BT265</f>
        <v>16</v>
      </c>
      <c r="U265" s="60">
        <f>R265+S265-T265</f>
        <v>19</v>
      </c>
      <c r="V265" s="62"/>
      <c r="W265" s="30">
        <v>1</v>
      </c>
      <c r="X265" s="30"/>
      <c r="Y265" s="30"/>
      <c r="Z265" s="30">
        <v>1</v>
      </c>
      <c r="AA265" s="30"/>
      <c r="AB265" s="30"/>
      <c r="AC265" s="30"/>
      <c r="AD265" s="30">
        <v>1</v>
      </c>
      <c r="AE265" s="30">
        <v>1</v>
      </c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1">
        <v>1</v>
      </c>
      <c r="AQ265" s="32"/>
      <c r="AR265" s="33"/>
      <c r="AS265" s="31"/>
      <c r="AT265" s="63">
        <v>3</v>
      </c>
      <c r="AU265" s="34"/>
      <c r="AV265" s="34"/>
      <c r="AW265" s="34"/>
      <c r="AX265" s="34"/>
      <c r="AY265" s="34"/>
      <c r="AZ265" s="34"/>
      <c r="BA265" s="34">
        <v>1</v>
      </c>
      <c r="BB265" s="34"/>
      <c r="BC265" s="34"/>
      <c r="BD265" s="34"/>
      <c r="BE265" s="34">
        <v>1</v>
      </c>
      <c r="BF265" s="64"/>
      <c r="BG265" s="64">
        <v>2</v>
      </c>
      <c r="BL265" s="64">
        <v>2</v>
      </c>
      <c r="BN265" s="64">
        <v>1</v>
      </c>
      <c r="BO265" s="64">
        <v>1</v>
      </c>
      <c r="BR265" s="64">
        <v>1</v>
      </c>
      <c r="BT265" s="64">
        <v>1</v>
      </c>
      <c r="BU265" s="64"/>
      <c r="BV265" s="64"/>
      <c r="BW265" s="64"/>
      <c r="BX265" s="64"/>
      <c r="BY265" s="64"/>
      <c r="BZ265" s="64"/>
      <c r="CA265" s="64"/>
    </row>
    <row r="266" spans="1:79" ht="15" customHeight="1" x14ac:dyDescent="0.25">
      <c r="A266" s="71"/>
      <c r="B266" s="22">
        <v>238</v>
      </c>
      <c r="C266" s="97" t="s">
        <v>572</v>
      </c>
      <c r="D266" s="174">
        <v>2013</v>
      </c>
      <c r="E266" s="29" t="s">
        <v>583</v>
      </c>
      <c r="F266" s="22" t="s">
        <v>584</v>
      </c>
      <c r="G266" s="22" t="s">
        <v>215</v>
      </c>
      <c r="H266" s="22" t="s">
        <v>78</v>
      </c>
      <c r="I266" s="55">
        <v>18.5</v>
      </c>
      <c r="J266" s="55">
        <f>IF(I266&lt;=15,$L$2,$L$3)</f>
        <v>30</v>
      </c>
      <c r="K266" s="55">
        <f t="shared" si="250"/>
        <v>4.8500000000000005</v>
      </c>
      <c r="L266" s="55">
        <f t="shared" si="251"/>
        <v>53.35</v>
      </c>
      <c r="M266" s="55">
        <f t="shared" si="278"/>
        <v>53</v>
      </c>
      <c r="N266" s="56">
        <v>50</v>
      </c>
      <c r="O266" s="57">
        <f t="shared" si="280"/>
        <v>37.240499999999997</v>
      </c>
      <c r="P266" s="58">
        <f t="shared" si="253"/>
        <v>-3</v>
      </c>
      <c r="Q266" s="59">
        <f t="shared" si="296"/>
        <v>8.3333333333333339</v>
      </c>
      <c r="R266" s="60">
        <v>9</v>
      </c>
      <c r="S266" s="60">
        <v>4</v>
      </c>
      <c r="T266" s="60">
        <f t="shared" si="276"/>
        <v>8</v>
      </c>
      <c r="U266" s="60">
        <f t="shared" si="295"/>
        <v>5</v>
      </c>
      <c r="V266" s="88"/>
      <c r="W266" s="89"/>
      <c r="X266" s="89"/>
      <c r="Y266" s="89"/>
      <c r="Z266" s="89"/>
      <c r="AA266" s="89"/>
      <c r="AB266" s="89"/>
      <c r="AC266" s="89"/>
      <c r="AD266" s="89">
        <v>1</v>
      </c>
      <c r="AE266" s="89"/>
      <c r="AF266" s="89"/>
      <c r="AG266" s="89">
        <v>7</v>
      </c>
      <c r="AH266" s="89"/>
      <c r="AI266" s="89"/>
      <c r="AJ266" s="89"/>
      <c r="AK266" s="89"/>
      <c r="AL266" s="89"/>
      <c r="AM266" s="89"/>
      <c r="AN266" s="89"/>
      <c r="AO266" s="89"/>
      <c r="AP266" s="90"/>
      <c r="AQ266" s="91"/>
      <c r="AR266" s="92"/>
      <c r="AS266" s="90"/>
      <c r="AT266" s="63"/>
      <c r="AU266" s="93"/>
      <c r="AV266" s="93"/>
      <c r="AW266" s="93"/>
      <c r="AX266" s="93"/>
      <c r="AY266" s="93"/>
      <c r="AZ266" s="93"/>
      <c r="BA266" s="93"/>
      <c r="BB266" s="93"/>
      <c r="BC266" s="93"/>
      <c r="BD266" s="93"/>
      <c r="BE266" s="93"/>
      <c r="BF266" s="94"/>
      <c r="BG266" s="94"/>
      <c r="BH266" s="94"/>
      <c r="BI266" s="94"/>
      <c r="BJ266" s="94"/>
      <c r="BK266" s="94"/>
      <c r="BL266" s="94"/>
      <c r="BM266" s="94"/>
      <c r="BN266" s="94"/>
      <c r="BO266" s="94"/>
      <c r="BP266" s="94"/>
      <c r="BQ266" s="94"/>
      <c r="BR266" s="94"/>
      <c r="BS266" s="94"/>
      <c r="BT266" s="94"/>
      <c r="BU266" s="94"/>
      <c r="BV266" s="94"/>
      <c r="BW266" s="94"/>
      <c r="BX266" s="94"/>
      <c r="BY266" s="94"/>
      <c r="BZ266" s="94"/>
      <c r="CA266" s="94"/>
    </row>
    <row r="267" spans="1:79" ht="15" customHeight="1" x14ac:dyDescent="0.25">
      <c r="A267" s="22"/>
      <c r="B267" s="22">
        <v>239</v>
      </c>
      <c r="C267" s="97" t="s">
        <v>572</v>
      </c>
      <c r="D267" s="174">
        <v>2015</v>
      </c>
      <c r="E267" s="22" t="s">
        <v>585</v>
      </c>
      <c r="F267" s="22" t="s">
        <v>267</v>
      </c>
      <c r="G267" s="22" t="s">
        <v>77</v>
      </c>
      <c r="H267" s="22" t="s">
        <v>132</v>
      </c>
      <c r="I267" s="55">
        <v>47.5</v>
      </c>
      <c r="J267" s="55">
        <v>40</v>
      </c>
      <c r="K267" s="55">
        <f t="shared" si="250"/>
        <v>8.75</v>
      </c>
      <c r="L267" s="55">
        <f t="shared" si="251"/>
        <v>96.25</v>
      </c>
      <c r="M267" s="55">
        <f t="shared" si="278"/>
        <v>96</v>
      </c>
      <c r="N267" s="56">
        <v>96</v>
      </c>
      <c r="O267" s="57">
        <f t="shared" si="280"/>
        <v>95.617499999999993</v>
      </c>
      <c r="P267" s="58">
        <f t="shared" si="253"/>
        <v>0</v>
      </c>
      <c r="Q267" s="59">
        <f t="shared" si="296"/>
        <v>16</v>
      </c>
      <c r="R267" s="60">
        <v>6</v>
      </c>
      <c r="S267" s="60">
        <v>5</v>
      </c>
      <c r="T267" s="60">
        <f t="shared" si="276"/>
        <v>6</v>
      </c>
      <c r="U267" s="61">
        <f t="shared" si="295"/>
        <v>5</v>
      </c>
      <c r="V267" s="88"/>
      <c r="W267" s="89">
        <v>2</v>
      </c>
      <c r="X267" s="89"/>
      <c r="Y267" s="89"/>
      <c r="Z267" s="89">
        <v>1</v>
      </c>
      <c r="AA267" s="89"/>
      <c r="AB267" s="89">
        <v>1</v>
      </c>
      <c r="AC267" s="89"/>
      <c r="AD267" s="89"/>
      <c r="AE267" s="89"/>
      <c r="AF267" s="89"/>
      <c r="AG267" s="89"/>
      <c r="AH267" s="89"/>
      <c r="AI267" s="89"/>
      <c r="AJ267" s="89"/>
      <c r="AK267" s="89"/>
      <c r="AL267" s="89"/>
      <c r="AM267" s="89"/>
      <c r="AN267" s="89"/>
      <c r="AO267" s="89"/>
      <c r="AP267" s="90"/>
      <c r="AQ267" s="91"/>
      <c r="AR267" s="92"/>
      <c r="AS267" s="90"/>
      <c r="AT267" s="63"/>
      <c r="AU267" s="93"/>
      <c r="AV267" s="93"/>
      <c r="AW267" s="93"/>
      <c r="AX267" s="93"/>
      <c r="AY267" s="93"/>
      <c r="AZ267" s="93"/>
      <c r="BA267" s="93"/>
      <c r="BB267" s="93"/>
      <c r="BC267" s="93"/>
      <c r="BD267" s="93"/>
      <c r="BE267" s="93"/>
      <c r="BF267" s="94"/>
      <c r="BG267" s="94"/>
      <c r="BH267" s="94"/>
      <c r="BI267" s="94">
        <v>1</v>
      </c>
      <c r="BJ267" s="94"/>
      <c r="BK267" s="94"/>
      <c r="BL267" s="94">
        <v>1</v>
      </c>
      <c r="BM267" s="94"/>
      <c r="BN267" s="94"/>
      <c r="BO267" s="94"/>
      <c r="BP267" s="94"/>
      <c r="BQ267" s="94"/>
      <c r="BR267" s="94"/>
      <c r="BS267" s="94"/>
      <c r="BT267" s="94"/>
      <c r="BU267" s="94"/>
      <c r="BV267" s="94"/>
      <c r="BW267" s="94"/>
      <c r="BX267" s="94"/>
      <c r="BY267" s="94"/>
      <c r="BZ267" s="94"/>
      <c r="CA267" s="94"/>
    </row>
    <row r="268" spans="1:79" ht="15" customHeight="1" x14ac:dyDescent="0.25">
      <c r="A268" s="22"/>
      <c r="B268" s="22">
        <v>240</v>
      </c>
      <c r="C268" s="97" t="s">
        <v>572</v>
      </c>
      <c r="D268" s="174">
        <v>2016</v>
      </c>
      <c r="E268" s="22" t="s">
        <v>586</v>
      </c>
      <c r="F268" s="22" t="s">
        <v>587</v>
      </c>
      <c r="G268" s="22" t="s">
        <v>77</v>
      </c>
      <c r="H268" s="22" t="s">
        <v>78</v>
      </c>
      <c r="I268" s="55">
        <v>37.700000000000003</v>
      </c>
      <c r="J268" s="55">
        <v>40</v>
      </c>
      <c r="K268" s="55">
        <f>(I268+J268)*0.1</f>
        <v>7.7700000000000005</v>
      </c>
      <c r="L268" s="55">
        <f>SUM(I268:K268)</f>
        <v>85.47</v>
      </c>
      <c r="M268" s="55">
        <f>ROUND(L268,0)</f>
        <v>85</v>
      </c>
      <c r="N268" s="56">
        <v>86</v>
      </c>
      <c r="O268" s="57">
        <f t="shared" si="280"/>
        <v>75.89009999999999</v>
      </c>
      <c r="P268" s="58">
        <f>N268-M268</f>
        <v>1</v>
      </c>
      <c r="Q268" s="59">
        <f t="shared" si="296"/>
        <v>14.333333333333334</v>
      </c>
      <c r="R268" s="60">
        <v>1</v>
      </c>
      <c r="S268" s="60"/>
      <c r="T268" s="60">
        <f t="shared" si="276"/>
        <v>1</v>
      </c>
      <c r="U268" s="61">
        <f>R268+S268-T268</f>
        <v>0</v>
      </c>
      <c r="V268" s="88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89"/>
      <c r="AL268" s="89"/>
      <c r="AM268" s="89"/>
      <c r="AN268" s="89"/>
      <c r="AO268" s="89"/>
      <c r="AP268" s="90"/>
      <c r="AQ268" s="91"/>
      <c r="AR268" s="92"/>
      <c r="AS268" s="90"/>
      <c r="AT268" s="63">
        <v>1</v>
      </c>
      <c r="AU268" s="93"/>
      <c r="AV268" s="93"/>
      <c r="AW268" s="93"/>
      <c r="AX268" s="93"/>
      <c r="AY268" s="93"/>
      <c r="AZ268" s="93"/>
      <c r="BA268" s="93"/>
      <c r="BB268" s="93"/>
      <c r="BC268" s="93"/>
      <c r="BD268" s="93"/>
      <c r="BE268" s="93"/>
      <c r="BF268" s="94"/>
      <c r="BG268" s="94"/>
      <c r="BH268" s="94"/>
      <c r="BI268" s="94"/>
      <c r="BJ268" s="94"/>
      <c r="BK268" s="94"/>
      <c r="BL268" s="94"/>
      <c r="BM268" s="94"/>
      <c r="BN268" s="94"/>
      <c r="BO268" s="94"/>
      <c r="BP268" s="94"/>
      <c r="BQ268" s="94"/>
      <c r="BR268" s="94"/>
      <c r="BS268" s="94"/>
      <c r="BT268" s="94"/>
      <c r="BU268" s="94"/>
      <c r="BV268" s="94"/>
      <c r="BW268" s="94"/>
      <c r="BX268" s="94"/>
      <c r="BY268" s="94"/>
      <c r="BZ268" s="94"/>
      <c r="CA268" s="94"/>
    </row>
    <row r="269" spans="1:79" ht="15" customHeight="1" x14ac:dyDescent="0.25">
      <c r="A269" s="22"/>
      <c r="B269" s="29">
        <v>241</v>
      </c>
      <c r="C269" s="97" t="s">
        <v>572</v>
      </c>
      <c r="D269" s="174">
        <v>2019</v>
      </c>
      <c r="E269" s="22" t="s">
        <v>588</v>
      </c>
      <c r="F269" s="22" t="s">
        <v>587</v>
      </c>
      <c r="G269" s="22" t="s">
        <v>77</v>
      </c>
      <c r="H269" s="22" t="s">
        <v>78</v>
      </c>
      <c r="I269" s="55">
        <v>29.5</v>
      </c>
      <c r="J269" s="55">
        <v>30</v>
      </c>
      <c r="K269" s="55">
        <f>(I269+J269)*0.1</f>
        <v>5.95</v>
      </c>
      <c r="L269" s="55">
        <f>SUM(I269:K269)</f>
        <v>65.45</v>
      </c>
      <c r="M269" s="55">
        <f>ROUND(L269,0)</f>
        <v>65</v>
      </c>
      <c r="N269" s="56">
        <v>65</v>
      </c>
      <c r="O269" s="57">
        <f t="shared" si="280"/>
        <v>59.383499999999998</v>
      </c>
      <c r="P269" s="58">
        <f>N269-M269</f>
        <v>0</v>
      </c>
      <c r="Q269" s="59">
        <f t="shared" si="296"/>
        <v>10.833333333333334</v>
      </c>
      <c r="R269" s="60">
        <v>10</v>
      </c>
      <c r="S269" s="60">
        <v>4</v>
      </c>
      <c r="T269" s="60">
        <f t="shared" si="276"/>
        <v>7</v>
      </c>
      <c r="U269" s="61">
        <f>R269+S269-T269</f>
        <v>7</v>
      </c>
      <c r="V269" s="88"/>
      <c r="W269" s="89">
        <v>2</v>
      </c>
      <c r="X269" s="89"/>
      <c r="Y269" s="89"/>
      <c r="Z269" s="89"/>
      <c r="AA269" s="89"/>
      <c r="AB269" s="89">
        <v>1</v>
      </c>
      <c r="AC269" s="89"/>
      <c r="AD269" s="89"/>
      <c r="AE269" s="89"/>
      <c r="AF269" s="89"/>
      <c r="AG269" s="89"/>
      <c r="AH269" s="89"/>
      <c r="AI269" s="89"/>
      <c r="AJ269" s="89"/>
      <c r="AK269" s="89"/>
      <c r="AL269" s="89"/>
      <c r="AM269" s="89"/>
      <c r="AN269" s="89"/>
      <c r="AO269" s="89"/>
      <c r="AP269" s="90"/>
      <c r="AQ269" s="91">
        <v>1</v>
      </c>
      <c r="AR269" s="92">
        <v>1</v>
      </c>
      <c r="AS269" s="90"/>
      <c r="AT269" s="63"/>
      <c r="AU269" s="93"/>
      <c r="AV269" s="93"/>
      <c r="AW269" s="93"/>
      <c r="AX269" s="93"/>
      <c r="AY269" s="93"/>
      <c r="AZ269" s="93"/>
      <c r="BA269" s="93"/>
      <c r="BB269" s="93"/>
      <c r="BC269" s="93"/>
      <c r="BD269" s="93"/>
      <c r="BE269" s="93">
        <v>1</v>
      </c>
      <c r="BF269" s="94"/>
      <c r="BG269" s="94">
        <v>1</v>
      </c>
      <c r="BH269" s="94"/>
      <c r="BI269" s="94"/>
      <c r="BJ269" s="94"/>
      <c r="BK269" s="94"/>
      <c r="BL269" s="94"/>
      <c r="BM269" s="94"/>
      <c r="BN269" s="94"/>
      <c r="BO269" s="94"/>
      <c r="BP269" s="94"/>
      <c r="BQ269" s="94"/>
      <c r="BR269" s="94"/>
      <c r="BS269" s="94"/>
      <c r="BT269" s="94"/>
      <c r="BU269" s="94"/>
      <c r="BV269" s="94"/>
      <c r="BW269" s="94"/>
      <c r="BX269" s="94"/>
      <c r="BY269" s="94"/>
      <c r="BZ269" s="94"/>
      <c r="CA269" s="94"/>
    </row>
    <row r="270" spans="1:79" ht="15" customHeight="1" x14ac:dyDescent="0.25">
      <c r="A270" s="71"/>
      <c r="B270" s="22">
        <v>242</v>
      </c>
      <c r="C270" s="97" t="s">
        <v>572</v>
      </c>
      <c r="D270" s="174">
        <v>2019</v>
      </c>
      <c r="E270" s="22" t="s">
        <v>589</v>
      </c>
      <c r="F270" s="22" t="s">
        <v>590</v>
      </c>
      <c r="G270" s="22" t="s">
        <v>350</v>
      </c>
      <c r="H270" s="22" t="s">
        <v>78</v>
      </c>
      <c r="I270" s="55">
        <v>18.5</v>
      </c>
      <c r="J270" s="55">
        <f>IF(I270&lt;=15,$L$2,$L$3)</f>
        <v>30</v>
      </c>
      <c r="K270" s="55">
        <f t="shared" si="250"/>
        <v>4.8500000000000005</v>
      </c>
      <c r="L270" s="55">
        <f t="shared" si="251"/>
        <v>53.35</v>
      </c>
      <c r="M270" s="55">
        <f t="shared" si="278"/>
        <v>53</v>
      </c>
      <c r="N270" s="56">
        <v>53</v>
      </c>
      <c r="O270" s="57">
        <f t="shared" si="280"/>
        <v>37.240499999999997</v>
      </c>
      <c r="P270" s="58">
        <f t="shared" si="253"/>
        <v>0</v>
      </c>
      <c r="Q270" s="59">
        <f t="shared" si="296"/>
        <v>8.8333333333333339</v>
      </c>
      <c r="R270" s="60">
        <v>12</v>
      </c>
      <c r="S270" s="60">
        <v>12</v>
      </c>
      <c r="T270" s="60">
        <f t="shared" si="276"/>
        <v>23</v>
      </c>
      <c r="U270" s="61">
        <f t="shared" si="295"/>
        <v>1</v>
      </c>
      <c r="V270" s="62"/>
      <c r="W270" s="30">
        <v>1</v>
      </c>
      <c r="X270" s="30">
        <v>1</v>
      </c>
      <c r="Y270" s="30"/>
      <c r="Z270" s="30">
        <v>3</v>
      </c>
      <c r="AA270" s="30"/>
      <c r="AB270" s="30"/>
      <c r="AC270" s="30"/>
      <c r="AD270" s="30">
        <v>2</v>
      </c>
      <c r="AE270" s="30">
        <v>1</v>
      </c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1">
        <v>1</v>
      </c>
      <c r="AQ270" s="32">
        <v>2</v>
      </c>
      <c r="AR270" s="33"/>
      <c r="AS270" s="31"/>
      <c r="AT270" s="63"/>
      <c r="AU270" s="34"/>
      <c r="AV270" s="34"/>
      <c r="AW270" s="34"/>
      <c r="AX270" s="34"/>
      <c r="AY270" s="34"/>
      <c r="AZ270" s="34">
        <v>1</v>
      </c>
      <c r="BA270" s="34"/>
      <c r="BB270" s="34"/>
      <c r="BC270" s="34">
        <v>1</v>
      </c>
      <c r="BD270" s="34"/>
      <c r="BE270" s="34">
        <v>1</v>
      </c>
      <c r="BF270" s="64">
        <v>1</v>
      </c>
      <c r="BI270" s="64">
        <v>1</v>
      </c>
      <c r="BJ270" s="64">
        <v>1</v>
      </c>
      <c r="BL270" s="64">
        <v>1</v>
      </c>
      <c r="BR270" s="64">
        <v>1</v>
      </c>
      <c r="BT270" s="64">
        <v>4</v>
      </c>
      <c r="BU270" s="64"/>
      <c r="BV270" s="64"/>
      <c r="BW270" s="64"/>
      <c r="BX270" s="64"/>
      <c r="BY270" s="64"/>
      <c r="BZ270" s="64"/>
      <c r="CA270" s="64"/>
    </row>
    <row r="271" spans="1:79" s="54" customFormat="1" ht="15" customHeight="1" x14ac:dyDescent="0.25">
      <c r="A271" s="22">
        <v>6</v>
      </c>
      <c r="B271" s="22">
        <v>243</v>
      </c>
      <c r="C271" s="97" t="s">
        <v>572</v>
      </c>
      <c r="D271" s="174">
        <v>2018</v>
      </c>
      <c r="E271" s="22" t="s">
        <v>591</v>
      </c>
      <c r="F271" s="22" t="s">
        <v>219</v>
      </c>
      <c r="G271" s="22" t="s">
        <v>215</v>
      </c>
      <c r="H271" s="22" t="s">
        <v>78</v>
      </c>
      <c r="I271" s="55">
        <v>22</v>
      </c>
      <c r="J271" s="55">
        <f>IF(I271&lt;=15,$L$2,$L$3)</f>
        <v>30</v>
      </c>
      <c r="K271" s="55">
        <f t="shared" si="250"/>
        <v>5.2</v>
      </c>
      <c r="L271" s="55">
        <f t="shared" si="251"/>
        <v>57.2</v>
      </c>
      <c r="M271" s="55">
        <f t="shared" si="278"/>
        <v>57</v>
      </c>
      <c r="N271" s="56">
        <v>58</v>
      </c>
      <c r="O271" s="57">
        <f t="shared" si="280"/>
        <v>44.285999999999994</v>
      </c>
      <c r="P271" s="58">
        <f t="shared" si="253"/>
        <v>1</v>
      </c>
      <c r="Q271" s="59">
        <f t="shared" si="296"/>
        <v>9.6666666666666661</v>
      </c>
      <c r="R271" s="60">
        <v>6</v>
      </c>
      <c r="S271" s="60">
        <f>5+6+6+6</f>
        <v>23</v>
      </c>
      <c r="T271" s="60">
        <f t="shared" si="276"/>
        <v>17</v>
      </c>
      <c r="U271" s="61">
        <f t="shared" si="295"/>
        <v>12</v>
      </c>
      <c r="V271" s="62"/>
      <c r="W271" s="30"/>
      <c r="X271" s="30"/>
      <c r="Y271" s="30"/>
      <c r="Z271" s="30"/>
      <c r="AA271" s="30"/>
      <c r="AB271" s="30"/>
      <c r="AC271" s="30"/>
      <c r="AD271" s="30">
        <v>1</v>
      </c>
      <c r="AE271" s="30"/>
      <c r="AF271" s="30"/>
      <c r="AG271" s="30"/>
      <c r="AH271" s="30">
        <v>2</v>
      </c>
      <c r="AI271" s="30"/>
      <c r="AJ271" s="30"/>
      <c r="AK271" s="30"/>
      <c r="AL271" s="30"/>
      <c r="AM271" s="30"/>
      <c r="AN271" s="30"/>
      <c r="AO271" s="30"/>
      <c r="AP271" s="31"/>
      <c r="AQ271" s="32">
        <v>1</v>
      </c>
      <c r="AR271" s="33"/>
      <c r="AS271" s="31"/>
      <c r="AT271" s="63"/>
      <c r="AU271" s="34"/>
      <c r="AV271" s="34"/>
      <c r="AW271" s="34"/>
      <c r="AX271" s="34"/>
      <c r="AY271" s="34"/>
      <c r="AZ271" s="34"/>
      <c r="BA271" s="34"/>
      <c r="BB271" s="34"/>
      <c r="BC271" s="34">
        <v>1</v>
      </c>
      <c r="BD271" s="34"/>
      <c r="BE271" s="34">
        <v>1</v>
      </c>
      <c r="BF271" s="64">
        <v>1</v>
      </c>
      <c r="BG271" s="64"/>
      <c r="BH271" s="64"/>
      <c r="BI271" s="64"/>
      <c r="BJ271" s="64"/>
      <c r="BK271" s="64">
        <v>4</v>
      </c>
      <c r="BL271" s="64">
        <v>1</v>
      </c>
      <c r="BM271" s="64"/>
      <c r="BN271" s="64"/>
      <c r="BO271" s="64"/>
      <c r="BP271" s="64"/>
      <c r="BQ271" s="64">
        <v>3</v>
      </c>
      <c r="BR271" s="64">
        <v>1</v>
      </c>
      <c r="BS271" s="64"/>
      <c r="BT271" s="64">
        <v>1</v>
      </c>
      <c r="BU271" s="64"/>
      <c r="BV271" s="64"/>
      <c r="BW271" s="64"/>
      <c r="BX271" s="64"/>
      <c r="BY271" s="64"/>
      <c r="BZ271" s="64"/>
      <c r="CA271" s="64"/>
    </row>
    <row r="272" spans="1:79" s="54" customFormat="1" ht="15" customHeight="1" x14ac:dyDescent="0.25">
      <c r="A272" s="22"/>
      <c r="B272" s="22">
        <v>244</v>
      </c>
      <c r="C272" s="97" t="s">
        <v>572</v>
      </c>
      <c r="D272" s="174">
        <v>2018</v>
      </c>
      <c r="E272" s="22" t="s">
        <v>592</v>
      </c>
      <c r="F272" s="22" t="s">
        <v>233</v>
      </c>
      <c r="G272" s="22" t="s">
        <v>77</v>
      </c>
      <c r="H272" s="22" t="s">
        <v>78</v>
      </c>
      <c r="I272" s="55">
        <v>45.9</v>
      </c>
      <c r="J272" s="55">
        <v>50</v>
      </c>
      <c r="K272" s="55">
        <f t="shared" si="250"/>
        <v>9.5900000000000016</v>
      </c>
      <c r="L272" s="55">
        <f t="shared" si="251"/>
        <v>105.49000000000001</v>
      </c>
      <c r="M272" s="55">
        <f t="shared" ref="M272:M314" si="300">ROUND(L272,0)</f>
        <v>105</v>
      </c>
      <c r="N272" s="56">
        <v>105</v>
      </c>
      <c r="O272" s="57">
        <f t="shared" si="280"/>
        <v>92.396699999999996</v>
      </c>
      <c r="P272" s="58">
        <f t="shared" si="253"/>
        <v>0</v>
      </c>
      <c r="Q272" s="59">
        <f t="shared" si="296"/>
        <v>17.5</v>
      </c>
      <c r="R272" s="60">
        <v>8</v>
      </c>
      <c r="S272" s="60">
        <f>6+6</f>
        <v>12</v>
      </c>
      <c r="T272" s="60">
        <f t="shared" si="276"/>
        <v>10</v>
      </c>
      <c r="U272" s="61">
        <f t="shared" si="295"/>
        <v>10</v>
      </c>
      <c r="V272" s="62"/>
      <c r="W272" s="30">
        <v>3</v>
      </c>
      <c r="X272" s="30"/>
      <c r="Y272" s="30"/>
      <c r="Z272" s="30"/>
      <c r="AA272" s="30">
        <v>1</v>
      </c>
      <c r="AB272" s="30"/>
      <c r="AC272" s="30"/>
      <c r="AD272" s="30"/>
      <c r="AE272" s="30">
        <v>1</v>
      </c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1"/>
      <c r="AQ272" s="32"/>
      <c r="AR272" s="33"/>
      <c r="AS272" s="31"/>
      <c r="AT272" s="63">
        <v>1</v>
      </c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64">
        <v>1</v>
      </c>
      <c r="BG272" s="64"/>
      <c r="BH272" s="64">
        <v>1</v>
      </c>
      <c r="BI272" s="64">
        <v>1</v>
      </c>
      <c r="BJ272" s="64"/>
      <c r="BK272" s="64"/>
      <c r="BL272" s="64"/>
      <c r="BM272" s="64"/>
      <c r="BN272" s="64"/>
      <c r="BO272" s="64">
        <v>1</v>
      </c>
      <c r="BP272" s="64"/>
      <c r="BQ272" s="64">
        <v>1</v>
      </c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</row>
    <row r="273" spans="1:79" s="54" customFormat="1" ht="15" customHeight="1" x14ac:dyDescent="0.25">
      <c r="A273" s="68"/>
      <c r="B273" s="29">
        <v>245</v>
      </c>
      <c r="C273" s="98" t="s">
        <v>572</v>
      </c>
      <c r="D273" s="181">
        <v>2019</v>
      </c>
      <c r="E273" s="68" t="s">
        <v>572</v>
      </c>
      <c r="F273" s="68" t="s">
        <v>233</v>
      </c>
      <c r="G273" s="68" t="s">
        <v>77</v>
      </c>
      <c r="H273" s="68" t="s">
        <v>78</v>
      </c>
      <c r="I273" s="99">
        <v>24.3</v>
      </c>
      <c r="J273" s="99">
        <f>IF(I273&lt;=15,$L$2,$L$3)</f>
        <v>30</v>
      </c>
      <c r="K273" s="99">
        <f t="shared" si="250"/>
        <v>5.43</v>
      </c>
      <c r="L273" s="99">
        <f t="shared" si="251"/>
        <v>59.73</v>
      </c>
      <c r="M273" s="99">
        <f t="shared" si="300"/>
        <v>60</v>
      </c>
      <c r="N273" s="100">
        <v>59</v>
      </c>
      <c r="O273" s="101">
        <f t="shared" si="280"/>
        <v>48.915900000000001</v>
      </c>
      <c r="P273" s="102">
        <f t="shared" si="253"/>
        <v>-1</v>
      </c>
      <c r="Q273" s="103">
        <f t="shared" si="296"/>
        <v>9.8333333333333339</v>
      </c>
      <c r="R273" s="104">
        <v>7</v>
      </c>
      <c r="S273" s="104">
        <f>12+6+6+6</f>
        <v>30</v>
      </c>
      <c r="T273" s="104">
        <f t="shared" si="276"/>
        <v>30</v>
      </c>
      <c r="U273" s="105">
        <f t="shared" si="295"/>
        <v>7</v>
      </c>
      <c r="V273" s="106"/>
      <c r="W273" s="107">
        <v>3</v>
      </c>
      <c r="X273" s="107"/>
      <c r="Y273" s="107"/>
      <c r="Z273" s="107">
        <v>1</v>
      </c>
      <c r="AA273" s="107">
        <v>1</v>
      </c>
      <c r="AB273" s="107"/>
      <c r="AC273" s="107">
        <v>1</v>
      </c>
      <c r="AD273" s="107">
        <v>1</v>
      </c>
      <c r="AE273" s="107">
        <v>3</v>
      </c>
      <c r="AF273" s="107">
        <v>1</v>
      </c>
      <c r="AG273" s="107">
        <v>2</v>
      </c>
      <c r="AH273" s="107"/>
      <c r="AI273" s="107"/>
      <c r="AJ273" s="107"/>
      <c r="AK273" s="107"/>
      <c r="AL273" s="107"/>
      <c r="AM273" s="107"/>
      <c r="AN273" s="107"/>
      <c r="AO273" s="107"/>
      <c r="AP273" s="108"/>
      <c r="AQ273" s="109">
        <v>1</v>
      </c>
      <c r="AR273" s="110"/>
      <c r="AS273" s="108">
        <v>3</v>
      </c>
      <c r="AT273" s="111">
        <v>1</v>
      </c>
      <c r="AU273" s="112"/>
      <c r="AV273" s="112"/>
      <c r="AW273" s="112"/>
      <c r="AX273" s="112"/>
      <c r="AY273" s="112"/>
      <c r="AZ273" s="112">
        <v>2</v>
      </c>
      <c r="BA273" s="112"/>
      <c r="BB273" s="112"/>
      <c r="BC273" s="112">
        <v>1</v>
      </c>
      <c r="BD273" s="112">
        <v>1</v>
      </c>
      <c r="BE273" s="112">
        <v>1</v>
      </c>
      <c r="BF273" s="113">
        <v>1</v>
      </c>
      <c r="BG273" s="64"/>
      <c r="BH273" s="64"/>
      <c r="BI273" s="64">
        <v>1</v>
      </c>
      <c r="BJ273" s="64">
        <v>1</v>
      </c>
      <c r="BK273" s="64"/>
      <c r="BL273" s="64">
        <v>1</v>
      </c>
      <c r="BM273" s="64"/>
      <c r="BN273" s="64"/>
      <c r="BO273" s="64"/>
      <c r="BP273" s="64"/>
      <c r="BQ273" s="64"/>
      <c r="BR273" s="64">
        <v>1</v>
      </c>
      <c r="BS273" s="64"/>
      <c r="BT273" s="64">
        <v>2</v>
      </c>
      <c r="BU273" s="64"/>
      <c r="BV273" s="64"/>
      <c r="BW273" s="64"/>
      <c r="BX273" s="64"/>
      <c r="BY273" s="64"/>
      <c r="BZ273" s="64"/>
      <c r="CA273" s="64"/>
    </row>
    <row r="274" spans="1:79" s="54" customFormat="1" ht="15" customHeight="1" x14ac:dyDescent="0.25">
      <c r="A274" s="68"/>
      <c r="B274" s="22">
        <v>246</v>
      </c>
      <c r="C274" s="98" t="s">
        <v>593</v>
      </c>
      <c r="D274" s="181">
        <v>2015</v>
      </c>
      <c r="E274" s="68" t="s">
        <v>594</v>
      </c>
      <c r="F274" s="68" t="s">
        <v>595</v>
      </c>
      <c r="G274" s="68" t="s">
        <v>596</v>
      </c>
      <c r="H274" s="68" t="s">
        <v>171</v>
      </c>
      <c r="I274" s="99">
        <v>49</v>
      </c>
      <c r="J274" s="99">
        <v>35</v>
      </c>
      <c r="K274" s="99">
        <f t="shared" si="250"/>
        <v>8.4</v>
      </c>
      <c r="L274" s="99">
        <f t="shared" si="251"/>
        <v>92.4</v>
      </c>
      <c r="M274" s="99">
        <f t="shared" si="300"/>
        <v>92</v>
      </c>
      <c r="N274" s="100">
        <v>92</v>
      </c>
      <c r="O274" s="101">
        <v>96</v>
      </c>
      <c r="P274" s="102">
        <f t="shared" si="253"/>
        <v>0</v>
      </c>
      <c r="Q274" s="103">
        <f t="shared" si="296"/>
        <v>15.333333333333334</v>
      </c>
      <c r="R274" s="104">
        <v>6</v>
      </c>
      <c r="S274" s="104"/>
      <c r="T274" s="104">
        <f t="shared" si="276"/>
        <v>1</v>
      </c>
      <c r="U274" s="105">
        <f t="shared" si="295"/>
        <v>5</v>
      </c>
      <c r="V274" s="106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8"/>
      <c r="AQ274" s="109"/>
      <c r="AR274" s="110"/>
      <c r="AS274" s="108"/>
      <c r="AT274" s="111"/>
      <c r="AU274" s="112"/>
      <c r="AV274" s="112"/>
      <c r="AW274" s="112"/>
      <c r="AX274" s="112"/>
      <c r="AY274" s="112"/>
      <c r="AZ274" s="112"/>
      <c r="BA274" s="112"/>
      <c r="BB274" s="112">
        <v>1</v>
      </c>
      <c r="BC274" s="112"/>
      <c r="BD274" s="112"/>
      <c r="BE274" s="112"/>
      <c r="BF274" s="113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</row>
    <row r="275" spans="1:79" s="54" customFormat="1" ht="15" customHeight="1" x14ac:dyDescent="0.25">
      <c r="A275" s="68"/>
      <c r="B275" s="22">
        <v>246.1</v>
      </c>
      <c r="C275" s="98" t="s">
        <v>593</v>
      </c>
      <c r="D275" s="181">
        <v>2021</v>
      </c>
      <c r="E275" s="68" t="s">
        <v>597</v>
      </c>
      <c r="F275" s="68" t="s">
        <v>598</v>
      </c>
      <c r="G275" s="68" t="s">
        <v>599</v>
      </c>
      <c r="H275" s="68" t="s">
        <v>84</v>
      </c>
      <c r="I275" s="99">
        <v>115</v>
      </c>
      <c r="J275" s="99">
        <v>100</v>
      </c>
      <c r="K275" s="99">
        <f t="shared" ref="K275" si="301">(I275+J275)*0.1</f>
        <v>21.5</v>
      </c>
      <c r="L275" s="99">
        <f t="shared" ref="L275" si="302">SUM(I275:K275)</f>
        <v>236.5</v>
      </c>
      <c r="M275" s="99">
        <f t="shared" ref="M275" si="303">ROUND(L275,0)</f>
        <v>237</v>
      </c>
      <c r="N275" s="100">
        <v>260</v>
      </c>
      <c r="O275" s="101">
        <v>96</v>
      </c>
      <c r="P275" s="102">
        <f t="shared" ref="P275" si="304">N275-M275</f>
        <v>23</v>
      </c>
      <c r="Q275" s="103">
        <f t="shared" ref="Q275" si="305">N275/$Q$3</f>
        <v>43.333333333333336</v>
      </c>
      <c r="R275" s="104"/>
      <c r="S275" s="104">
        <v>1</v>
      </c>
      <c r="T275" s="104">
        <f t="shared" ref="T275" si="306">W275+X275+Y275+Z275+AA275+AB275+AC275+AD275+AE275+AF275+AG275+AH275+AI275+AJ275+AK275+AL275+AM275+AN275+AO275+AP275+AQ275+AR275+AS275+AT275+AU275+AV275+AW275+AX275+AY275+AZ275+BA275+BB275+BC275+BD275+BE275+BF275+BG275+BH275+BI275+BJ275+BK275+BL275+BM275+BQ275+BR275+BS275+BT275</f>
        <v>0</v>
      </c>
      <c r="U275" s="105">
        <f t="shared" ref="U275" si="307">R275+S275-T275</f>
        <v>1</v>
      </c>
      <c r="V275" s="106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8"/>
      <c r="AQ275" s="109"/>
      <c r="AR275" s="110"/>
      <c r="AS275" s="108"/>
      <c r="AT275" s="111"/>
      <c r="AU275" s="112"/>
      <c r="AV275" s="112"/>
      <c r="AW275" s="112"/>
      <c r="AX275" s="112"/>
      <c r="AY275" s="112"/>
      <c r="AZ275" s="112"/>
      <c r="BA275" s="112"/>
      <c r="BB275" s="112"/>
      <c r="BC275" s="112"/>
      <c r="BD275" s="112"/>
      <c r="BE275" s="112"/>
      <c r="BF275" s="113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</row>
    <row r="276" spans="1:79" s="54" customFormat="1" ht="15" hidden="1" customHeight="1" x14ac:dyDescent="0.25">
      <c r="A276" s="22" t="s">
        <v>142</v>
      </c>
      <c r="B276" s="22">
        <v>247</v>
      </c>
      <c r="C276" s="98" t="s">
        <v>593</v>
      </c>
      <c r="D276" s="181" t="s">
        <v>600</v>
      </c>
      <c r="E276" s="68" t="s">
        <v>601</v>
      </c>
      <c r="F276" s="68" t="s">
        <v>272</v>
      </c>
      <c r="G276" s="68" t="s">
        <v>602</v>
      </c>
      <c r="H276" s="68" t="s">
        <v>78</v>
      </c>
      <c r="I276" s="99">
        <v>29.9</v>
      </c>
      <c r="J276" s="99">
        <f>IF(I276&lt;=15,$L$2,$L$3)</f>
        <v>30</v>
      </c>
      <c r="K276" s="99">
        <f>(I276+J276)*0.1</f>
        <v>5.99</v>
      </c>
      <c r="L276" s="99">
        <f>SUM(I276:K276)</f>
        <v>65.89</v>
      </c>
      <c r="M276" s="99">
        <f>ROUND(L276,0)</f>
        <v>66</v>
      </c>
      <c r="N276" s="100">
        <v>66</v>
      </c>
      <c r="O276" s="101">
        <f t="shared" ref="O276:O306" si="308">I276*$O$2*1.22</f>
        <v>60.18869999999999</v>
      </c>
      <c r="P276" s="102">
        <f>N276-M276</f>
        <v>0</v>
      </c>
      <c r="Q276" s="103">
        <f t="shared" si="296"/>
        <v>11</v>
      </c>
      <c r="R276" s="104">
        <v>2</v>
      </c>
      <c r="S276" s="104"/>
      <c r="T276" s="104">
        <f t="shared" si="276"/>
        <v>2</v>
      </c>
      <c r="U276" s="105">
        <f>R276+S276-T276</f>
        <v>0</v>
      </c>
      <c r="V276" s="106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8"/>
      <c r="AQ276" s="109"/>
      <c r="AR276" s="110"/>
      <c r="AS276" s="108"/>
      <c r="AT276" s="111"/>
      <c r="AU276" s="112"/>
      <c r="AV276" s="112"/>
      <c r="AW276" s="112"/>
      <c r="AX276" s="112"/>
      <c r="AY276" s="112"/>
      <c r="AZ276" s="112"/>
      <c r="BA276" s="112"/>
      <c r="BB276" s="112"/>
      <c r="BC276" s="112"/>
      <c r="BD276" s="112"/>
      <c r="BE276" s="112"/>
      <c r="BF276" s="113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>
        <v>2</v>
      </c>
      <c r="BR276" s="64"/>
      <c r="BS276" s="64"/>
      <c r="BT276" s="65"/>
    </row>
    <row r="277" spans="1:79" ht="15" customHeight="1" x14ac:dyDescent="0.25">
      <c r="A277" s="22"/>
      <c r="B277" s="22">
        <v>439</v>
      </c>
      <c r="C277" s="98" t="s">
        <v>603</v>
      </c>
      <c r="D277" s="174">
        <v>2019</v>
      </c>
      <c r="E277" s="22" t="s">
        <v>604</v>
      </c>
      <c r="F277" s="22" t="s">
        <v>605</v>
      </c>
      <c r="G277" s="22" t="s">
        <v>606</v>
      </c>
      <c r="H277" s="22" t="s">
        <v>607</v>
      </c>
      <c r="I277" s="55">
        <v>17.079999999999998</v>
      </c>
      <c r="J277" s="55">
        <v>25</v>
      </c>
      <c r="K277" s="55">
        <f>(I277+J277)*0.1</f>
        <v>4.2080000000000002</v>
      </c>
      <c r="L277" s="55">
        <f>SUM(I277:K277)</f>
        <v>46.287999999999997</v>
      </c>
      <c r="M277" s="55">
        <f>ROUND(L277,0)</f>
        <v>46</v>
      </c>
      <c r="N277" s="56">
        <v>46</v>
      </c>
      <c r="O277" s="57">
        <f>I277*$O$2*1.22</f>
        <v>34.382039999999996</v>
      </c>
      <c r="P277" s="58">
        <f>N277-M277</f>
        <v>0</v>
      </c>
      <c r="Q277" s="59">
        <f>N277/$Q$3</f>
        <v>7.666666666666667</v>
      </c>
      <c r="R277" s="60"/>
      <c r="S277" s="60">
        <v>6</v>
      </c>
      <c r="T277" s="60">
        <f>W277+X277+Y277+Z277+AA277+AB277+AC277+AD277+AE277+AF277+AG277+AH277+AI277+AJ277+AK277+AL277+AM277+AN277+AO277+AP277+AQ277+AR277+AS277+AT277+AU277+AV277+AW277+AX277+AY277+AZ277+BA277+BB277+BC277+BD277+BE277+BF277+BG277+BH277+BI277+BJ277+BK277+BL277+BM277+BQ277+BR277+BS277+BT277</f>
        <v>7</v>
      </c>
      <c r="U277" s="61">
        <f>R277+S277-T277</f>
        <v>-1</v>
      </c>
      <c r="V277" s="62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1"/>
      <c r="AQ277" s="32"/>
      <c r="AR277" s="33"/>
      <c r="AS277" s="31"/>
      <c r="AT277" s="63"/>
      <c r="AU277" s="34"/>
      <c r="AV277" s="34"/>
      <c r="AW277" s="34"/>
      <c r="AX277" s="34"/>
      <c r="AY277" s="34"/>
      <c r="AZ277" s="34">
        <v>1</v>
      </c>
      <c r="BA277" s="34"/>
      <c r="BB277" s="34"/>
      <c r="BC277" s="34"/>
      <c r="BD277" s="34"/>
      <c r="BE277" s="34"/>
      <c r="BF277" s="64"/>
      <c r="BH277" s="64">
        <v>1</v>
      </c>
      <c r="BJ277" s="64">
        <v>1</v>
      </c>
      <c r="BK277" s="64">
        <v>2</v>
      </c>
      <c r="BL277" s="64">
        <v>1</v>
      </c>
      <c r="BP277" s="64">
        <v>1</v>
      </c>
      <c r="BT277" s="64">
        <v>1</v>
      </c>
      <c r="BU277" s="64">
        <v>1</v>
      </c>
      <c r="BV277" s="64"/>
      <c r="BW277" s="64"/>
      <c r="BX277" s="64"/>
      <c r="BY277" s="64"/>
      <c r="BZ277" s="64"/>
      <c r="CA277" s="64"/>
    </row>
    <row r="278" spans="1:79" s="54" customFormat="1" ht="15" customHeight="1" x14ac:dyDescent="0.25">
      <c r="A278" s="68"/>
      <c r="B278" s="22">
        <v>248</v>
      </c>
      <c r="C278" s="98" t="s">
        <v>572</v>
      </c>
      <c r="D278" s="181">
        <v>2009</v>
      </c>
      <c r="E278" s="68" t="s">
        <v>608</v>
      </c>
      <c r="F278" s="68" t="s">
        <v>555</v>
      </c>
      <c r="G278" s="68" t="s">
        <v>238</v>
      </c>
      <c r="H278" s="68" t="s">
        <v>396</v>
      </c>
      <c r="I278" s="99">
        <v>30.33</v>
      </c>
      <c r="J278" s="99">
        <f>IF(I278&lt;=15,$L$2,$L$3)</f>
        <v>30</v>
      </c>
      <c r="K278" s="99">
        <f>(I278+J278)*0.1</f>
        <v>6.0330000000000004</v>
      </c>
      <c r="L278" s="99">
        <f>SUM(I278:K278)</f>
        <v>66.363</v>
      </c>
      <c r="M278" s="99">
        <v>75</v>
      </c>
      <c r="N278" s="100">
        <v>85</v>
      </c>
      <c r="O278" s="101">
        <f>I278*$O$2*1.22</f>
        <v>61.054289999999988</v>
      </c>
      <c r="P278" s="102">
        <f>N278-M278</f>
        <v>10</v>
      </c>
      <c r="Q278" s="103">
        <f>N278/$Q$3</f>
        <v>14.166666666666666</v>
      </c>
      <c r="R278" s="104">
        <v>3</v>
      </c>
      <c r="S278" s="104"/>
      <c r="T278" s="104">
        <f>W278+X278+Y278+Z278+AA278+AB278+AC278+AD278+AE278+AF278+AG278+AH278+AI278+AJ278+AK278+AL278+AM278+AN278+AO278+AP278+AQ278+AR278+AS278+AT278+AU278+AV278+AW278+AX278+AY278+AZ278+BA278+BB278+BC278+BD278+BE278+BF278+BG278+BH278+BI278+BJ278+BK278+BL278+BM278+BQ278+BR278+BS278+BT278</f>
        <v>3</v>
      </c>
      <c r="U278" s="105">
        <f>R278+S278-T278</f>
        <v>0</v>
      </c>
      <c r="V278" s="106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>
        <v>1</v>
      </c>
      <c r="AH278" s="107"/>
      <c r="AI278" s="107"/>
      <c r="AJ278" s="107"/>
      <c r="AK278" s="107"/>
      <c r="AL278" s="107"/>
      <c r="AM278" s="107"/>
      <c r="AN278" s="107"/>
      <c r="AO278" s="107"/>
      <c r="AP278" s="108"/>
      <c r="AQ278" s="109"/>
      <c r="AR278" s="110"/>
      <c r="AS278" s="108"/>
      <c r="AT278" s="111"/>
      <c r="AU278" s="112">
        <v>2</v>
      </c>
      <c r="AV278" s="112"/>
      <c r="AW278" s="112"/>
      <c r="AX278" s="112"/>
      <c r="AY278" s="112"/>
      <c r="AZ278" s="112"/>
      <c r="BA278" s="112"/>
      <c r="BB278" s="112"/>
      <c r="BC278" s="112"/>
      <c r="BD278" s="112"/>
      <c r="BE278" s="112"/>
      <c r="BF278" s="113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</row>
    <row r="279" spans="1:79" ht="15" customHeight="1" x14ac:dyDescent="0.25">
      <c r="A279" s="68"/>
      <c r="B279" s="22">
        <v>249</v>
      </c>
      <c r="C279" s="98" t="s">
        <v>572</v>
      </c>
      <c r="D279" s="181">
        <v>2019</v>
      </c>
      <c r="E279" s="68" t="s">
        <v>609</v>
      </c>
      <c r="F279" s="68" t="s">
        <v>555</v>
      </c>
      <c r="G279" s="68" t="s">
        <v>238</v>
      </c>
      <c r="H279" s="68" t="s">
        <v>84</v>
      </c>
      <c r="I279" s="99">
        <v>66.5</v>
      </c>
      <c r="J279" s="99">
        <v>70</v>
      </c>
      <c r="K279" s="99">
        <f t="shared" ref="K279:K280" si="309">(I279+J279)*0.1</f>
        <v>13.65</v>
      </c>
      <c r="L279" s="99">
        <f t="shared" ref="L279:L280" si="310">SUM(I279:K279)</f>
        <v>150.15</v>
      </c>
      <c r="M279" s="99">
        <v>75</v>
      </c>
      <c r="N279" s="100">
        <v>140</v>
      </c>
      <c r="O279" s="101">
        <f t="shared" ref="O279:O280" si="311">I279*$O$2*1.22</f>
        <v>133.86449999999999</v>
      </c>
      <c r="P279" s="102">
        <f t="shared" ref="P279:P280" si="312">N279-M279</f>
        <v>65</v>
      </c>
      <c r="Q279" s="103">
        <f t="shared" ref="Q279:Q280" si="313">N279/$Q$3</f>
        <v>23.333333333333332</v>
      </c>
      <c r="R279" s="104"/>
      <c r="S279" s="104">
        <v>4</v>
      </c>
      <c r="T279" s="104">
        <f t="shared" ref="T279:T280" si="314">W279+X279+Y279+Z279+AA279+AB279+AC279+AD279+AE279+AF279+AG279+AH279+AI279+AJ279+AK279+AL279+AM279+AN279+AO279+AP279+AQ279+AR279+AS279+AT279+AU279+AV279+AW279+AX279+AY279+AZ279+BA279+BB279+BC279+BD279+BE279+BF279+BG279+BH279+BI279+BJ279+BK279+BL279+BM279+BQ279+BR279+BS279+BT279</f>
        <v>0</v>
      </c>
      <c r="U279" s="105">
        <f t="shared" ref="U279:U280" si="315">R279+S279-T279</f>
        <v>4</v>
      </c>
      <c r="V279" s="106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8"/>
      <c r="AQ279" s="109"/>
      <c r="AR279" s="110"/>
      <c r="AS279" s="108"/>
      <c r="AT279" s="111"/>
      <c r="AU279" s="112"/>
      <c r="AV279" s="112"/>
      <c r="AW279" s="112"/>
      <c r="AX279" s="112"/>
      <c r="AY279" s="112"/>
      <c r="AZ279" s="112"/>
      <c r="BA279" s="112"/>
      <c r="BB279" s="112"/>
      <c r="BC279" s="112"/>
      <c r="BD279" s="112"/>
      <c r="BE279" s="112"/>
      <c r="BF279" s="113"/>
      <c r="BT279" s="64"/>
      <c r="BU279" s="64"/>
      <c r="BV279" s="64"/>
      <c r="BW279" s="64"/>
      <c r="BX279" s="64"/>
      <c r="BY279" s="64"/>
      <c r="BZ279" s="64"/>
      <c r="CA279" s="64"/>
    </row>
    <row r="280" spans="1:79" x14ac:dyDescent="0.25">
      <c r="A280" s="68"/>
      <c r="B280" s="22">
        <v>250</v>
      </c>
      <c r="C280" s="98" t="s">
        <v>572</v>
      </c>
      <c r="D280" s="181">
        <v>2019</v>
      </c>
      <c r="E280" s="68" t="s">
        <v>610</v>
      </c>
      <c r="F280" s="68" t="s">
        <v>555</v>
      </c>
      <c r="G280" s="68" t="s">
        <v>238</v>
      </c>
      <c r="H280" s="68" t="s">
        <v>78</v>
      </c>
      <c r="I280" s="99">
        <v>88.9</v>
      </c>
      <c r="J280" s="99">
        <v>90</v>
      </c>
      <c r="K280" s="99">
        <f t="shared" si="309"/>
        <v>17.89</v>
      </c>
      <c r="L280" s="99">
        <f t="shared" si="310"/>
        <v>196.79000000000002</v>
      </c>
      <c r="M280" s="99">
        <v>75</v>
      </c>
      <c r="N280" s="100">
        <v>185</v>
      </c>
      <c r="O280" s="101">
        <f t="shared" si="311"/>
        <v>178.95570000000001</v>
      </c>
      <c r="P280" s="102">
        <f t="shared" si="312"/>
        <v>110</v>
      </c>
      <c r="Q280" s="103">
        <f t="shared" si="313"/>
        <v>30.833333333333332</v>
      </c>
      <c r="R280" s="104"/>
      <c r="S280" s="104">
        <v>1</v>
      </c>
      <c r="T280" s="104">
        <f t="shared" si="314"/>
        <v>0</v>
      </c>
      <c r="U280" s="105">
        <f t="shared" si="315"/>
        <v>1</v>
      </c>
      <c r="AO280" s="107"/>
      <c r="AP280" s="108"/>
      <c r="AQ280" s="109"/>
      <c r="AR280" s="110"/>
      <c r="AS280" s="108"/>
      <c r="AT280" s="111"/>
      <c r="AU280" s="112"/>
      <c r="AV280" s="112"/>
      <c r="AW280" s="112"/>
      <c r="AX280" s="112"/>
      <c r="AY280" s="112"/>
      <c r="AZ280" s="112"/>
      <c r="BA280" s="112"/>
      <c r="BB280" s="112"/>
      <c r="BC280" s="112"/>
      <c r="BD280" s="112"/>
      <c r="BE280" s="112"/>
      <c r="BF280" s="113"/>
      <c r="BT280" s="64"/>
      <c r="BU280" s="64"/>
      <c r="BV280" s="64"/>
      <c r="BW280" s="64"/>
      <c r="BX280" s="64"/>
      <c r="BY280" s="64"/>
      <c r="BZ280" s="64"/>
      <c r="CA280" s="64"/>
    </row>
    <row r="281" spans="1:79" s="116" customFormat="1" ht="14.25" customHeight="1" x14ac:dyDescent="0.25">
      <c r="A281" s="71"/>
      <c r="B281" s="29">
        <v>249</v>
      </c>
      <c r="C281" s="115" t="s">
        <v>611</v>
      </c>
      <c r="D281" s="174">
        <v>2020</v>
      </c>
      <c r="E281" s="22" t="s">
        <v>612</v>
      </c>
      <c r="F281" s="22" t="s">
        <v>222</v>
      </c>
      <c r="G281" s="22" t="s">
        <v>321</v>
      </c>
      <c r="H281" s="22" t="s">
        <v>137</v>
      </c>
      <c r="I281" s="55">
        <v>35.6</v>
      </c>
      <c r="J281" s="55">
        <v>40</v>
      </c>
      <c r="K281" s="55">
        <f t="shared" si="250"/>
        <v>7.56</v>
      </c>
      <c r="L281" s="55">
        <f t="shared" si="251"/>
        <v>83.16</v>
      </c>
      <c r="M281" s="55">
        <f t="shared" si="300"/>
        <v>83</v>
      </c>
      <c r="N281" s="56">
        <v>85</v>
      </c>
      <c r="O281" s="57">
        <f t="shared" si="308"/>
        <v>71.662800000000004</v>
      </c>
      <c r="P281" s="58">
        <f t="shared" si="253"/>
        <v>2</v>
      </c>
      <c r="Q281" s="59">
        <f t="shared" si="296"/>
        <v>14.166666666666666</v>
      </c>
      <c r="R281" s="60">
        <v>15</v>
      </c>
      <c r="S281" s="60">
        <f>6+6</f>
        <v>12</v>
      </c>
      <c r="T281" s="60">
        <f t="shared" si="276"/>
        <v>19</v>
      </c>
      <c r="U281" s="61">
        <f t="shared" si="295"/>
        <v>8</v>
      </c>
      <c r="V281" s="62"/>
      <c r="W281" s="30"/>
      <c r="X281" s="30">
        <v>1</v>
      </c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1">
        <v>2</v>
      </c>
      <c r="AQ281" s="32"/>
      <c r="AR281" s="33"/>
      <c r="AS281" s="31">
        <v>1</v>
      </c>
      <c r="AT281" s="63"/>
      <c r="AU281" s="34">
        <v>1</v>
      </c>
      <c r="AV281" s="34"/>
      <c r="AW281" s="34"/>
      <c r="AX281" s="34"/>
      <c r="AY281" s="34"/>
      <c r="AZ281" s="34"/>
      <c r="BA281" s="34"/>
      <c r="BB281" s="34">
        <v>4</v>
      </c>
      <c r="BC281" s="34">
        <v>3</v>
      </c>
      <c r="BD281" s="34"/>
      <c r="BE281" s="34"/>
      <c r="BF281" s="64">
        <v>1</v>
      </c>
      <c r="BG281" s="64"/>
      <c r="BH281" s="64">
        <v>1</v>
      </c>
      <c r="BI281" s="64"/>
      <c r="BJ281" s="64">
        <v>1</v>
      </c>
      <c r="BK281" s="64"/>
      <c r="BL281" s="64">
        <v>2</v>
      </c>
      <c r="BM281" s="64"/>
      <c r="BN281" s="64"/>
      <c r="BO281" s="64"/>
      <c r="BP281" s="64">
        <v>2</v>
      </c>
      <c r="BQ281" s="64">
        <v>2</v>
      </c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</row>
    <row r="282" spans="1:79" s="54" customFormat="1" ht="15" customHeight="1" x14ac:dyDescent="0.25">
      <c r="A282" s="22"/>
      <c r="B282" s="22">
        <v>250</v>
      </c>
      <c r="C282" s="115" t="s">
        <v>611</v>
      </c>
      <c r="D282" s="174">
        <v>2020</v>
      </c>
      <c r="E282" s="22" t="s">
        <v>613</v>
      </c>
      <c r="F282" s="22" t="s">
        <v>83</v>
      </c>
      <c r="G282" s="22" t="s">
        <v>81</v>
      </c>
      <c r="H282" s="22" t="s">
        <v>135</v>
      </c>
      <c r="I282" s="55">
        <v>30.97</v>
      </c>
      <c r="J282" s="55">
        <f>IF(I282&lt;=15,$L$2,$L$3)</f>
        <v>30</v>
      </c>
      <c r="K282" s="55">
        <f t="shared" si="250"/>
        <v>6.0970000000000004</v>
      </c>
      <c r="L282" s="55">
        <f t="shared" si="251"/>
        <v>67.066999999999993</v>
      </c>
      <c r="M282" s="55">
        <f t="shared" si="300"/>
        <v>67</v>
      </c>
      <c r="N282" s="56">
        <v>70</v>
      </c>
      <c r="O282" s="57">
        <f t="shared" si="308"/>
        <v>62.342609999999993</v>
      </c>
      <c r="P282" s="58">
        <f t="shared" si="253"/>
        <v>3</v>
      </c>
      <c r="Q282" s="59">
        <f t="shared" si="296"/>
        <v>11.666666666666666</v>
      </c>
      <c r="R282" s="60">
        <v>12</v>
      </c>
      <c r="S282" s="60">
        <f>6+6+6</f>
        <v>18</v>
      </c>
      <c r="T282" s="60">
        <f t="shared" si="276"/>
        <v>15</v>
      </c>
      <c r="U282" s="61">
        <f t="shared" si="295"/>
        <v>15</v>
      </c>
      <c r="V282" s="62"/>
      <c r="W282" s="30">
        <v>1</v>
      </c>
      <c r="X282" s="30"/>
      <c r="Y282" s="30">
        <v>2</v>
      </c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1"/>
      <c r="AQ282" s="32">
        <v>2</v>
      </c>
      <c r="AR282" s="33"/>
      <c r="AS282" s="31"/>
      <c r="AT282" s="63"/>
      <c r="AU282" s="34">
        <v>2</v>
      </c>
      <c r="AV282" s="34">
        <v>1</v>
      </c>
      <c r="AW282" s="34"/>
      <c r="AX282" s="34"/>
      <c r="AY282" s="34"/>
      <c r="AZ282" s="34"/>
      <c r="BA282" s="34"/>
      <c r="BB282" s="34"/>
      <c r="BC282" s="34">
        <v>1</v>
      </c>
      <c r="BD282" s="34"/>
      <c r="BE282" s="34"/>
      <c r="BF282" s="64"/>
      <c r="BG282" s="64">
        <v>1</v>
      </c>
      <c r="BH282" s="64"/>
      <c r="BI282" s="64">
        <v>1</v>
      </c>
      <c r="BJ282" s="64">
        <v>2</v>
      </c>
      <c r="BK282" s="64"/>
      <c r="BL282" s="64"/>
      <c r="BM282" s="64"/>
      <c r="BN282" s="64"/>
      <c r="BO282" s="64"/>
      <c r="BP282" s="64"/>
      <c r="BQ282" s="64"/>
      <c r="BR282" s="64">
        <v>1</v>
      </c>
      <c r="BS282" s="64"/>
      <c r="BT282" s="64">
        <v>1</v>
      </c>
      <c r="BU282" s="64"/>
      <c r="BV282" s="64"/>
      <c r="BW282" s="64"/>
      <c r="BX282" s="64"/>
      <c r="BY282" s="64"/>
      <c r="BZ282" s="64"/>
      <c r="CA282" s="64"/>
    </row>
    <row r="283" spans="1:79" s="54" customFormat="1" x14ac:dyDescent="0.25">
      <c r="A283" s="22"/>
      <c r="B283" s="22">
        <v>251</v>
      </c>
      <c r="C283" s="115" t="s">
        <v>611</v>
      </c>
      <c r="D283" s="174">
        <v>2016</v>
      </c>
      <c r="E283" s="22" t="s">
        <v>614</v>
      </c>
      <c r="F283" s="22" t="s">
        <v>83</v>
      </c>
      <c r="G283" s="22" t="s">
        <v>81</v>
      </c>
      <c r="H283" s="22" t="s">
        <v>135</v>
      </c>
      <c r="I283" s="55">
        <v>61.5</v>
      </c>
      <c r="J283" s="55">
        <v>60</v>
      </c>
      <c r="K283" s="55">
        <f>(I283+J283)*0.1</f>
        <v>12.15</v>
      </c>
      <c r="L283" s="55">
        <f>SUM(I283:K283)</f>
        <v>133.65</v>
      </c>
      <c r="M283" s="55">
        <f>ROUND(L283,0)</f>
        <v>134</v>
      </c>
      <c r="N283" s="56">
        <v>134</v>
      </c>
      <c r="O283" s="57">
        <f t="shared" si="308"/>
        <v>123.79949999999999</v>
      </c>
      <c r="P283" s="58">
        <f>N283-M283</f>
        <v>0</v>
      </c>
      <c r="Q283" s="59">
        <f t="shared" si="296"/>
        <v>22.333333333333332</v>
      </c>
      <c r="R283" s="60">
        <v>0</v>
      </c>
      <c r="S283" s="60"/>
      <c r="T283" s="60">
        <f t="shared" si="276"/>
        <v>0</v>
      </c>
      <c r="U283" s="61">
        <f>R283+S283-T283</f>
        <v>0</v>
      </c>
      <c r="V283" s="62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1"/>
      <c r="AQ283" s="32"/>
      <c r="AR283" s="33"/>
      <c r="AS283" s="31"/>
      <c r="AT283" s="63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</row>
    <row r="284" spans="1:79" s="54" customFormat="1" ht="15" customHeight="1" x14ac:dyDescent="0.25">
      <c r="A284" s="22"/>
      <c r="B284" s="29">
        <v>253</v>
      </c>
      <c r="C284" s="115" t="s">
        <v>611</v>
      </c>
      <c r="D284" s="174">
        <v>2019</v>
      </c>
      <c r="E284" s="22" t="s">
        <v>615</v>
      </c>
      <c r="F284" s="22" t="s">
        <v>616</v>
      </c>
      <c r="G284" s="22" t="s">
        <v>81</v>
      </c>
      <c r="H284" s="22" t="s">
        <v>137</v>
      </c>
      <c r="I284" s="55">
        <v>28.51</v>
      </c>
      <c r="J284" s="55">
        <f>IF(I284&lt;=15,$L$2,$L$3)</f>
        <v>30</v>
      </c>
      <c r="K284" s="55">
        <f>(I284+J284)*0.1</f>
        <v>5.8510000000000009</v>
      </c>
      <c r="L284" s="55">
        <f>SUM(I284:K284)</f>
        <v>64.361000000000004</v>
      </c>
      <c r="M284" s="55">
        <f>ROUND(L284,0)</f>
        <v>64</v>
      </c>
      <c r="N284" s="56">
        <v>64</v>
      </c>
      <c r="O284" s="57">
        <f>I284*$O$2*1.22</f>
        <v>57.390629999999994</v>
      </c>
      <c r="P284" s="58">
        <f>N284-M284</f>
        <v>0</v>
      </c>
      <c r="Q284" s="59">
        <f>N284/$Q$3</f>
        <v>10.666666666666666</v>
      </c>
      <c r="R284" s="60">
        <v>8</v>
      </c>
      <c r="S284" s="60">
        <v>8</v>
      </c>
      <c r="T284" s="60">
        <f>W284+X284+Y284+Z284+AA284+AB284+AC284+AD284+AE284+AF284+AG284+AH284+AI284+AJ284+AK284+AL284+AM284+AN284+AO284+AP284+AQ284+AR284+AS284+AT284+AU284+AV284+AW284+AX284+AY284+AZ284+BA284+BB284+BC284+BD284+BE284+BF284+BG284+BH284+BI284+BJ284+BK284+BL284+BM284+BQ284+BR284+BS284+BT284</f>
        <v>15</v>
      </c>
      <c r="U284" s="61">
        <f>R284+S284-T284</f>
        <v>1</v>
      </c>
      <c r="V284" s="62"/>
      <c r="W284" s="30">
        <v>1</v>
      </c>
      <c r="X284" s="30"/>
      <c r="Y284" s="30"/>
      <c r="Z284" s="30"/>
      <c r="AA284" s="30"/>
      <c r="AB284" s="30"/>
      <c r="AC284" s="30">
        <v>1</v>
      </c>
      <c r="AD284" s="30"/>
      <c r="AE284" s="30"/>
      <c r="AF284" s="30"/>
      <c r="AG284" s="30">
        <v>1</v>
      </c>
      <c r="AH284" s="30"/>
      <c r="AI284" s="30"/>
      <c r="AJ284" s="30"/>
      <c r="AK284" s="30"/>
      <c r="AL284" s="30"/>
      <c r="AM284" s="30"/>
      <c r="AN284" s="30"/>
      <c r="AO284" s="30"/>
      <c r="AP284" s="31"/>
      <c r="AQ284" s="32"/>
      <c r="AR284" s="33"/>
      <c r="AS284" s="31"/>
      <c r="AT284" s="63"/>
      <c r="AU284" s="34">
        <v>1</v>
      </c>
      <c r="AV284" s="34"/>
      <c r="AW284" s="34"/>
      <c r="AX284" s="34"/>
      <c r="AY284" s="34"/>
      <c r="AZ284" s="34"/>
      <c r="BA284" s="34"/>
      <c r="BB284" s="34">
        <v>1</v>
      </c>
      <c r="BC284" s="34"/>
      <c r="BD284" s="34"/>
      <c r="BE284" s="34"/>
      <c r="BF284" s="64">
        <v>1</v>
      </c>
      <c r="BG284" s="64"/>
      <c r="BH284" s="64">
        <v>1</v>
      </c>
      <c r="BI284" s="64"/>
      <c r="BJ284" s="64"/>
      <c r="BK284" s="64">
        <v>2</v>
      </c>
      <c r="BL284" s="64">
        <v>1</v>
      </c>
      <c r="BM284" s="64"/>
      <c r="BN284" s="64"/>
      <c r="BO284" s="64"/>
      <c r="BP284" s="64"/>
      <c r="BQ284" s="64">
        <v>3</v>
      </c>
      <c r="BR284" s="64"/>
      <c r="BS284" s="64"/>
      <c r="BT284" s="64">
        <v>2</v>
      </c>
      <c r="BU284" s="64">
        <v>1</v>
      </c>
      <c r="BV284" s="64"/>
      <c r="BW284" s="64"/>
      <c r="BX284" s="64"/>
      <c r="BY284" s="64"/>
      <c r="BZ284" s="64"/>
      <c r="CA284" s="64"/>
    </row>
    <row r="285" spans="1:79" s="54" customFormat="1" ht="15" customHeight="1" x14ac:dyDescent="0.25">
      <c r="A285" s="22"/>
      <c r="B285" s="29">
        <v>254</v>
      </c>
      <c r="C285" s="115" t="s">
        <v>611</v>
      </c>
      <c r="D285" s="174">
        <v>2018</v>
      </c>
      <c r="E285" s="22" t="s">
        <v>617</v>
      </c>
      <c r="F285" s="22" t="s">
        <v>616</v>
      </c>
      <c r="G285" s="22" t="s">
        <v>81</v>
      </c>
      <c r="H285" s="22" t="s">
        <v>137</v>
      </c>
      <c r="I285" s="55">
        <v>59.66</v>
      </c>
      <c r="J285" s="55">
        <v>50</v>
      </c>
      <c r="K285" s="55">
        <f t="shared" ref="K285" si="316">(I285+J285)*0.1</f>
        <v>10.966000000000001</v>
      </c>
      <c r="L285" s="55">
        <f t="shared" ref="L285" si="317">SUM(I285:K285)</f>
        <v>120.626</v>
      </c>
      <c r="M285" s="55">
        <f t="shared" ref="M285" si="318">ROUND(L285,0)</f>
        <v>121</v>
      </c>
      <c r="N285" s="56">
        <v>130</v>
      </c>
      <c r="O285" s="57">
        <f t="shared" ref="O285" si="319">I285*$O$2*1.22</f>
        <v>120.09557999999998</v>
      </c>
      <c r="P285" s="58">
        <f t="shared" ref="P285" si="320">N285-M285</f>
        <v>9</v>
      </c>
      <c r="Q285" s="59">
        <f t="shared" ref="Q285" si="321">N285/$Q$3</f>
        <v>21.666666666666668</v>
      </c>
      <c r="R285" s="60"/>
      <c r="S285" s="60">
        <v>1</v>
      </c>
      <c r="T285" s="60">
        <f t="shared" ref="T285" si="322">W285+X285+Y285+Z285+AA285+AB285+AC285+AD285+AE285+AF285+AG285+AH285+AI285+AJ285+AK285+AL285+AM285+AN285+AO285+AP285+AQ285+AR285+AS285+AT285+AU285+AV285+AW285+AX285+AY285+AZ285+BA285+BB285+BC285+BD285+BE285+BF285+BG285+BH285+BI285+BJ285+BK285+BL285+BM285+BQ285+BR285+BS285+BT285</f>
        <v>0</v>
      </c>
      <c r="U285" s="61">
        <f t="shared" ref="U285" si="323">R285+S285-T285</f>
        <v>1</v>
      </c>
      <c r="V285" s="62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1"/>
      <c r="AQ285" s="32"/>
      <c r="AR285" s="33"/>
      <c r="AS285" s="31"/>
      <c r="AT285" s="63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</row>
    <row r="286" spans="1:79" s="54" customFormat="1" ht="13.5" customHeight="1" x14ac:dyDescent="0.25">
      <c r="A286" s="22"/>
      <c r="B286" s="22">
        <v>254</v>
      </c>
      <c r="C286" s="115" t="s">
        <v>611</v>
      </c>
      <c r="D286" s="168">
        <v>2021</v>
      </c>
      <c r="E286" s="22" t="s">
        <v>618</v>
      </c>
      <c r="F286" s="22" t="s">
        <v>616</v>
      </c>
      <c r="G286" s="22" t="s">
        <v>81</v>
      </c>
      <c r="H286" s="22" t="s">
        <v>137</v>
      </c>
      <c r="I286" s="55">
        <v>17.5</v>
      </c>
      <c r="J286" s="55">
        <f t="shared" ref="J286:J292" si="324">IF(I286&lt;=15,$L$2,$L$3)</f>
        <v>30</v>
      </c>
      <c r="K286" s="55">
        <f t="shared" si="250"/>
        <v>4.75</v>
      </c>
      <c r="L286" s="55">
        <f t="shared" si="251"/>
        <v>52.25</v>
      </c>
      <c r="M286" s="55">
        <f t="shared" si="300"/>
        <v>52</v>
      </c>
      <c r="N286" s="56">
        <v>50</v>
      </c>
      <c r="O286" s="57">
        <f t="shared" si="308"/>
        <v>35.227499999999999</v>
      </c>
      <c r="P286" s="58">
        <f t="shared" si="253"/>
        <v>-2</v>
      </c>
      <c r="Q286" s="59">
        <f t="shared" si="296"/>
        <v>8.3333333333333339</v>
      </c>
      <c r="R286" s="60">
        <v>15</v>
      </c>
      <c r="S286" s="60">
        <f>5+12+6</f>
        <v>23</v>
      </c>
      <c r="T286" s="60">
        <f t="shared" si="276"/>
        <v>23</v>
      </c>
      <c r="U286" s="61">
        <f t="shared" si="295"/>
        <v>15</v>
      </c>
      <c r="V286" s="62"/>
      <c r="W286" s="30"/>
      <c r="X286" s="30">
        <v>1</v>
      </c>
      <c r="Y286" s="30"/>
      <c r="Z286" s="30">
        <v>1</v>
      </c>
      <c r="AA286" s="30">
        <v>1</v>
      </c>
      <c r="AB286" s="30"/>
      <c r="AC286" s="30"/>
      <c r="AD286" s="30">
        <v>2</v>
      </c>
      <c r="AE286" s="30"/>
      <c r="AF286" s="30"/>
      <c r="AG286" s="30">
        <v>2</v>
      </c>
      <c r="AH286" s="30"/>
      <c r="AI286" s="30"/>
      <c r="AJ286" s="30"/>
      <c r="AK286" s="30"/>
      <c r="AL286" s="30"/>
      <c r="AM286" s="30"/>
      <c r="AN286" s="30"/>
      <c r="AO286" s="30"/>
      <c r="AP286" s="31"/>
      <c r="AQ286" s="32">
        <v>1</v>
      </c>
      <c r="AR286" s="33"/>
      <c r="AS286" s="31"/>
      <c r="AT286" s="63">
        <v>1</v>
      </c>
      <c r="AU286" s="34"/>
      <c r="AV286" s="34"/>
      <c r="AW286" s="34"/>
      <c r="AX286" s="34"/>
      <c r="AY286" s="34"/>
      <c r="AZ286" s="34">
        <v>1</v>
      </c>
      <c r="BA286" s="34">
        <v>1</v>
      </c>
      <c r="BB286" s="34"/>
      <c r="BC286" s="34"/>
      <c r="BD286" s="34">
        <v>1</v>
      </c>
      <c r="BE286" s="34">
        <v>1</v>
      </c>
      <c r="BF286" s="64"/>
      <c r="BG286" s="64"/>
      <c r="BH286" s="64">
        <v>3</v>
      </c>
      <c r="BI286" s="64"/>
      <c r="BJ286" s="64"/>
      <c r="BK286" s="64">
        <v>1</v>
      </c>
      <c r="BL286" s="64"/>
      <c r="BM286" s="64"/>
      <c r="BN286" s="64">
        <v>1</v>
      </c>
      <c r="BO286" s="64"/>
      <c r="BP286" s="64"/>
      <c r="BQ286" s="64"/>
      <c r="BR286" s="64"/>
      <c r="BS286" s="64"/>
      <c r="BT286" s="64">
        <v>6</v>
      </c>
      <c r="BU286" s="64"/>
      <c r="BV286" s="64"/>
      <c r="BW286" s="64"/>
      <c r="BX286" s="64"/>
      <c r="BY286" s="64"/>
      <c r="BZ286" s="64"/>
      <c r="CA286" s="64"/>
    </row>
    <row r="287" spans="1:79" s="54" customFormat="1" ht="15" customHeight="1" x14ac:dyDescent="0.25">
      <c r="A287" s="22"/>
      <c r="B287" s="22">
        <v>255</v>
      </c>
      <c r="C287" s="115" t="s">
        <v>611</v>
      </c>
      <c r="D287" s="174">
        <v>2020</v>
      </c>
      <c r="E287" s="22" t="s">
        <v>618</v>
      </c>
      <c r="F287" s="22" t="s">
        <v>619</v>
      </c>
      <c r="G287" s="22" t="s">
        <v>81</v>
      </c>
      <c r="H287" s="22" t="s">
        <v>135</v>
      </c>
      <c r="I287" s="55">
        <v>20.9</v>
      </c>
      <c r="J287" s="55">
        <f t="shared" si="324"/>
        <v>30</v>
      </c>
      <c r="K287" s="55">
        <f t="shared" si="250"/>
        <v>5.09</v>
      </c>
      <c r="L287" s="55">
        <f t="shared" si="251"/>
        <v>55.989999999999995</v>
      </c>
      <c r="M287" s="55">
        <f t="shared" si="300"/>
        <v>56</v>
      </c>
      <c r="N287" s="56">
        <v>60</v>
      </c>
      <c r="O287" s="57">
        <f t="shared" si="308"/>
        <v>42.071699999999993</v>
      </c>
      <c r="P287" s="58">
        <f t="shared" si="253"/>
        <v>4</v>
      </c>
      <c r="Q287" s="59">
        <f t="shared" si="296"/>
        <v>10</v>
      </c>
      <c r="R287" s="60">
        <v>12</v>
      </c>
      <c r="S287" s="60">
        <f>17+12+12+12</f>
        <v>53</v>
      </c>
      <c r="T287" s="60">
        <f t="shared" ref="T287:T343" si="325">W287+X287+Y287+Z287+AA287+AB287+AC287+AD287+AE287+AF287+AG287+AH287+AI287+AJ287+AK287+AL287+AM287+AN287+AO287+AP287+AQ287+AR287+AS287+AT287+AU287+AV287+AW287+AX287+AY287+AZ287+BA287+BB287+BC287+BD287+BE287+BF287+BG287+BH287+BI287+BJ287+BK287+BL287+BM287+BQ287+BR287+BS287+BT287</f>
        <v>48</v>
      </c>
      <c r="U287" s="61">
        <f t="shared" si="295"/>
        <v>17</v>
      </c>
      <c r="V287" s="62"/>
      <c r="W287" s="30">
        <v>4</v>
      </c>
      <c r="X287" s="30">
        <v>1</v>
      </c>
      <c r="Y287" s="30"/>
      <c r="Z287" s="30">
        <v>1</v>
      </c>
      <c r="AA287" s="30">
        <v>1</v>
      </c>
      <c r="AB287" s="30">
        <v>3</v>
      </c>
      <c r="AC287" s="30">
        <v>1</v>
      </c>
      <c r="AD287" s="30">
        <v>3</v>
      </c>
      <c r="AE287" s="30"/>
      <c r="AF287" s="30">
        <v>1</v>
      </c>
      <c r="AG287" s="30">
        <v>7</v>
      </c>
      <c r="AH287" s="30">
        <v>2</v>
      </c>
      <c r="AI287" s="30"/>
      <c r="AJ287" s="30"/>
      <c r="AK287" s="30"/>
      <c r="AL287" s="30"/>
      <c r="AM287" s="30"/>
      <c r="AN287" s="30"/>
      <c r="AO287" s="30"/>
      <c r="AP287" s="31">
        <v>3</v>
      </c>
      <c r="AQ287" s="32"/>
      <c r="AR287" s="33"/>
      <c r="AS287" s="31">
        <v>1</v>
      </c>
      <c r="AT287" s="63">
        <v>2</v>
      </c>
      <c r="AU287" s="34">
        <v>2</v>
      </c>
      <c r="AV287" s="34"/>
      <c r="AW287" s="34"/>
      <c r="AX287" s="34"/>
      <c r="AY287" s="34"/>
      <c r="AZ287" s="34"/>
      <c r="BA287" s="34"/>
      <c r="BB287" s="34">
        <v>1</v>
      </c>
      <c r="BC287" s="34">
        <v>4</v>
      </c>
      <c r="BD287" s="34">
        <v>1</v>
      </c>
      <c r="BE287" s="34"/>
      <c r="BF287" s="64"/>
      <c r="BG287" s="64"/>
      <c r="BH287" s="64"/>
      <c r="BI287" s="64"/>
      <c r="BJ287" s="64">
        <v>3</v>
      </c>
      <c r="BK287" s="64"/>
      <c r="BL287" s="64">
        <v>1</v>
      </c>
      <c r="BM287" s="64">
        <v>1</v>
      </c>
      <c r="BN287" s="64">
        <v>1</v>
      </c>
      <c r="BO287" s="64">
        <v>2</v>
      </c>
      <c r="BP287" s="64"/>
      <c r="BQ287" s="64">
        <v>1</v>
      </c>
      <c r="BR287" s="64"/>
      <c r="BS287" s="64"/>
      <c r="BT287" s="64">
        <v>4</v>
      </c>
      <c r="BU287" s="64">
        <v>1</v>
      </c>
      <c r="BV287" s="64"/>
      <c r="BW287" s="64"/>
      <c r="BX287" s="64"/>
      <c r="BY287" s="64"/>
      <c r="BZ287" s="64"/>
      <c r="CA287" s="64"/>
    </row>
    <row r="288" spans="1:79" ht="15" customHeight="1" thickBot="1" x14ac:dyDescent="0.3">
      <c r="A288" s="22"/>
      <c r="B288" s="22">
        <v>256</v>
      </c>
      <c r="C288" s="115" t="s">
        <v>611</v>
      </c>
      <c r="D288" s="174">
        <v>2019</v>
      </c>
      <c r="E288" s="22" t="s">
        <v>620</v>
      </c>
      <c r="F288" s="22" t="s">
        <v>564</v>
      </c>
      <c r="G288" s="22" t="s">
        <v>77</v>
      </c>
      <c r="H288" s="22" t="s">
        <v>84</v>
      </c>
      <c r="I288" s="55">
        <v>23.85</v>
      </c>
      <c r="J288" s="55">
        <f t="shared" si="324"/>
        <v>30</v>
      </c>
      <c r="K288" s="55">
        <f t="shared" si="250"/>
        <v>5.3850000000000007</v>
      </c>
      <c r="L288" s="55">
        <f t="shared" si="251"/>
        <v>59.234999999999999</v>
      </c>
      <c r="M288" s="55">
        <f t="shared" si="300"/>
        <v>59</v>
      </c>
      <c r="N288" s="56">
        <v>59</v>
      </c>
      <c r="O288" s="57">
        <f t="shared" si="308"/>
        <v>48.01005</v>
      </c>
      <c r="P288" s="58">
        <f t="shared" si="253"/>
        <v>0</v>
      </c>
      <c r="Q288" s="59">
        <f t="shared" si="296"/>
        <v>9.8333333333333339</v>
      </c>
      <c r="R288" s="60">
        <v>7</v>
      </c>
      <c r="S288" s="60">
        <f>6+12+6+6+6+6+6+6+6</f>
        <v>60</v>
      </c>
      <c r="T288" s="60">
        <f t="shared" si="325"/>
        <v>44</v>
      </c>
      <c r="U288" s="61">
        <f t="shared" si="295"/>
        <v>23</v>
      </c>
      <c r="V288" s="62"/>
      <c r="W288" s="30"/>
      <c r="X288" s="30"/>
      <c r="Y288" s="30"/>
      <c r="Z288" s="30">
        <v>1</v>
      </c>
      <c r="AA288" s="30">
        <v>1</v>
      </c>
      <c r="AB288" s="30">
        <v>1</v>
      </c>
      <c r="AC288" s="30">
        <v>3</v>
      </c>
      <c r="AD288" s="30">
        <v>6</v>
      </c>
      <c r="AE288" s="30">
        <v>1</v>
      </c>
      <c r="AF288" s="30">
        <v>1</v>
      </c>
      <c r="AG288" s="30">
        <v>1</v>
      </c>
      <c r="AH288" s="30"/>
      <c r="AI288" s="30"/>
      <c r="AJ288" s="30"/>
      <c r="AK288" s="30"/>
      <c r="AL288" s="30"/>
      <c r="AM288" s="30"/>
      <c r="AN288" s="30"/>
      <c r="AO288" s="30"/>
      <c r="AP288" s="31"/>
      <c r="AQ288" s="32">
        <v>1</v>
      </c>
      <c r="AR288" s="33"/>
      <c r="AS288" s="31">
        <v>1</v>
      </c>
      <c r="AT288" s="63">
        <v>2</v>
      </c>
      <c r="AU288" s="34">
        <v>1</v>
      </c>
      <c r="AV288" s="34"/>
      <c r="AW288" s="34"/>
      <c r="AX288" s="34"/>
      <c r="AY288" s="34">
        <v>1</v>
      </c>
      <c r="AZ288" s="34">
        <v>2</v>
      </c>
      <c r="BA288" s="34"/>
      <c r="BB288" s="34">
        <v>2</v>
      </c>
      <c r="BC288" s="34"/>
      <c r="BD288" s="34">
        <v>1</v>
      </c>
      <c r="BE288" s="34"/>
      <c r="BF288" s="64">
        <v>1</v>
      </c>
      <c r="BG288" s="64">
        <v>5</v>
      </c>
      <c r="BH288" s="64">
        <v>5</v>
      </c>
      <c r="BJ288" s="64">
        <v>2</v>
      </c>
      <c r="BN288" s="64">
        <v>2</v>
      </c>
      <c r="BO288" s="64">
        <v>1</v>
      </c>
      <c r="BP288" s="64">
        <v>3</v>
      </c>
      <c r="BQ288" s="64">
        <v>3</v>
      </c>
      <c r="BR288" s="64">
        <v>1</v>
      </c>
      <c r="BT288" s="64">
        <v>1</v>
      </c>
      <c r="BU288" s="64"/>
      <c r="BV288" s="64"/>
      <c r="BW288" s="64"/>
      <c r="BX288" s="64"/>
      <c r="BY288" s="64"/>
      <c r="BZ288" s="64"/>
      <c r="CA288" s="64"/>
    </row>
    <row r="289" spans="1:79" s="54" customFormat="1" ht="15" customHeight="1" x14ac:dyDescent="0.25">
      <c r="A289" s="22"/>
      <c r="B289" s="29">
        <v>257</v>
      </c>
      <c r="C289" s="115" t="s">
        <v>611</v>
      </c>
      <c r="D289" s="174">
        <v>2020</v>
      </c>
      <c r="E289" s="22" t="s">
        <v>621</v>
      </c>
      <c r="F289" s="22" t="s">
        <v>622</v>
      </c>
      <c r="G289" s="22" t="s">
        <v>215</v>
      </c>
      <c r="H289" s="22" t="s">
        <v>84</v>
      </c>
      <c r="I289" s="55">
        <v>23.75</v>
      </c>
      <c r="J289" s="55">
        <f t="shared" si="324"/>
        <v>30</v>
      </c>
      <c r="K289" s="55">
        <f t="shared" si="250"/>
        <v>5.375</v>
      </c>
      <c r="L289" s="55">
        <f t="shared" si="251"/>
        <v>59.125</v>
      </c>
      <c r="M289" s="55">
        <f t="shared" si="300"/>
        <v>59</v>
      </c>
      <c r="N289" s="56">
        <v>59</v>
      </c>
      <c r="O289" s="57">
        <f t="shared" si="308"/>
        <v>47.808749999999996</v>
      </c>
      <c r="P289" s="58">
        <f t="shared" si="253"/>
        <v>0</v>
      </c>
      <c r="Q289" s="59">
        <f t="shared" si="296"/>
        <v>9.8333333333333339</v>
      </c>
      <c r="R289" s="60">
        <v>12</v>
      </c>
      <c r="S289" s="60">
        <v>12</v>
      </c>
      <c r="T289" s="60">
        <f t="shared" si="325"/>
        <v>21</v>
      </c>
      <c r="U289" s="61">
        <f t="shared" si="295"/>
        <v>3</v>
      </c>
      <c r="V289" s="62"/>
      <c r="W289" s="30">
        <v>1</v>
      </c>
      <c r="X289" s="30"/>
      <c r="Y289" s="30"/>
      <c r="Z289" s="30"/>
      <c r="AA289" s="30"/>
      <c r="AB289" s="30">
        <v>1</v>
      </c>
      <c r="AC289" s="30">
        <v>1</v>
      </c>
      <c r="AD289" s="30">
        <v>1</v>
      </c>
      <c r="AE289" s="30">
        <v>1</v>
      </c>
      <c r="AF289" s="30"/>
      <c r="AG289" s="30"/>
      <c r="AH289" s="30">
        <v>1</v>
      </c>
      <c r="AI289" s="30"/>
      <c r="AJ289" s="30"/>
      <c r="AK289" s="30"/>
      <c r="AL289" s="30"/>
      <c r="AM289" s="30"/>
      <c r="AN289" s="30"/>
      <c r="AO289" s="30"/>
      <c r="AP289" s="31">
        <v>1</v>
      </c>
      <c r="AQ289" s="32">
        <v>1</v>
      </c>
      <c r="AR289" s="33"/>
      <c r="AS289" s="31">
        <v>2</v>
      </c>
      <c r="AT289" s="63">
        <v>3</v>
      </c>
      <c r="AU289" s="34"/>
      <c r="AV289" s="34"/>
      <c r="AW289" s="34"/>
      <c r="AX289" s="34"/>
      <c r="AY289" s="34"/>
      <c r="AZ289" s="34">
        <v>1</v>
      </c>
      <c r="BA289" s="34"/>
      <c r="BB289" s="34">
        <v>1</v>
      </c>
      <c r="BC289" s="34">
        <v>1</v>
      </c>
      <c r="BD289" s="34">
        <v>2</v>
      </c>
      <c r="BE289" s="34"/>
      <c r="BF289" s="64"/>
      <c r="BG289" s="64"/>
      <c r="BH289" s="64"/>
      <c r="BI289" s="64"/>
      <c r="BJ289" s="64">
        <v>2</v>
      </c>
      <c r="BK289" s="64"/>
      <c r="BL289" s="64"/>
      <c r="BM289" s="64"/>
      <c r="BN289" s="64"/>
      <c r="BO289" s="64"/>
      <c r="BP289" s="64">
        <v>1</v>
      </c>
      <c r="BQ289" s="64"/>
      <c r="BR289" s="64"/>
      <c r="BS289" s="64"/>
      <c r="BT289" s="64">
        <v>1</v>
      </c>
      <c r="BU289" s="64">
        <v>3</v>
      </c>
      <c r="BV289" s="64"/>
      <c r="BW289" s="64"/>
      <c r="BX289" s="64"/>
      <c r="BY289" s="64"/>
      <c r="BZ289" s="64"/>
      <c r="CA289" s="64"/>
    </row>
    <row r="290" spans="1:79" s="54" customFormat="1" ht="15" customHeight="1" x14ac:dyDescent="0.25">
      <c r="A290" s="22"/>
      <c r="B290" s="22">
        <v>259</v>
      </c>
      <c r="C290" s="115" t="s">
        <v>611</v>
      </c>
      <c r="D290" s="174">
        <v>2018</v>
      </c>
      <c r="E290" s="22" t="s">
        <v>623</v>
      </c>
      <c r="F290" s="22" t="s">
        <v>624</v>
      </c>
      <c r="G290" s="22" t="s">
        <v>81</v>
      </c>
      <c r="H290" s="22" t="s">
        <v>78</v>
      </c>
      <c r="I290" s="55">
        <v>19.600000000000001</v>
      </c>
      <c r="J290" s="55">
        <f t="shared" si="324"/>
        <v>30</v>
      </c>
      <c r="K290" s="55">
        <f t="shared" si="250"/>
        <v>4.9600000000000009</v>
      </c>
      <c r="L290" s="55">
        <f t="shared" si="251"/>
        <v>54.56</v>
      </c>
      <c r="M290" s="55">
        <f t="shared" si="300"/>
        <v>55</v>
      </c>
      <c r="N290" s="56">
        <v>53</v>
      </c>
      <c r="O290" s="57">
        <f t="shared" si="308"/>
        <v>39.454800000000006</v>
      </c>
      <c r="P290" s="58">
        <f t="shared" si="253"/>
        <v>-2</v>
      </c>
      <c r="Q290" s="59">
        <f t="shared" si="296"/>
        <v>8.8333333333333339</v>
      </c>
      <c r="R290" s="60">
        <v>11</v>
      </c>
      <c r="S290" s="60">
        <v>2</v>
      </c>
      <c r="T290" s="60">
        <f t="shared" si="325"/>
        <v>13</v>
      </c>
      <c r="U290" s="61">
        <f t="shared" si="295"/>
        <v>0</v>
      </c>
      <c r="V290" s="62"/>
      <c r="W290" s="30"/>
      <c r="X290" s="30"/>
      <c r="Y290" s="30"/>
      <c r="Z290" s="30">
        <v>1</v>
      </c>
      <c r="AA290" s="30">
        <v>2</v>
      </c>
      <c r="AB290" s="30">
        <v>3</v>
      </c>
      <c r="AC290" s="30"/>
      <c r="AD290" s="30">
        <v>3</v>
      </c>
      <c r="AE290" s="30">
        <v>1</v>
      </c>
      <c r="AF290" s="30"/>
      <c r="AG290" s="30"/>
      <c r="AH290" s="30">
        <v>1</v>
      </c>
      <c r="AI290" s="30"/>
      <c r="AJ290" s="30"/>
      <c r="AK290" s="30"/>
      <c r="AL290" s="30"/>
      <c r="AM290" s="30"/>
      <c r="AN290" s="30"/>
      <c r="AO290" s="30"/>
      <c r="AP290" s="31"/>
      <c r="AQ290" s="32"/>
      <c r="AR290" s="33"/>
      <c r="AS290" s="31"/>
      <c r="AT290" s="63"/>
      <c r="AU290" s="34">
        <v>1</v>
      </c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64"/>
      <c r="BG290" s="64"/>
      <c r="BH290" s="64"/>
      <c r="BI290" s="64"/>
      <c r="BJ290" s="64"/>
      <c r="BK290" s="64"/>
      <c r="BL290" s="64">
        <v>1</v>
      </c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</row>
    <row r="291" spans="1:79" s="54" customFormat="1" ht="15" customHeight="1" thickBot="1" x14ac:dyDescent="0.3">
      <c r="A291" s="22"/>
      <c r="B291" s="22">
        <v>260</v>
      </c>
      <c r="C291" s="115" t="s">
        <v>611</v>
      </c>
      <c r="D291" s="174" t="s">
        <v>625</v>
      </c>
      <c r="E291" s="68" t="s">
        <v>626</v>
      </c>
      <c r="F291" s="22" t="s">
        <v>627</v>
      </c>
      <c r="G291" s="22" t="s">
        <v>81</v>
      </c>
      <c r="H291" s="22" t="s">
        <v>628</v>
      </c>
      <c r="I291" s="55">
        <v>11.5</v>
      </c>
      <c r="J291" s="55">
        <f t="shared" si="324"/>
        <v>25</v>
      </c>
      <c r="K291" s="55">
        <f t="shared" si="250"/>
        <v>3.6500000000000004</v>
      </c>
      <c r="L291" s="55">
        <f t="shared" si="251"/>
        <v>40.15</v>
      </c>
      <c r="M291" s="55">
        <f t="shared" si="300"/>
        <v>40</v>
      </c>
      <c r="N291" s="56">
        <v>38</v>
      </c>
      <c r="O291" s="57">
        <f t="shared" si="308"/>
        <v>23.149499999999996</v>
      </c>
      <c r="P291" s="58">
        <f t="shared" si="253"/>
        <v>-2</v>
      </c>
      <c r="Q291" s="59">
        <f t="shared" si="296"/>
        <v>6.333333333333333</v>
      </c>
      <c r="R291" s="60">
        <v>-4</v>
      </c>
      <c r="S291" s="60">
        <f>24+6+6+6+12+6+12</f>
        <v>72</v>
      </c>
      <c r="T291" s="60">
        <f t="shared" si="325"/>
        <v>56</v>
      </c>
      <c r="U291" s="61">
        <f t="shared" si="295"/>
        <v>12</v>
      </c>
      <c r="V291" s="62"/>
      <c r="W291" s="30">
        <v>3</v>
      </c>
      <c r="X291" s="30">
        <v>1</v>
      </c>
      <c r="Y291" s="30"/>
      <c r="Z291" s="30"/>
      <c r="AA291" s="30"/>
      <c r="AB291" s="30">
        <v>5</v>
      </c>
      <c r="AC291" s="30"/>
      <c r="AD291" s="30">
        <v>4</v>
      </c>
      <c r="AE291" s="30"/>
      <c r="AF291" s="30">
        <v>1</v>
      </c>
      <c r="AG291" s="30">
        <v>1</v>
      </c>
      <c r="AH291" s="30">
        <v>2</v>
      </c>
      <c r="AI291" s="30"/>
      <c r="AJ291" s="30"/>
      <c r="AK291" s="30"/>
      <c r="AL291" s="30"/>
      <c r="AM291" s="30"/>
      <c r="AN291" s="30"/>
      <c r="AO291" s="30"/>
      <c r="AP291" s="31"/>
      <c r="AQ291" s="32">
        <v>1</v>
      </c>
      <c r="AR291" s="33">
        <v>1</v>
      </c>
      <c r="AS291" s="31"/>
      <c r="AT291" s="63">
        <v>1</v>
      </c>
      <c r="AU291" s="34"/>
      <c r="AV291" s="34">
        <v>1</v>
      </c>
      <c r="AW291" s="34">
        <v>1</v>
      </c>
      <c r="AX291" s="34"/>
      <c r="AY291" s="34"/>
      <c r="AZ291" s="34">
        <v>1</v>
      </c>
      <c r="BA291" s="34">
        <v>1</v>
      </c>
      <c r="BB291" s="34">
        <v>1</v>
      </c>
      <c r="BC291" s="34">
        <v>1</v>
      </c>
      <c r="BD291" s="34">
        <v>3</v>
      </c>
      <c r="BE291" s="34">
        <v>3</v>
      </c>
      <c r="BF291" s="64">
        <v>3</v>
      </c>
      <c r="BG291" s="64">
        <v>4</v>
      </c>
      <c r="BH291" s="64"/>
      <c r="BI291" s="64">
        <v>2</v>
      </c>
      <c r="BJ291" s="64">
        <v>1</v>
      </c>
      <c r="BK291" s="64"/>
      <c r="BL291" s="64"/>
      <c r="BM291" s="64">
        <v>1</v>
      </c>
      <c r="BN291" s="64">
        <v>2</v>
      </c>
      <c r="BO291" s="64"/>
      <c r="BP291" s="64">
        <v>3</v>
      </c>
      <c r="BQ291" s="64">
        <v>1</v>
      </c>
      <c r="BR291" s="64"/>
      <c r="BS291" s="64"/>
      <c r="BT291" s="64">
        <v>12</v>
      </c>
      <c r="BU291" s="64">
        <v>1</v>
      </c>
      <c r="BV291" s="64"/>
      <c r="BW291" s="64"/>
      <c r="BX291" s="64"/>
      <c r="BY291" s="64"/>
      <c r="BZ291" s="64"/>
      <c r="CA291" s="64"/>
    </row>
    <row r="292" spans="1:79" s="54" customFormat="1" ht="15" customHeight="1" thickBot="1" x14ac:dyDescent="0.3">
      <c r="A292" s="71"/>
      <c r="B292" s="29">
        <v>261</v>
      </c>
      <c r="C292" s="115" t="s">
        <v>611</v>
      </c>
      <c r="D292" s="174">
        <v>2019</v>
      </c>
      <c r="E292" s="177" t="s">
        <v>629</v>
      </c>
      <c r="F292" s="178" t="s">
        <v>219</v>
      </c>
      <c r="G292" s="22" t="s">
        <v>215</v>
      </c>
      <c r="H292" s="22" t="s">
        <v>78</v>
      </c>
      <c r="I292" s="55">
        <v>18.5</v>
      </c>
      <c r="J292" s="55">
        <f t="shared" si="324"/>
        <v>30</v>
      </c>
      <c r="K292" s="55">
        <f t="shared" si="250"/>
        <v>4.8500000000000005</v>
      </c>
      <c r="L292" s="55">
        <f t="shared" si="251"/>
        <v>53.35</v>
      </c>
      <c r="M292" s="55">
        <f t="shared" si="300"/>
        <v>53</v>
      </c>
      <c r="N292" s="56">
        <v>51</v>
      </c>
      <c r="O292" s="57">
        <f t="shared" si="308"/>
        <v>37.240499999999997</v>
      </c>
      <c r="P292" s="58">
        <f t="shared" si="253"/>
        <v>-2</v>
      </c>
      <c r="Q292" s="59">
        <f t="shared" si="296"/>
        <v>8.5</v>
      </c>
      <c r="R292" s="60">
        <v>5</v>
      </c>
      <c r="S292" s="60">
        <f>30+12+6+12+12+12+6+12+6+12+12+12+12+12+12+12+12+12+6+6</f>
        <v>228</v>
      </c>
      <c r="T292" s="60">
        <f t="shared" si="325"/>
        <v>180</v>
      </c>
      <c r="U292" s="61">
        <f t="shared" ref="U292:U334" si="326">R292+S292-T292</f>
        <v>53</v>
      </c>
      <c r="V292" s="62"/>
      <c r="W292" s="30">
        <v>6</v>
      </c>
      <c r="X292" s="30">
        <v>4</v>
      </c>
      <c r="Y292" s="30">
        <v>8</v>
      </c>
      <c r="Z292" s="30">
        <v>3</v>
      </c>
      <c r="AA292" s="30">
        <v>2</v>
      </c>
      <c r="AB292" s="30">
        <v>10</v>
      </c>
      <c r="AC292" s="30">
        <v>10</v>
      </c>
      <c r="AD292" s="30">
        <v>8</v>
      </c>
      <c r="AE292" s="30">
        <v>2</v>
      </c>
      <c r="AF292" s="30">
        <v>3</v>
      </c>
      <c r="AG292" s="30">
        <v>10</v>
      </c>
      <c r="AH292" s="30">
        <v>1</v>
      </c>
      <c r="AI292" s="30"/>
      <c r="AJ292" s="30"/>
      <c r="AK292" s="30"/>
      <c r="AL292" s="30"/>
      <c r="AM292" s="30"/>
      <c r="AN292" s="30"/>
      <c r="AO292" s="30"/>
      <c r="AP292" s="31">
        <v>1</v>
      </c>
      <c r="AQ292" s="32">
        <v>7</v>
      </c>
      <c r="AR292" s="33">
        <v>1</v>
      </c>
      <c r="AS292" s="31">
        <v>5</v>
      </c>
      <c r="AT292" s="63">
        <v>4</v>
      </c>
      <c r="AU292" s="34">
        <v>2</v>
      </c>
      <c r="AV292" s="34">
        <v>1</v>
      </c>
      <c r="AW292" s="34">
        <v>3</v>
      </c>
      <c r="AX292" s="34"/>
      <c r="AY292" s="34">
        <v>3</v>
      </c>
      <c r="AZ292" s="34">
        <v>2</v>
      </c>
      <c r="BA292" s="34">
        <v>4</v>
      </c>
      <c r="BB292" s="34">
        <v>1</v>
      </c>
      <c r="BC292" s="34">
        <v>8</v>
      </c>
      <c r="BD292" s="34">
        <v>5</v>
      </c>
      <c r="BE292" s="34">
        <v>3</v>
      </c>
      <c r="BF292" s="64">
        <v>8</v>
      </c>
      <c r="BG292" s="64">
        <v>6</v>
      </c>
      <c r="BH292" s="64">
        <v>9</v>
      </c>
      <c r="BI292" s="64">
        <v>5</v>
      </c>
      <c r="BJ292" s="64">
        <v>7</v>
      </c>
      <c r="BK292" s="64">
        <v>5</v>
      </c>
      <c r="BL292" s="64"/>
      <c r="BM292" s="64">
        <v>7</v>
      </c>
      <c r="BN292" s="64">
        <v>5</v>
      </c>
      <c r="BO292" s="64">
        <v>8</v>
      </c>
      <c r="BP292" s="64">
        <v>4</v>
      </c>
      <c r="BQ292" s="64">
        <v>1</v>
      </c>
      <c r="BR292" s="64">
        <v>5</v>
      </c>
      <c r="BS292" s="64"/>
      <c r="BT292" s="64">
        <v>10</v>
      </c>
      <c r="BU292" s="64">
        <v>5</v>
      </c>
      <c r="BV292" s="64"/>
      <c r="BW292" s="64"/>
      <c r="BX292" s="64"/>
      <c r="BY292" s="64"/>
      <c r="BZ292" s="64"/>
      <c r="CA292" s="64"/>
    </row>
    <row r="293" spans="1:79" s="54" customFormat="1" ht="15" customHeight="1" x14ac:dyDescent="0.25">
      <c r="A293" s="22"/>
      <c r="B293" s="22">
        <v>262</v>
      </c>
      <c r="C293" s="115" t="s">
        <v>611</v>
      </c>
      <c r="D293" s="168">
        <v>2020</v>
      </c>
      <c r="E293" s="29" t="s">
        <v>630</v>
      </c>
      <c r="F293" s="22" t="s">
        <v>619</v>
      </c>
      <c r="G293" s="22" t="s">
        <v>81</v>
      </c>
      <c r="H293" s="22" t="s">
        <v>78</v>
      </c>
      <c r="I293" s="55">
        <v>52</v>
      </c>
      <c r="J293" s="55">
        <v>55</v>
      </c>
      <c r="K293" s="55">
        <f t="shared" si="250"/>
        <v>10.700000000000001</v>
      </c>
      <c r="L293" s="55">
        <f t="shared" si="251"/>
        <v>117.7</v>
      </c>
      <c r="M293" s="55">
        <f t="shared" si="300"/>
        <v>118</v>
      </c>
      <c r="N293" s="56">
        <v>118</v>
      </c>
      <c r="O293" s="57">
        <f t="shared" si="308"/>
        <v>104.67599999999999</v>
      </c>
      <c r="P293" s="58">
        <f t="shared" si="253"/>
        <v>0</v>
      </c>
      <c r="Q293" s="59">
        <f t="shared" si="296"/>
        <v>19.666666666666668</v>
      </c>
      <c r="R293" s="60">
        <v>5</v>
      </c>
      <c r="S293" s="60">
        <f>6+6+6+3+3</f>
        <v>24</v>
      </c>
      <c r="T293" s="60">
        <f t="shared" si="325"/>
        <v>16</v>
      </c>
      <c r="U293" s="61">
        <f t="shared" si="326"/>
        <v>13</v>
      </c>
      <c r="V293" s="62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1">
        <v>1</v>
      </c>
      <c r="AQ293" s="32"/>
      <c r="AR293" s="33"/>
      <c r="AS293" s="31">
        <v>1</v>
      </c>
      <c r="AT293" s="63">
        <v>1</v>
      </c>
      <c r="AU293" s="34"/>
      <c r="AV293" s="34"/>
      <c r="AW293" s="34"/>
      <c r="AX293" s="34"/>
      <c r="AY293" s="34"/>
      <c r="AZ293" s="34"/>
      <c r="BA293" s="34"/>
      <c r="BB293" s="34">
        <v>1</v>
      </c>
      <c r="BC293" s="34">
        <v>1</v>
      </c>
      <c r="BD293" s="34"/>
      <c r="BE293" s="34">
        <v>2</v>
      </c>
      <c r="BF293" s="64">
        <v>2</v>
      </c>
      <c r="BG293" s="64"/>
      <c r="BH293" s="64">
        <v>2</v>
      </c>
      <c r="BI293" s="64">
        <v>1</v>
      </c>
      <c r="BJ293" s="64"/>
      <c r="BK293" s="64"/>
      <c r="BL293" s="64"/>
      <c r="BM293" s="64"/>
      <c r="BN293" s="64"/>
      <c r="BO293" s="64"/>
      <c r="BP293" s="64">
        <v>1</v>
      </c>
      <c r="BQ293" s="64">
        <v>1</v>
      </c>
      <c r="BR293" s="64"/>
      <c r="BS293" s="64"/>
      <c r="BT293" s="64">
        <v>3</v>
      </c>
      <c r="BU293" s="64"/>
      <c r="BV293" s="64"/>
      <c r="BW293" s="64"/>
      <c r="BX293" s="64"/>
      <c r="BY293" s="64"/>
      <c r="BZ293" s="64"/>
      <c r="CA293" s="64"/>
    </row>
    <row r="294" spans="1:79" s="54" customFormat="1" ht="15" customHeight="1" x14ac:dyDescent="0.25">
      <c r="A294" s="22"/>
      <c r="B294" s="22">
        <v>263</v>
      </c>
      <c r="C294" s="115" t="s">
        <v>611</v>
      </c>
      <c r="D294" s="174">
        <v>2015</v>
      </c>
      <c r="E294" s="22" t="s">
        <v>631</v>
      </c>
      <c r="F294" s="22" t="s">
        <v>619</v>
      </c>
      <c r="G294" s="22" t="s">
        <v>81</v>
      </c>
      <c r="H294" s="22" t="s">
        <v>84</v>
      </c>
      <c r="I294" s="55">
        <v>104.9</v>
      </c>
      <c r="J294" s="55">
        <v>80</v>
      </c>
      <c r="K294" s="55">
        <f t="shared" si="250"/>
        <v>18.490000000000002</v>
      </c>
      <c r="L294" s="55">
        <f t="shared" si="251"/>
        <v>203.39000000000001</v>
      </c>
      <c r="M294" s="55">
        <f t="shared" si="300"/>
        <v>203</v>
      </c>
      <c r="N294" s="56">
        <v>203</v>
      </c>
      <c r="O294" s="57">
        <f t="shared" si="308"/>
        <v>211.16370000000001</v>
      </c>
      <c r="P294" s="58">
        <f t="shared" si="253"/>
        <v>0</v>
      </c>
      <c r="Q294" s="59">
        <f t="shared" si="296"/>
        <v>33.833333333333336</v>
      </c>
      <c r="R294" s="60">
        <v>3</v>
      </c>
      <c r="S294" s="60"/>
      <c r="T294" s="60">
        <f t="shared" si="325"/>
        <v>0</v>
      </c>
      <c r="U294" s="61">
        <f t="shared" si="326"/>
        <v>3</v>
      </c>
      <c r="V294" s="62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1"/>
      <c r="AQ294" s="32"/>
      <c r="AR294" s="33"/>
      <c r="AS294" s="31"/>
      <c r="AT294" s="63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</row>
    <row r="295" spans="1:79" s="54" customFormat="1" ht="15" customHeight="1" x14ac:dyDescent="0.25">
      <c r="A295" s="22"/>
      <c r="B295" s="22">
        <v>264</v>
      </c>
      <c r="C295" s="115" t="s">
        <v>611</v>
      </c>
      <c r="D295" s="184">
        <v>2019</v>
      </c>
      <c r="E295" s="22" t="s">
        <v>632</v>
      </c>
      <c r="F295" s="22" t="s">
        <v>633</v>
      </c>
      <c r="G295" s="22" t="s">
        <v>81</v>
      </c>
      <c r="H295" s="22" t="s">
        <v>164</v>
      </c>
      <c r="I295" s="55">
        <v>30</v>
      </c>
      <c r="J295" s="55">
        <v>30</v>
      </c>
      <c r="K295" s="55">
        <f>(I295+J295)*0.1</f>
        <v>6</v>
      </c>
      <c r="L295" s="55">
        <f>SUM(I295:K295)</f>
        <v>66</v>
      </c>
      <c r="M295" s="55">
        <f>ROUND(L295,0)</f>
        <v>66</v>
      </c>
      <c r="N295" s="56">
        <v>66</v>
      </c>
      <c r="O295" s="57">
        <f t="shared" si="308"/>
        <v>60.39</v>
      </c>
      <c r="P295" s="58">
        <f>N295-M295</f>
        <v>0</v>
      </c>
      <c r="Q295" s="59">
        <f t="shared" si="296"/>
        <v>11</v>
      </c>
      <c r="R295" s="60">
        <v>3</v>
      </c>
      <c r="S295" s="60">
        <f>4+6</f>
        <v>10</v>
      </c>
      <c r="T295" s="60">
        <f t="shared" si="325"/>
        <v>7</v>
      </c>
      <c r="U295" s="61">
        <f>R295+S295-T295</f>
        <v>6</v>
      </c>
      <c r="V295" s="62"/>
      <c r="W295" s="30"/>
      <c r="X295" s="30">
        <v>1</v>
      </c>
      <c r="Y295" s="30"/>
      <c r="Z295" s="30">
        <v>1</v>
      </c>
      <c r="AA295" s="30"/>
      <c r="AB295" s="30"/>
      <c r="AC295" s="30"/>
      <c r="AD295" s="30"/>
      <c r="AE295" s="30"/>
      <c r="AF295" s="30"/>
      <c r="AG295" s="30"/>
      <c r="AH295" s="30">
        <v>1</v>
      </c>
      <c r="AI295" s="30"/>
      <c r="AJ295" s="30"/>
      <c r="AK295" s="30"/>
      <c r="AL295" s="30"/>
      <c r="AM295" s="30"/>
      <c r="AN295" s="30"/>
      <c r="AO295" s="30"/>
      <c r="AP295" s="31"/>
      <c r="AQ295" s="32"/>
      <c r="AR295" s="33"/>
      <c r="AS295" s="31"/>
      <c r="AT295" s="63"/>
      <c r="AU295" s="34"/>
      <c r="AV295" s="34"/>
      <c r="AW295" s="34"/>
      <c r="AX295" s="34"/>
      <c r="AY295" s="34"/>
      <c r="AZ295" s="34"/>
      <c r="BA295" s="34"/>
      <c r="BB295" s="34"/>
      <c r="BC295" s="34">
        <v>1</v>
      </c>
      <c r="BD295" s="34"/>
      <c r="BE295" s="34"/>
      <c r="BF295" s="64"/>
      <c r="BG295" s="64"/>
      <c r="BH295" s="64"/>
      <c r="BI295" s="64"/>
      <c r="BJ295" s="64"/>
      <c r="BK295" s="64"/>
      <c r="BL295" s="64">
        <v>2</v>
      </c>
      <c r="BM295" s="64"/>
      <c r="BN295" s="64"/>
      <c r="BO295" s="64"/>
      <c r="BP295" s="64"/>
      <c r="BQ295" s="64"/>
      <c r="BR295" s="64"/>
      <c r="BS295" s="64"/>
      <c r="BT295" s="64">
        <v>1</v>
      </c>
      <c r="BU295" s="64"/>
      <c r="BV295" s="64"/>
      <c r="BW295" s="64"/>
      <c r="BX295" s="64"/>
      <c r="BY295" s="64"/>
      <c r="BZ295" s="64"/>
      <c r="CA295" s="64"/>
    </row>
    <row r="296" spans="1:79" ht="15" customHeight="1" x14ac:dyDescent="0.25">
      <c r="A296" s="22"/>
      <c r="B296" s="29">
        <v>265</v>
      </c>
      <c r="C296" s="115" t="s">
        <v>611</v>
      </c>
      <c r="D296" s="174">
        <v>2021</v>
      </c>
      <c r="E296" s="22" t="s">
        <v>634</v>
      </c>
      <c r="F296" s="22" t="s">
        <v>635</v>
      </c>
      <c r="G296" s="22" t="s">
        <v>81</v>
      </c>
      <c r="H296" s="22" t="s">
        <v>636</v>
      </c>
      <c r="I296" s="55">
        <v>94</v>
      </c>
      <c r="J296" s="55">
        <v>90</v>
      </c>
      <c r="K296" s="55">
        <f>(I296+J296)*0.1</f>
        <v>18.400000000000002</v>
      </c>
      <c r="L296" s="55">
        <f>SUM(I296:K296)</f>
        <v>202.4</v>
      </c>
      <c r="M296" s="55">
        <f>ROUND(L296,0)</f>
        <v>202</v>
      </c>
      <c r="N296" s="56">
        <v>260</v>
      </c>
      <c r="O296" s="57">
        <f t="shared" si="308"/>
        <v>189.22199999999998</v>
      </c>
      <c r="P296" s="58">
        <f>N296-M296</f>
        <v>58</v>
      </c>
      <c r="Q296" s="59">
        <f t="shared" si="296"/>
        <v>43.333333333333336</v>
      </c>
      <c r="R296" s="60">
        <v>0</v>
      </c>
      <c r="S296" s="60">
        <f>2+1</f>
        <v>3</v>
      </c>
      <c r="T296" s="60">
        <f t="shared" si="325"/>
        <v>2</v>
      </c>
      <c r="U296" s="61">
        <f>R296+S296-T296</f>
        <v>1</v>
      </c>
      <c r="V296" s="88"/>
      <c r="W296" s="30"/>
      <c r="X296" s="30"/>
      <c r="Y296" s="30"/>
      <c r="Z296" s="30"/>
      <c r="AA296" s="30"/>
      <c r="AB296" s="30"/>
      <c r="AC296" s="30"/>
      <c r="AD296" s="30"/>
      <c r="AE296" s="30"/>
      <c r="AF296" s="30">
        <v>1</v>
      </c>
      <c r="AG296" s="30"/>
      <c r="AH296" s="30"/>
      <c r="AI296" s="30"/>
      <c r="AJ296" s="30"/>
      <c r="AK296" s="30"/>
      <c r="AL296" s="30"/>
      <c r="AM296" s="30"/>
      <c r="AN296" s="30"/>
      <c r="AO296" s="30"/>
      <c r="AP296" s="31"/>
      <c r="AQ296" s="32"/>
      <c r="AR296" s="33"/>
      <c r="AS296" s="31"/>
      <c r="AT296" s="63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>
        <v>1</v>
      </c>
      <c r="BF296" s="64"/>
      <c r="BT296" s="64"/>
      <c r="BU296" s="64"/>
      <c r="BV296" s="64"/>
      <c r="BW296" s="64"/>
      <c r="BX296" s="64"/>
      <c r="BY296" s="64"/>
      <c r="BZ296" s="64"/>
      <c r="CA296" s="64"/>
    </row>
    <row r="297" spans="1:79" ht="15" customHeight="1" x14ac:dyDescent="0.25">
      <c r="A297" s="22"/>
      <c r="B297" s="22">
        <v>266</v>
      </c>
      <c r="C297" s="115" t="s">
        <v>611</v>
      </c>
      <c r="D297" s="174">
        <v>2021</v>
      </c>
      <c r="E297" s="22" t="s">
        <v>637</v>
      </c>
      <c r="F297" s="22" t="s">
        <v>635</v>
      </c>
      <c r="G297" s="22" t="s">
        <v>81</v>
      </c>
      <c r="H297" s="22" t="s">
        <v>636</v>
      </c>
      <c r="I297" s="55">
        <v>49.34</v>
      </c>
      <c r="J297" s="55">
        <v>70</v>
      </c>
      <c r="K297" s="55">
        <f>(I297+J297)*0.1</f>
        <v>11.934000000000001</v>
      </c>
      <c r="L297" s="55">
        <f>SUM(I297:K297)</f>
        <v>131.274</v>
      </c>
      <c r="M297" s="55">
        <f>ROUND(L297,0)</f>
        <v>131</v>
      </c>
      <c r="N297" s="56">
        <v>130</v>
      </c>
      <c r="O297" s="57">
        <f t="shared" si="308"/>
        <v>99.321420000000003</v>
      </c>
      <c r="P297" s="58">
        <f>N297-M297</f>
        <v>-1</v>
      </c>
      <c r="Q297" s="59">
        <f t="shared" si="296"/>
        <v>21.666666666666668</v>
      </c>
      <c r="R297" s="60">
        <v>9</v>
      </c>
      <c r="S297" s="60">
        <f>4+3+3+3+3</f>
        <v>16</v>
      </c>
      <c r="T297" s="60">
        <f t="shared" si="325"/>
        <v>5</v>
      </c>
      <c r="U297" s="61">
        <f>R297+S297-T297</f>
        <v>20</v>
      </c>
      <c r="V297" s="88"/>
      <c r="W297" s="30"/>
      <c r="X297" s="30"/>
      <c r="Y297" s="30"/>
      <c r="Z297" s="30"/>
      <c r="AA297" s="30"/>
      <c r="AB297" s="30"/>
      <c r="AC297" s="30"/>
      <c r="AD297" s="30"/>
      <c r="AE297" s="30"/>
      <c r="AF297" s="30">
        <v>2</v>
      </c>
      <c r="AG297" s="30"/>
      <c r="AH297" s="30"/>
      <c r="AI297" s="30"/>
      <c r="AJ297" s="30"/>
      <c r="AK297" s="30"/>
      <c r="AL297" s="30"/>
      <c r="AM297" s="30"/>
      <c r="AN297" s="30"/>
      <c r="AO297" s="30"/>
      <c r="AP297" s="31"/>
      <c r="AQ297" s="32"/>
      <c r="AR297" s="33"/>
      <c r="AS297" s="31">
        <v>1</v>
      </c>
      <c r="AT297" s="63"/>
      <c r="AU297" s="34"/>
      <c r="AV297" s="34"/>
      <c r="AW297" s="34"/>
      <c r="AX297" s="34"/>
      <c r="AY297" s="34">
        <v>1</v>
      </c>
      <c r="AZ297" s="34"/>
      <c r="BA297" s="34"/>
      <c r="BB297" s="34"/>
      <c r="BC297" s="34"/>
      <c r="BD297" s="34"/>
      <c r="BE297" s="34"/>
      <c r="BF297" s="64"/>
      <c r="BG297" s="64">
        <v>1</v>
      </c>
      <c r="BT297" s="64"/>
      <c r="BU297" s="64"/>
      <c r="BV297" s="64"/>
      <c r="BW297" s="64"/>
      <c r="BX297" s="64"/>
      <c r="BY297" s="64"/>
      <c r="BZ297" s="64"/>
      <c r="CA297" s="64"/>
    </row>
    <row r="298" spans="1:79" ht="15" customHeight="1" x14ac:dyDescent="0.25">
      <c r="A298" s="3"/>
      <c r="B298" s="22">
        <v>267</v>
      </c>
      <c r="C298" s="70" t="s">
        <v>638</v>
      </c>
      <c r="D298" s="174">
        <v>2020</v>
      </c>
      <c r="E298" s="22" t="s">
        <v>639</v>
      </c>
      <c r="F298" s="22" t="s">
        <v>222</v>
      </c>
      <c r="G298" s="22" t="s">
        <v>321</v>
      </c>
      <c r="H298" s="22" t="s">
        <v>135</v>
      </c>
      <c r="I298" s="55">
        <v>13.8</v>
      </c>
      <c r="J298" s="55">
        <v>25</v>
      </c>
      <c r="K298" s="55">
        <f t="shared" si="250"/>
        <v>3.88</v>
      </c>
      <c r="L298" s="55">
        <f t="shared" si="251"/>
        <v>42.68</v>
      </c>
      <c r="M298" s="55">
        <f t="shared" si="300"/>
        <v>43</v>
      </c>
      <c r="N298" s="56">
        <v>46</v>
      </c>
      <c r="O298" s="57">
        <f t="shared" si="308"/>
        <v>27.779399999999999</v>
      </c>
      <c r="P298" s="58">
        <f t="shared" si="253"/>
        <v>3</v>
      </c>
      <c r="Q298" s="59">
        <f t="shared" si="296"/>
        <v>7.666666666666667</v>
      </c>
      <c r="R298" s="60">
        <v>7</v>
      </c>
      <c r="S298" s="60">
        <f>5+6+12+6</f>
        <v>29</v>
      </c>
      <c r="T298" s="60">
        <f t="shared" si="325"/>
        <v>24</v>
      </c>
      <c r="U298" s="61">
        <f t="shared" si="326"/>
        <v>12</v>
      </c>
      <c r="V298" s="88"/>
      <c r="W298" s="30">
        <v>3</v>
      </c>
      <c r="X298" s="30"/>
      <c r="Y298" s="30"/>
      <c r="Z298" s="30"/>
      <c r="AA298" s="30"/>
      <c r="AB298" s="30"/>
      <c r="AC298" s="30"/>
      <c r="AD298" s="30">
        <v>1</v>
      </c>
      <c r="AE298" s="30">
        <v>1</v>
      </c>
      <c r="AF298" s="30">
        <v>1</v>
      </c>
      <c r="AG298" s="30">
        <v>1</v>
      </c>
      <c r="AH298" s="30"/>
      <c r="AI298" s="30"/>
      <c r="AJ298" s="30"/>
      <c r="AK298" s="30"/>
      <c r="AL298" s="30"/>
      <c r="AM298" s="30"/>
      <c r="AN298" s="30"/>
      <c r="AO298" s="30"/>
      <c r="AP298" s="31">
        <v>2</v>
      </c>
      <c r="AQ298" s="32">
        <v>1</v>
      </c>
      <c r="AR298" s="33">
        <v>1</v>
      </c>
      <c r="AS298" s="31">
        <v>1</v>
      </c>
      <c r="AT298" s="63"/>
      <c r="AU298" s="34">
        <v>1</v>
      </c>
      <c r="AV298" s="34"/>
      <c r="AW298" s="34">
        <v>1</v>
      </c>
      <c r="AX298" s="34"/>
      <c r="AY298" s="34"/>
      <c r="AZ298" s="34"/>
      <c r="BA298" s="34"/>
      <c r="BB298" s="34">
        <v>1</v>
      </c>
      <c r="BC298" s="34"/>
      <c r="BD298" s="34"/>
      <c r="BE298" s="34"/>
      <c r="BF298" s="64">
        <v>1</v>
      </c>
      <c r="BI298" s="64">
        <v>1</v>
      </c>
      <c r="BK298" s="64">
        <v>1</v>
      </c>
      <c r="BL298" s="64">
        <v>4</v>
      </c>
      <c r="BO298" s="64">
        <v>1</v>
      </c>
      <c r="BR298" s="64">
        <v>1</v>
      </c>
      <c r="BT298" s="64">
        <v>1</v>
      </c>
      <c r="BU298" s="64"/>
      <c r="BV298" s="64"/>
      <c r="BW298" s="64"/>
      <c r="BX298" s="64"/>
      <c r="BY298" s="64"/>
      <c r="BZ298" s="64"/>
      <c r="CA298" s="64"/>
    </row>
    <row r="299" spans="1:79" ht="15" customHeight="1" x14ac:dyDescent="0.25">
      <c r="A299" s="22"/>
      <c r="B299" s="29">
        <v>269</v>
      </c>
      <c r="C299" s="70" t="s">
        <v>638</v>
      </c>
      <c r="D299" s="174">
        <v>2020</v>
      </c>
      <c r="E299" s="22" t="s">
        <v>640</v>
      </c>
      <c r="F299" s="22" t="s">
        <v>250</v>
      </c>
      <c r="G299" s="22" t="s">
        <v>77</v>
      </c>
      <c r="H299" s="22" t="s">
        <v>137</v>
      </c>
      <c r="I299" s="55">
        <v>12.85</v>
      </c>
      <c r="J299" s="55">
        <f>IF(I299&lt;=15,$L$2,$L$3)</f>
        <v>25</v>
      </c>
      <c r="K299" s="55">
        <f t="shared" si="250"/>
        <v>3.7850000000000001</v>
      </c>
      <c r="L299" s="55">
        <f t="shared" si="251"/>
        <v>41.635000000000005</v>
      </c>
      <c r="M299" s="55">
        <f t="shared" si="300"/>
        <v>42</v>
      </c>
      <c r="N299" s="56">
        <v>41</v>
      </c>
      <c r="O299" s="57">
        <f t="shared" si="308"/>
        <v>25.867049999999995</v>
      </c>
      <c r="P299" s="58">
        <f t="shared" si="253"/>
        <v>-1</v>
      </c>
      <c r="Q299" s="59">
        <f t="shared" si="296"/>
        <v>6.833333333333333</v>
      </c>
      <c r="R299" s="60">
        <v>10</v>
      </c>
      <c r="S299" s="60">
        <f>14+6+6</f>
        <v>26</v>
      </c>
      <c r="T299" s="60">
        <f t="shared" si="325"/>
        <v>32</v>
      </c>
      <c r="U299" s="61">
        <f t="shared" si="326"/>
        <v>4</v>
      </c>
      <c r="V299" s="62"/>
      <c r="W299" s="30">
        <v>2</v>
      </c>
      <c r="X299" s="30"/>
      <c r="Y299" s="30"/>
      <c r="Z299" s="30">
        <v>4</v>
      </c>
      <c r="AA299" s="30">
        <v>2</v>
      </c>
      <c r="AB299" s="30">
        <v>3</v>
      </c>
      <c r="AC299" s="30">
        <v>1</v>
      </c>
      <c r="AD299" s="30"/>
      <c r="AE299" s="30">
        <v>2</v>
      </c>
      <c r="AF299" s="30">
        <v>1</v>
      </c>
      <c r="AG299" s="30">
        <v>1</v>
      </c>
      <c r="AH299" s="30"/>
      <c r="AI299" s="30"/>
      <c r="AJ299" s="30"/>
      <c r="AK299" s="30"/>
      <c r="AL299" s="30"/>
      <c r="AM299" s="30"/>
      <c r="AN299" s="30"/>
      <c r="AO299" s="30"/>
      <c r="AP299" s="31"/>
      <c r="AQ299" s="32"/>
      <c r="AR299" s="33"/>
      <c r="AS299" s="31">
        <v>2</v>
      </c>
      <c r="AT299" s="63"/>
      <c r="AU299" s="34"/>
      <c r="AV299" s="34"/>
      <c r="AW299" s="34"/>
      <c r="AX299" s="34"/>
      <c r="AY299" s="34">
        <v>1</v>
      </c>
      <c r="AZ299" s="34">
        <v>1</v>
      </c>
      <c r="BA299" s="34"/>
      <c r="BB299" s="34">
        <v>1</v>
      </c>
      <c r="BC299" s="34">
        <v>1</v>
      </c>
      <c r="BD299" s="34">
        <v>2</v>
      </c>
      <c r="BE299" s="34"/>
      <c r="BF299" s="64"/>
      <c r="BG299" s="64">
        <v>3</v>
      </c>
      <c r="BL299" s="64">
        <v>3</v>
      </c>
      <c r="BP299" s="64">
        <v>1</v>
      </c>
      <c r="BT299" s="64">
        <v>2</v>
      </c>
      <c r="BU299" s="64"/>
      <c r="BV299" s="64"/>
      <c r="BW299" s="64"/>
      <c r="BX299" s="64"/>
      <c r="BY299" s="64"/>
      <c r="BZ299" s="64"/>
      <c r="CA299" s="64"/>
    </row>
    <row r="300" spans="1:79" ht="15" customHeight="1" x14ac:dyDescent="0.25">
      <c r="A300" s="3"/>
      <c r="B300" s="22">
        <v>270</v>
      </c>
      <c r="C300" s="70" t="s">
        <v>638</v>
      </c>
      <c r="D300" s="174">
        <v>2020</v>
      </c>
      <c r="E300" s="22" t="s">
        <v>641</v>
      </c>
      <c r="F300" s="22" t="s">
        <v>642</v>
      </c>
      <c r="G300" s="22" t="s">
        <v>81</v>
      </c>
      <c r="H300" s="22" t="s">
        <v>78</v>
      </c>
      <c r="I300" s="55">
        <v>25.6</v>
      </c>
      <c r="J300" s="55">
        <v>30</v>
      </c>
      <c r="K300" s="55">
        <f t="shared" si="250"/>
        <v>5.5600000000000005</v>
      </c>
      <c r="L300" s="55">
        <f t="shared" si="251"/>
        <v>61.160000000000004</v>
      </c>
      <c r="M300" s="55">
        <f t="shared" si="300"/>
        <v>61</v>
      </c>
      <c r="N300" s="56">
        <v>59</v>
      </c>
      <c r="O300" s="57">
        <f t="shared" si="308"/>
        <v>51.532800000000002</v>
      </c>
      <c r="P300" s="58">
        <f t="shared" si="253"/>
        <v>-2</v>
      </c>
      <c r="Q300" s="59">
        <f t="shared" si="296"/>
        <v>9.8333333333333339</v>
      </c>
      <c r="R300" s="60">
        <v>10</v>
      </c>
      <c r="S300" s="60">
        <f>18+6+6</f>
        <v>30</v>
      </c>
      <c r="T300" s="60">
        <f t="shared" si="325"/>
        <v>27</v>
      </c>
      <c r="U300" s="61">
        <f t="shared" si="326"/>
        <v>13</v>
      </c>
      <c r="V300" s="62"/>
      <c r="W300" s="30">
        <v>1</v>
      </c>
      <c r="X300" s="30"/>
      <c r="Y300" s="30"/>
      <c r="Z300" s="30">
        <v>1</v>
      </c>
      <c r="AA300" s="30"/>
      <c r="AB300" s="30"/>
      <c r="AC300" s="30"/>
      <c r="AD300" s="30"/>
      <c r="AE300" s="30">
        <v>1</v>
      </c>
      <c r="AF300" s="30"/>
      <c r="AG300" s="30">
        <v>1</v>
      </c>
      <c r="AH300" s="30"/>
      <c r="AI300" s="30"/>
      <c r="AJ300" s="30"/>
      <c r="AK300" s="30"/>
      <c r="AL300" s="30"/>
      <c r="AM300" s="30"/>
      <c r="AN300" s="30"/>
      <c r="AO300" s="30"/>
      <c r="AP300" s="31"/>
      <c r="AQ300" s="32"/>
      <c r="AR300" s="33"/>
      <c r="AS300" s="31">
        <v>1</v>
      </c>
      <c r="AT300" s="63">
        <v>2</v>
      </c>
      <c r="AU300" s="34">
        <v>3</v>
      </c>
      <c r="AV300" s="34"/>
      <c r="AW300" s="34">
        <v>2</v>
      </c>
      <c r="AX300" s="34"/>
      <c r="AY300" s="34">
        <v>1</v>
      </c>
      <c r="AZ300" s="34">
        <v>1</v>
      </c>
      <c r="BA300" s="34">
        <v>1</v>
      </c>
      <c r="BB300" s="34"/>
      <c r="BC300" s="34"/>
      <c r="BD300" s="34"/>
      <c r="BE300" s="34"/>
      <c r="BF300" s="64"/>
      <c r="BG300" s="64">
        <v>2</v>
      </c>
      <c r="BH300" s="64">
        <v>2</v>
      </c>
      <c r="BI300" s="64">
        <v>1</v>
      </c>
      <c r="BJ300" s="64">
        <v>1</v>
      </c>
      <c r="BK300" s="64">
        <v>2</v>
      </c>
      <c r="BL300" s="64">
        <v>1</v>
      </c>
      <c r="BM300" s="64">
        <v>1</v>
      </c>
      <c r="BN300" s="64">
        <v>4</v>
      </c>
      <c r="BR300" s="64">
        <v>1</v>
      </c>
      <c r="BT300" s="64">
        <v>1</v>
      </c>
      <c r="BU300" s="64"/>
      <c r="BV300" s="64"/>
      <c r="BW300" s="64"/>
      <c r="BX300" s="64"/>
      <c r="BY300" s="64"/>
      <c r="BZ300" s="64"/>
      <c r="CA300" s="64"/>
    </row>
    <row r="301" spans="1:79" ht="15" customHeight="1" x14ac:dyDescent="0.25">
      <c r="A301" s="3"/>
      <c r="B301" s="22">
        <v>271</v>
      </c>
      <c r="C301" s="70" t="s">
        <v>638</v>
      </c>
      <c r="D301" s="186">
        <v>2020</v>
      </c>
      <c r="E301" s="22" t="s">
        <v>643</v>
      </c>
      <c r="F301" s="22" t="s">
        <v>125</v>
      </c>
      <c r="G301" s="22" t="s">
        <v>77</v>
      </c>
      <c r="H301" s="22" t="s">
        <v>135</v>
      </c>
      <c r="I301" s="55">
        <v>34</v>
      </c>
      <c r="J301" s="55">
        <v>35</v>
      </c>
      <c r="K301" s="55">
        <f t="shared" si="250"/>
        <v>6.9</v>
      </c>
      <c r="L301" s="55">
        <f t="shared" si="251"/>
        <v>75.900000000000006</v>
      </c>
      <c r="M301" s="55">
        <f t="shared" si="300"/>
        <v>76</v>
      </c>
      <c r="N301" s="56">
        <v>76</v>
      </c>
      <c r="O301" s="57">
        <f t="shared" si="308"/>
        <v>68.441999999999993</v>
      </c>
      <c r="P301" s="58">
        <f t="shared" si="253"/>
        <v>0</v>
      </c>
      <c r="Q301" s="59">
        <f t="shared" si="296"/>
        <v>12.666666666666666</v>
      </c>
      <c r="R301" s="60">
        <v>28</v>
      </c>
      <c r="S301" s="60">
        <v>5</v>
      </c>
      <c r="T301" s="60">
        <f t="shared" si="325"/>
        <v>17</v>
      </c>
      <c r="U301" s="61">
        <f t="shared" si="326"/>
        <v>16</v>
      </c>
      <c r="V301" s="62"/>
      <c r="W301" s="30"/>
      <c r="X301" s="30">
        <v>2</v>
      </c>
      <c r="Y301" s="30"/>
      <c r="Z301" s="30">
        <v>1</v>
      </c>
      <c r="AA301" s="30">
        <v>2</v>
      </c>
      <c r="AB301" s="30">
        <v>4</v>
      </c>
      <c r="AC301" s="30"/>
      <c r="AD301" s="30"/>
      <c r="AE301" s="30"/>
      <c r="AF301" s="30">
        <v>1</v>
      </c>
      <c r="AG301" s="30">
        <v>1</v>
      </c>
      <c r="AH301" s="30"/>
      <c r="AI301" s="30"/>
      <c r="AJ301" s="30"/>
      <c r="AK301" s="30"/>
      <c r="AL301" s="30"/>
      <c r="AM301" s="30"/>
      <c r="AN301" s="30"/>
      <c r="AO301" s="30"/>
      <c r="AP301" s="31"/>
      <c r="AQ301" s="32"/>
      <c r="AR301" s="33"/>
      <c r="AS301" s="31"/>
      <c r="AT301" s="63"/>
      <c r="AU301" s="34"/>
      <c r="AV301" s="34"/>
      <c r="AW301" s="34"/>
      <c r="AX301" s="34"/>
      <c r="AY301" s="34"/>
      <c r="AZ301" s="34">
        <v>1</v>
      </c>
      <c r="BA301" s="34"/>
      <c r="BB301" s="34"/>
      <c r="BC301" s="34">
        <v>1</v>
      </c>
      <c r="BD301" s="34"/>
      <c r="BE301" s="34"/>
      <c r="BF301" s="64">
        <v>1</v>
      </c>
      <c r="BG301" s="64">
        <v>1</v>
      </c>
      <c r="BI301" s="64">
        <v>1</v>
      </c>
      <c r="BO301" s="64">
        <v>1</v>
      </c>
      <c r="BT301" s="64">
        <v>1</v>
      </c>
      <c r="BU301" s="64"/>
      <c r="BV301" s="64"/>
      <c r="BW301" s="64"/>
      <c r="BX301" s="64"/>
      <c r="BY301" s="64"/>
      <c r="BZ301" s="64"/>
      <c r="CA301" s="64"/>
    </row>
    <row r="302" spans="1:79" ht="15" customHeight="1" x14ac:dyDescent="0.25">
      <c r="A302" s="3"/>
      <c r="B302" s="22">
        <v>272</v>
      </c>
      <c r="C302" s="70" t="s">
        <v>638</v>
      </c>
      <c r="D302" s="174">
        <v>2018</v>
      </c>
      <c r="E302" s="22" t="s">
        <v>644</v>
      </c>
      <c r="F302" s="22" t="s">
        <v>645</v>
      </c>
      <c r="G302" s="22" t="s">
        <v>245</v>
      </c>
      <c r="H302" s="22" t="s">
        <v>78</v>
      </c>
      <c r="I302" s="55">
        <v>14.8</v>
      </c>
      <c r="J302" s="55">
        <f>IF(I302&lt;=15,$L$2,$L$3)</f>
        <v>25</v>
      </c>
      <c r="K302" s="55">
        <f t="shared" ref="K302:K382" si="327">(I302+J302)*0.1</f>
        <v>3.98</v>
      </c>
      <c r="L302" s="55">
        <f t="shared" ref="L302:L382" si="328">SUM(I302:K302)</f>
        <v>43.779999999999994</v>
      </c>
      <c r="M302" s="55">
        <f t="shared" si="300"/>
        <v>44</v>
      </c>
      <c r="N302" s="56">
        <v>43</v>
      </c>
      <c r="O302" s="57">
        <f t="shared" si="308"/>
        <v>29.792399999999997</v>
      </c>
      <c r="P302" s="58">
        <f t="shared" ref="P302:P382" si="329">N302-M302</f>
        <v>-1</v>
      </c>
      <c r="Q302" s="59">
        <f t="shared" si="296"/>
        <v>7.166666666666667</v>
      </c>
      <c r="R302" s="60">
        <v>12</v>
      </c>
      <c r="S302" s="60">
        <f>7+6+6</f>
        <v>19</v>
      </c>
      <c r="T302" s="60">
        <f t="shared" si="325"/>
        <v>17</v>
      </c>
      <c r="U302" s="61">
        <f t="shared" si="326"/>
        <v>14</v>
      </c>
      <c r="V302" s="62"/>
      <c r="W302" s="30"/>
      <c r="X302" s="30"/>
      <c r="Y302" s="30"/>
      <c r="Z302" s="30"/>
      <c r="AA302" s="30"/>
      <c r="AB302" s="30"/>
      <c r="AC302" s="30">
        <v>1</v>
      </c>
      <c r="AD302" s="30">
        <v>2</v>
      </c>
      <c r="AE302" s="30"/>
      <c r="AF302" s="30">
        <v>3</v>
      </c>
      <c r="AG302" s="30">
        <v>1</v>
      </c>
      <c r="AH302" s="30"/>
      <c r="AI302" s="30"/>
      <c r="AJ302" s="30"/>
      <c r="AK302" s="30"/>
      <c r="AL302" s="30"/>
      <c r="AM302" s="30"/>
      <c r="AN302" s="30"/>
      <c r="AO302" s="30"/>
      <c r="AP302" s="31"/>
      <c r="AQ302" s="32">
        <v>1</v>
      </c>
      <c r="AR302" s="33"/>
      <c r="AS302" s="31"/>
      <c r="AT302" s="63">
        <v>3</v>
      </c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64"/>
      <c r="BL302" s="64">
        <v>2</v>
      </c>
      <c r="BP302" s="64">
        <v>1</v>
      </c>
      <c r="BQ302" s="64">
        <v>1</v>
      </c>
      <c r="BR302" s="64">
        <v>1</v>
      </c>
      <c r="BT302" s="64">
        <v>2</v>
      </c>
      <c r="BU302" s="64"/>
      <c r="BV302" s="64"/>
      <c r="BW302" s="64"/>
      <c r="BX302" s="64"/>
      <c r="BY302" s="64"/>
      <c r="BZ302" s="64"/>
      <c r="CA302" s="64"/>
    </row>
    <row r="303" spans="1:79" ht="15" customHeight="1" x14ac:dyDescent="0.25">
      <c r="A303" s="22"/>
      <c r="B303" s="22">
        <v>274</v>
      </c>
      <c r="C303" s="70" t="s">
        <v>638</v>
      </c>
      <c r="D303" s="174">
        <v>2017</v>
      </c>
      <c r="E303" s="22" t="s">
        <v>646</v>
      </c>
      <c r="F303" s="22" t="s">
        <v>647</v>
      </c>
      <c r="G303" s="22" t="s">
        <v>215</v>
      </c>
      <c r="H303" s="22" t="s">
        <v>78</v>
      </c>
      <c r="I303" s="55">
        <v>12.9</v>
      </c>
      <c r="J303" s="55">
        <f>IF(I303&lt;=15,$L$2,$L$3)</f>
        <v>25</v>
      </c>
      <c r="K303" s="55">
        <f t="shared" si="327"/>
        <v>3.79</v>
      </c>
      <c r="L303" s="55">
        <f t="shared" si="328"/>
        <v>41.69</v>
      </c>
      <c r="M303" s="55">
        <f t="shared" si="300"/>
        <v>42</v>
      </c>
      <c r="N303" s="56">
        <v>42</v>
      </c>
      <c r="O303" s="57">
        <f t="shared" si="308"/>
        <v>25.967700000000001</v>
      </c>
      <c r="P303" s="58">
        <f t="shared" si="329"/>
        <v>0</v>
      </c>
      <c r="Q303" s="59">
        <f t="shared" si="296"/>
        <v>7</v>
      </c>
      <c r="R303" s="60">
        <v>23</v>
      </c>
      <c r="S303" s="60">
        <f>20+6+6+6+6+6+6</f>
        <v>56</v>
      </c>
      <c r="T303" s="60">
        <f t="shared" si="325"/>
        <v>44</v>
      </c>
      <c r="U303" s="73">
        <v>8</v>
      </c>
      <c r="V303" s="62"/>
      <c r="W303" s="30">
        <v>4</v>
      </c>
      <c r="X303" s="30">
        <v>7</v>
      </c>
      <c r="Y303" s="30">
        <v>1</v>
      </c>
      <c r="Z303" s="30"/>
      <c r="AA303" s="30"/>
      <c r="AB303" s="30">
        <v>1</v>
      </c>
      <c r="AC303" s="30"/>
      <c r="AD303" s="30"/>
      <c r="AE303" s="30">
        <v>4</v>
      </c>
      <c r="AF303" s="30">
        <v>1</v>
      </c>
      <c r="AG303" s="30"/>
      <c r="AH303" s="30"/>
      <c r="AI303" s="30"/>
      <c r="AJ303" s="30"/>
      <c r="AK303" s="30"/>
      <c r="AL303" s="30"/>
      <c r="AM303" s="30"/>
      <c r="AN303" s="30"/>
      <c r="AO303" s="30"/>
      <c r="AP303" s="31">
        <v>1</v>
      </c>
      <c r="AQ303" s="32">
        <v>1</v>
      </c>
      <c r="AR303" s="33"/>
      <c r="AS303" s="31"/>
      <c r="AT303" s="63"/>
      <c r="AU303" s="34">
        <v>2</v>
      </c>
      <c r="AV303" s="34">
        <v>2</v>
      </c>
      <c r="AW303" s="34">
        <v>1</v>
      </c>
      <c r="AX303" s="34"/>
      <c r="AY303" s="34">
        <v>1</v>
      </c>
      <c r="AZ303" s="34"/>
      <c r="BA303" s="34"/>
      <c r="BB303" s="34">
        <v>4</v>
      </c>
      <c r="BC303" s="34">
        <v>1</v>
      </c>
      <c r="BD303" s="34"/>
      <c r="BE303" s="34">
        <v>2</v>
      </c>
      <c r="BF303" s="64">
        <v>2</v>
      </c>
      <c r="BG303" s="64">
        <v>1</v>
      </c>
      <c r="BH303" s="64">
        <v>3</v>
      </c>
      <c r="BJ303" s="64">
        <v>1</v>
      </c>
      <c r="BL303" s="64">
        <v>1</v>
      </c>
      <c r="BO303" s="64">
        <v>8</v>
      </c>
      <c r="BT303" s="64">
        <v>3</v>
      </c>
      <c r="BU303" s="64"/>
      <c r="BV303" s="64"/>
      <c r="BW303" s="64"/>
      <c r="BX303" s="64"/>
      <c r="BY303" s="64"/>
      <c r="BZ303" s="64"/>
      <c r="CA303" s="64"/>
    </row>
    <row r="304" spans="1:79" ht="15" customHeight="1" x14ac:dyDescent="0.25">
      <c r="A304" s="3"/>
      <c r="B304" s="22">
        <v>276</v>
      </c>
      <c r="C304" s="70" t="s">
        <v>638</v>
      </c>
      <c r="D304" s="174">
        <v>2019</v>
      </c>
      <c r="E304" s="22" t="s">
        <v>648</v>
      </c>
      <c r="F304" s="22" t="s">
        <v>353</v>
      </c>
      <c r="G304" s="22" t="s">
        <v>81</v>
      </c>
      <c r="H304" s="22" t="s">
        <v>78</v>
      </c>
      <c r="I304" s="55">
        <v>17.899999999999999</v>
      </c>
      <c r="J304" s="55">
        <f>IF(I304&lt;=15,$L$2,$L$3)</f>
        <v>30</v>
      </c>
      <c r="K304" s="55">
        <f t="shared" si="327"/>
        <v>4.79</v>
      </c>
      <c r="L304" s="55">
        <f t="shared" si="328"/>
        <v>52.69</v>
      </c>
      <c r="M304" s="55">
        <f t="shared" si="300"/>
        <v>53</v>
      </c>
      <c r="N304" s="56">
        <v>51</v>
      </c>
      <c r="O304" s="57">
        <f t="shared" si="308"/>
        <v>36.032699999999998</v>
      </c>
      <c r="P304" s="58">
        <f t="shared" si="329"/>
        <v>-2</v>
      </c>
      <c r="Q304" s="59">
        <f t="shared" si="296"/>
        <v>8.5</v>
      </c>
      <c r="R304" s="60">
        <v>10</v>
      </c>
      <c r="S304" s="60">
        <f>5+6+6</f>
        <v>17</v>
      </c>
      <c r="T304" s="60">
        <f t="shared" si="325"/>
        <v>18</v>
      </c>
      <c r="U304" s="61">
        <f t="shared" si="326"/>
        <v>9</v>
      </c>
      <c r="V304" s="62"/>
      <c r="W304" s="30">
        <v>1</v>
      </c>
      <c r="X304" s="30"/>
      <c r="Y304" s="30"/>
      <c r="Z304" s="30"/>
      <c r="AA304" s="30"/>
      <c r="AB304" s="30"/>
      <c r="AC304" s="30">
        <v>1</v>
      </c>
      <c r="AD304" s="30">
        <v>1</v>
      </c>
      <c r="AE304" s="30"/>
      <c r="AF304" s="30"/>
      <c r="AG304" s="30">
        <v>2</v>
      </c>
      <c r="AH304" s="30"/>
      <c r="AI304" s="30"/>
      <c r="AJ304" s="30"/>
      <c r="AK304" s="30"/>
      <c r="AL304" s="30"/>
      <c r="AM304" s="30"/>
      <c r="AN304" s="30"/>
      <c r="AO304" s="30"/>
      <c r="AP304" s="31"/>
      <c r="AQ304" s="32">
        <v>1</v>
      </c>
      <c r="AR304" s="33">
        <v>1</v>
      </c>
      <c r="AS304" s="31">
        <v>1</v>
      </c>
      <c r="AT304" s="63">
        <v>2</v>
      </c>
      <c r="AU304" s="34"/>
      <c r="AV304" s="34"/>
      <c r="AW304" s="34"/>
      <c r="AX304" s="34"/>
      <c r="AY304" s="34">
        <v>1</v>
      </c>
      <c r="AZ304" s="34"/>
      <c r="BA304" s="34">
        <v>2</v>
      </c>
      <c r="BB304" s="34"/>
      <c r="BC304" s="34"/>
      <c r="BD304" s="34">
        <v>1</v>
      </c>
      <c r="BE304" s="34"/>
      <c r="BF304" s="64">
        <v>1</v>
      </c>
      <c r="BI304" s="64">
        <v>2</v>
      </c>
      <c r="BL304" s="64">
        <v>1</v>
      </c>
      <c r="BP304" s="64">
        <v>1</v>
      </c>
      <c r="BT304" s="64"/>
      <c r="BU304" s="64"/>
      <c r="BV304" s="64"/>
      <c r="BW304" s="64"/>
      <c r="BX304" s="64"/>
      <c r="BY304" s="64"/>
      <c r="BZ304" s="64"/>
      <c r="CA304" s="64"/>
    </row>
    <row r="305" spans="1:79" ht="15" customHeight="1" x14ac:dyDescent="0.25">
      <c r="A305" s="22"/>
      <c r="B305" s="29">
        <v>277</v>
      </c>
      <c r="C305" s="70" t="s">
        <v>638</v>
      </c>
      <c r="D305" s="174" t="s">
        <v>649</v>
      </c>
      <c r="E305" s="22" t="s">
        <v>650</v>
      </c>
      <c r="F305" s="22" t="s">
        <v>250</v>
      </c>
      <c r="G305" s="22" t="s">
        <v>215</v>
      </c>
      <c r="H305" s="22" t="s">
        <v>78</v>
      </c>
      <c r="I305" s="55">
        <v>36.799999999999997</v>
      </c>
      <c r="J305" s="55">
        <v>35</v>
      </c>
      <c r="K305" s="55">
        <f t="shared" si="327"/>
        <v>7.18</v>
      </c>
      <c r="L305" s="55">
        <f t="shared" si="328"/>
        <v>78.97999999999999</v>
      </c>
      <c r="M305" s="55">
        <f t="shared" si="300"/>
        <v>79</v>
      </c>
      <c r="N305" s="56">
        <v>79</v>
      </c>
      <c r="O305" s="57">
        <f t="shared" si="308"/>
        <v>74.078399999999988</v>
      </c>
      <c r="P305" s="58">
        <f t="shared" si="329"/>
        <v>0</v>
      </c>
      <c r="Q305" s="59">
        <f t="shared" si="296"/>
        <v>13.166666666666666</v>
      </c>
      <c r="R305" s="60">
        <v>7</v>
      </c>
      <c r="S305" s="60"/>
      <c r="T305" s="60">
        <f t="shared" si="325"/>
        <v>2</v>
      </c>
      <c r="U305" s="61">
        <f t="shared" si="326"/>
        <v>5</v>
      </c>
      <c r="V305" s="62"/>
      <c r="W305" s="30"/>
      <c r="X305" s="30"/>
      <c r="Y305" s="30"/>
      <c r="Z305" s="30">
        <v>1</v>
      </c>
      <c r="AA305" s="30"/>
      <c r="AB305" s="30"/>
      <c r="AC305" s="30"/>
      <c r="AD305" s="30"/>
      <c r="AE305" s="30"/>
      <c r="AF305" s="30"/>
      <c r="AG305" s="30">
        <v>1</v>
      </c>
      <c r="AH305" s="30"/>
      <c r="AI305" s="30"/>
      <c r="AJ305" s="30"/>
      <c r="AK305" s="30"/>
      <c r="AL305" s="30"/>
      <c r="AM305" s="30"/>
      <c r="AN305" s="30"/>
      <c r="AO305" s="30"/>
      <c r="AP305" s="31"/>
      <c r="AQ305" s="32"/>
      <c r="AR305" s="33"/>
      <c r="AS305" s="31"/>
      <c r="AT305" s="63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64"/>
      <c r="BT305" s="64"/>
      <c r="BU305" s="64"/>
      <c r="BV305" s="64"/>
      <c r="BW305" s="64"/>
      <c r="BX305" s="64"/>
      <c r="BY305" s="64"/>
      <c r="BZ305" s="64"/>
      <c r="CA305" s="64"/>
    </row>
    <row r="306" spans="1:79" ht="15" customHeight="1" x14ac:dyDescent="0.25">
      <c r="A306" s="22"/>
      <c r="B306" s="22">
        <v>278</v>
      </c>
      <c r="C306" s="70" t="s">
        <v>638</v>
      </c>
      <c r="D306" s="174">
        <v>2015</v>
      </c>
      <c r="E306" s="22" t="s">
        <v>651</v>
      </c>
      <c r="F306" s="22" t="s">
        <v>392</v>
      </c>
      <c r="G306" s="22" t="s">
        <v>223</v>
      </c>
      <c r="H306" s="22" t="s">
        <v>137</v>
      </c>
      <c r="I306" s="55">
        <v>41.9</v>
      </c>
      <c r="J306" s="55">
        <v>40</v>
      </c>
      <c r="K306" s="55">
        <f>(I306+J306)*0.1</f>
        <v>8.1900000000000013</v>
      </c>
      <c r="L306" s="55">
        <f>SUM(I306:K306)</f>
        <v>90.09</v>
      </c>
      <c r="M306" s="55">
        <f>ROUND(L306,0)</f>
        <v>90</v>
      </c>
      <c r="N306" s="56">
        <v>92</v>
      </c>
      <c r="O306" s="57">
        <f t="shared" si="308"/>
        <v>84.344699999999989</v>
      </c>
      <c r="P306" s="58">
        <f>N306-M306</f>
        <v>2</v>
      </c>
      <c r="Q306" s="59">
        <f t="shared" si="296"/>
        <v>15.333333333333334</v>
      </c>
      <c r="R306" s="60">
        <v>7</v>
      </c>
      <c r="S306" s="60">
        <v>6</v>
      </c>
      <c r="T306" s="60">
        <f t="shared" si="325"/>
        <v>6</v>
      </c>
      <c r="U306" s="61">
        <f>R306+S306-T306</f>
        <v>7</v>
      </c>
      <c r="V306" s="62"/>
      <c r="W306" s="30"/>
      <c r="X306" s="30"/>
      <c r="Y306" s="30"/>
      <c r="Z306" s="30"/>
      <c r="AA306" s="30"/>
      <c r="AB306" s="30"/>
      <c r="AC306" s="30">
        <v>1</v>
      </c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1"/>
      <c r="AQ306" s="32"/>
      <c r="AR306" s="33"/>
      <c r="AS306" s="31"/>
      <c r="AT306" s="63">
        <v>1</v>
      </c>
      <c r="AU306" s="34"/>
      <c r="AV306" s="34"/>
      <c r="AW306" s="34"/>
      <c r="AX306" s="34"/>
      <c r="AY306" s="34"/>
      <c r="AZ306" s="34"/>
      <c r="BA306" s="34"/>
      <c r="BB306" s="34"/>
      <c r="BC306" s="34">
        <v>1</v>
      </c>
      <c r="BD306" s="34"/>
      <c r="BE306" s="34"/>
      <c r="BF306" s="64"/>
      <c r="BI306" s="64">
        <v>2</v>
      </c>
      <c r="BL306" s="64">
        <v>1</v>
      </c>
      <c r="BT306" s="64"/>
      <c r="BU306" s="64"/>
      <c r="BV306" s="64"/>
      <c r="BW306" s="64"/>
      <c r="BX306" s="64"/>
      <c r="BY306" s="64"/>
      <c r="BZ306" s="64"/>
      <c r="CA306" s="64"/>
    </row>
    <row r="307" spans="1:79" ht="14.25" customHeight="1" x14ac:dyDescent="0.25">
      <c r="A307" s="22"/>
      <c r="B307" s="22">
        <v>279</v>
      </c>
      <c r="C307" s="70" t="s">
        <v>638</v>
      </c>
      <c r="D307" s="174">
        <v>2018</v>
      </c>
      <c r="E307" s="22" t="s">
        <v>652</v>
      </c>
      <c r="F307" s="22" t="s">
        <v>653</v>
      </c>
      <c r="G307" s="22" t="s">
        <v>223</v>
      </c>
      <c r="H307" s="22" t="s">
        <v>137</v>
      </c>
      <c r="I307" s="55">
        <v>32</v>
      </c>
      <c r="J307" s="55">
        <v>30</v>
      </c>
      <c r="K307" s="55">
        <f>(I307+J307)*0.1</f>
        <v>6.2</v>
      </c>
      <c r="L307" s="55">
        <f>SUM(I307:K307)</f>
        <v>68.2</v>
      </c>
      <c r="M307" s="55">
        <f>ROUND(L307,0)</f>
        <v>68</v>
      </c>
      <c r="N307" s="56">
        <v>68</v>
      </c>
      <c r="O307" s="57">
        <f t="shared" ref="O307:O339" si="330">I307*$O$2*1.22</f>
        <v>64.415999999999997</v>
      </c>
      <c r="P307" s="58">
        <f>N307-M307</f>
        <v>0</v>
      </c>
      <c r="Q307" s="59">
        <f t="shared" si="296"/>
        <v>11.333333333333334</v>
      </c>
      <c r="R307" s="60">
        <v>12</v>
      </c>
      <c r="S307" s="60">
        <f>3+6+6</f>
        <v>15</v>
      </c>
      <c r="T307" s="60">
        <f t="shared" si="325"/>
        <v>12</v>
      </c>
      <c r="U307" s="61">
        <f>R307+S307-T307</f>
        <v>15</v>
      </c>
      <c r="V307" s="62"/>
      <c r="W307" s="30"/>
      <c r="X307" s="30"/>
      <c r="Y307" s="30"/>
      <c r="Z307" s="30"/>
      <c r="AA307" s="30"/>
      <c r="AB307" s="30"/>
      <c r="AC307" s="30">
        <v>1</v>
      </c>
      <c r="AD307" s="30"/>
      <c r="AE307" s="30">
        <v>2</v>
      </c>
      <c r="AF307" s="30">
        <v>2</v>
      </c>
      <c r="AG307" s="30"/>
      <c r="AH307" s="30"/>
      <c r="AI307" s="30"/>
      <c r="AJ307" s="30"/>
      <c r="AK307" s="30"/>
      <c r="AL307" s="30"/>
      <c r="AM307" s="30"/>
      <c r="AN307" s="30"/>
      <c r="AO307" s="30"/>
      <c r="AP307" s="31"/>
      <c r="AQ307" s="32"/>
      <c r="AR307" s="33"/>
      <c r="AS307" s="31">
        <v>1</v>
      </c>
      <c r="AT307" s="63">
        <v>1</v>
      </c>
      <c r="AU307" s="34"/>
      <c r="AV307" s="34"/>
      <c r="AW307" s="34"/>
      <c r="AX307" s="34"/>
      <c r="AY307" s="34"/>
      <c r="AZ307" s="34"/>
      <c r="BA307" s="34"/>
      <c r="BB307" s="34"/>
      <c r="BC307" s="34"/>
      <c r="BD307" s="34">
        <v>1</v>
      </c>
      <c r="BE307" s="34"/>
      <c r="BF307" s="64"/>
      <c r="BG307" s="64">
        <v>1</v>
      </c>
      <c r="BJ307" s="64">
        <v>1</v>
      </c>
      <c r="BL307" s="64">
        <v>1</v>
      </c>
      <c r="BM307" s="64">
        <v>1</v>
      </c>
      <c r="BT307" s="64"/>
      <c r="BU307" s="64">
        <v>1</v>
      </c>
      <c r="BV307" s="64"/>
      <c r="BW307" s="64"/>
      <c r="BX307" s="64"/>
      <c r="BY307" s="64"/>
      <c r="BZ307" s="64"/>
      <c r="CA307" s="64"/>
    </row>
    <row r="308" spans="1:79" ht="15" customHeight="1" x14ac:dyDescent="0.25">
      <c r="A308" s="3"/>
      <c r="B308" s="22">
        <v>280</v>
      </c>
      <c r="C308" s="117" t="s">
        <v>654</v>
      </c>
      <c r="D308" s="174">
        <v>2019</v>
      </c>
      <c r="E308" s="22" t="s">
        <v>655</v>
      </c>
      <c r="F308" s="22" t="s">
        <v>627</v>
      </c>
      <c r="G308" s="22" t="s">
        <v>81</v>
      </c>
      <c r="H308" s="22" t="s">
        <v>135</v>
      </c>
      <c r="I308" s="55">
        <v>17.600000000000001</v>
      </c>
      <c r="J308" s="55">
        <f>IF(I308&lt;=15,$L$2,$L$3)</f>
        <v>30</v>
      </c>
      <c r="K308" s="55">
        <f t="shared" si="327"/>
        <v>4.7600000000000007</v>
      </c>
      <c r="L308" s="55">
        <f t="shared" si="328"/>
        <v>52.36</v>
      </c>
      <c r="M308" s="55">
        <f t="shared" si="300"/>
        <v>52</v>
      </c>
      <c r="N308" s="56">
        <v>50</v>
      </c>
      <c r="O308" s="57">
        <f t="shared" si="330"/>
        <v>35.428799999999995</v>
      </c>
      <c r="P308" s="58">
        <f t="shared" si="329"/>
        <v>-2</v>
      </c>
      <c r="Q308" s="59">
        <f t="shared" si="296"/>
        <v>8.3333333333333339</v>
      </c>
      <c r="R308" s="60">
        <v>23</v>
      </c>
      <c r="S308" s="60">
        <f>12+6</f>
        <v>18</v>
      </c>
      <c r="T308" s="60">
        <f t="shared" si="325"/>
        <v>37</v>
      </c>
      <c r="U308" s="61">
        <f t="shared" si="326"/>
        <v>4</v>
      </c>
      <c r="V308" s="62"/>
      <c r="W308" s="30">
        <v>8</v>
      </c>
      <c r="X308" s="30">
        <v>1</v>
      </c>
      <c r="Y308" s="30">
        <v>2</v>
      </c>
      <c r="Z308" s="30">
        <v>1</v>
      </c>
      <c r="AA308" s="30">
        <v>1</v>
      </c>
      <c r="AB308" s="30">
        <v>2</v>
      </c>
      <c r="AC308" s="30">
        <v>2</v>
      </c>
      <c r="AD308" s="30"/>
      <c r="AE308" s="30">
        <v>1</v>
      </c>
      <c r="AF308" s="30">
        <v>3</v>
      </c>
      <c r="AG308" s="30">
        <v>1</v>
      </c>
      <c r="AH308" s="30">
        <v>1</v>
      </c>
      <c r="AI308" s="30"/>
      <c r="AJ308" s="30"/>
      <c r="AK308" s="30"/>
      <c r="AL308" s="30"/>
      <c r="AM308" s="30"/>
      <c r="AN308" s="30"/>
      <c r="AO308" s="30"/>
      <c r="AP308" s="31">
        <v>1</v>
      </c>
      <c r="AQ308" s="32"/>
      <c r="AR308" s="33"/>
      <c r="AS308" s="31"/>
      <c r="AT308" s="63">
        <v>2</v>
      </c>
      <c r="AU308" s="34">
        <v>1</v>
      </c>
      <c r="AV308" s="34"/>
      <c r="AW308" s="34"/>
      <c r="AX308" s="34"/>
      <c r="AY308" s="34"/>
      <c r="AZ308" s="34"/>
      <c r="BA308" s="34"/>
      <c r="BB308" s="34"/>
      <c r="BC308" s="34">
        <v>1</v>
      </c>
      <c r="BD308" s="34">
        <v>2</v>
      </c>
      <c r="BE308" s="34"/>
      <c r="BF308" s="64"/>
      <c r="BG308" s="64">
        <v>2</v>
      </c>
      <c r="BI308" s="64">
        <v>1</v>
      </c>
      <c r="BJ308" s="64">
        <v>2</v>
      </c>
      <c r="BR308" s="64">
        <v>1</v>
      </c>
      <c r="BT308" s="64">
        <v>1</v>
      </c>
      <c r="BU308" s="64">
        <v>2</v>
      </c>
      <c r="BV308" s="64"/>
      <c r="BW308" s="64"/>
      <c r="BX308" s="64"/>
      <c r="BY308" s="64"/>
      <c r="BZ308" s="64"/>
      <c r="CA308" s="64"/>
    </row>
    <row r="309" spans="1:79" ht="15" customHeight="1" x14ac:dyDescent="0.25">
      <c r="A309" s="3"/>
      <c r="B309" s="29">
        <v>281</v>
      </c>
      <c r="C309" s="117" t="s">
        <v>654</v>
      </c>
      <c r="D309" s="174">
        <v>2020</v>
      </c>
      <c r="E309" s="22" t="s">
        <v>656</v>
      </c>
      <c r="F309" s="22" t="s">
        <v>281</v>
      </c>
      <c r="G309" s="22" t="s">
        <v>215</v>
      </c>
      <c r="H309" s="22" t="s">
        <v>84</v>
      </c>
      <c r="I309" s="55">
        <v>17.7</v>
      </c>
      <c r="J309" s="55">
        <v>25</v>
      </c>
      <c r="K309" s="55">
        <f t="shared" si="327"/>
        <v>4.2700000000000005</v>
      </c>
      <c r="L309" s="55">
        <f t="shared" si="328"/>
        <v>46.970000000000006</v>
      </c>
      <c r="M309" s="55">
        <f t="shared" si="300"/>
        <v>47</v>
      </c>
      <c r="N309" s="56">
        <v>46</v>
      </c>
      <c r="O309" s="57">
        <f t="shared" si="330"/>
        <v>35.630099999999999</v>
      </c>
      <c r="P309" s="58">
        <f t="shared" si="329"/>
        <v>-1</v>
      </c>
      <c r="Q309" s="59">
        <f t="shared" si="296"/>
        <v>7.666666666666667</v>
      </c>
      <c r="R309" s="60">
        <v>10</v>
      </c>
      <c r="S309" s="60">
        <f>12+6+6+6+6+6</f>
        <v>42</v>
      </c>
      <c r="T309" s="60">
        <f t="shared" si="325"/>
        <v>39</v>
      </c>
      <c r="U309" s="61">
        <f t="shared" si="326"/>
        <v>13</v>
      </c>
      <c r="V309" s="62"/>
      <c r="W309" s="30"/>
      <c r="X309" s="30">
        <v>2</v>
      </c>
      <c r="Y309" s="30">
        <v>1</v>
      </c>
      <c r="Z309" s="30"/>
      <c r="AA309" s="30">
        <v>1</v>
      </c>
      <c r="AB309" s="30">
        <v>4</v>
      </c>
      <c r="AC309" s="30"/>
      <c r="AD309" s="30">
        <v>3</v>
      </c>
      <c r="AE309" s="30"/>
      <c r="AF309" s="30">
        <v>1</v>
      </c>
      <c r="AG309" s="30"/>
      <c r="AH309" s="30"/>
      <c r="AI309" s="30"/>
      <c r="AJ309" s="30"/>
      <c r="AK309" s="30"/>
      <c r="AL309" s="30"/>
      <c r="AM309" s="30"/>
      <c r="AN309" s="30"/>
      <c r="AO309" s="30"/>
      <c r="AP309" s="31"/>
      <c r="AQ309" s="32"/>
      <c r="AR309" s="33"/>
      <c r="AS309" s="31"/>
      <c r="AT309" s="63">
        <v>2</v>
      </c>
      <c r="AU309" s="34">
        <v>1</v>
      </c>
      <c r="AV309" s="34"/>
      <c r="AW309" s="34"/>
      <c r="AX309" s="34"/>
      <c r="AY309" s="34"/>
      <c r="AZ309" s="34">
        <v>1</v>
      </c>
      <c r="BA309" s="34"/>
      <c r="BB309" s="34">
        <v>2</v>
      </c>
      <c r="BC309" s="34">
        <v>3</v>
      </c>
      <c r="BD309" s="34"/>
      <c r="BE309" s="34"/>
      <c r="BF309" s="64">
        <v>1</v>
      </c>
      <c r="BH309" s="64">
        <v>1</v>
      </c>
      <c r="BJ309" s="64">
        <v>2</v>
      </c>
      <c r="BL309" s="64">
        <v>3</v>
      </c>
      <c r="BM309" s="64">
        <v>1</v>
      </c>
      <c r="BP309" s="64">
        <v>3</v>
      </c>
      <c r="BQ309" s="64">
        <v>4</v>
      </c>
      <c r="BR309" s="64">
        <v>1</v>
      </c>
      <c r="BT309" s="64">
        <v>5</v>
      </c>
      <c r="BU309" s="64"/>
      <c r="BV309" s="64"/>
      <c r="BW309" s="64"/>
      <c r="BX309" s="64"/>
      <c r="BY309" s="64"/>
      <c r="BZ309" s="64"/>
      <c r="CA309" s="64"/>
    </row>
    <row r="310" spans="1:79" ht="15" customHeight="1" x14ac:dyDescent="0.25">
      <c r="A310" s="22"/>
      <c r="B310" s="22">
        <v>282</v>
      </c>
      <c r="C310" s="117" t="s">
        <v>654</v>
      </c>
      <c r="D310" s="174">
        <v>2019</v>
      </c>
      <c r="E310" s="22" t="s">
        <v>657</v>
      </c>
      <c r="F310" s="22" t="s">
        <v>635</v>
      </c>
      <c r="G310" s="22" t="s">
        <v>81</v>
      </c>
      <c r="H310" s="22" t="s">
        <v>84</v>
      </c>
      <c r="I310" s="55">
        <v>21.7</v>
      </c>
      <c r="J310" s="55">
        <f>IF(I310&lt;=15,$L$2,$L$3)</f>
        <v>30</v>
      </c>
      <c r="K310" s="55">
        <f t="shared" si="327"/>
        <v>5.1700000000000008</v>
      </c>
      <c r="L310" s="55">
        <f t="shared" si="328"/>
        <v>56.870000000000005</v>
      </c>
      <c r="M310" s="55">
        <f t="shared" si="300"/>
        <v>57</v>
      </c>
      <c r="N310" s="56">
        <v>58</v>
      </c>
      <c r="O310" s="57">
        <f t="shared" si="330"/>
        <v>43.682099999999998</v>
      </c>
      <c r="P310" s="58">
        <f t="shared" si="329"/>
        <v>1</v>
      </c>
      <c r="Q310" s="59">
        <f t="shared" si="296"/>
        <v>9.6666666666666661</v>
      </c>
      <c r="R310" s="60">
        <v>16</v>
      </c>
      <c r="S310" s="60"/>
      <c r="T310" s="60">
        <f t="shared" si="325"/>
        <v>5</v>
      </c>
      <c r="U310" s="60">
        <f t="shared" si="326"/>
        <v>11</v>
      </c>
      <c r="V310" s="62"/>
      <c r="W310" s="30"/>
      <c r="X310" s="30"/>
      <c r="Y310" s="30"/>
      <c r="Z310" s="30"/>
      <c r="AA310" s="30">
        <v>1</v>
      </c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1"/>
      <c r="AQ310" s="32"/>
      <c r="AR310" s="33"/>
      <c r="AS310" s="31"/>
      <c r="AT310" s="63"/>
      <c r="AU310" s="34">
        <v>1</v>
      </c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64"/>
      <c r="BI310" s="64">
        <v>1</v>
      </c>
      <c r="BR310" s="64">
        <v>1</v>
      </c>
      <c r="BT310" s="64">
        <v>1</v>
      </c>
      <c r="BU310" s="64"/>
      <c r="BV310" s="64"/>
      <c r="BW310" s="64"/>
      <c r="BX310" s="64"/>
      <c r="BY310" s="64"/>
      <c r="BZ310" s="64"/>
      <c r="CA310" s="64"/>
    </row>
    <row r="311" spans="1:79" ht="15" customHeight="1" x14ac:dyDescent="0.25">
      <c r="A311" s="22"/>
      <c r="B311" s="22">
        <v>284</v>
      </c>
      <c r="C311" s="117" t="s">
        <v>654</v>
      </c>
      <c r="D311" s="174">
        <v>2015</v>
      </c>
      <c r="E311" s="22" t="s">
        <v>658</v>
      </c>
      <c r="F311" s="22" t="s">
        <v>622</v>
      </c>
      <c r="G311" s="22" t="s">
        <v>215</v>
      </c>
      <c r="H311" s="22" t="s">
        <v>84</v>
      </c>
      <c r="I311" s="55">
        <v>63</v>
      </c>
      <c r="J311" s="55">
        <v>60</v>
      </c>
      <c r="K311" s="55">
        <f t="shared" si="327"/>
        <v>12.3</v>
      </c>
      <c r="L311" s="55">
        <f t="shared" si="328"/>
        <v>135.30000000000001</v>
      </c>
      <c r="M311" s="55">
        <f t="shared" si="300"/>
        <v>135</v>
      </c>
      <c r="N311" s="56">
        <v>135</v>
      </c>
      <c r="O311" s="57">
        <f t="shared" si="330"/>
        <v>126.81899999999999</v>
      </c>
      <c r="P311" s="85">
        <f t="shared" si="329"/>
        <v>0</v>
      </c>
      <c r="Q311" s="59">
        <f t="shared" si="296"/>
        <v>22.5</v>
      </c>
      <c r="R311" s="60">
        <v>1</v>
      </c>
      <c r="S311" s="60"/>
      <c r="T311" s="60">
        <f t="shared" si="325"/>
        <v>0</v>
      </c>
      <c r="U311" s="60">
        <f t="shared" si="326"/>
        <v>1</v>
      </c>
      <c r="V311" s="62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1"/>
      <c r="AQ311" s="32"/>
      <c r="AR311" s="33"/>
      <c r="AS311" s="31"/>
      <c r="AT311" s="63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64"/>
      <c r="BT311" s="64"/>
      <c r="BU311" s="64"/>
      <c r="BV311" s="64"/>
      <c r="BW311" s="64"/>
      <c r="BX311" s="64"/>
      <c r="BY311" s="64"/>
      <c r="BZ311" s="64"/>
      <c r="CA311" s="64"/>
    </row>
    <row r="312" spans="1:79" ht="15" customHeight="1" x14ac:dyDescent="0.25">
      <c r="A312" s="22"/>
      <c r="B312" s="29">
        <v>285</v>
      </c>
      <c r="C312" s="117" t="s">
        <v>654</v>
      </c>
      <c r="D312" s="174">
        <v>2020</v>
      </c>
      <c r="E312" s="22" t="s">
        <v>659</v>
      </c>
      <c r="F312" s="22" t="s">
        <v>392</v>
      </c>
      <c r="G312" s="22" t="s">
        <v>223</v>
      </c>
      <c r="H312" s="22" t="s">
        <v>137</v>
      </c>
      <c r="I312" s="55">
        <v>17.899999999999999</v>
      </c>
      <c r="J312" s="55">
        <v>30</v>
      </c>
      <c r="K312" s="55">
        <f>(I312+J312)*0.1</f>
        <v>4.79</v>
      </c>
      <c r="L312" s="55">
        <f>SUM(I312:K312)</f>
        <v>52.69</v>
      </c>
      <c r="M312" s="55">
        <f>ROUND(L312,0)</f>
        <v>53</v>
      </c>
      <c r="N312" s="56">
        <v>53</v>
      </c>
      <c r="O312" s="57">
        <f t="shared" si="330"/>
        <v>36.032699999999998</v>
      </c>
      <c r="P312" s="85">
        <f>N312-M312</f>
        <v>0</v>
      </c>
      <c r="Q312" s="59">
        <f t="shared" si="296"/>
        <v>8.8333333333333339</v>
      </c>
      <c r="R312" s="60">
        <v>9</v>
      </c>
      <c r="S312" s="60">
        <f>3+12</f>
        <v>15</v>
      </c>
      <c r="T312" s="60">
        <f t="shared" si="325"/>
        <v>9</v>
      </c>
      <c r="U312" s="60">
        <f>R312+S312-T312</f>
        <v>15</v>
      </c>
      <c r="V312" s="62"/>
      <c r="W312" s="30"/>
      <c r="X312" s="30"/>
      <c r="Y312" s="30"/>
      <c r="Z312" s="30">
        <v>1</v>
      </c>
      <c r="AA312" s="30"/>
      <c r="AB312" s="30"/>
      <c r="AC312" s="30"/>
      <c r="AD312" s="30"/>
      <c r="AE312" s="30"/>
      <c r="AF312" s="30"/>
      <c r="AG312" s="30"/>
      <c r="AH312" s="30">
        <v>2</v>
      </c>
      <c r="AI312" s="30"/>
      <c r="AJ312" s="30"/>
      <c r="AK312" s="30"/>
      <c r="AL312" s="30"/>
      <c r="AM312" s="30"/>
      <c r="AN312" s="30"/>
      <c r="AO312" s="30"/>
      <c r="AP312" s="31">
        <v>3</v>
      </c>
      <c r="AQ312" s="32">
        <v>1</v>
      </c>
      <c r="AR312" s="33"/>
      <c r="AS312" s="31">
        <v>1</v>
      </c>
      <c r="AT312" s="63"/>
      <c r="AU312" s="34"/>
      <c r="AV312" s="34"/>
      <c r="AW312" s="34"/>
      <c r="AX312" s="34"/>
      <c r="AY312" s="34"/>
      <c r="AZ312" s="34">
        <v>1</v>
      </c>
      <c r="BA312" s="34"/>
      <c r="BB312" s="34"/>
      <c r="BC312" s="34"/>
      <c r="BD312" s="34"/>
      <c r="BE312" s="34"/>
      <c r="BF312" s="64"/>
      <c r="BT312" s="64"/>
      <c r="BU312" s="64"/>
      <c r="BV312" s="64"/>
      <c r="BW312" s="64"/>
      <c r="BX312" s="64"/>
      <c r="BY312" s="64"/>
      <c r="BZ312" s="64"/>
      <c r="CA312" s="64"/>
    </row>
    <row r="313" spans="1:79" ht="15" customHeight="1" x14ac:dyDescent="0.25">
      <c r="A313" s="22"/>
      <c r="B313" s="22">
        <v>286</v>
      </c>
      <c r="C313" s="117" t="s">
        <v>654</v>
      </c>
      <c r="D313" s="174">
        <v>2018</v>
      </c>
      <c r="E313" s="22" t="s">
        <v>660</v>
      </c>
      <c r="F313" s="22" t="s">
        <v>661</v>
      </c>
      <c r="G313" s="22" t="s">
        <v>215</v>
      </c>
      <c r="H313" s="22" t="s">
        <v>135</v>
      </c>
      <c r="I313" s="55">
        <v>32</v>
      </c>
      <c r="J313" s="55">
        <v>35</v>
      </c>
      <c r="K313" s="55">
        <f>(I313+J313)*0.1</f>
        <v>6.7</v>
      </c>
      <c r="L313" s="55">
        <f>SUM(I313:K313)</f>
        <v>73.7</v>
      </c>
      <c r="M313" s="55">
        <f>ROUND(L313,0)</f>
        <v>74</v>
      </c>
      <c r="N313" s="56">
        <v>85</v>
      </c>
      <c r="O313" s="57">
        <f t="shared" si="330"/>
        <v>64.415999999999997</v>
      </c>
      <c r="P313" s="85">
        <f>N313-M313</f>
        <v>11</v>
      </c>
      <c r="Q313" s="59">
        <f t="shared" si="296"/>
        <v>14.166666666666666</v>
      </c>
      <c r="R313" s="60">
        <v>8</v>
      </c>
      <c r="S313" s="60">
        <f>3+5</f>
        <v>8</v>
      </c>
      <c r="T313" s="60">
        <f t="shared" si="325"/>
        <v>9</v>
      </c>
      <c r="U313" s="60">
        <f>R313+S313-T313</f>
        <v>7</v>
      </c>
      <c r="V313" s="62"/>
      <c r="W313" s="30"/>
      <c r="X313" s="30"/>
      <c r="Y313" s="30"/>
      <c r="Z313" s="30"/>
      <c r="AA313" s="30"/>
      <c r="AB313" s="30">
        <v>1</v>
      </c>
      <c r="AC313" s="30"/>
      <c r="AD313" s="30">
        <v>1</v>
      </c>
      <c r="AE313" s="30"/>
      <c r="AF313" s="30">
        <v>2</v>
      </c>
      <c r="AG313" s="30">
        <v>2</v>
      </c>
      <c r="AH313" s="30"/>
      <c r="AI313" s="30"/>
      <c r="AJ313" s="30"/>
      <c r="AK313" s="30"/>
      <c r="AL313" s="30"/>
      <c r="AM313" s="30"/>
      <c r="AN313" s="30"/>
      <c r="AO313" s="30"/>
      <c r="AP313" s="31"/>
      <c r="AQ313" s="32"/>
      <c r="AR313" s="33"/>
      <c r="AS313" s="31"/>
      <c r="AT313" s="63"/>
      <c r="AU313" s="34">
        <v>1</v>
      </c>
      <c r="AV313" s="34"/>
      <c r="AW313" s="34">
        <v>1</v>
      </c>
      <c r="AX313" s="34"/>
      <c r="AY313" s="34"/>
      <c r="AZ313" s="34"/>
      <c r="BA313" s="34"/>
      <c r="BB313" s="34"/>
      <c r="BC313" s="34"/>
      <c r="BD313" s="34"/>
      <c r="BE313" s="34"/>
      <c r="BF313" s="64">
        <v>1</v>
      </c>
      <c r="BN313" s="64">
        <v>1</v>
      </c>
      <c r="BT313" s="64"/>
      <c r="BU313" s="64"/>
      <c r="BV313" s="64"/>
      <c r="BW313" s="64"/>
      <c r="BX313" s="64"/>
      <c r="BY313" s="64"/>
      <c r="BZ313" s="64"/>
      <c r="CA313" s="64"/>
    </row>
    <row r="314" spans="1:79" ht="15" customHeight="1" x14ac:dyDescent="0.25">
      <c r="A314" s="22"/>
      <c r="B314" s="22">
        <v>287</v>
      </c>
      <c r="C314" s="117" t="s">
        <v>654</v>
      </c>
      <c r="D314" s="174" t="s">
        <v>662</v>
      </c>
      <c r="E314" s="22" t="s">
        <v>663</v>
      </c>
      <c r="F314" s="22" t="s">
        <v>86</v>
      </c>
      <c r="G314" s="22" t="s">
        <v>77</v>
      </c>
      <c r="H314" s="22" t="s">
        <v>87</v>
      </c>
      <c r="I314" s="55">
        <v>28.5</v>
      </c>
      <c r="J314" s="55">
        <f>IF(I314&lt;=15,$L$2,$L$3)</f>
        <v>30</v>
      </c>
      <c r="K314" s="55">
        <f t="shared" si="327"/>
        <v>5.8500000000000005</v>
      </c>
      <c r="L314" s="55">
        <f t="shared" si="328"/>
        <v>64.349999999999994</v>
      </c>
      <c r="M314" s="55">
        <f t="shared" si="300"/>
        <v>64</v>
      </c>
      <c r="N314" s="56">
        <v>64</v>
      </c>
      <c r="O314" s="57">
        <f t="shared" si="330"/>
        <v>57.3705</v>
      </c>
      <c r="P314" s="58">
        <f t="shared" si="329"/>
        <v>0</v>
      </c>
      <c r="Q314" s="59">
        <f t="shared" si="296"/>
        <v>10.666666666666666</v>
      </c>
      <c r="R314" s="60">
        <v>9</v>
      </c>
      <c r="S314" s="60"/>
      <c r="T314" s="60">
        <f t="shared" si="325"/>
        <v>8</v>
      </c>
      <c r="U314" s="60">
        <f t="shared" si="326"/>
        <v>1</v>
      </c>
      <c r="V314" s="62"/>
      <c r="W314" s="30"/>
      <c r="X314" s="30"/>
      <c r="Y314" s="30"/>
      <c r="Z314" s="30"/>
      <c r="AA314" s="30"/>
      <c r="AB314" s="30"/>
      <c r="AC314" s="30"/>
      <c r="AD314" s="30"/>
      <c r="AE314" s="30"/>
      <c r="AF314" s="30">
        <v>1</v>
      </c>
      <c r="AG314" s="30"/>
      <c r="AH314" s="30"/>
      <c r="AI314" s="30"/>
      <c r="AJ314" s="30"/>
      <c r="AK314" s="30"/>
      <c r="AL314" s="30"/>
      <c r="AM314" s="30"/>
      <c r="AN314" s="30"/>
      <c r="AO314" s="30"/>
      <c r="AP314" s="31"/>
      <c r="AQ314" s="32">
        <v>2</v>
      </c>
      <c r="AR314" s="33"/>
      <c r="AS314" s="31"/>
      <c r="AT314" s="63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>
        <v>1</v>
      </c>
      <c r="BE314" s="34"/>
      <c r="BF314" s="64"/>
      <c r="BG314" s="64">
        <v>1</v>
      </c>
      <c r="BK314" s="64">
        <v>1</v>
      </c>
      <c r="BL314" s="64">
        <v>1</v>
      </c>
      <c r="BO314" s="64">
        <v>1</v>
      </c>
      <c r="BT314" s="64">
        <v>1</v>
      </c>
      <c r="BU314" s="64"/>
      <c r="BV314" s="64"/>
      <c r="BW314" s="64"/>
      <c r="BX314" s="64"/>
      <c r="BY314" s="64"/>
      <c r="BZ314" s="64"/>
      <c r="CA314" s="64"/>
    </row>
    <row r="315" spans="1:79" ht="15" customHeight="1" x14ac:dyDescent="0.25">
      <c r="A315" s="22"/>
      <c r="B315" s="22">
        <v>288</v>
      </c>
      <c r="C315" s="117" t="s">
        <v>654</v>
      </c>
      <c r="D315" s="184">
        <v>2019</v>
      </c>
      <c r="E315" s="22" t="s">
        <v>664</v>
      </c>
      <c r="F315" s="22" t="s">
        <v>665</v>
      </c>
      <c r="G315" s="22" t="s">
        <v>77</v>
      </c>
      <c r="H315" s="22" t="s">
        <v>78</v>
      </c>
      <c r="I315" s="55">
        <v>29.9</v>
      </c>
      <c r="J315" s="55">
        <f>IF(I315&lt;=15,$L$2,$L$3)</f>
        <v>30</v>
      </c>
      <c r="K315" s="55">
        <f>(I315+J315)*0.1</f>
        <v>5.99</v>
      </c>
      <c r="L315" s="55">
        <f>SUM(I315:K315)</f>
        <v>65.89</v>
      </c>
      <c r="M315" s="55">
        <f>ROUND(L315,0)</f>
        <v>66</v>
      </c>
      <c r="N315" s="56">
        <v>66</v>
      </c>
      <c r="O315" s="57">
        <f t="shared" si="330"/>
        <v>60.18869999999999</v>
      </c>
      <c r="P315" s="58">
        <f>N315-M315</f>
        <v>0</v>
      </c>
      <c r="Q315" s="59">
        <f t="shared" si="296"/>
        <v>11</v>
      </c>
      <c r="R315" s="60">
        <v>7</v>
      </c>
      <c r="S315" s="60">
        <f>6+6+6+6</f>
        <v>24</v>
      </c>
      <c r="T315" s="60">
        <f t="shared" si="325"/>
        <v>13</v>
      </c>
      <c r="U315" s="60">
        <f>R315+S315-T315</f>
        <v>18</v>
      </c>
      <c r="V315" s="62"/>
      <c r="W315" s="30"/>
      <c r="X315" s="30">
        <v>1</v>
      </c>
      <c r="Y315" s="30">
        <v>1</v>
      </c>
      <c r="Z315" s="30"/>
      <c r="AA315" s="30"/>
      <c r="AB315" s="30">
        <v>1</v>
      </c>
      <c r="AC315" s="30"/>
      <c r="AD315" s="30">
        <v>1</v>
      </c>
      <c r="AE315" s="30">
        <v>1</v>
      </c>
      <c r="AF315" s="30">
        <v>1</v>
      </c>
      <c r="AG315" s="30"/>
      <c r="AH315" s="30"/>
      <c r="AI315" s="30"/>
      <c r="AJ315" s="30"/>
      <c r="AK315" s="30"/>
      <c r="AL315" s="30"/>
      <c r="AM315" s="30"/>
      <c r="AN315" s="30"/>
      <c r="AO315" s="30"/>
      <c r="AP315" s="31"/>
      <c r="AQ315" s="32"/>
      <c r="AR315" s="33"/>
      <c r="AS315" s="31"/>
      <c r="AT315" s="63">
        <v>2</v>
      </c>
      <c r="AU315" s="34"/>
      <c r="AV315" s="34"/>
      <c r="AW315" s="34"/>
      <c r="AX315" s="34"/>
      <c r="AY315" s="34"/>
      <c r="AZ315" s="34"/>
      <c r="BA315" s="34"/>
      <c r="BB315" s="34"/>
      <c r="BC315" s="34"/>
      <c r="BD315" s="34">
        <v>1</v>
      </c>
      <c r="BE315" s="34"/>
      <c r="BF315" s="64"/>
      <c r="BL315" s="64">
        <v>3</v>
      </c>
      <c r="BT315" s="64">
        <v>1</v>
      </c>
      <c r="BU315" s="64"/>
      <c r="BV315" s="64"/>
      <c r="BW315" s="64"/>
      <c r="BX315" s="64"/>
      <c r="BY315" s="64"/>
      <c r="BZ315" s="64"/>
      <c r="CA315" s="64"/>
    </row>
    <row r="316" spans="1:79" s="54" customFormat="1" ht="15" customHeight="1" x14ac:dyDescent="0.25">
      <c r="A316" s="22"/>
      <c r="B316" s="29">
        <v>289</v>
      </c>
      <c r="C316" s="117" t="s">
        <v>654</v>
      </c>
      <c r="D316" s="174">
        <v>2018</v>
      </c>
      <c r="E316" s="22" t="s">
        <v>666</v>
      </c>
      <c r="F316" s="22" t="s">
        <v>262</v>
      </c>
      <c r="G316" s="22" t="s">
        <v>77</v>
      </c>
      <c r="H316" s="22" t="s">
        <v>135</v>
      </c>
      <c r="I316" s="55">
        <v>42</v>
      </c>
      <c r="J316" s="55">
        <v>40</v>
      </c>
      <c r="K316" s="55">
        <f t="shared" si="327"/>
        <v>8.2000000000000011</v>
      </c>
      <c r="L316" s="55">
        <f t="shared" si="328"/>
        <v>90.2</v>
      </c>
      <c r="M316" s="55">
        <f t="shared" ref="M316:M354" si="331">ROUND(L316,0)</f>
        <v>90</v>
      </c>
      <c r="N316" s="56">
        <v>89</v>
      </c>
      <c r="O316" s="57">
        <f t="shared" si="330"/>
        <v>84.545999999999992</v>
      </c>
      <c r="P316" s="58">
        <f t="shared" si="329"/>
        <v>-1</v>
      </c>
      <c r="Q316" s="59">
        <f t="shared" si="296"/>
        <v>14.833333333333334</v>
      </c>
      <c r="R316" s="60">
        <v>8</v>
      </c>
      <c r="S316" s="60">
        <v>4</v>
      </c>
      <c r="T316" s="60">
        <f t="shared" si="325"/>
        <v>1</v>
      </c>
      <c r="U316" s="60">
        <f t="shared" si="326"/>
        <v>11</v>
      </c>
      <c r="V316" s="62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1"/>
      <c r="AQ316" s="32">
        <v>1</v>
      </c>
      <c r="AR316" s="33"/>
      <c r="AS316" s="31"/>
      <c r="AT316" s="63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</row>
    <row r="317" spans="1:79" s="54" customFormat="1" ht="15" customHeight="1" x14ac:dyDescent="0.25">
      <c r="A317" s="22"/>
      <c r="B317" s="22">
        <v>290</v>
      </c>
      <c r="C317" s="117" t="s">
        <v>654</v>
      </c>
      <c r="D317" s="174" t="s">
        <v>667</v>
      </c>
      <c r="E317" s="22" t="s">
        <v>668</v>
      </c>
      <c r="F317" s="22" t="s">
        <v>372</v>
      </c>
      <c r="G317" s="22" t="s">
        <v>77</v>
      </c>
      <c r="H317" s="22" t="s">
        <v>669</v>
      </c>
      <c r="I317" s="55">
        <v>70</v>
      </c>
      <c r="J317" s="55">
        <v>70</v>
      </c>
      <c r="K317" s="55">
        <f>(I317+J317)*0.1</f>
        <v>14</v>
      </c>
      <c r="L317" s="55">
        <f>SUM(I317:K317)</f>
        <v>154</v>
      </c>
      <c r="M317" s="55">
        <f>ROUND(L317,0)</f>
        <v>154</v>
      </c>
      <c r="N317" s="56">
        <v>159</v>
      </c>
      <c r="O317" s="57">
        <f t="shared" si="330"/>
        <v>140.91</v>
      </c>
      <c r="P317" s="58">
        <f>N317-M317</f>
        <v>5</v>
      </c>
      <c r="Q317" s="59">
        <f t="shared" si="296"/>
        <v>26.5</v>
      </c>
      <c r="R317" s="60">
        <v>5</v>
      </c>
      <c r="S317" s="60"/>
      <c r="T317" s="60">
        <f t="shared" si="325"/>
        <v>2</v>
      </c>
      <c r="U317" s="60">
        <f>R317+S317-T317</f>
        <v>3</v>
      </c>
      <c r="V317" s="62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1"/>
      <c r="AQ317" s="32"/>
      <c r="AR317" s="33"/>
      <c r="AS317" s="31"/>
      <c r="AT317" s="63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>
        <v>1</v>
      </c>
      <c r="BS317" s="64"/>
      <c r="BT317" s="64">
        <v>1</v>
      </c>
      <c r="BU317" s="64"/>
      <c r="BV317" s="64"/>
      <c r="BW317" s="64"/>
      <c r="BX317" s="64"/>
      <c r="BY317" s="64"/>
      <c r="BZ317" s="64"/>
      <c r="CA317" s="64"/>
    </row>
    <row r="318" spans="1:79" ht="15" customHeight="1" x14ac:dyDescent="0.25">
      <c r="A318" s="71"/>
      <c r="B318" s="22">
        <v>291</v>
      </c>
      <c r="C318" s="117" t="s">
        <v>654</v>
      </c>
      <c r="D318" s="174">
        <v>2021</v>
      </c>
      <c r="E318" s="22" t="s">
        <v>670</v>
      </c>
      <c r="F318" s="22" t="s">
        <v>295</v>
      </c>
      <c r="G318" s="22" t="s">
        <v>215</v>
      </c>
      <c r="H318" s="22" t="s">
        <v>671</v>
      </c>
      <c r="I318" s="55">
        <v>12.5</v>
      </c>
      <c r="J318" s="55">
        <f>IF(I318&lt;=15,$L$2,$L$3)</f>
        <v>25</v>
      </c>
      <c r="K318" s="55">
        <f t="shared" si="327"/>
        <v>3.75</v>
      </c>
      <c r="L318" s="55">
        <f t="shared" si="328"/>
        <v>41.25</v>
      </c>
      <c r="M318" s="55">
        <f t="shared" si="331"/>
        <v>41</v>
      </c>
      <c r="N318" s="56">
        <v>39</v>
      </c>
      <c r="O318" s="57">
        <f t="shared" si="330"/>
        <v>25.162499999999998</v>
      </c>
      <c r="P318" s="58">
        <f t="shared" si="329"/>
        <v>-2</v>
      </c>
      <c r="Q318" s="59">
        <f t="shared" ref="Q318:Q386" si="332">N318/$Q$3</f>
        <v>6.5</v>
      </c>
      <c r="R318" s="60">
        <v>17</v>
      </c>
      <c r="S318" s="60">
        <f>17+12</f>
        <v>29</v>
      </c>
      <c r="T318" s="60">
        <f t="shared" si="325"/>
        <v>27</v>
      </c>
      <c r="U318" s="60">
        <f t="shared" si="326"/>
        <v>19</v>
      </c>
      <c r="V318" s="62"/>
      <c r="W318" s="30">
        <v>2</v>
      </c>
      <c r="X318" s="30"/>
      <c r="Y318" s="30"/>
      <c r="Z318" s="30"/>
      <c r="AA318" s="30">
        <v>3</v>
      </c>
      <c r="AB318" s="30">
        <v>3</v>
      </c>
      <c r="AC318" s="30"/>
      <c r="AD318" s="30">
        <v>1</v>
      </c>
      <c r="AE318" s="30"/>
      <c r="AF318" s="30">
        <v>2</v>
      </c>
      <c r="AG318" s="30"/>
      <c r="AH318" s="30"/>
      <c r="AI318" s="30"/>
      <c r="AJ318" s="30"/>
      <c r="AK318" s="30"/>
      <c r="AL318" s="30"/>
      <c r="AM318" s="30"/>
      <c r="AN318" s="30"/>
      <c r="AO318" s="30"/>
      <c r="AP318" s="31"/>
      <c r="AQ318" s="32"/>
      <c r="AR318" s="33">
        <v>1</v>
      </c>
      <c r="AS318" s="31"/>
      <c r="AT318" s="63">
        <v>2</v>
      </c>
      <c r="AU318" s="34"/>
      <c r="AV318" s="34"/>
      <c r="AW318" s="34">
        <v>1</v>
      </c>
      <c r="AX318" s="34"/>
      <c r="AY318" s="34"/>
      <c r="AZ318" s="34"/>
      <c r="BA318" s="34">
        <v>1</v>
      </c>
      <c r="BB318" s="34"/>
      <c r="BC318" s="34"/>
      <c r="BD318" s="34"/>
      <c r="BE318" s="34">
        <v>3</v>
      </c>
      <c r="BF318" s="64">
        <v>2</v>
      </c>
      <c r="BH318" s="64">
        <v>2</v>
      </c>
      <c r="BM318" s="64">
        <v>4</v>
      </c>
      <c r="BO318" s="64">
        <v>3</v>
      </c>
      <c r="BP318" s="64">
        <v>1</v>
      </c>
      <c r="BT318" s="64"/>
      <c r="BU318" s="64">
        <v>1</v>
      </c>
      <c r="BV318" s="64"/>
      <c r="BW318" s="64"/>
      <c r="BX318" s="64"/>
      <c r="BY318" s="64"/>
      <c r="BZ318" s="64"/>
      <c r="CA318" s="64"/>
    </row>
    <row r="319" spans="1:79" ht="15" customHeight="1" x14ac:dyDescent="0.25">
      <c r="A319" s="22"/>
      <c r="B319" s="22">
        <v>292</v>
      </c>
      <c r="C319" s="117" t="s">
        <v>654</v>
      </c>
      <c r="D319" s="174">
        <v>2015</v>
      </c>
      <c r="E319" s="68" t="s">
        <v>672</v>
      </c>
      <c r="F319" s="68" t="s">
        <v>673</v>
      </c>
      <c r="G319" s="68" t="s">
        <v>674</v>
      </c>
      <c r="H319" s="68" t="s">
        <v>78</v>
      </c>
      <c r="I319" s="99">
        <v>119</v>
      </c>
      <c r="J319" s="55">
        <v>80</v>
      </c>
      <c r="K319" s="55">
        <f>(I319+J319)*0.1</f>
        <v>19.900000000000002</v>
      </c>
      <c r="L319" s="55">
        <f>SUM(I319:K319)</f>
        <v>218.9</v>
      </c>
      <c r="M319" s="55">
        <f>ROUND(L319,0)</f>
        <v>219</v>
      </c>
      <c r="N319" s="56">
        <v>229</v>
      </c>
      <c r="O319" s="57">
        <f t="shared" si="330"/>
        <v>239.547</v>
      </c>
      <c r="P319" s="85">
        <f>N319-M319</f>
        <v>10</v>
      </c>
      <c r="Q319" s="59">
        <f t="shared" si="332"/>
        <v>38.166666666666664</v>
      </c>
      <c r="R319" s="60">
        <v>8</v>
      </c>
      <c r="S319" s="60"/>
      <c r="T319" s="60">
        <f>W319+X319+Y319+Z319+AA319+AB319+AC319+AD319+AE319+AF319+AG319+AH319+AI319+AJ319+AK319+AL319+AM319+AN319+AO319+AP319+AQ319+AR319+AS319+AT319+AU319+AV319+AW319+AX319+AY319+AZ319+BA319+BB319+BC319+BD319+BE319+BF319+BG319+BH319+BI319+BJ319+BK319+BL319+BM319+BQ319+BR319+BS319+BT319</f>
        <v>0</v>
      </c>
      <c r="U319" s="60">
        <f>R319+S319-T319</f>
        <v>8</v>
      </c>
      <c r="V319" s="69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1"/>
      <c r="AQ319" s="32"/>
      <c r="AR319" s="33"/>
      <c r="AS319" s="31"/>
      <c r="AT319" s="63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64"/>
      <c r="BT319" s="64"/>
      <c r="BU319" s="64"/>
      <c r="BV319" s="64"/>
      <c r="BW319" s="64"/>
      <c r="BX319" s="64"/>
      <c r="BY319" s="64"/>
      <c r="BZ319" s="64"/>
      <c r="CA319" s="64"/>
    </row>
    <row r="320" spans="1:79" ht="15" customHeight="1" x14ac:dyDescent="0.25">
      <c r="A320" s="22"/>
      <c r="B320" s="22">
        <v>292.5</v>
      </c>
      <c r="C320" s="185" t="s">
        <v>675</v>
      </c>
      <c r="D320" s="174">
        <v>2019</v>
      </c>
      <c r="E320" s="68" t="s">
        <v>676</v>
      </c>
      <c r="F320" s="68" t="s">
        <v>677</v>
      </c>
      <c r="G320" s="68" t="s">
        <v>674</v>
      </c>
      <c r="H320" s="68" t="s">
        <v>84</v>
      </c>
      <c r="I320" s="99">
        <v>27.9</v>
      </c>
      <c r="J320" s="55">
        <v>30</v>
      </c>
      <c r="K320" s="55">
        <f>(I320+J320)*0.1</f>
        <v>5.79</v>
      </c>
      <c r="L320" s="55">
        <f>SUM(I320:K320)</f>
        <v>63.69</v>
      </c>
      <c r="M320" s="55">
        <f>ROUND(L320,0)</f>
        <v>64</v>
      </c>
      <c r="N320" s="56">
        <v>64</v>
      </c>
      <c r="O320" s="57">
        <f t="shared" ref="O320" si="333">I320*$O$2*1.22</f>
        <v>56.162699999999994</v>
      </c>
      <c r="P320" s="85">
        <f>N320-M320</f>
        <v>0</v>
      </c>
      <c r="Q320" s="59">
        <f t="shared" ref="Q320" si="334">N320/$Q$3</f>
        <v>10.666666666666666</v>
      </c>
      <c r="R320" s="60"/>
      <c r="S320" s="60">
        <v>6</v>
      </c>
      <c r="T320" s="60">
        <f>W320+X320+Y320+Z320+AA320+AB320+AC320+AD320+AE320+AF320+AG320+AH320+AI320+AJ320+AK320+AL320+AM320+AN320+AO320+AP320+AQ320+AR320+AS320+AT320+AU320+AV320+AW320+AX320+AY320+AZ320+BA320+BB320+BC320+BD320+BE320+BF320+BG320+BH320+BI320+BJ320+BK320+BL320+BM320+BQ320+BR320+BS320+BT320</f>
        <v>0</v>
      </c>
      <c r="U320" s="60">
        <f>R320+S320-T320</f>
        <v>6</v>
      </c>
      <c r="V320" s="69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1"/>
      <c r="AQ320" s="32"/>
      <c r="AR320" s="33"/>
      <c r="AS320" s="31"/>
      <c r="AT320" s="63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64"/>
      <c r="BT320" s="64"/>
      <c r="BU320" s="64"/>
      <c r="BV320" s="64"/>
      <c r="BW320" s="64"/>
      <c r="BX320" s="64"/>
      <c r="BY320" s="64"/>
      <c r="BZ320" s="64"/>
      <c r="CA320" s="64"/>
    </row>
    <row r="321" spans="1:136" s="84" customFormat="1" ht="15" customHeight="1" x14ac:dyDescent="0.25">
      <c r="A321" s="3"/>
      <c r="B321" s="29">
        <v>293</v>
      </c>
      <c r="C321" s="118" t="s">
        <v>386</v>
      </c>
      <c r="D321" s="174">
        <v>2021</v>
      </c>
      <c r="E321" s="68" t="s">
        <v>678</v>
      </c>
      <c r="F321" s="22" t="s">
        <v>76</v>
      </c>
      <c r="G321" s="22" t="s">
        <v>215</v>
      </c>
      <c r="H321" s="22" t="s">
        <v>135</v>
      </c>
      <c r="I321" s="55">
        <v>13.75</v>
      </c>
      <c r="J321" s="55">
        <f>IF(I321&lt;=15,$L$2,$L$3)</f>
        <v>25</v>
      </c>
      <c r="K321" s="55">
        <f t="shared" si="327"/>
        <v>3.875</v>
      </c>
      <c r="L321" s="55">
        <f t="shared" si="328"/>
        <v>42.625</v>
      </c>
      <c r="M321" s="55">
        <f t="shared" si="331"/>
        <v>43</v>
      </c>
      <c r="N321" s="56">
        <v>43</v>
      </c>
      <c r="O321" s="57">
        <f t="shared" si="330"/>
        <v>27.678750000000001</v>
      </c>
      <c r="P321" s="58">
        <f t="shared" si="329"/>
        <v>0</v>
      </c>
      <c r="Q321" s="59">
        <f t="shared" si="332"/>
        <v>7.166666666666667</v>
      </c>
      <c r="R321" s="60">
        <v>15</v>
      </c>
      <c r="S321" s="60">
        <f>12+6+6+6+6+6+12+6+36</f>
        <v>96</v>
      </c>
      <c r="T321" s="60">
        <f t="shared" si="325"/>
        <v>90</v>
      </c>
      <c r="U321" s="60">
        <f t="shared" si="326"/>
        <v>21</v>
      </c>
      <c r="V321" s="62"/>
      <c r="W321" s="30">
        <v>2</v>
      </c>
      <c r="X321" s="30">
        <v>3</v>
      </c>
      <c r="Y321" s="30">
        <v>1</v>
      </c>
      <c r="Z321" s="30"/>
      <c r="AA321" s="30">
        <v>7</v>
      </c>
      <c r="AB321" s="30">
        <v>2</v>
      </c>
      <c r="AC321" s="30"/>
      <c r="AD321" s="30">
        <v>5</v>
      </c>
      <c r="AE321" s="30">
        <v>1</v>
      </c>
      <c r="AF321" s="30">
        <v>2</v>
      </c>
      <c r="AG321" s="30">
        <v>1</v>
      </c>
      <c r="AH321" s="30"/>
      <c r="AI321" s="30"/>
      <c r="AJ321" s="30"/>
      <c r="AK321" s="30"/>
      <c r="AL321" s="30"/>
      <c r="AM321" s="30"/>
      <c r="AN321" s="30"/>
      <c r="AO321" s="30"/>
      <c r="AP321" s="31"/>
      <c r="AQ321" s="32">
        <v>1</v>
      </c>
      <c r="AR321" s="33">
        <v>1</v>
      </c>
      <c r="AS321" s="31">
        <v>1</v>
      </c>
      <c r="AT321" s="63">
        <v>3</v>
      </c>
      <c r="AU321" s="34">
        <v>3</v>
      </c>
      <c r="AV321" s="34">
        <v>1</v>
      </c>
      <c r="AW321" s="34">
        <v>3</v>
      </c>
      <c r="AX321" s="34"/>
      <c r="AY321" s="34"/>
      <c r="AZ321" s="34"/>
      <c r="BA321" s="34">
        <v>1</v>
      </c>
      <c r="BB321" s="34">
        <v>1</v>
      </c>
      <c r="BC321" s="34">
        <v>3</v>
      </c>
      <c r="BD321" s="34">
        <v>1</v>
      </c>
      <c r="BE321" s="34"/>
      <c r="BF321" s="64">
        <v>1</v>
      </c>
      <c r="BG321" s="64">
        <v>2</v>
      </c>
      <c r="BH321" s="64">
        <v>1</v>
      </c>
      <c r="BI321" s="64">
        <v>1</v>
      </c>
      <c r="BJ321" s="64">
        <v>3</v>
      </c>
      <c r="BK321" s="64">
        <v>1</v>
      </c>
      <c r="BL321" s="64">
        <v>1</v>
      </c>
      <c r="BM321" s="64">
        <v>3</v>
      </c>
      <c r="BN321" s="64"/>
      <c r="BO321" s="64">
        <v>2</v>
      </c>
      <c r="BP321" s="64">
        <v>3</v>
      </c>
      <c r="BQ321" s="64">
        <v>5</v>
      </c>
      <c r="BR321" s="64">
        <v>1</v>
      </c>
      <c r="BS321" s="64"/>
      <c r="BT321" s="64">
        <v>28</v>
      </c>
      <c r="BU321" s="64">
        <v>2</v>
      </c>
      <c r="BV321" s="64"/>
      <c r="BW321" s="64"/>
      <c r="BX321" s="64"/>
      <c r="BY321" s="64"/>
      <c r="BZ321" s="64"/>
      <c r="CA321" s="64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  <c r="DS321" s="66"/>
      <c r="DT321" s="66"/>
      <c r="DU321" s="66"/>
      <c r="DV321" s="66"/>
      <c r="DW321" s="66"/>
      <c r="DX321" s="66"/>
      <c r="DY321" s="66"/>
      <c r="DZ321" s="66"/>
      <c r="EA321" s="66"/>
      <c r="EB321" s="66"/>
      <c r="EC321" s="66"/>
      <c r="ED321" s="66"/>
      <c r="EE321" s="66"/>
      <c r="EF321" s="66"/>
    </row>
    <row r="322" spans="1:136" s="84" customFormat="1" ht="15" customHeight="1" thickBot="1" x14ac:dyDescent="0.3">
      <c r="A322" s="3"/>
      <c r="B322" s="22">
        <v>294</v>
      </c>
      <c r="C322" s="118" t="s">
        <v>386</v>
      </c>
      <c r="D322" s="184">
        <v>2020</v>
      </c>
      <c r="E322" s="177" t="s">
        <v>679</v>
      </c>
      <c r="F322" s="178" t="s">
        <v>680</v>
      </c>
      <c r="G322" s="22" t="s">
        <v>215</v>
      </c>
      <c r="H322" s="22" t="s">
        <v>78</v>
      </c>
      <c r="I322" s="55">
        <v>20.9</v>
      </c>
      <c r="J322" s="55">
        <f>IF(I322&lt;=15,$L$2,$L$3)</f>
        <v>30</v>
      </c>
      <c r="K322" s="55">
        <f>(I322+J322)*0.1</f>
        <v>5.09</v>
      </c>
      <c r="L322" s="55">
        <f>SUM(I322:K322)</f>
        <v>55.989999999999995</v>
      </c>
      <c r="M322" s="55">
        <f>ROUND(L322,0)</f>
        <v>56</v>
      </c>
      <c r="N322" s="56">
        <v>52</v>
      </c>
      <c r="O322" s="57">
        <f t="shared" si="330"/>
        <v>42.071699999999993</v>
      </c>
      <c r="P322" s="58">
        <f>N322-M322</f>
        <v>-4</v>
      </c>
      <c r="Q322" s="59">
        <f t="shared" si="332"/>
        <v>8.6666666666666661</v>
      </c>
      <c r="R322" s="60"/>
      <c r="S322" s="60">
        <f>51+12+6+6+6+12+12+12+6+6+6+6+6</f>
        <v>147</v>
      </c>
      <c r="T322" s="60">
        <f t="shared" si="325"/>
        <v>92</v>
      </c>
      <c r="U322" s="60">
        <f>R322+S322-T322</f>
        <v>55</v>
      </c>
      <c r="V322" s="62"/>
      <c r="W322" s="30">
        <v>3</v>
      </c>
      <c r="X322" s="30">
        <v>6</v>
      </c>
      <c r="Y322" s="30">
        <v>1</v>
      </c>
      <c r="Z322" s="30">
        <v>3</v>
      </c>
      <c r="AA322" s="30">
        <v>4</v>
      </c>
      <c r="AB322" s="30">
        <v>2</v>
      </c>
      <c r="AC322" s="30"/>
      <c r="AD322" s="30">
        <v>6</v>
      </c>
      <c r="AE322" s="30">
        <v>4</v>
      </c>
      <c r="AF322" s="30">
        <v>4</v>
      </c>
      <c r="AG322" s="30">
        <v>1</v>
      </c>
      <c r="AH322" s="30"/>
      <c r="AI322" s="30"/>
      <c r="AJ322" s="30"/>
      <c r="AK322" s="30"/>
      <c r="AL322" s="30"/>
      <c r="AM322" s="30"/>
      <c r="AN322" s="30"/>
      <c r="AO322" s="30"/>
      <c r="AP322" s="31">
        <v>1</v>
      </c>
      <c r="AQ322" s="32">
        <v>1</v>
      </c>
      <c r="AR322" s="33"/>
      <c r="AS322" s="31">
        <v>2</v>
      </c>
      <c r="AT322" s="63">
        <v>3</v>
      </c>
      <c r="AU322" s="34">
        <v>2</v>
      </c>
      <c r="AV322" s="34">
        <v>1</v>
      </c>
      <c r="AW322" s="34"/>
      <c r="AX322" s="34">
        <v>1</v>
      </c>
      <c r="AY322" s="34">
        <v>3</v>
      </c>
      <c r="AZ322" s="34">
        <v>1</v>
      </c>
      <c r="BA322" s="34">
        <v>2</v>
      </c>
      <c r="BB322" s="34">
        <v>2</v>
      </c>
      <c r="BC322" s="34">
        <v>3</v>
      </c>
      <c r="BD322" s="34">
        <v>2</v>
      </c>
      <c r="BE322" s="34"/>
      <c r="BF322" s="64">
        <v>1</v>
      </c>
      <c r="BG322" s="64">
        <v>4</v>
      </c>
      <c r="BH322" s="64">
        <v>8</v>
      </c>
      <c r="BI322" s="64">
        <v>1</v>
      </c>
      <c r="BJ322" s="64">
        <v>4</v>
      </c>
      <c r="BK322" s="64">
        <v>2</v>
      </c>
      <c r="BL322" s="64"/>
      <c r="BM322" s="64">
        <v>1</v>
      </c>
      <c r="BN322" s="64">
        <v>4</v>
      </c>
      <c r="BO322" s="64">
        <v>3</v>
      </c>
      <c r="BP322" s="64"/>
      <c r="BQ322" s="64">
        <v>2</v>
      </c>
      <c r="BR322" s="64">
        <v>3</v>
      </c>
      <c r="BS322" s="64"/>
      <c r="BT322" s="64">
        <v>8</v>
      </c>
      <c r="BU322" s="64">
        <v>3</v>
      </c>
      <c r="BV322" s="64"/>
      <c r="BW322" s="64"/>
      <c r="BX322" s="64"/>
      <c r="BY322" s="64"/>
      <c r="BZ322" s="64"/>
      <c r="CA322" s="64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  <c r="DS322" s="66"/>
      <c r="DT322" s="66"/>
      <c r="DU322" s="66"/>
      <c r="DV322" s="66"/>
      <c r="DW322" s="66"/>
      <c r="DX322" s="66"/>
      <c r="DY322" s="66"/>
      <c r="DZ322" s="66"/>
      <c r="EA322" s="66"/>
      <c r="EB322" s="66"/>
      <c r="EC322" s="66"/>
      <c r="ED322" s="66"/>
      <c r="EE322" s="66"/>
      <c r="EF322" s="66"/>
    </row>
    <row r="323" spans="1:136" s="84" customFormat="1" ht="15" customHeight="1" x14ac:dyDescent="0.25">
      <c r="A323" s="71"/>
      <c r="B323" s="22">
        <v>295</v>
      </c>
      <c r="C323" s="118" t="s">
        <v>386</v>
      </c>
      <c r="D323" s="174">
        <v>2009</v>
      </c>
      <c r="E323" s="29" t="s">
        <v>681</v>
      </c>
      <c r="F323" s="22" t="s">
        <v>680</v>
      </c>
      <c r="G323" s="22" t="s">
        <v>215</v>
      </c>
      <c r="H323" s="22" t="s">
        <v>78</v>
      </c>
      <c r="I323" s="55">
        <v>27.9</v>
      </c>
      <c r="J323" s="55">
        <v>35</v>
      </c>
      <c r="K323" s="55">
        <f>(I323+J323)*0.1</f>
        <v>6.29</v>
      </c>
      <c r="L323" s="55">
        <f>SUM(I323:K323)</f>
        <v>69.19</v>
      </c>
      <c r="M323" s="55">
        <f>ROUND(L323,0)</f>
        <v>69</v>
      </c>
      <c r="N323" s="56">
        <v>69</v>
      </c>
      <c r="O323" s="57">
        <f t="shared" si="330"/>
        <v>56.162699999999994</v>
      </c>
      <c r="P323" s="58">
        <f>N323-M323</f>
        <v>0</v>
      </c>
      <c r="Q323" s="59">
        <f t="shared" si="332"/>
        <v>11.5</v>
      </c>
      <c r="R323" s="60">
        <v>7</v>
      </c>
      <c r="S323" s="60"/>
      <c r="T323" s="60">
        <f t="shared" si="325"/>
        <v>7</v>
      </c>
      <c r="U323" s="60">
        <f>R323+S323-T323</f>
        <v>0</v>
      </c>
      <c r="V323" s="62"/>
      <c r="W323" s="30"/>
      <c r="X323" s="30"/>
      <c r="Y323" s="30">
        <v>1</v>
      </c>
      <c r="Z323" s="30"/>
      <c r="AA323" s="30"/>
      <c r="AB323" s="30"/>
      <c r="AC323" s="30">
        <v>1</v>
      </c>
      <c r="AD323" s="30"/>
      <c r="AE323" s="30"/>
      <c r="AF323" s="30">
        <v>4</v>
      </c>
      <c r="AG323" s="30">
        <v>1</v>
      </c>
      <c r="AH323" s="30"/>
      <c r="AI323" s="30"/>
      <c r="AJ323" s="30"/>
      <c r="AK323" s="30"/>
      <c r="AL323" s="30"/>
      <c r="AM323" s="30"/>
      <c r="AN323" s="30"/>
      <c r="AO323" s="30"/>
      <c r="AP323" s="31"/>
      <c r="AQ323" s="32"/>
      <c r="AR323" s="33"/>
      <c r="AS323" s="31"/>
      <c r="AT323" s="63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  <c r="DS323" s="66"/>
      <c r="DT323" s="66"/>
      <c r="DU323" s="66"/>
      <c r="DV323" s="66"/>
      <c r="DW323" s="66"/>
      <c r="DX323" s="66"/>
      <c r="DY323" s="66"/>
      <c r="DZ323" s="66"/>
      <c r="EA323" s="66"/>
      <c r="EB323" s="66"/>
      <c r="EC323" s="66"/>
      <c r="ED323" s="66"/>
      <c r="EE323" s="66"/>
      <c r="EF323" s="66"/>
    </row>
    <row r="324" spans="1:136" s="84" customFormat="1" ht="15" customHeight="1" x14ac:dyDescent="0.25">
      <c r="A324" s="71"/>
      <c r="B324" s="22">
        <v>296</v>
      </c>
      <c r="C324" s="118" t="s">
        <v>386</v>
      </c>
      <c r="D324" s="174">
        <v>2016</v>
      </c>
      <c r="E324" s="22" t="s">
        <v>682</v>
      </c>
      <c r="F324" s="22" t="s">
        <v>683</v>
      </c>
      <c r="G324" s="22" t="s">
        <v>215</v>
      </c>
      <c r="H324" s="22" t="s">
        <v>78</v>
      </c>
      <c r="I324" s="55">
        <v>21.3</v>
      </c>
      <c r="J324" s="55">
        <v>30</v>
      </c>
      <c r="K324" s="55">
        <f>(I324+J324)*0.1</f>
        <v>5.13</v>
      </c>
      <c r="L324" s="55">
        <f>SUM(I324:K324)</f>
        <v>56.43</v>
      </c>
      <c r="M324" s="55">
        <f>ROUND(L324,0)</f>
        <v>56</v>
      </c>
      <c r="N324" s="56">
        <v>56</v>
      </c>
      <c r="O324" s="57">
        <f t="shared" si="330"/>
        <v>42.876899999999992</v>
      </c>
      <c r="P324" s="58">
        <f>N324-M324</f>
        <v>0</v>
      </c>
      <c r="Q324" s="59">
        <f t="shared" si="332"/>
        <v>9.3333333333333339</v>
      </c>
      <c r="R324" s="60">
        <v>11</v>
      </c>
      <c r="S324" s="60">
        <f>2+6+6+6+6</f>
        <v>26</v>
      </c>
      <c r="T324" s="60">
        <f t="shared" si="325"/>
        <v>26</v>
      </c>
      <c r="U324" s="60">
        <f>R324+S324-T324</f>
        <v>11</v>
      </c>
      <c r="V324" s="62"/>
      <c r="W324" s="30"/>
      <c r="X324" s="30"/>
      <c r="Y324" s="30">
        <v>1</v>
      </c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1"/>
      <c r="AQ324" s="32"/>
      <c r="AR324" s="33"/>
      <c r="AS324" s="31"/>
      <c r="AT324" s="63">
        <v>1</v>
      </c>
      <c r="AU324" s="34"/>
      <c r="AV324" s="34">
        <v>3</v>
      </c>
      <c r="AW324" s="34">
        <v>3</v>
      </c>
      <c r="AX324" s="34"/>
      <c r="AY324" s="34"/>
      <c r="AZ324" s="34"/>
      <c r="BA324" s="34">
        <v>3</v>
      </c>
      <c r="BB324" s="34"/>
      <c r="BC324" s="34"/>
      <c r="BD324" s="34">
        <v>1</v>
      </c>
      <c r="BE324" s="34">
        <v>1</v>
      </c>
      <c r="BF324" s="64"/>
      <c r="BG324" s="64"/>
      <c r="BH324" s="64">
        <v>1</v>
      </c>
      <c r="BI324" s="64">
        <v>1</v>
      </c>
      <c r="BJ324" s="64">
        <v>3</v>
      </c>
      <c r="BK324" s="64">
        <v>1</v>
      </c>
      <c r="BL324" s="64">
        <v>4</v>
      </c>
      <c r="BM324" s="64">
        <v>2</v>
      </c>
      <c r="BN324" s="64"/>
      <c r="BO324" s="64">
        <v>1</v>
      </c>
      <c r="BP324" s="64"/>
      <c r="BQ324" s="64"/>
      <c r="BR324" s="64"/>
      <c r="BS324" s="64"/>
      <c r="BT324" s="64">
        <v>1</v>
      </c>
      <c r="BU324" s="64">
        <v>1</v>
      </c>
      <c r="BV324" s="64"/>
      <c r="BW324" s="64"/>
      <c r="BX324" s="64"/>
      <c r="BY324" s="64"/>
      <c r="BZ324" s="64"/>
      <c r="CA324" s="64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  <c r="DS324" s="66"/>
      <c r="DT324" s="66"/>
      <c r="DU324" s="66"/>
      <c r="DV324" s="66"/>
      <c r="DW324" s="66"/>
      <c r="DX324" s="66"/>
      <c r="DY324" s="66"/>
      <c r="DZ324" s="66"/>
      <c r="EA324" s="66"/>
      <c r="EB324" s="66"/>
      <c r="EC324" s="66"/>
      <c r="ED324" s="66"/>
      <c r="EE324" s="66"/>
      <c r="EF324" s="66"/>
    </row>
    <row r="325" spans="1:136" s="54" customFormat="1" ht="15" customHeight="1" x14ac:dyDescent="0.25">
      <c r="A325" s="22"/>
      <c r="B325" s="29">
        <v>297</v>
      </c>
      <c r="C325" s="118" t="s">
        <v>386</v>
      </c>
      <c r="D325" s="174">
        <v>2017</v>
      </c>
      <c r="E325" s="22" t="s">
        <v>684</v>
      </c>
      <c r="F325" s="22" t="s">
        <v>340</v>
      </c>
      <c r="G325" s="22" t="s">
        <v>215</v>
      </c>
      <c r="H325" s="22" t="s">
        <v>84</v>
      </c>
      <c r="I325" s="55">
        <v>28</v>
      </c>
      <c r="J325" s="55">
        <f>IF(I325&lt;=15,$L$2,$L$3)</f>
        <v>30</v>
      </c>
      <c r="K325" s="55">
        <f t="shared" si="327"/>
        <v>5.8000000000000007</v>
      </c>
      <c r="L325" s="55">
        <f t="shared" si="328"/>
        <v>63.8</v>
      </c>
      <c r="M325" s="55">
        <f t="shared" si="331"/>
        <v>64</v>
      </c>
      <c r="N325" s="56">
        <v>61</v>
      </c>
      <c r="O325" s="57">
        <f t="shared" si="330"/>
        <v>56.36399999999999</v>
      </c>
      <c r="P325" s="58">
        <f t="shared" si="329"/>
        <v>-3</v>
      </c>
      <c r="Q325" s="59">
        <f t="shared" si="332"/>
        <v>10.166666666666666</v>
      </c>
      <c r="R325" s="60">
        <v>11</v>
      </c>
      <c r="S325" s="60">
        <f>16+12</f>
        <v>28</v>
      </c>
      <c r="T325" s="60">
        <f t="shared" si="325"/>
        <v>22</v>
      </c>
      <c r="U325" s="60">
        <f t="shared" si="326"/>
        <v>17</v>
      </c>
      <c r="V325" s="62"/>
      <c r="W325" s="30"/>
      <c r="X325" s="30"/>
      <c r="Y325" s="30"/>
      <c r="Z325" s="30"/>
      <c r="AA325" s="30"/>
      <c r="AB325" s="30"/>
      <c r="AC325" s="30">
        <v>1</v>
      </c>
      <c r="AD325" s="30"/>
      <c r="AE325" s="30"/>
      <c r="AF325" s="30"/>
      <c r="AG325" s="30"/>
      <c r="AH325" s="30">
        <v>1</v>
      </c>
      <c r="AI325" s="30"/>
      <c r="AJ325" s="30"/>
      <c r="AK325" s="30"/>
      <c r="AL325" s="30"/>
      <c r="AM325" s="30"/>
      <c r="AN325" s="30"/>
      <c r="AO325" s="30"/>
      <c r="AP325" s="31"/>
      <c r="AQ325" s="32"/>
      <c r="AR325" s="33">
        <v>1</v>
      </c>
      <c r="AS325" s="31">
        <v>1</v>
      </c>
      <c r="AT325" s="63">
        <v>2</v>
      </c>
      <c r="AU325" s="34">
        <v>1</v>
      </c>
      <c r="AV325" s="34">
        <v>1</v>
      </c>
      <c r="AW325" s="34"/>
      <c r="AX325" s="34">
        <v>1</v>
      </c>
      <c r="AY325" s="34"/>
      <c r="AZ325" s="34"/>
      <c r="BA325" s="34"/>
      <c r="BB325" s="34"/>
      <c r="BC325" s="34">
        <v>1</v>
      </c>
      <c r="BD325" s="34"/>
      <c r="BE325" s="34">
        <v>2</v>
      </c>
      <c r="BF325" s="64">
        <v>1</v>
      </c>
      <c r="BG325" s="64"/>
      <c r="BH325" s="64"/>
      <c r="BI325" s="64"/>
      <c r="BJ325" s="64"/>
      <c r="BK325" s="64">
        <v>8</v>
      </c>
      <c r="BL325" s="64"/>
      <c r="BM325" s="64"/>
      <c r="BN325" s="64">
        <v>3</v>
      </c>
      <c r="BO325" s="64">
        <v>1</v>
      </c>
      <c r="BP325" s="64"/>
      <c r="BQ325" s="64"/>
      <c r="BR325" s="64"/>
      <c r="BS325" s="64"/>
      <c r="BT325" s="64">
        <v>1</v>
      </c>
      <c r="BU325" s="64"/>
      <c r="BV325" s="64"/>
      <c r="BW325" s="64"/>
      <c r="BX325" s="64"/>
      <c r="BY325" s="64"/>
      <c r="BZ325" s="64"/>
      <c r="CA325" s="64"/>
    </row>
    <row r="326" spans="1:136" ht="15" customHeight="1" x14ac:dyDescent="0.25">
      <c r="A326" s="22"/>
      <c r="B326" s="22">
        <v>298</v>
      </c>
      <c r="C326" s="118" t="s">
        <v>386</v>
      </c>
      <c r="D326" s="174">
        <v>2019</v>
      </c>
      <c r="E326" s="22" t="s">
        <v>685</v>
      </c>
      <c r="F326" s="22" t="s">
        <v>340</v>
      </c>
      <c r="G326" s="22" t="s">
        <v>215</v>
      </c>
      <c r="H326" s="22" t="s">
        <v>84</v>
      </c>
      <c r="I326" s="55">
        <v>32.6</v>
      </c>
      <c r="J326" s="55">
        <f>IF(I326&lt;=15,$L$2,$L$3)</f>
        <v>30</v>
      </c>
      <c r="K326" s="55">
        <f t="shared" si="327"/>
        <v>6.2600000000000007</v>
      </c>
      <c r="L326" s="55">
        <f t="shared" si="328"/>
        <v>68.86</v>
      </c>
      <c r="M326" s="55">
        <f t="shared" si="331"/>
        <v>69</v>
      </c>
      <c r="N326" s="56">
        <v>75</v>
      </c>
      <c r="O326" s="57">
        <f t="shared" si="330"/>
        <v>65.623800000000003</v>
      </c>
      <c r="P326" s="58">
        <f t="shared" si="329"/>
        <v>6</v>
      </c>
      <c r="Q326" s="59">
        <f t="shared" si="332"/>
        <v>12.5</v>
      </c>
      <c r="R326" s="60">
        <v>7</v>
      </c>
      <c r="S326" s="60">
        <f>21+12</f>
        <v>33</v>
      </c>
      <c r="T326" s="60">
        <f t="shared" si="325"/>
        <v>35</v>
      </c>
      <c r="U326" s="60">
        <f t="shared" si="326"/>
        <v>5</v>
      </c>
      <c r="V326" s="62"/>
      <c r="W326" s="30">
        <v>2</v>
      </c>
      <c r="X326" s="30"/>
      <c r="Y326" s="30"/>
      <c r="Z326" s="30"/>
      <c r="AA326" s="30">
        <v>1</v>
      </c>
      <c r="AB326" s="30">
        <v>2</v>
      </c>
      <c r="AC326" s="30">
        <v>1</v>
      </c>
      <c r="AD326" s="30"/>
      <c r="AE326" s="30">
        <v>2</v>
      </c>
      <c r="AF326" s="30">
        <v>2</v>
      </c>
      <c r="AG326" s="30">
        <v>3</v>
      </c>
      <c r="AH326" s="30"/>
      <c r="AI326" s="30"/>
      <c r="AJ326" s="30"/>
      <c r="AK326" s="30"/>
      <c r="AL326" s="30"/>
      <c r="AM326" s="30"/>
      <c r="AN326" s="30"/>
      <c r="AO326" s="30"/>
      <c r="AP326" s="31">
        <v>1</v>
      </c>
      <c r="AQ326" s="32"/>
      <c r="AR326" s="33">
        <v>2</v>
      </c>
      <c r="AS326" s="31">
        <v>3</v>
      </c>
      <c r="AT326" s="63">
        <v>1</v>
      </c>
      <c r="AU326" s="34"/>
      <c r="AV326" s="34"/>
      <c r="AW326" s="34">
        <v>1</v>
      </c>
      <c r="AX326" s="34"/>
      <c r="AY326" s="34"/>
      <c r="AZ326" s="34"/>
      <c r="BA326" s="34"/>
      <c r="BB326" s="34">
        <v>2</v>
      </c>
      <c r="BC326" s="34">
        <v>2</v>
      </c>
      <c r="BD326" s="34">
        <v>1</v>
      </c>
      <c r="BE326" s="34">
        <v>2</v>
      </c>
      <c r="BF326" s="64">
        <v>1</v>
      </c>
      <c r="BG326" s="64">
        <v>1</v>
      </c>
      <c r="BH326" s="64">
        <v>1</v>
      </c>
      <c r="BI326" s="64">
        <v>1</v>
      </c>
      <c r="BL326" s="64">
        <v>2</v>
      </c>
      <c r="BM326" s="64">
        <v>1</v>
      </c>
      <c r="BT326" s="64"/>
      <c r="BU326" s="64"/>
      <c r="BV326" s="64"/>
      <c r="BW326" s="64"/>
      <c r="BX326" s="64"/>
      <c r="BY326" s="64"/>
      <c r="BZ326" s="64"/>
      <c r="CA326" s="64"/>
    </row>
    <row r="327" spans="1:136" ht="15" customHeight="1" x14ac:dyDescent="0.25">
      <c r="A327" s="22"/>
      <c r="B327" s="22">
        <v>299</v>
      </c>
      <c r="C327" s="118" t="s">
        <v>386</v>
      </c>
      <c r="D327" s="174">
        <v>2019</v>
      </c>
      <c r="E327" s="22" t="s">
        <v>643</v>
      </c>
      <c r="F327" s="22" t="s">
        <v>340</v>
      </c>
      <c r="G327" s="22" t="s">
        <v>215</v>
      </c>
      <c r="H327" s="22" t="s">
        <v>84</v>
      </c>
      <c r="I327" s="55">
        <v>41.5</v>
      </c>
      <c r="J327" s="55">
        <v>40</v>
      </c>
      <c r="K327" s="55">
        <f>(I327+J327)*0.1</f>
        <v>8.15</v>
      </c>
      <c r="L327" s="55">
        <f>SUM(I327:K327)</f>
        <v>89.65</v>
      </c>
      <c r="M327" s="55">
        <f>ROUND(L327,0)</f>
        <v>90</v>
      </c>
      <c r="N327" s="56">
        <v>95</v>
      </c>
      <c r="O327" s="57">
        <f t="shared" si="330"/>
        <v>83.53949999999999</v>
      </c>
      <c r="P327" s="58">
        <f>N327-M327</f>
        <v>5</v>
      </c>
      <c r="Q327" s="59">
        <f t="shared" si="332"/>
        <v>15.833333333333334</v>
      </c>
      <c r="R327" s="60">
        <v>1</v>
      </c>
      <c r="S327" s="60">
        <f>11+12</f>
        <v>23</v>
      </c>
      <c r="T327" s="60">
        <f t="shared" si="325"/>
        <v>14</v>
      </c>
      <c r="U327" s="60">
        <f>R327+S327-T327</f>
        <v>10</v>
      </c>
      <c r="V327" s="62"/>
      <c r="W327" s="30"/>
      <c r="X327" s="30"/>
      <c r="Y327" s="30"/>
      <c r="Z327" s="30"/>
      <c r="AA327" s="30"/>
      <c r="AB327" s="30"/>
      <c r="AC327" s="30"/>
      <c r="AD327" s="30"/>
      <c r="AE327" s="30"/>
      <c r="AF327" s="30">
        <v>1</v>
      </c>
      <c r="AG327" s="30"/>
      <c r="AH327" s="30">
        <v>1</v>
      </c>
      <c r="AI327" s="30"/>
      <c r="AJ327" s="30"/>
      <c r="AK327" s="30"/>
      <c r="AL327" s="30"/>
      <c r="AM327" s="30"/>
      <c r="AN327" s="30"/>
      <c r="AO327" s="30"/>
      <c r="AP327" s="31"/>
      <c r="AQ327" s="32">
        <v>1</v>
      </c>
      <c r="AR327" s="33"/>
      <c r="AS327" s="31"/>
      <c r="AT327" s="63"/>
      <c r="AU327" s="34"/>
      <c r="AV327" s="34">
        <v>2</v>
      </c>
      <c r="AW327" s="34">
        <v>1</v>
      </c>
      <c r="AX327" s="34"/>
      <c r="AY327" s="34"/>
      <c r="AZ327" s="34">
        <v>1</v>
      </c>
      <c r="BA327" s="34">
        <v>1</v>
      </c>
      <c r="BB327" s="34">
        <v>1</v>
      </c>
      <c r="BC327" s="34"/>
      <c r="BD327" s="34"/>
      <c r="BE327" s="34">
        <v>2</v>
      </c>
      <c r="BF327" s="64">
        <v>1</v>
      </c>
      <c r="BH327" s="64">
        <v>1</v>
      </c>
      <c r="BM327" s="64">
        <v>1</v>
      </c>
      <c r="BP327" s="64">
        <v>1</v>
      </c>
      <c r="BT327" s="64"/>
      <c r="BU327" s="64"/>
      <c r="BV327" s="64"/>
      <c r="BW327" s="64"/>
      <c r="BX327" s="64"/>
      <c r="BY327" s="64"/>
      <c r="BZ327" s="64"/>
      <c r="CA327" s="64"/>
    </row>
    <row r="328" spans="1:136" ht="15" customHeight="1" x14ac:dyDescent="0.25">
      <c r="A328" s="22"/>
      <c r="B328" s="22">
        <v>300</v>
      </c>
      <c r="C328" s="118" t="s">
        <v>386</v>
      </c>
      <c r="D328" s="174">
        <v>2015</v>
      </c>
      <c r="E328" s="22" t="s">
        <v>686</v>
      </c>
      <c r="F328" s="22" t="s">
        <v>125</v>
      </c>
      <c r="G328" s="22" t="s">
        <v>215</v>
      </c>
      <c r="H328" s="22" t="s">
        <v>78</v>
      </c>
      <c r="I328" s="55">
        <v>113</v>
      </c>
      <c r="J328" s="55">
        <v>80</v>
      </c>
      <c r="K328" s="55">
        <f>(I328+J328)*0.1</f>
        <v>19.3</v>
      </c>
      <c r="L328" s="55">
        <f>SUM(I328:K328)</f>
        <v>212.3</v>
      </c>
      <c r="M328" s="55">
        <f>ROUND(L328,0)</f>
        <v>212</v>
      </c>
      <c r="N328" s="56">
        <v>212</v>
      </c>
      <c r="O328" s="57">
        <f t="shared" si="330"/>
        <v>227.46899999999999</v>
      </c>
      <c r="P328" s="58">
        <f>N328-M328</f>
        <v>0</v>
      </c>
      <c r="Q328" s="59">
        <f t="shared" si="332"/>
        <v>35.333333333333336</v>
      </c>
      <c r="R328" s="60">
        <v>1</v>
      </c>
      <c r="S328" s="60"/>
      <c r="T328" s="60">
        <f t="shared" si="325"/>
        <v>1</v>
      </c>
      <c r="U328" s="60">
        <f>R328+S328-T328</f>
        <v>0</v>
      </c>
      <c r="V328" s="62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1"/>
      <c r="AQ328" s="32">
        <v>1</v>
      </c>
      <c r="AR328" s="33"/>
      <c r="AS328" s="31"/>
      <c r="AT328" s="63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64"/>
      <c r="BT328" s="64"/>
      <c r="BU328" s="64"/>
      <c r="BV328" s="64"/>
      <c r="BW328" s="64"/>
      <c r="BX328" s="64"/>
      <c r="BY328" s="64"/>
      <c r="BZ328" s="64"/>
      <c r="CA328" s="64"/>
    </row>
    <row r="329" spans="1:136" ht="15" customHeight="1" x14ac:dyDescent="0.25">
      <c r="A329" s="3"/>
      <c r="B329" s="29">
        <v>301</v>
      </c>
      <c r="C329" s="118" t="s">
        <v>386</v>
      </c>
      <c r="D329" s="168" t="s">
        <v>687</v>
      </c>
      <c r="E329" s="22" t="s">
        <v>688</v>
      </c>
      <c r="F329" s="22" t="s">
        <v>642</v>
      </c>
      <c r="G329" s="22" t="s">
        <v>81</v>
      </c>
      <c r="H329" s="22" t="s">
        <v>78</v>
      </c>
      <c r="I329" s="55">
        <v>57.5</v>
      </c>
      <c r="J329" s="55">
        <v>40</v>
      </c>
      <c r="K329" s="55">
        <f t="shared" si="327"/>
        <v>9.75</v>
      </c>
      <c r="L329" s="55">
        <f t="shared" si="328"/>
        <v>107.25</v>
      </c>
      <c r="M329" s="55">
        <f t="shared" si="331"/>
        <v>107</v>
      </c>
      <c r="N329" s="56">
        <v>109</v>
      </c>
      <c r="O329" s="57">
        <f t="shared" si="330"/>
        <v>115.7475</v>
      </c>
      <c r="P329" s="58">
        <f t="shared" si="329"/>
        <v>2</v>
      </c>
      <c r="Q329" s="59">
        <f t="shared" si="332"/>
        <v>18.166666666666668</v>
      </c>
      <c r="R329" s="60">
        <v>6</v>
      </c>
      <c r="S329" s="60">
        <v>9</v>
      </c>
      <c r="T329" s="60">
        <f t="shared" si="325"/>
        <v>5</v>
      </c>
      <c r="U329" s="60">
        <f t="shared" si="326"/>
        <v>10</v>
      </c>
      <c r="V329" s="62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1"/>
      <c r="AQ329" s="32"/>
      <c r="AR329" s="33"/>
      <c r="AS329" s="31"/>
      <c r="AT329" s="63">
        <v>1</v>
      </c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>
        <v>1</v>
      </c>
      <c r="BF329" s="64">
        <v>1</v>
      </c>
      <c r="BL329" s="64">
        <v>1</v>
      </c>
      <c r="BN329" s="64">
        <v>1</v>
      </c>
      <c r="BT329" s="64">
        <v>1</v>
      </c>
      <c r="BU329" s="64"/>
      <c r="BV329" s="64"/>
      <c r="BW329" s="64"/>
      <c r="BX329" s="64"/>
      <c r="BY329" s="64"/>
      <c r="BZ329" s="64"/>
      <c r="CA329" s="64"/>
    </row>
    <row r="330" spans="1:136" ht="14.25" customHeight="1" x14ac:dyDescent="0.25">
      <c r="A330" s="22"/>
      <c r="B330" s="22">
        <v>302</v>
      </c>
      <c r="C330" s="118" t="s">
        <v>386</v>
      </c>
      <c r="D330" s="174">
        <v>2016</v>
      </c>
      <c r="E330" s="22" t="s">
        <v>688</v>
      </c>
      <c r="F330" s="22" t="s">
        <v>642</v>
      </c>
      <c r="G330" s="22" t="s">
        <v>81</v>
      </c>
      <c r="H330" s="22" t="s">
        <v>137</v>
      </c>
      <c r="I330" s="55">
        <v>29.7</v>
      </c>
      <c r="J330" s="55">
        <f t="shared" ref="J330:J335" si="335">IF(I330&lt;=15,$L$2,$L$3)</f>
        <v>30</v>
      </c>
      <c r="K330" s="55">
        <f>(I330+J330)*0.1</f>
        <v>5.9700000000000006</v>
      </c>
      <c r="L330" s="55">
        <f>SUM(I330:K330)</f>
        <v>65.67</v>
      </c>
      <c r="M330" s="55">
        <f>ROUND(L330,0)</f>
        <v>66</v>
      </c>
      <c r="N330" s="56">
        <v>84</v>
      </c>
      <c r="O330" s="57">
        <f t="shared" si="330"/>
        <v>59.78609999999999</v>
      </c>
      <c r="P330" s="58">
        <f>N330-M330</f>
        <v>18</v>
      </c>
      <c r="Q330" s="59">
        <f t="shared" si="332"/>
        <v>14</v>
      </c>
      <c r="R330" s="60">
        <v>12</v>
      </c>
      <c r="S330" s="60"/>
      <c r="T330" s="60">
        <f t="shared" si="325"/>
        <v>3</v>
      </c>
      <c r="U330" s="60">
        <f>R330+S330-T330</f>
        <v>9</v>
      </c>
      <c r="V330" s="62"/>
      <c r="W330" s="30">
        <v>1</v>
      </c>
      <c r="X330" s="30"/>
      <c r="Y330" s="30"/>
      <c r="Z330" s="30"/>
      <c r="AA330" s="30"/>
      <c r="AB330" s="30"/>
      <c r="AC330" s="30"/>
      <c r="AD330" s="30"/>
      <c r="AE330" s="30"/>
      <c r="AF330" s="30">
        <v>1</v>
      </c>
      <c r="AG330" s="30"/>
      <c r="AH330" s="30"/>
      <c r="AI330" s="30"/>
      <c r="AJ330" s="30"/>
      <c r="AK330" s="30"/>
      <c r="AL330" s="30"/>
      <c r="AM330" s="30"/>
      <c r="AN330" s="30"/>
      <c r="AO330" s="30"/>
      <c r="AP330" s="31"/>
      <c r="AQ330" s="32"/>
      <c r="AR330" s="33"/>
      <c r="AS330" s="31"/>
      <c r="AT330" s="63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64"/>
      <c r="BN330" s="64">
        <v>1</v>
      </c>
      <c r="BT330" s="64">
        <v>1</v>
      </c>
      <c r="BU330" s="64"/>
      <c r="BV330" s="64"/>
      <c r="BW330" s="64"/>
      <c r="BX330" s="64"/>
      <c r="BY330" s="64"/>
      <c r="BZ330" s="64"/>
      <c r="CA330" s="64"/>
    </row>
    <row r="331" spans="1:136" ht="15" customHeight="1" x14ac:dyDescent="0.25">
      <c r="A331" s="22"/>
      <c r="B331" s="22">
        <v>303</v>
      </c>
      <c r="C331" s="118" t="s">
        <v>386</v>
      </c>
      <c r="D331" s="174">
        <v>2020</v>
      </c>
      <c r="E331" s="22" t="s">
        <v>689</v>
      </c>
      <c r="F331" s="22" t="s">
        <v>295</v>
      </c>
      <c r="G331" s="22" t="s">
        <v>215</v>
      </c>
      <c r="H331" s="22" t="s">
        <v>84</v>
      </c>
      <c r="I331" s="55">
        <v>26</v>
      </c>
      <c r="J331" s="55">
        <f t="shared" si="335"/>
        <v>30</v>
      </c>
      <c r="K331" s="55">
        <f t="shared" si="327"/>
        <v>5.6000000000000005</v>
      </c>
      <c r="L331" s="55">
        <f t="shared" si="328"/>
        <v>61.6</v>
      </c>
      <c r="M331" s="55">
        <f t="shared" si="331"/>
        <v>62</v>
      </c>
      <c r="N331" s="56">
        <v>65</v>
      </c>
      <c r="O331" s="57">
        <f t="shared" si="330"/>
        <v>52.337999999999994</v>
      </c>
      <c r="P331" s="58">
        <f t="shared" si="329"/>
        <v>3</v>
      </c>
      <c r="Q331" s="59">
        <f t="shared" si="332"/>
        <v>10.833333333333334</v>
      </c>
      <c r="R331" s="60">
        <v>9</v>
      </c>
      <c r="S331" s="60">
        <f>12+12+12</f>
        <v>36</v>
      </c>
      <c r="T331" s="60">
        <f t="shared" si="325"/>
        <v>16</v>
      </c>
      <c r="U331" s="60">
        <f t="shared" si="326"/>
        <v>29</v>
      </c>
      <c r="V331" s="62"/>
      <c r="W331" s="30">
        <v>1</v>
      </c>
      <c r="X331" s="30"/>
      <c r="Y331" s="30"/>
      <c r="Z331" s="30"/>
      <c r="AA331" s="30"/>
      <c r="AB331" s="30"/>
      <c r="AC331" s="30"/>
      <c r="AD331" s="30"/>
      <c r="AE331" s="30"/>
      <c r="AF331" s="30"/>
      <c r="AG331" s="30">
        <v>1</v>
      </c>
      <c r="AH331" s="30"/>
      <c r="AI331" s="30"/>
      <c r="AJ331" s="30"/>
      <c r="AK331" s="30"/>
      <c r="AL331" s="30"/>
      <c r="AM331" s="30"/>
      <c r="AN331" s="30"/>
      <c r="AO331" s="30"/>
      <c r="AP331" s="31">
        <v>2</v>
      </c>
      <c r="AQ331" s="32">
        <v>1</v>
      </c>
      <c r="AR331" s="33"/>
      <c r="AS331" s="31"/>
      <c r="AT331" s="63">
        <v>1</v>
      </c>
      <c r="AU331" s="34"/>
      <c r="AV331" s="34"/>
      <c r="AW331" s="34">
        <v>1</v>
      </c>
      <c r="AX331" s="34"/>
      <c r="AY331" s="34"/>
      <c r="AZ331" s="34">
        <v>1</v>
      </c>
      <c r="BA331" s="34"/>
      <c r="BB331" s="34"/>
      <c r="BC331" s="34"/>
      <c r="BD331" s="34"/>
      <c r="BE331" s="34">
        <v>1</v>
      </c>
      <c r="BF331" s="64">
        <v>2</v>
      </c>
      <c r="BH331" s="64">
        <v>1</v>
      </c>
      <c r="BI331" s="64">
        <v>1</v>
      </c>
      <c r="BL331" s="64">
        <v>1</v>
      </c>
      <c r="BN331" s="64">
        <v>1</v>
      </c>
      <c r="BQ331" s="64">
        <v>1</v>
      </c>
      <c r="BT331" s="64">
        <v>1</v>
      </c>
      <c r="BU331" s="64"/>
      <c r="BV331" s="64"/>
      <c r="BW331" s="64"/>
      <c r="BX331" s="64"/>
      <c r="BY331" s="64"/>
      <c r="BZ331" s="64"/>
      <c r="CA331" s="64"/>
    </row>
    <row r="332" spans="1:136" ht="15" customHeight="1" x14ac:dyDescent="0.25">
      <c r="A332" s="22"/>
      <c r="B332" s="22">
        <v>304</v>
      </c>
      <c r="C332" s="118" t="s">
        <v>386</v>
      </c>
      <c r="D332" s="174">
        <v>2020</v>
      </c>
      <c r="E332" s="22" t="s">
        <v>690</v>
      </c>
      <c r="F332" s="22" t="s">
        <v>295</v>
      </c>
      <c r="G332" s="22" t="s">
        <v>215</v>
      </c>
      <c r="H332" s="22" t="s">
        <v>84</v>
      </c>
      <c r="I332" s="55">
        <v>60</v>
      </c>
      <c r="J332" s="55">
        <v>60</v>
      </c>
      <c r="K332" s="55">
        <f t="shared" ref="K332" si="336">(I332+J332)*0.1</f>
        <v>12</v>
      </c>
      <c r="L332" s="55">
        <f t="shared" ref="L332" si="337">SUM(I332:K332)</f>
        <v>132</v>
      </c>
      <c r="M332" s="55">
        <f t="shared" ref="M332" si="338">ROUND(L332,0)</f>
        <v>132</v>
      </c>
      <c r="N332" s="56">
        <v>132</v>
      </c>
      <c r="O332" s="57">
        <f t="shared" ref="O332" si="339">I332*$O$2*1.22</f>
        <v>120.78</v>
      </c>
      <c r="P332" s="58">
        <f t="shared" ref="P332" si="340">N332-M332</f>
        <v>0</v>
      </c>
      <c r="Q332" s="59">
        <f t="shared" ref="Q332" si="341">N332/$Q$3</f>
        <v>22</v>
      </c>
      <c r="R332" s="60">
        <v>10</v>
      </c>
      <c r="S332" s="60">
        <f>12+12</f>
        <v>24</v>
      </c>
      <c r="T332" s="60">
        <f t="shared" ref="T332" si="342">W332+X332+Y332+Z332+AA332+AB332+AC332+AD332+AE332+AF332+AG332+AH332+AI332+AJ332+AK332+AL332+AM332+AN332+AO332+AP332+AQ332+AR332+AS332+AT332+AU332+AV332+AW332+AX332+AY332+AZ332+BA332+BB332+BC332+BD332+BE332+BF332+BG332+BH332+BI332+BJ332+BK332+BL332+BM332+BQ332+BR332+BS332+BT332</f>
        <v>0</v>
      </c>
      <c r="U332" s="60">
        <f t="shared" ref="U332" si="343">R332+S332-T332</f>
        <v>34</v>
      </c>
      <c r="V332" s="62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1"/>
      <c r="AQ332" s="32"/>
      <c r="AR332" s="33"/>
      <c r="AS332" s="31"/>
      <c r="AT332" s="63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64"/>
      <c r="BT332" s="64"/>
      <c r="BU332" s="64"/>
      <c r="BV332" s="64"/>
      <c r="BW332" s="64"/>
      <c r="BX332" s="64"/>
      <c r="BY332" s="64"/>
      <c r="BZ332" s="64"/>
      <c r="CA332" s="64"/>
    </row>
    <row r="333" spans="1:136" x14ac:dyDescent="0.25">
      <c r="A333" s="22"/>
      <c r="B333" s="22">
        <v>304</v>
      </c>
      <c r="C333" s="118" t="s">
        <v>386</v>
      </c>
      <c r="D333" s="174">
        <v>2018</v>
      </c>
      <c r="E333" s="22" t="s">
        <v>691</v>
      </c>
      <c r="F333" s="22" t="s">
        <v>285</v>
      </c>
      <c r="G333" s="22" t="s">
        <v>77</v>
      </c>
      <c r="H333" s="22" t="s">
        <v>692</v>
      </c>
      <c r="I333" s="55">
        <v>32.549999999999997</v>
      </c>
      <c r="J333" s="55">
        <f t="shared" si="335"/>
        <v>30</v>
      </c>
      <c r="K333" s="55">
        <f t="shared" si="327"/>
        <v>6.2549999999999999</v>
      </c>
      <c r="L333" s="55">
        <f t="shared" si="328"/>
        <v>68.804999999999993</v>
      </c>
      <c r="M333" s="55">
        <f t="shared" si="331"/>
        <v>69</v>
      </c>
      <c r="N333" s="56">
        <v>68</v>
      </c>
      <c r="O333" s="57">
        <f t="shared" si="330"/>
        <v>65.523149999999987</v>
      </c>
      <c r="P333" s="58">
        <f t="shared" si="329"/>
        <v>-1</v>
      </c>
      <c r="Q333" s="59">
        <f t="shared" si="332"/>
        <v>11.333333333333334</v>
      </c>
      <c r="R333" s="60"/>
      <c r="S333" s="60">
        <v>3</v>
      </c>
      <c r="T333" s="60"/>
      <c r="U333" s="60">
        <f t="shared" si="326"/>
        <v>3</v>
      </c>
      <c r="V333" s="62"/>
      <c r="W333" s="30">
        <v>2</v>
      </c>
      <c r="X333" s="30"/>
      <c r="Y333" s="30"/>
      <c r="Z333" s="30"/>
      <c r="AA333" s="30">
        <v>1</v>
      </c>
      <c r="AB333" s="30">
        <v>1</v>
      </c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1"/>
      <c r="AQ333" s="32">
        <v>2</v>
      </c>
      <c r="AR333" s="33">
        <v>1</v>
      </c>
      <c r="AS333" s="31"/>
      <c r="AT333" s="63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64"/>
      <c r="BR333" s="64">
        <v>1</v>
      </c>
      <c r="BT333" s="64"/>
      <c r="BU333" s="64"/>
      <c r="BV333" s="64"/>
      <c r="BW333" s="64"/>
      <c r="BX333" s="64"/>
      <c r="BY333" s="64"/>
      <c r="BZ333" s="64"/>
      <c r="CA333" s="64"/>
    </row>
    <row r="334" spans="1:136" ht="15" customHeight="1" x14ac:dyDescent="0.25">
      <c r="A334" s="22"/>
      <c r="B334" s="29">
        <v>305</v>
      </c>
      <c r="C334" s="118" t="s">
        <v>386</v>
      </c>
      <c r="D334" s="174">
        <v>2019</v>
      </c>
      <c r="E334" s="22" t="s">
        <v>693</v>
      </c>
      <c r="F334" s="22" t="s">
        <v>262</v>
      </c>
      <c r="G334" s="22" t="s">
        <v>215</v>
      </c>
      <c r="H334" s="22" t="s">
        <v>137</v>
      </c>
      <c r="I334" s="55">
        <v>19.5</v>
      </c>
      <c r="J334" s="55">
        <f t="shared" si="335"/>
        <v>30</v>
      </c>
      <c r="K334" s="55">
        <f t="shared" si="327"/>
        <v>4.95</v>
      </c>
      <c r="L334" s="55">
        <f t="shared" si="328"/>
        <v>54.45</v>
      </c>
      <c r="M334" s="55">
        <f t="shared" si="331"/>
        <v>54</v>
      </c>
      <c r="N334" s="56">
        <v>54</v>
      </c>
      <c r="O334" s="57">
        <f t="shared" si="330"/>
        <v>39.253499999999995</v>
      </c>
      <c r="P334" s="58">
        <f t="shared" si="329"/>
        <v>0</v>
      </c>
      <c r="Q334" s="59">
        <f t="shared" si="332"/>
        <v>9</v>
      </c>
      <c r="R334" s="60">
        <v>1</v>
      </c>
      <c r="S334" s="60">
        <v>6</v>
      </c>
      <c r="T334" s="60">
        <f t="shared" si="325"/>
        <v>6</v>
      </c>
      <c r="U334" s="60">
        <f t="shared" si="326"/>
        <v>1</v>
      </c>
      <c r="V334" s="62"/>
      <c r="W334" s="30">
        <v>1</v>
      </c>
      <c r="X334" s="30"/>
      <c r="Y334" s="30"/>
      <c r="Z334" s="30">
        <v>1</v>
      </c>
      <c r="AA334" s="30"/>
      <c r="AB334" s="30"/>
      <c r="AC334" s="30">
        <v>1</v>
      </c>
      <c r="AD334" s="30"/>
      <c r="AE334" s="30">
        <v>1</v>
      </c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1"/>
      <c r="AQ334" s="32"/>
      <c r="AR334" s="33"/>
      <c r="AS334" s="31"/>
      <c r="AT334" s="63"/>
      <c r="AU334" s="34"/>
      <c r="AV334" s="34"/>
      <c r="AW334" s="34"/>
      <c r="AX334" s="34"/>
      <c r="AY334" s="34"/>
      <c r="AZ334" s="34">
        <v>1</v>
      </c>
      <c r="BA334" s="34"/>
      <c r="BB334" s="34"/>
      <c r="BC334" s="34"/>
      <c r="BD334" s="34"/>
      <c r="BE334" s="34"/>
      <c r="BF334" s="64"/>
      <c r="BT334" s="64">
        <v>1</v>
      </c>
      <c r="BU334" s="64"/>
      <c r="BV334" s="64"/>
      <c r="BW334" s="64"/>
      <c r="BX334" s="64"/>
      <c r="BY334" s="64"/>
      <c r="BZ334" s="64"/>
      <c r="CA334" s="64"/>
    </row>
    <row r="335" spans="1:136" ht="15" customHeight="1" x14ac:dyDescent="0.25">
      <c r="A335" s="22"/>
      <c r="B335" s="22">
        <v>306</v>
      </c>
      <c r="C335" s="118" t="s">
        <v>386</v>
      </c>
      <c r="D335" s="174">
        <v>2015</v>
      </c>
      <c r="E335" s="22" t="s">
        <v>694</v>
      </c>
      <c r="F335" s="22" t="s">
        <v>695</v>
      </c>
      <c r="G335" s="22" t="s">
        <v>215</v>
      </c>
      <c r="H335" s="22" t="s">
        <v>84</v>
      </c>
      <c r="I335" s="55">
        <v>12.95</v>
      </c>
      <c r="J335" s="55">
        <f t="shared" si="335"/>
        <v>25</v>
      </c>
      <c r="K335" s="55">
        <f t="shared" si="327"/>
        <v>3.7950000000000004</v>
      </c>
      <c r="L335" s="55">
        <f t="shared" si="328"/>
        <v>41.745000000000005</v>
      </c>
      <c r="M335" s="55">
        <f t="shared" si="331"/>
        <v>42</v>
      </c>
      <c r="N335" s="56">
        <v>38</v>
      </c>
      <c r="O335" s="57">
        <f t="shared" si="330"/>
        <v>26.068349999999995</v>
      </c>
      <c r="P335" s="58">
        <f t="shared" si="329"/>
        <v>-4</v>
      </c>
      <c r="Q335" s="59">
        <f t="shared" si="332"/>
        <v>6.333333333333333</v>
      </c>
      <c r="R335" s="60">
        <v>9</v>
      </c>
      <c r="S335" s="60"/>
      <c r="T335" s="60">
        <f t="shared" si="325"/>
        <v>0</v>
      </c>
      <c r="U335" s="61">
        <f t="shared" ref="U335:U367" si="344">R335+S335-T335</f>
        <v>9</v>
      </c>
      <c r="V335" s="62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1"/>
      <c r="AQ335" s="32"/>
      <c r="AR335" s="33"/>
      <c r="AS335" s="31"/>
      <c r="AT335" s="63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64"/>
      <c r="BT335" s="64"/>
      <c r="BU335" s="64"/>
      <c r="BV335" s="64"/>
      <c r="BW335" s="64"/>
      <c r="BX335" s="64"/>
      <c r="BY335" s="64"/>
      <c r="BZ335" s="64"/>
      <c r="CA335" s="64"/>
    </row>
    <row r="336" spans="1:136" ht="15" customHeight="1" x14ac:dyDescent="0.25">
      <c r="A336" s="22"/>
      <c r="B336" s="22">
        <v>307</v>
      </c>
      <c r="C336" s="118" t="s">
        <v>386</v>
      </c>
      <c r="D336" s="174">
        <v>2019</v>
      </c>
      <c r="E336" s="22" t="s">
        <v>696</v>
      </c>
      <c r="F336" s="22" t="s">
        <v>125</v>
      </c>
      <c r="G336" s="22" t="s">
        <v>215</v>
      </c>
      <c r="H336" s="22" t="s">
        <v>135</v>
      </c>
      <c r="I336" s="55">
        <v>15.5</v>
      </c>
      <c r="J336" s="55">
        <v>25</v>
      </c>
      <c r="K336" s="55">
        <f t="shared" si="327"/>
        <v>4.05</v>
      </c>
      <c r="L336" s="55">
        <f t="shared" si="328"/>
        <v>44.55</v>
      </c>
      <c r="M336" s="55">
        <f t="shared" si="331"/>
        <v>45</v>
      </c>
      <c r="N336" s="56">
        <v>45</v>
      </c>
      <c r="O336" s="57">
        <f t="shared" si="330"/>
        <v>31.201499999999999</v>
      </c>
      <c r="P336" s="85">
        <f t="shared" si="329"/>
        <v>0</v>
      </c>
      <c r="Q336" s="59">
        <f t="shared" si="332"/>
        <v>7.5</v>
      </c>
      <c r="R336" s="60">
        <v>-1</v>
      </c>
      <c r="S336" s="60"/>
      <c r="T336" s="60">
        <f t="shared" si="325"/>
        <v>1</v>
      </c>
      <c r="U336" s="60">
        <f t="shared" si="344"/>
        <v>-2</v>
      </c>
      <c r="V336" s="69"/>
      <c r="W336" s="30"/>
      <c r="X336" s="30"/>
      <c r="Y336" s="30"/>
      <c r="Z336" s="30"/>
      <c r="AA336" s="30">
        <v>1</v>
      </c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1"/>
      <c r="AQ336" s="32"/>
      <c r="AR336" s="33"/>
      <c r="AS336" s="31"/>
      <c r="AT336" s="63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64"/>
      <c r="BT336" s="64"/>
      <c r="BU336" s="64"/>
      <c r="BV336" s="64"/>
      <c r="BW336" s="64"/>
      <c r="BX336" s="64"/>
      <c r="BY336" s="64"/>
      <c r="BZ336" s="64"/>
      <c r="CA336" s="64"/>
    </row>
    <row r="337" spans="1:136" ht="15" customHeight="1" x14ac:dyDescent="0.25">
      <c r="A337" s="22"/>
      <c r="B337" s="22">
        <v>308</v>
      </c>
      <c r="C337" s="118" t="s">
        <v>386</v>
      </c>
      <c r="D337" s="174">
        <v>2021</v>
      </c>
      <c r="E337" s="22" t="s">
        <v>697</v>
      </c>
      <c r="F337" s="22" t="s">
        <v>635</v>
      </c>
      <c r="G337" s="22" t="s">
        <v>81</v>
      </c>
      <c r="H337" s="22" t="s">
        <v>698</v>
      </c>
      <c r="I337" s="55">
        <v>37.4</v>
      </c>
      <c r="J337" s="55">
        <v>50</v>
      </c>
      <c r="K337" s="55">
        <f t="shared" si="327"/>
        <v>8.74</v>
      </c>
      <c r="L337" s="55">
        <f t="shared" si="328"/>
        <v>96.14</v>
      </c>
      <c r="M337" s="55">
        <f t="shared" si="331"/>
        <v>96</v>
      </c>
      <c r="N337" s="56">
        <v>96</v>
      </c>
      <c r="O337" s="57">
        <f t="shared" si="330"/>
        <v>75.286199999999994</v>
      </c>
      <c r="P337" s="58">
        <f t="shared" si="329"/>
        <v>0</v>
      </c>
      <c r="Q337" s="59">
        <f t="shared" si="332"/>
        <v>16</v>
      </c>
      <c r="R337" s="60">
        <v>6</v>
      </c>
      <c r="S337" s="60">
        <f>7+6</f>
        <v>13</v>
      </c>
      <c r="T337" s="60">
        <f t="shared" si="325"/>
        <v>6</v>
      </c>
      <c r="U337" s="61">
        <f t="shared" si="344"/>
        <v>13</v>
      </c>
      <c r="V337" s="62"/>
      <c r="W337" s="30"/>
      <c r="X337" s="30"/>
      <c r="Y337" s="30"/>
      <c r="Z337" s="30"/>
      <c r="AA337" s="30"/>
      <c r="AB337" s="30"/>
      <c r="AC337" s="30"/>
      <c r="AD337" s="30">
        <v>2</v>
      </c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1"/>
      <c r="AQ337" s="32"/>
      <c r="AR337" s="33"/>
      <c r="AS337" s="31">
        <v>1</v>
      </c>
      <c r="AT337" s="63">
        <v>1</v>
      </c>
      <c r="AU337" s="34"/>
      <c r="AV337" s="34"/>
      <c r="AW337" s="34"/>
      <c r="AX337" s="34"/>
      <c r="AY337" s="34"/>
      <c r="AZ337" s="34"/>
      <c r="BA337" s="34"/>
      <c r="BB337" s="34">
        <v>1</v>
      </c>
      <c r="BC337" s="34"/>
      <c r="BD337" s="34"/>
      <c r="BE337" s="34">
        <v>1</v>
      </c>
      <c r="BF337" s="64"/>
      <c r="BT337" s="64"/>
      <c r="BU337" s="64">
        <v>1</v>
      </c>
      <c r="BV337" s="64"/>
      <c r="BW337" s="64"/>
      <c r="BX337" s="64"/>
      <c r="BY337" s="64"/>
      <c r="BZ337" s="64"/>
      <c r="CA337" s="64"/>
    </row>
    <row r="338" spans="1:136" ht="15" customHeight="1" x14ac:dyDescent="0.25">
      <c r="A338" s="22"/>
      <c r="B338" s="29">
        <v>309</v>
      </c>
      <c r="C338" s="118" t="s">
        <v>386</v>
      </c>
      <c r="D338" s="174">
        <v>2021</v>
      </c>
      <c r="E338" s="22" t="s">
        <v>699</v>
      </c>
      <c r="F338" s="22" t="s">
        <v>635</v>
      </c>
      <c r="G338" s="22" t="s">
        <v>81</v>
      </c>
      <c r="H338" s="22" t="s">
        <v>78</v>
      </c>
      <c r="I338" s="55">
        <v>69</v>
      </c>
      <c r="J338" s="55">
        <v>70</v>
      </c>
      <c r="K338" s="55">
        <f>(I338+J338)*0.1</f>
        <v>13.9</v>
      </c>
      <c r="L338" s="55">
        <f>SUM(I338:K338)</f>
        <v>152.9</v>
      </c>
      <c r="M338" s="55">
        <f>ROUND(L338,0)</f>
        <v>153</v>
      </c>
      <c r="N338" s="56">
        <v>155</v>
      </c>
      <c r="O338" s="57">
        <f t="shared" si="330"/>
        <v>138.89699999999999</v>
      </c>
      <c r="P338" s="58">
        <f>N338-M338</f>
        <v>2</v>
      </c>
      <c r="Q338" s="59">
        <f t="shared" si="332"/>
        <v>25.833333333333332</v>
      </c>
      <c r="R338" s="60">
        <v>-1</v>
      </c>
      <c r="S338" s="60">
        <v>3</v>
      </c>
      <c r="T338" s="60">
        <f t="shared" si="325"/>
        <v>1</v>
      </c>
      <c r="U338" s="61">
        <f>R338+S338-T338</f>
        <v>1</v>
      </c>
      <c r="V338" s="62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1"/>
      <c r="AQ338" s="32"/>
      <c r="AR338" s="33"/>
      <c r="AS338" s="31"/>
      <c r="AT338" s="63"/>
      <c r="AU338" s="34"/>
      <c r="AV338" s="34"/>
      <c r="AW338" s="34"/>
      <c r="AX338" s="34"/>
      <c r="AY338" s="34"/>
      <c r="AZ338" s="34"/>
      <c r="BA338" s="34"/>
      <c r="BB338" s="34">
        <v>1</v>
      </c>
      <c r="BC338" s="34"/>
      <c r="BD338" s="34"/>
      <c r="BE338" s="34"/>
      <c r="BF338" s="64"/>
      <c r="BT338" s="64"/>
      <c r="BU338" s="64"/>
      <c r="BV338" s="64"/>
      <c r="BW338" s="64"/>
      <c r="BX338" s="64"/>
      <c r="BY338" s="64"/>
      <c r="BZ338" s="64"/>
      <c r="CA338" s="64"/>
    </row>
    <row r="339" spans="1:136" s="54" customFormat="1" ht="15" customHeight="1" x14ac:dyDescent="0.25">
      <c r="A339" s="3"/>
      <c r="B339" s="22">
        <v>310</v>
      </c>
      <c r="C339" s="118" t="s">
        <v>700</v>
      </c>
      <c r="D339" s="174">
        <v>2016</v>
      </c>
      <c r="E339" s="22" t="s">
        <v>701</v>
      </c>
      <c r="F339" s="22" t="s">
        <v>702</v>
      </c>
      <c r="G339" s="22" t="s">
        <v>409</v>
      </c>
      <c r="H339" s="22" t="s">
        <v>78</v>
      </c>
      <c r="I339" s="55">
        <v>32.9</v>
      </c>
      <c r="J339" s="55">
        <f>IF(I339&lt;=15,$L$2,$L$3)</f>
        <v>30</v>
      </c>
      <c r="K339" s="55">
        <f t="shared" si="327"/>
        <v>6.29</v>
      </c>
      <c r="L339" s="55">
        <f t="shared" si="328"/>
        <v>69.19</v>
      </c>
      <c r="M339" s="55">
        <f t="shared" si="331"/>
        <v>69</v>
      </c>
      <c r="N339" s="56">
        <v>70</v>
      </c>
      <c r="O339" s="57">
        <f t="shared" si="330"/>
        <v>66.227699999999999</v>
      </c>
      <c r="P339" s="58">
        <f t="shared" si="329"/>
        <v>1</v>
      </c>
      <c r="Q339" s="59">
        <f t="shared" si="332"/>
        <v>11.666666666666666</v>
      </c>
      <c r="R339" s="60">
        <v>5</v>
      </c>
      <c r="S339" s="60">
        <f>20+5+5+2+5</f>
        <v>37</v>
      </c>
      <c r="T339" s="60">
        <f t="shared" si="325"/>
        <v>30</v>
      </c>
      <c r="U339" s="61">
        <f t="shared" si="344"/>
        <v>12</v>
      </c>
      <c r="V339" s="69"/>
      <c r="W339" s="30">
        <v>2</v>
      </c>
      <c r="X339" s="30"/>
      <c r="Y339" s="30">
        <v>1</v>
      </c>
      <c r="Z339" s="30"/>
      <c r="AA339" s="30">
        <v>1</v>
      </c>
      <c r="AB339" s="30">
        <v>1</v>
      </c>
      <c r="AC339" s="30"/>
      <c r="AD339" s="30">
        <v>1</v>
      </c>
      <c r="AE339" s="30">
        <v>1</v>
      </c>
      <c r="AF339" s="30">
        <v>1</v>
      </c>
      <c r="AG339" s="30">
        <v>1</v>
      </c>
      <c r="AH339" s="30"/>
      <c r="AI339" s="30"/>
      <c r="AJ339" s="30"/>
      <c r="AK339" s="30"/>
      <c r="AL339" s="30"/>
      <c r="AM339" s="30"/>
      <c r="AN339" s="30"/>
      <c r="AO339" s="30"/>
      <c r="AP339" s="31">
        <v>1</v>
      </c>
      <c r="AQ339" s="32">
        <v>1</v>
      </c>
      <c r="AR339" s="33"/>
      <c r="AS339" s="31">
        <v>2</v>
      </c>
      <c r="AT339" s="63">
        <v>1</v>
      </c>
      <c r="AU339" s="34"/>
      <c r="AV339" s="34"/>
      <c r="AW339" s="34">
        <v>1</v>
      </c>
      <c r="AX339" s="34"/>
      <c r="AY339" s="34">
        <v>1</v>
      </c>
      <c r="AZ339" s="34"/>
      <c r="BA339" s="34"/>
      <c r="BB339" s="34">
        <v>3</v>
      </c>
      <c r="BC339" s="34">
        <v>2</v>
      </c>
      <c r="BD339" s="34"/>
      <c r="BE339" s="34"/>
      <c r="BF339" s="64"/>
      <c r="BG339" s="64">
        <v>2</v>
      </c>
      <c r="BH339" s="64"/>
      <c r="BI339" s="64"/>
      <c r="BJ339" s="64"/>
      <c r="BK339" s="64">
        <v>2</v>
      </c>
      <c r="BL339" s="64">
        <v>3</v>
      </c>
      <c r="BM339" s="64">
        <v>1</v>
      </c>
      <c r="BN339" s="64"/>
      <c r="BO339" s="64"/>
      <c r="BP339" s="64"/>
      <c r="BQ339" s="64"/>
      <c r="BR339" s="64"/>
      <c r="BS339" s="64"/>
      <c r="BT339" s="64">
        <v>1</v>
      </c>
      <c r="BU339" s="64">
        <v>1</v>
      </c>
      <c r="BV339" s="64"/>
      <c r="BW339" s="64"/>
      <c r="BX339" s="64"/>
      <c r="BY339" s="64"/>
      <c r="BZ339" s="64"/>
      <c r="CA339" s="64"/>
    </row>
    <row r="340" spans="1:136" s="54" customFormat="1" ht="15" customHeight="1" x14ac:dyDescent="0.25">
      <c r="A340" s="22"/>
      <c r="B340" s="22">
        <v>311</v>
      </c>
      <c r="C340" s="118" t="s">
        <v>700</v>
      </c>
      <c r="D340" s="174">
        <v>2016</v>
      </c>
      <c r="E340" s="22" t="s">
        <v>703</v>
      </c>
      <c r="F340" s="22" t="s">
        <v>702</v>
      </c>
      <c r="G340" s="22" t="s">
        <v>409</v>
      </c>
      <c r="H340" s="22" t="s">
        <v>137</v>
      </c>
      <c r="I340" s="55">
        <v>29.9</v>
      </c>
      <c r="J340" s="55">
        <f>IF(I340&lt;=15,$L$2,$L$3)</f>
        <v>30</v>
      </c>
      <c r="K340" s="55">
        <f>(I340+J340)*0.1</f>
        <v>5.99</v>
      </c>
      <c r="L340" s="55">
        <f>SUM(I340:K340)</f>
        <v>65.89</v>
      </c>
      <c r="M340" s="55">
        <f>ROUND(L340,0)</f>
        <v>66</v>
      </c>
      <c r="N340" s="56">
        <v>66</v>
      </c>
      <c r="O340" s="57">
        <f t="shared" ref="O340:O371" si="345">I340*$O$2*1.22</f>
        <v>60.18869999999999</v>
      </c>
      <c r="P340" s="58">
        <f>N340-M340</f>
        <v>0</v>
      </c>
      <c r="Q340" s="59">
        <f t="shared" si="332"/>
        <v>11</v>
      </c>
      <c r="R340" s="60">
        <v>3</v>
      </c>
      <c r="S340" s="60">
        <f>10+5+5+5+10+5+5+5</f>
        <v>50</v>
      </c>
      <c r="T340" s="60">
        <f>W340+X340+Y340+Z340+AA340+AB340+AC340+AD340+AE340+AF340+AG340+AH340+AI340+AJ340+AK340+AL340+AM340+AN340+AO340+AP340+AQ340+AR340+AS340+AT340+AU340+AV340+AW340+AX340+AY340+AZ340+BA340+BB340+BC340+BD340+BE340+BF340+BG340+BH340+BI340+BJ340+BK340+BL340+BM340+BQ340+BR340+BS340+BT340</f>
        <v>30</v>
      </c>
      <c r="U340" s="61">
        <f>R340+S340-T340</f>
        <v>23</v>
      </c>
      <c r="V340" s="69"/>
      <c r="W340" s="30"/>
      <c r="X340" s="30"/>
      <c r="Y340" s="30"/>
      <c r="Z340" s="30"/>
      <c r="AA340" s="30"/>
      <c r="AB340" s="30"/>
      <c r="AC340" s="30"/>
      <c r="AD340" s="30">
        <v>1</v>
      </c>
      <c r="AE340" s="30">
        <v>1</v>
      </c>
      <c r="AF340" s="30">
        <v>1</v>
      </c>
      <c r="AG340" s="30">
        <v>3</v>
      </c>
      <c r="AH340" s="30">
        <v>1</v>
      </c>
      <c r="AI340" s="30"/>
      <c r="AJ340" s="30"/>
      <c r="AK340" s="30"/>
      <c r="AL340" s="30"/>
      <c r="AM340" s="30"/>
      <c r="AN340" s="30"/>
      <c r="AO340" s="30"/>
      <c r="AP340" s="31">
        <v>1</v>
      </c>
      <c r="AQ340" s="32"/>
      <c r="AR340" s="33"/>
      <c r="AS340" s="31"/>
      <c r="AT340" s="63">
        <v>2</v>
      </c>
      <c r="AU340" s="34"/>
      <c r="AV340" s="34"/>
      <c r="AW340" s="34"/>
      <c r="AX340" s="34"/>
      <c r="AY340" s="34"/>
      <c r="AZ340" s="34"/>
      <c r="BA340" s="34"/>
      <c r="BB340" s="34">
        <v>1</v>
      </c>
      <c r="BC340" s="34">
        <v>2</v>
      </c>
      <c r="BD340" s="34"/>
      <c r="BE340" s="34"/>
      <c r="BF340" s="64"/>
      <c r="BG340" s="64">
        <v>2</v>
      </c>
      <c r="BH340" s="64">
        <v>1</v>
      </c>
      <c r="BI340" s="64">
        <v>2</v>
      </c>
      <c r="BJ340" s="64"/>
      <c r="BK340" s="64">
        <v>1</v>
      </c>
      <c r="BL340" s="64">
        <v>3</v>
      </c>
      <c r="BM340" s="64">
        <v>1</v>
      </c>
      <c r="BN340" s="64"/>
      <c r="BO340" s="64">
        <v>2</v>
      </c>
      <c r="BP340" s="64">
        <v>1</v>
      </c>
      <c r="BQ340" s="64">
        <v>3</v>
      </c>
      <c r="BR340" s="64">
        <v>1</v>
      </c>
      <c r="BS340" s="64"/>
      <c r="BT340" s="64">
        <v>3</v>
      </c>
      <c r="BU340" s="64">
        <v>1</v>
      </c>
      <c r="BV340" s="64"/>
      <c r="BW340" s="64"/>
      <c r="BX340" s="64"/>
      <c r="BY340" s="64"/>
      <c r="BZ340" s="64"/>
      <c r="CA340" s="64"/>
    </row>
    <row r="341" spans="1:136" s="119" customFormat="1" ht="15" customHeight="1" x14ac:dyDescent="0.25">
      <c r="A341" s="22"/>
      <c r="B341" s="22">
        <v>312</v>
      </c>
      <c r="C341" s="118" t="s">
        <v>700</v>
      </c>
      <c r="D341" s="174">
        <v>2016</v>
      </c>
      <c r="E341" s="22" t="s">
        <v>704</v>
      </c>
      <c r="F341" s="22" t="s">
        <v>76</v>
      </c>
      <c r="G341" s="22" t="s">
        <v>77</v>
      </c>
      <c r="H341" s="22" t="s">
        <v>349</v>
      </c>
      <c r="I341" s="55">
        <v>55.6</v>
      </c>
      <c r="J341" s="55">
        <v>50</v>
      </c>
      <c r="K341" s="55">
        <f t="shared" si="327"/>
        <v>10.56</v>
      </c>
      <c r="L341" s="55">
        <f t="shared" si="328"/>
        <v>116.16</v>
      </c>
      <c r="M341" s="55">
        <f t="shared" si="331"/>
        <v>116</v>
      </c>
      <c r="N341" s="56">
        <v>118</v>
      </c>
      <c r="O341" s="57">
        <f t="shared" si="345"/>
        <v>111.9228</v>
      </c>
      <c r="P341" s="58">
        <f t="shared" si="329"/>
        <v>2</v>
      </c>
      <c r="Q341" s="59">
        <f t="shared" si="332"/>
        <v>19.666666666666668</v>
      </c>
      <c r="R341" s="60">
        <v>7</v>
      </c>
      <c r="S341" s="60"/>
      <c r="T341" s="60">
        <f t="shared" si="325"/>
        <v>1</v>
      </c>
      <c r="U341" s="61">
        <f t="shared" si="344"/>
        <v>6</v>
      </c>
      <c r="V341" s="62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1"/>
      <c r="AQ341" s="32">
        <v>1</v>
      </c>
      <c r="AR341" s="33"/>
      <c r="AS341" s="31"/>
      <c r="AT341" s="63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  <c r="DO341" s="54"/>
      <c r="DP341" s="54"/>
      <c r="DQ341" s="54"/>
      <c r="DR341" s="54"/>
      <c r="DS341" s="54"/>
      <c r="DT341" s="54"/>
      <c r="DU341" s="54"/>
      <c r="DV341" s="54"/>
      <c r="DW341" s="54"/>
      <c r="DX341" s="54"/>
      <c r="DY341" s="54"/>
      <c r="DZ341" s="54"/>
      <c r="EA341" s="54"/>
      <c r="EB341" s="54"/>
      <c r="EC341" s="54"/>
      <c r="ED341" s="54"/>
      <c r="EE341" s="54"/>
      <c r="EF341" s="54"/>
    </row>
    <row r="342" spans="1:136" s="54" customFormat="1" ht="15" customHeight="1" x14ac:dyDescent="0.25">
      <c r="A342" s="120"/>
      <c r="B342" s="29">
        <v>313</v>
      </c>
      <c r="C342" s="118" t="s">
        <v>700</v>
      </c>
      <c r="D342" s="174">
        <v>2020</v>
      </c>
      <c r="E342" s="22" t="s">
        <v>697</v>
      </c>
      <c r="F342" s="22" t="s">
        <v>635</v>
      </c>
      <c r="G342" s="22" t="s">
        <v>81</v>
      </c>
      <c r="H342" s="22" t="s">
        <v>84</v>
      </c>
      <c r="I342" s="55">
        <v>31.9</v>
      </c>
      <c r="J342" s="55">
        <f>IF(I342&lt;=15,$L$2,$L$3)</f>
        <v>30</v>
      </c>
      <c r="K342" s="55">
        <f>(I342+J342)*0.1</f>
        <v>6.19</v>
      </c>
      <c r="L342" s="55">
        <f>SUM(I342:K342)</f>
        <v>68.09</v>
      </c>
      <c r="M342" s="55">
        <f>ROUND(L342,0)</f>
        <v>68</v>
      </c>
      <c r="N342" s="56">
        <v>68</v>
      </c>
      <c r="O342" s="57">
        <f t="shared" si="345"/>
        <v>64.214699999999993</v>
      </c>
      <c r="P342" s="58">
        <f>N342-M342</f>
        <v>0</v>
      </c>
      <c r="Q342" s="59">
        <f t="shared" si="332"/>
        <v>11.333333333333334</v>
      </c>
      <c r="R342" s="60">
        <v>6</v>
      </c>
      <c r="S342" s="60"/>
      <c r="T342" s="60">
        <f>W342+X342+Y342+Z342+AA342+AB342+AC342+AD342+AE342+AF342+AG342+AH342+AI342+AJ342+AK342+AL342+AM342+AN342+AO342+AP342+AQ342+AR342+AS342+AT342+AU342+AV342+AW342+AX342+AY342+AZ342+BA342+BB342+BC342+BD342+BE342+BF342+BG342+BH342+BI342+BJ342+BK342+BL342+BM342+BQ342+BR342+BS342+BT342</f>
        <v>0</v>
      </c>
      <c r="U342" s="61">
        <f>R342+S342-T342</f>
        <v>6</v>
      </c>
      <c r="V342" s="62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1"/>
      <c r="AQ342" s="32"/>
      <c r="AR342" s="33"/>
      <c r="AS342" s="31"/>
      <c r="AT342" s="63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</row>
    <row r="343" spans="1:136" s="54" customFormat="1" ht="15" customHeight="1" x14ac:dyDescent="0.25">
      <c r="A343" s="71"/>
      <c r="B343" s="22">
        <v>314</v>
      </c>
      <c r="C343" s="121" t="s">
        <v>427</v>
      </c>
      <c r="D343" s="174">
        <v>2020</v>
      </c>
      <c r="E343" s="22" t="s">
        <v>705</v>
      </c>
      <c r="F343" s="22" t="s">
        <v>706</v>
      </c>
      <c r="G343" s="22" t="s">
        <v>105</v>
      </c>
      <c r="H343" s="22" t="s">
        <v>78</v>
      </c>
      <c r="I343" s="55">
        <v>15</v>
      </c>
      <c r="J343" s="55">
        <f>IF(I343&lt;=15,$L$2,$L$3)</f>
        <v>25</v>
      </c>
      <c r="K343" s="55">
        <f t="shared" si="327"/>
        <v>4</v>
      </c>
      <c r="L343" s="55">
        <f t="shared" si="328"/>
        <v>44</v>
      </c>
      <c r="M343" s="55">
        <f t="shared" si="331"/>
        <v>44</v>
      </c>
      <c r="N343" s="56">
        <v>44</v>
      </c>
      <c r="O343" s="57">
        <f t="shared" si="345"/>
        <v>30.195</v>
      </c>
      <c r="P343" s="58">
        <f t="shared" si="329"/>
        <v>0</v>
      </c>
      <c r="Q343" s="59">
        <f t="shared" si="332"/>
        <v>7.333333333333333</v>
      </c>
      <c r="R343" s="60">
        <v>0</v>
      </c>
      <c r="S343" s="60">
        <f>5+6</f>
        <v>11</v>
      </c>
      <c r="T343" s="60">
        <f t="shared" si="325"/>
        <v>8</v>
      </c>
      <c r="U343" s="61">
        <f t="shared" si="344"/>
        <v>3</v>
      </c>
      <c r="V343" s="62"/>
      <c r="W343" s="30"/>
      <c r="X343" s="30">
        <v>1</v>
      </c>
      <c r="Y343" s="30">
        <v>1</v>
      </c>
      <c r="Z343" s="30"/>
      <c r="AA343" s="30"/>
      <c r="AB343" s="30"/>
      <c r="AC343" s="30"/>
      <c r="AD343" s="30">
        <v>1</v>
      </c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1"/>
      <c r="AQ343" s="32">
        <v>1</v>
      </c>
      <c r="AR343" s="33"/>
      <c r="AS343" s="31"/>
      <c r="AT343" s="63"/>
      <c r="AU343" s="34"/>
      <c r="AV343" s="34"/>
      <c r="AW343" s="34"/>
      <c r="AX343" s="34">
        <v>1</v>
      </c>
      <c r="AY343" s="34"/>
      <c r="AZ343" s="34"/>
      <c r="BA343" s="34"/>
      <c r="BB343" s="34">
        <v>2</v>
      </c>
      <c r="BC343" s="34"/>
      <c r="BD343" s="34"/>
      <c r="BE343" s="34"/>
      <c r="BF343" s="64"/>
      <c r="BG343" s="64">
        <v>1</v>
      </c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</row>
    <row r="344" spans="1:136" s="54" customFormat="1" ht="15" customHeight="1" x14ac:dyDescent="0.25">
      <c r="A344" s="22"/>
      <c r="B344" s="22">
        <v>315</v>
      </c>
      <c r="C344" s="121" t="s">
        <v>427</v>
      </c>
      <c r="D344" s="174">
        <v>2016</v>
      </c>
      <c r="E344" s="22" t="s">
        <v>707</v>
      </c>
      <c r="F344" s="22" t="s">
        <v>708</v>
      </c>
      <c r="G344" s="22" t="s">
        <v>92</v>
      </c>
      <c r="H344" s="22" t="s">
        <v>132</v>
      </c>
      <c r="I344" s="55">
        <v>14.6</v>
      </c>
      <c r="J344" s="55">
        <f>IF(I344&lt;=15,$L$2,$L$3)</f>
        <v>25</v>
      </c>
      <c r="K344" s="55">
        <f t="shared" si="327"/>
        <v>3.9600000000000004</v>
      </c>
      <c r="L344" s="55">
        <f t="shared" si="328"/>
        <v>43.56</v>
      </c>
      <c r="M344" s="55">
        <f t="shared" si="331"/>
        <v>44</v>
      </c>
      <c r="N344" s="56">
        <v>44</v>
      </c>
      <c r="O344" s="57">
        <f t="shared" si="345"/>
        <v>29.389799999999997</v>
      </c>
      <c r="P344" s="58">
        <f t="shared" si="329"/>
        <v>0</v>
      </c>
      <c r="Q344" s="59">
        <f t="shared" si="332"/>
        <v>7.333333333333333</v>
      </c>
      <c r="R344" s="60">
        <v>17</v>
      </c>
      <c r="S344" s="60">
        <f>3+12</f>
        <v>15</v>
      </c>
      <c r="T344" s="60">
        <f t="shared" ref="T344:T409" si="346">W344+X344+Y344+Z344+AA344+AB344+AC344+AD344+AE344+AF344+AG344+AH344+AI344+AJ344+AK344+AL344+AM344+AN344+AO344+AP344+AQ344+AR344+AS344+AT344+AU344+AV344+AW344+AX344+AY344+AZ344+BA344+BB344+BC344+BD344+BE344+BF344+BG344+BH344+BI344+BJ344+BK344+BL344+BM344+BQ344+BR344+BS344+BT344</f>
        <v>21</v>
      </c>
      <c r="U344" s="61">
        <f t="shared" si="344"/>
        <v>11</v>
      </c>
      <c r="V344" s="62"/>
      <c r="W344" s="30">
        <v>1</v>
      </c>
      <c r="X344" s="30">
        <v>1</v>
      </c>
      <c r="Y344" s="30"/>
      <c r="Z344" s="30"/>
      <c r="AA344" s="30">
        <v>1</v>
      </c>
      <c r="AB344" s="30">
        <v>1</v>
      </c>
      <c r="AC344" s="30">
        <v>2</v>
      </c>
      <c r="AD344" s="30">
        <v>1</v>
      </c>
      <c r="AE344" s="30"/>
      <c r="AF344" s="30">
        <v>2</v>
      </c>
      <c r="AG344" s="30"/>
      <c r="AH344" s="30"/>
      <c r="AI344" s="30"/>
      <c r="AJ344" s="30"/>
      <c r="AK344" s="30"/>
      <c r="AL344" s="30"/>
      <c r="AM344" s="30"/>
      <c r="AN344" s="30"/>
      <c r="AO344" s="30"/>
      <c r="AP344" s="31"/>
      <c r="AQ344" s="32"/>
      <c r="AR344" s="33"/>
      <c r="AS344" s="31">
        <v>2</v>
      </c>
      <c r="AT344" s="63">
        <v>1</v>
      </c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64"/>
      <c r="BG344" s="64"/>
      <c r="BH344" s="64"/>
      <c r="BI344" s="64"/>
      <c r="BJ344" s="64"/>
      <c r="BK344" s="64"/>
      <c r="BL344" s="64">
        <v>3</v>
      </c>
      <c r="BM344" s="64"/>
      <c r="BN344" s="64"/>
      <c r="BO344" s="64">
        <v>1</v>
      </c>
      <c r="BP344" s="64">
        <v>1</v>
      </c>
      <c r="BQ344" s="64"/>
      <c r="BR344" s="64"/>
      <c r="BS344" s="64"/>
      <c r="BT344" s="64">
        <v>6</v>
      </c>
      <c r="BU344" s="64">
        <v>2</v>
      </c>
      <c r="BV344" s="64"/>
      <c r="BW344" s="64"/>
      <c r="BX344" s="64"/>
      <c r="BY344" s="64"/>
      <c r="BZ344" s="64"/>
      <c r="CA344" s="64"/>
    </row>
    <row r="345" spans="1:136" s="54" customFormat="1" ht="15" customHeight="1" x14ac:dyDescent="0.25">
      <c r="A345" s="22"/>
      <c r="B345" s="22">
        <v>316</v>
      </c>
      <c r="C345" s="121" t="s">
        <v>427</v>
      </c>
      <c r="D345" s="174">
        <v>2011</v>
      </c>
      <c r="E345" s="22" t="s">
        <v>709</v>
      </c>
      <c r="F345" s="22" t="s">
        <v>708</v>
      </c>
      <c r="G345" s="22" t="s">
        <v>92</v>
      </c>
      <c r="H345" s="22" t="s">
        <v>132</v>
      </c>
      <c r="I345" s="55">
        <v>25.6</v>
      </c>
      <c r="J345" s="55">
        <f>IF(I345&lt;=15,$L$2,$L$3)</f>
        <v>30</v>
      </c>
      <c r="K345" s="55">
        <f t="shared" ref="K345" si="347">(I345+J345)*0.1</f>
        <v>5.5600000000000005</v>
      </c>
      <c r="L345" s="55">
        <f t="shared" ref="L345" si="348">SUM(I345:K345)</f>
        <v>61.160000000000004</v>
      </c>
      <c r="M345" s="55">
        <f t="shared" ref="M345" si="349">ROUND(L345,0)</f>
        <v>61</v>
      </c>
      <c r="N345" s="56">
        <v>65</v>
      </c>
      <c r="O345" s="57">
        <f t="shared" ref="O345" si="350">I345*$O$2*1.22</f>
        <v>51.532800000000002</v>
      </c>
      <c r="P345" s="58">
        <f t="shared" ref="P345" si="351">N345-M345</f>
        <v>4</v>
      </c>
      <c r="Q345" s="59">
        <f t="shared" ref="Q345" si="352">N345/$Q$3</f>
        <v>10.833333333333334</v>
      </c>
      <c r="R345" s="60">
        <v>17</v>
      </c>
      <c r="S345" s="60">
        <f>3+5</f>
        <v>8</v>
      </c>
      <c r="T345" s="60">
        <f t="shared" ref="T345" si="353">W345+X345+Y345+Z345+AA345+AB345+AC345+AD345+AE345+AF345+AG345+AH345+AI345+AJ345+AK345+AL345+AM345+AN345+AO345+AP345+AQ345+AR345+AS345+AT345+AU345+AV345+AW345+AX345+AY345+AZ345+BA345+BB345+BC345+BD345+BE345+BF345+BG345+BH345+BI345+BJ345+BK345+BL345+BM345+BQ345+BR345+BS345+BT345</f>
        <v>6</v>
      </c>
      <c r="U345" s="61">
        <f t="shared" ref="U345" si="354">R345+S345-T345</f>
        <v>19</v>
      </c>
      <c r="V345" s="62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1"/>
      <c r="AQ345" s="32"/>
      <c r="AR345" s="33"/>
      <c r="AS345" s="31"/>
      <c r="AT345" s="63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64"/>
      <c r="BG345" s="64"/>
      <c r="BH345" s="64"/>
      <c r="BI345" s="64">
        <v>6</v>
      </c>
      <c r="BJ345" s="64"/>
      <c r="BK345" s="64"/>
      <c r="BL345" s="64"/>
      <c r="BM345" s="64"/>
      <c r="BN345" s="64">
        <v>1</v>
      </c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</row>
    <row r="346" spans="1:136" s="54" customFormat="1" ht="15" customHeight="1" x14ac:dyDescent="0.25">
      <c r="A346" s="22"/>
      <c r="B346" s="22">
        <v>316</v>
      </c>
      <c r="C346" s="121" t="s">
        <v>427</v>
      </c>
      <c r="D346" s="174">
        <v>2000</v>
      </c>
      <c r="E346" s="22" t="s">
        <v>710</v>
      </c>
      <c r="F346" s="22" t="s">
        <v>710</v>
      </c>
      <c r="G346" s="22" t="s">
        <v>92</v>
      </c>
      <c r="H346" s="22" t="s">
        <v>137</v>
      </c>
      <c r="I346" s="55">
        <v>74.5</v>
      </c>
      <c r="J346" s="55">
        <v>60</v>
      </c>
      <c r="K346" s="55">
        <f t="shared" si="327"/>
        <v>13.450000000000001</v>
      </c>
      <c r="L346" s="55">
        <f t="shared" si="328"/>
        <v>147.94999999999999</v>
      </c>
      <c r="M346" s="55">
        <f t="shared" si="331"/>
        <v>148</v>
      </c>
      <c r="N346" s="56">
        <v>148</v>
      </c>
      <c r="O346" s="57">
        <f t="shared" si="345"/>
        <v>149.96850000000001</v>
      </c>
      <c r="P346" s="58">
        <f t="shared" si="329"/>
        <v>0</v>
      </c>
      <c r="Q346" s="59">
        <f t="shared" si="332"/>
        <v>24.666666666666668</v>
      </c>
      <c r="R346" s="60">
        <v>5</v>
      </c>
      <c r="S346" s="60"/>
      <c r="T346" s="60">
        <f t="shared" si="346"/>
        <v>2</v>
      </c>
      <c r="U346" s="61">
        <f t="shared" si="344"/>
        <v>3</v>
      </c>
      <c r="V346" s="62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1"/>
      <c r="AQ346" s="32"/>
      <c r="AR346" s="33"/>
      <c r="AS346" s="31"/>
      <c r="AT346" s="63"/>
      <c r="AU346" s="34"/>
      <c r="AV346" s="34"/>
      <c r="AW346" s="34"/>
      <c r="AX346" s="34"/>
      <c r="AY346" s="34"/>
      <c r="AZ346" s="34"/>
      <c r="BA346" s="34"/>
      <c r="BB346" s="34">
        <v>1</v>
      </c>
      <c r="BC346" s="34"/>
      <c r="BD346" s="34"/>
      <c r="BE346" s="3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>
        <v>1</v>
      </c>
      <c r="BP346" s="64"/>
      <c r="BQ346" s="64"/>
      <c r="BR346" s="64">
        <v>1</v>
      </c>
      <c r="BS346" s="64"/>
      <c r="BT346" s="64"/>
      <c r="BU346" s="64"/>
      <c r="BV346" s="64"/>
      <c r="BW346" s="64"/>
      <c r="BX346" s="64"/>
      <c r="BY346" s="64"/>
      <c r="BZ346" s="64"/>
      <c r="CA346" s="64"/>
    </row>
    <row r="347" spans="1:136" s="54" customFormat="1" ht="15" customHeight="1" x14ac:dyDescent="0.25">
      <c r="A347" s="22"/>
      <c r="B347" s="29">
        <v>317</v>
      </c>
      <c r="C347" s="121" t="s">
        <v>427</v>
      </c>
      <c r="D347" s="174">
        <v>2018</v>
      </c>
      <c r="E347" s="22" t="s">
        <v>711</v>
      </c>
      <c r="F347" s="22" t="s">
        <v>712</v>
      </c>
      <c r="G347" s="22" t="s">
        <v>92</v>
      </c>
      <c r="H347" s="22" t="s">
        <v>84</v>
      </c>
      <c r="I347" s="55">
        <v>25</v>
      </c>
      <c r="J347" s="55">
        <v>30</v>
      </c>
      <c r="K347" s="55">
        <f>(I347+J347)*0.1</f>
        <v>5.5</v>
      </c>
      <c r="L347" s="55">
        <f>SUM(I347:K347)</f>
        <v>60.5</v>
      </c>
      <c r="M347" s="55">
        <f>ROUND(L347,0)</f>
        <v>61</v>
      </c>
      <c r="N347" s="56">
        <v>62</v>
      </c>
      <c r="O347" s="57">
        <f t="shared" si="345"/>
        <v>50.324999999999996</v>
      </c>
      <c r="P347" s="58">
        <f>N347-M347</f>
        <v>1</v>
      </c>
      <c r="Q347" s="59">
        <f t="shared" si="332"/>
        <v>10.333333333333334</v>
      </c>
      <c r="R347" s="60">
        <v>16</v>
      </c>
      <c r="S347" s="60">
        <f>6+6</f>
        <v>12</v>
      </c>
      <c r="T347" s="60">
        <f t="shared" si="346"/>
        <v>15</v>
      </c>
      <c r="U347" s="61">
        <f>R347+S347-T347</f>
        <v>13</v>
      </c>
      <c r="V347" s="62"/>
      <c r="W347" s="30">
        <v>2</v>
      </c>
      <c r="X347" s="30"/>
      <c r="Y347" s="30"/>
      <c r="Z347" s="30"/>
      <c r="AA347" s="30"/>
      <c r="AB347" s="30">
        <v>1</v>
      </c>
      <c r="AC347" s="30"/>
      <c r="AD347" s="30">
        <v>1</v>
      </c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1"/>
      <c r="AQ347" s="32"/>
      <c r="AR347" s="33"/>
      <c r="AS347" s="31">
        <v>3</v>
      </c>
      <c r="AT347" s="63">
        <v>1</v>
      </c>
      <c r="AU347" s="34"/>
      <c r="AV347" s="34"/>
      <c r="AW347" s="34">
        <v>1</v>
      </c>
      <c r="AX347" s="34"/>
      <c r="AY347" s="34"/>
      <c r="AZ347" s="34"/>
      <c r="BA347" s="34"/>
      <c r="BB347" s="34"/>
      <c r="BC347" s="34"/>
      <c r="BD347" s="34"/>
      <c r="BE347" s="34"/>
      <c r="BF347" s="64"/>
      <c r="BG347" s="64">
        <v>4</v>
      </c>
      <c r="BH347" s="64"/>
      <c r="BI347" s="64">
        <v>1</v>
      </c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>
        <v>1</v>
      </c>
      <c r="BU347" s="64"/>
      <c r="BV347" s="64"/>
      <c r="BW347" s="64"/>
      <c r="BX347" s="64"/>
      <c r="BY347" s="64"/>
      <c r="BZ347" s="64"/>
      <c r="CA347" s="64"/>
    </row>
    <row r="348" spans="1:136" s="54" customFormat="1" ht="15" customHeight="1" x14ac:dyDescent="0.25">
      <c r="A348" s="22"/>
      <c r="B348" s="22">
        <v>318</v>
      </c>
      <c r="C348" s="121" t="s">
        <v>427</v>
      </c>
      <c r="D348" s="174">
        <v>2019</v>
      </c>
      <c r="E348" s="22" t="s">
        <v>713</v>
      </c>
      <c r="F348" s="22" t="s">
        <v>714</v>
      </c>
      <c r="G348" s="22" t="s">
        <v>92</v>
      </c>
      <c r="H348" s="22" t="s">
        <v>78</v>
      </c>
      <c r="I348" s="55">
        <v>42.02</v>
      </c>
      <c r="J348" s="55">
        <v>40</v>
      </c>
      <c r="K348" s="55">
        <f t="shared" si="327"/>
        <v>8.2020000000000017</v>
      </c>
      <c r="L348" s="55">
        <f t="shared" si="328"/>
        <v>90.222000000000008</v>
      </c>
      <c r="M348" s="55">
        <f t="shared" si="331"/>
        <v>90</v>
      </c>
      <c r="N348" s="56">
        <v>92</v>
      </c>
      <c r="O348" s="57">
        <f t="shared" si="345"/>
        <v>84.586259999999996</v>
      </c>
      <c r="P348" s="58">
        <f t="shared" si="329"/>
        <v>2</v>
      </c>
      <c r="Q348" s="59">
        <f t="shared" si="332"/>
        <v>15.333333333333334</v>
      </c>
      <c r="R348" s="60">
        <v>6</v>
      </c>
      <c r="S348" s="60"/>
      <c r="T348" s="60">
        <f t="shared" si="346"/>
        <v>1</v>
      </c>
      <c r="U348" s="61">
        <f t="shared" si="344"/>
        <v>5</v>
      </c>
      <c r="V348" s="62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1"/>
      <c r="AQ348" s="32"/>
      <c r="AR348" s="33"/>
      <c r="AS348" s="31"/>
      <c r="AT348" s="63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>
        <v>1</v>
      </c>
      <c r="BU348" s="64"/>
      <c r="BV348" s="64"/>
      <c r="BW348" s="64"/>
      <c r="BX348" s="64"/>
      <c r="BY348" s="64"/>
      <c r="BZ348" s="64"/>
      <c r="CA348" s="64"/>
    </row>
    <row r="349" spans="1:136" s="54" customFormat="1" ht="15" customHeight="1" x14ac:dyDescent="0.25">
      <c r="A349" s="22"/>
      <c r="B349" s="22">
        <v>319</v>
      </c>
      <c r="C349" s="121" t="s">
        <v>427</v>
      </c>
      <c r="D349" s="174">
        <v>2020</v>
      </c>
      <c r="E349" s="22" t="s">
        <v>715</v>
      </c>
      <c r="F349" s="22" t="s">
        <v>716</v>
      </c>
      <c r="G349" s="22" t="s">
        <v>437</v>
      </c>
      <c r="H349" s="22" t="s">
        <v>171</v>
      </c>
      <c r="I349" s="55">
        <v>9</v>
      </c>
      <c r="J349" s="55">
        <v>25</v>
      </c>
      <c r="K349" s="55">
        <f>(I349+J349)*0.1</f>
        <v>3.4000000000000004</v>
      </c>
      <c r="L349" s="55">
        <f>SUM(I349:K349)</f>
        <v>37.4</v>
      </c>
      <c r="M349" s="55">
        <f>ROUND(L349,0)</f>
        <v>37</v>
      </c>
      <c r="N349" s="56">
        <v>36</v>
      </c>
      <c r="O349" s="57">
        <f t="shared" si="345"/>
        <v>18.117000000000001</v>
      </c>
      <c r="P349" s="58">
        <f>N349-M349</f>
        <v>-1</v>
      </c>
      <c r="Q349" s="59">
        <f t="shared" si="332"/>
        <v>6</v>
      </c>
      <c r="R349" s="60">
        <v>13</v>
      </c>
      <c r="S349" s="60"/>
      <c r="T349" s="60">
        <f t="shared" si="346"/>
        <v>3</v>
      </c>
      <c r="U349" s="61">
        <f>R349+S349-T349</f>
        <v>10</v>
      </c>
      <c r="V349" s="62"/>
      <c r="W349" s="30"/>
      <c r="X349" s="30"/>
      <c r="Y349" s="30"/>
      <c r="Z349" s="30"/>
      <c r="AA349" s="30"/>
      <c r="AB349" s="30"/>
      <c r="AC349" s="30">
        <v>1</v>
      </c>
      <c r="AD349" s="30"/>
      <c r="AE349" s="30"/>
      <c r="AF349" s="30"/>
      <c r="AG349" s="30"/>
      <c r="AH349" s="30">
        <v>2</v>
      </c>
      <c r="AI349" s="30"/>
      <c r="AJ349" s="30"/>
      <c r="AK349" s="30"/>
      <c r="AL349" s="30"/>
      <c r="AM349" s="30"/>
      <c r="AN349" s="30"/>
      <c r="AO349" s="30"/>
      <c r="AP349" s="31"/>
      <c r="AQ349" s="32"/>
      <c r="AR349" s="33"/>
      <c r="AS349" s="31"/>
      <c r="AT349" s="63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>
        <v>1</v>
      </c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</row>
    <row r="350" spans="1:136" s="54" customFormat="1" ht="15" customHeight="1" x14ac:dyDescent="0.25">
      <c r="A350" s="22"/>
      <c r="B350" s="22">
        <v>320</v>
      </c>
      <c r="C350" s="121" t="s">
        <v>427</v>
      </c>
      <c r="D350" s="174">
        <v>2016</v>
      </c>
      <c r="E350" s="22" t="s">
        <v>717</v>
      </c>
      <c r="F350" s="22" t="s">
        <v>718</v>
      </c>
      <c r="G350" s="22" t="s">
        <v>105</v>
      </c>
      <c r="H350" s="22" t="s">
        <v>84</v>
      </c>
      <c r="I350" s="55">
        <v>38</v>
      </c>
      <c r="J350" s="55">
        <f>IF(I350&lt;=15,$L$2,$L$3)</f>
        <v>30</v>
      </c>
      <c r="K350" s="55">
        <f t="shared" si="327"/>
        <v>6.8000000000000007</v>
      </c>
      <c r="L350" s="55">
        <f t="shared" si="328"/>
        <v>74.8</v>
      </c>
      <c r="M350" s="55">
        <f t="shared" si="331"/>
        <v>75</v>
      </c>
      <c r="N350" s="56">
        <v>71</v>
      </c>
      <c r="O350" s="57">
        <f t="shared" si="345"/>
        <v>76.494</v>
      </c>
      <c r="P350" s="58">
        <f t="shared" si="329"/>
        <v>-4</v>
      </c>
      <c r="Q350" s="59">
        <f t="shared" si="332"/>
        <v>11.833333333333334</v>
      </c>
      <c r="R350" s="60">
        <v>8</v>
      </c>
      <c r="S350" s="60"/>
      <c r="T350" s="60">
        <f t="shared" si="346"/>
        <v>2</v>
      </c>
      <c r="U350" s="61">
        <f t="shared" si="344"/>
        <v>6</v>
      </c>
      <c r="V350" s="62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1"/>
      <c r="AQ350" s="32"/>
      <c r="AR350" s="33"/>
      <c r="AS350" s="31"/>
      <c r="AT350" s="63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64"/>
      <c r="BG350" s="64"/>
      <c r="BH350" s="64">
        <v>1</v>
      </c>
      <c r="BI350" s="64"/>
      <c r="BJ350" s="64"/>
      <c r="BK350" s="64"/>
      <c r="BL350" s="64"/>
      <c r="BM350" s="64"/>
      <c r="BN350" s="64"/>
      <c r="BO350" s="64"/>
      <c r="BP350" s="64"/>
      <c r="BQ350" s="64"/>
      <c r="BR350" s="64">
        <v>1</v>
      </c>
      <c r="BS350" s="64"/>
      <c r="BT350" s="64"/>
      <c r="BU350" s="64"/>
      <c r="BV350" s="64"/>
      <c r="BW350" s="64"/>
      <c r="BX350" s="64"/>
      <c r="BY350" s="64"/>
      <c r="BZ350" s="64"/>
      <c r="CA350" s="64"/>
    </row>
    <row r="351" spans="1:136" s="54" customFormat="1" ht="15" customHeight="1" x14ac:dyDescent="0.25">
      <c r="A351" s="22"/>
      <c r="B351" s="29">
        <v>321</v>
      </c>
      <c r="C351" s="121" t="s">
        <v>427</v>
      </c>
      <c r="D351" s="174">
        <v>2007</v>
      </c>
      <c r="E351" s="22" t="s">
        <v>719</v>
      </c>
      <c r="F351" s="22" t="s">
        <v>720</v>
      </c>
      <c r="G351" s="22" t="s">
        <v>105</v>
      </c>
      <c r="H351" s="22" t="s">
        <v>137</v>
      </c>
      <c r="I351" s="55">
        <v>77.3</v>
      </c>
      <c r="J351" s="55">
        <v>60</v>
      </c>
      <c r="K351" s="55">
        <f>(I351+J351)*0.1</f>
        <v>13.730000000000002</v>
      </c>
      <c r="L351" s="55">
        <f>SUM(I351:K351)</f>
        <v>151.03</v>
      </c>
      <c r="M351" s="55">
        <f>ROUND(L351,0)</f>
        <v>151</v>
      </c>
      <c r="N351" s="56">
        <v>149</v>
      </c>
      <c r="O351" s="57">
        <f t="shared" si="345"/>
        <v>155.60489999999999</v>
      </c>
      <c r="P351" s="58">
        <f>N351-M351</f>
        <v>-2</v>
      </c>
      <c r="Q351" s="59">
        <f t="shared" si="332"/>
        <v>24.833333333333332</v>
      </c>
      <c r="R351" s="60">
        <v>1</v>
      </c>
      <c r="S351" s="60"/>
      <c r="T351" s="60">
        <f t="shared" si="346"/>
        <v>0</v>
      </c>
      <c r="U351" s="61">
        <f>R351+S351-T351</f>
        <v>1</v>
      </c>
      <c r="V351" s="62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1"/>
      <c r="AQ351" s="32"/>
      <c r="AR351" s="33"/>
      <c r="AS351" s="31"/>
      <c r="AT351" s="63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</row>
    <row r="352" spans="1:136" s="54" customFormat="1" ht="15" customHeight="1" thickBot="1" x14ac:dyDescent="0.3">
      <c r="A352" s="3"/>
      <c r="B352" s="22">
        <v>322</v>
      </c>
      <c r="C352" s="121" t="s">
        <v>427</v>
      </c>
      <c r="D352" s="174">
        <v>2020</v>
      </c>
      <c r="E352" s="22" t="s">
        <v>721</v>
      </c>
      <c r="F352" s="22" t="s">
        <v>718</v>
      </c>
      <c r="G352" s="22" t="s">
        <v>105</v>
      </c>
      <c r="H352" s="22" t="s">
        <v>84</v>
      </c>
      <c r="I352" s="55">
        <v>15.3</v>
      </c>
      <c r="J352" s="55">
        <v>25</v>
      </c>
      <c r="K352" s="55">
        <f t="shared" si="327"/>
        <v>4.03</v>
      </c>
      <c r="L352" s="55">
        <f t="shared" si="328"/>
        <v>44.33</v>
      </c>
      <c r="M352" s="55">
        <f t="shared" si="331"/>
        <v>44</v>
      </c>
      <c r="N352" s="56">
        <v>45</v>
      </c>
      <c r="O352" s="57">
        <f t="shared" si="345"/>
        <v>30.7989</v>
      </c>
      <c r="P352" s="58">
        <f t="shared" si="329"/>
        <v>1</v>
      </c>
      <c r="Q352" s="59">
        <f t="shared" si="332"/>
        <v>7.5</v>
      </c>
      <c r="R352" s="60">
        <v>4</v>
      </c>
      <c r="S352" s="60">
        <v>6</v>
      </c>
      <c r="T352" s="60">
        <f t="shared" si="346"/>
        <v>4</v>
      </c>
      <c r="U352" s="61">
        <f t="shared" si="344"/>
        <v>6</v>
      </c>
      <c r="V352" s="62"/>
      <c r="W352" s="30"/>
      <c r="X352" s="30"/>
      <c r="Y352" s="30"/>
      <c r="Z352" s="30"/>
      <c r="AA352" s="30"/>
      <c r="AB352" s="30"/>
      <c r="AC352" s="30"/>
      <c r="AD352" s="30"/>
      <c r="AE352" s="30"/>
      <c r="AF352" s="30">
        <v>2</v>
      </c>
      <c r="AG352" s="30">
        <v>1</v>
      </c>
      <c r="AH352" s="30"/>
      <c r="AI352" s="30"/>
      <c r="AJ352" s="30"/>
      <c r="AK352" s="30"/>
      <c r="AL352" s="30"/>
      <c r="AM352" s="30"/>
      <c r="AN352" s="30"/>
      <c r="AO352" s="30"/>
      <c r="AP352" s="31"/>
      <c r="AQ352" s="32"/>
      <c r="AR352" s="33"/>
      <c r="AS352" s="31"/>
      <c r="AT352" s="63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64"/>
      <c r="BG352" s="64"/>
      <c r="BH352" s="64">
        <v>1</v>
      </c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</row>
    <row r="353" spans="1:79" ht="15" customHeight="1" x14ac:dyDescent="0.25">
      <c r="A353" s="22"/>
      <c r="B353" s="22">
        <v>324</v>
      </c>
      <c r="C353" s="121" t="s">
        <v>427</v>
      </c>
      <c r="D353" s="174">
        <v>2019</v>
      </c>
      <c r="E353" s="193" t="s">
        <v>722</v>
      </c>
      <c r="F353" s="194" t="s">
        <v>414</v>
      </c>
      <c r="G353" s="178" t="s">
        <v>415</v>
      </c>
      <c r="H353" s="22" t="s">
        <v>416</v>
      </c>
      <c r="I353" s="55">
        <v>12.21</v>
      </c>
      <c r="J353" s="55">
        <f t="shared" ref="J353:J361" si="355">IF(I353&lt;=15,$L$2,$L$3)</f>
        <v>25</v>
      </c>
      <c r="K353" s="55">
        <f t="shared" si="327"/>
        <v>3.7210000000000001</v>
      </c>
      <c r="L353" s="55">
        <f t="shared" si="328"/>
        <v>40.930999999999997</v>
      </c>
      <c r="M353" s="55">
        <f t="shared" si="331"/>
        <v>41</v>
      </c>
      <c r="N353" s="56">
        <v>39</v>
      </c>
      <c r="O353" s="57">
        <f t="shared" si="345"/>
        <v>24.57873</v>
      </c>
      <c r="P353" s="58">
        <f t="shared" si="329"/>
        <v>-2</v>
      </c>
      <c r="Q353" s="59">
        <f t="shared" si="332"/>
        <v>6.5</v>
      </c>
      <c r="R353" s="60">
        <v>7</v>
      </c>
      <c r="S353" s="60">
        <v>2</v>
      </c>
      <c r="T353" s="60">
        <f t="shared" si="346"/>
        <v>2</v>
      </c>
      <c r="U353" s="61">
        <f t="shared" si="344"/>
        <v>7</v>
      </c>
      <c r="V353" s="62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1"/>
      <c r="AQ353" s="32"/>
      <c r="AR353" s="33"/>
      <c r="AS353" s="31"/>
      <c r="AT353" s="63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64"/>
      <c r="BG353" s="64">
        <v>2</v>
      </c>
      <c r="BT353" s="64"/>
      <c r="BU353" s="64"/>
      <c r="BV353" s="64"/>
      <c r="BW353" s="64"/>
      <c r="BX353" s="64"/>
      <c r="BY353" s="64"/>
      <c r="BZ353" s="64"/>
      <c r="CA353" s="64"/>
    </row>
    <row r="354" spans="1:79" ht="15" customHeight="1" x14ac:dyDescent="0.25">
      <c r="A354" s="22"/>
      <c r="B354" s="29">
        <v>325</v>
      </c>
      <c r="C354" s="121" t="s">
        <v>427</v>
      </c>
      <c r="D354" s="174">
        <v>2019</v>
      </c>
      <c r="E354" s="195" t="s">
        <v>723</v>
      </c>
      <c r="F354" s="196" t="s">
        <v>414</v>
      </c>
      <c r="G354" s="178" t="s">
        <v>415</v>
      </c>
      <c r="H354" s="22" t="s">
        <v>416</v>
      </c>
      <c r="I354" s="55">
        <v>19.260000000000002</v>
      </c>
      <c r="J354" s="55">
        <f t="shared" si="355"/>
        <v>30</v>
      </c>
      <c r="K354" s="55">
        <f t="shared" si="327"/>
        <v>4.926000000000001</v>
      </c>
      <c r="L354" s="55">
        <f t="shared" si="328"/>
        <v>54.186000000000007</v>
      </c>
      <c r="M354" s="55">
        <f t="shared" si="331"/>
        <v>54</v>
      </c>
      <c r="N354" s="56">
        <v>54</v>
      </c>
      <c r="O354" s="57">
        <f t="shared" si="345"/>
        <v>38.770379999999996</v>
      </c>
      <c r="P354" s="58">
        <f t="shared" si="329"/>
        <v>0</v>
      </c>
      <c r="Q354" s="59">
        <f t="shared" si="332"/>
        <v>9</v>
      </c>
      <c r="R354" s="60">
        <v>8</v>
      </c>
      <c r="S354" s="60">
        <v>4</v>
      </c>
      <c r="T354" s="60">
        <f t="shared" si="346"/>
        <v>0</v>
      </c>
      <c r="U354" s="61">
        <f t="shared" si="344"/>
        <v>12</v>
      </c>
      <c r="V354" s="62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1"/>
      <c r="AQ354" s="32"/>
      <c r="AR354" s="33"/>
      <c r="AS354" s="31"/>
      <c r="AT354" s="63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64"/>
      <c r="BT354" s="64"/>
      <c r="BU354" s="64"/>
      <c r="BV354" s="64"/>
      <c r="BW354" s="64"/>
      <c r="BX354" s="64"/>
      <c r="BY354" s="64"/>
      <c r="BZ354" s="64"/>
      <c r="CA354" s="64"/>
    </row>
    <row r="355" spans="1:79" ht="15" customHeight="1" x14ac:dyDescent="0.25">
      <c r="A355" s="22"/>
      <c r="B355" s="22">
        <v>326</v>
      </c>
      <c r="C355" s="121" t="s">
        <v>427</v>
      </c>
      <c r="D355" s="174">
        <v>2019</v>
      </c>
      <c r="E355" s="195" t="s">
        <v>724</v>
      </c>
      <c r="F355" s="196" t="s">
        <v>414</v>
      </c>
      <c r="G355" s="178" t="s">
        <v>415</v>
      </c>
      <c r="H355" s="22" t="s">
        <v>416</v>
      </c>
      <c r="I355" s="55">
        <v>15.8</v>
      </c>
      <c r="J355" s="55">
        <f t="shared" si="355"/>
        <v>30</v>
      </c>
      <c r="K355" s="55">
        <f t="shared" si="327"/>
        <v>4.58</v>
      </c>
      <c r="L355" s="55">
        <f t="shared" si="328"/>
        <v>50.379999999999995</v>
      </c>
      <c r="M355" s="55">
        <f t="shared" ref="M355:M396" si="356">ROUND(L355,0)</f>
        <v>50</v>
      </c>
      <c r="N355" s="56">
        <v>49</v>
      </c>
      <c r="O355" s="57">
        <f t="shared" si="345"/>
        <v>31.805399999999999</v>
      </c>
      <c r="P355" s="58">
        <f t="shared" si="329"/>
        <v>-1</v>
      </c>
      <c r="Q355" s="59">
        <f t="shared" si="332"/>
        <v>8.1666666666666661</v>
      </c>
      <c r="R355" s="60">
        <v>4</v>
      </c>
      <c r="S355" s="60"/>
      <c r="T355" s="60">
        <f t="shared" si="346"/>
        <v>1</v>
      </c>
      <c r="U355" s="61">
        <f t="shared" si="344"/>
        <v>3</v>
      </c>
      <c r="V355" s="62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1"/>
      <c r="AQ355" s="32"/>
      <c r="AR355" s="33"/>
      <c r="AS355" s="31"/>
      <c r="AT355" s="63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64"/>
      <c r="BH355" s="64">
        <v>1</v>
      </c>
      <c r="BT355" s="64"/>
      <c r="BU355" s="64"/>
      <c r="BV355" s="64"/>
      <c r="BW355" s="64"/>
      <c r="BX355" s="64"/>
      <c r="BY355" s="64"/>
      <c r="BZ355" s="64"/>
      <c r="CA355" s="64"/>
    </row>
    <row r="356" spans="1:79" ht="15" customHeight="1" thickBot="1" x14ac:dyDescent="0.3">
      <c r="A356" s="22"/>
      <c r="B356" s="22">
        <v>327</v>
      </c>
      <c r="C356" s="121" t="s">
        <v>427</v>
      </c>
      <c r="D356" s="174">
        <v>2020</v>
      </c>
      <c r="E356" s="197" t="s">
        <v>725</v>
      </c>
      <c r="F356" s="198" t="s">
        <v>414</v>
      </c>
      <c r="G356" s="178" t="s">
        <v>415</v>
      </c>
      <c r="H356" s="22" t="s">
        <v>416</v>
      </c>
      <c r="I356" s="55">
        <v>8.1999999999999993</v>
      </c>
      <c r="J356" s="55">
        <f t="shared" si="355"/>
        <v>25</v>
      </c>
      <c r="K356" s="55">
        <f t="shared" si="327"/>
        <v>3.3200000000000003</v>
      </c>
      <c r="L356" s="55">
        <f t="shared" si="328"/>
        <v>36.520000000000003</v>
      </c>
      <c r="M356" s="55">
        <f t="shared" si="356"/>
        <v>37</v>
      </c>
      <c r="N356" s="56">
        <v>37</v>
      </c>
      <c r="O356" s="57">
        <f t="shared" si="345"/>
        <v>16.506599999999995</v>
      </c>
      <c r="P356" s="58">
        <f t="shared" si="329"/>
        <v>0</v>
      </c>
      <c r="Q356" s="59">
        <f t="shared" si="332"/>
        <v>6.166666666666667</v>
      </c>
      <c r="R356" s="60">
        <v>9</v>
      </c>
      <c r="S356" s="60"/>
      <c r="T356" s="60">
        <f t="shared" si="346"/>
        <v>3</v>
      </c>
      <c r="U356" s="61">
        <f t="shared" si="344"/>
        <v>6</v>
      </c>
      <c r="V356" s="62"/>
      <c r="W356" s="30"/>
      <c r="X356" s="30"/>
      <c r="Y356" s="30"/>
      <c r="Z356" s="30">
        <v>1</v>
      </c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1"/>
      <c r="AQ356" s="32"/>
      <c r="AR356" s="33"/>
      <c r="AS356" s="31"/>
      <c r="AT356" s="63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64">
        <v>1</v>
      </c>
      <c r="BG356" s="64">
        <v>1</v>
      </c>
      <c r="BT356" s="64"/>
      <c r="BU356" s="64"/>
      <c r="BV356" s="64"/>
      <c r="BW356" s="64"/>
      <c r="BX356" s="64"/>
      <c r="BY356" s="64"/>
      <c r="BZ356" s="64"/>
      <c r="CA356" s="64"/>
    </row>
    <row r="357" spans="1:79" ht="15" customHeight="1" x14ac:dyDescent="0.25">
      <c r="A357" s="22"/>
      <c r="B357" s="22">
        <v>328</v>
      </c>
      <c r="C357" s="121" t="s">
        <v>427</v>
      </c>
      <c r="D357" s="174">
        <v>2021</v>
      </c>
      <c r="E357" s="29" t="s">
        <v>726</v>
      </c>
      <c r="F357" s="29" t="s">
        <v>727</v>
      </c>
      <c r="G357" s="22" t="s">
        <v>95</v>
      </c>
      <c r="H357" s="22" t="s">
        <v>728</v>
      </c>
      <c r="I357" s="55">
        <v>8.98</v>
      </c>
      <c r="J357" s="55">
        <f t="shared" si="355"/>
        <v>25</v>
      </c>
      <c r="K357" s="55">
        <f t="shared" si="327"/>
        <v>3.3980000000000006</v>
      </c>
      <c r="L357" s="55">
        <f t="shared" si="328"/>
        <v>37.378000000000007</v>
      </c>
      <c r="M357" s="55">
        <f t="shared" si="356"/>
        <v>37</v>
      </c>
      <c r="N357" s="56">
        <v>37</v>
      </c>
      <c r="O357" s="57">
        <f t="shared" si="345"/>
        <v>18.076740000000001</v>
      </c>
      <c r="P357" s="58">
        <f t="shared" si="329"/>
        <v>0</v>
      </c>
      <c r="Q357" s="59">
        <f t="shared" si="332"/>
        <v>6.166666666666667</v>
      </c>
      <c r="R357" s="60">
        <v>8</v>
      </c>
      <c r="S357" s="60">
        <v>6</v>
      </c>
      <c r="T357" s="60">
        <f>W357+X357+Y357+Z357+AA357+AB357+AC357+AD357+AE357+AF357+AG357+AH357+AI357+AJ357+AK357+AL357+AM357+AN357+AO357+AP357+AQ357+AR357+AS357+AT357+AU357+AV357+AW357+AX357+AY357+AZ357+BA357+BB357+BC357+BD357+BE357+BF357+BG357+BH357+BI357+BJ357+BK357+BL357+BM357+BQ357+BR357+BS357+BT357</f>
        <v>5</v>
      </c>
      <c r="U357" s="61">
        <f t="shared" si="344"/>
        <v>9</v>
      </c>
      <c r="V357" s="62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>
        <v>1</v>
      </c>
      <c r="AI357" s="30"/>
      <c r="AJ357" s="30"/>
      <c r="AK357" s="30"/>
      <c r="AL357" s="30"/>
      <c r="AM357" s="30"/>
      <c r="AN357" s="30"/>
      <c r="AO357" s="30"/>
      <c r="AP357" s="31"/>
      <c r="AQ357" s="32"/>
      <c r="AR357" s="33"/>
      <c r="AS357" s="31"/>
      <c r="AT357" s="63"/>
      <c r="AU357" s="34">
        <v>2</v>
      </c>
      <c r="AV357" s="34"/>
      <c r="AW357" s="34">
        <v>1</v>
      </c>
      <c r="AX357" s="34"/>
      <c r="AY357" s="34"/>
      <c r="AZ357" s="34"/>
      <c r="BA357" s="34"/>
      <c r="BB357" s="34"/>
      <c r="BC357" s="34"/>
      <c r="BD357" s="34"/>
      <c r="BE357" s="34"/>
      <c r="BF357" s="64"/>
      <c r="BR357" s="64">
        <v>1</v>
      </c>
      <c r="BT357" s="64"/>
      <c r="BU357" s="64"/>
      <c r="BV357" s="64"/>
      <c r="BW357" s="64"/>
      <c r="BX357" s="64"/>
      <c r="BY357" s="64"/>
      <c r="BZ357" s="64"/>
      <c r="CA357" s="64"/>
    </row>
    <row r="358" spans="1:79" ht="15" customHeight="1" x14ac:dyDescent="0.25">
      <c r="A358" s="22"/>
      <c r="B358" s="29">
        <v>329</v>
      </c>
      <c r="C358" s="121" t="s">
        <v>427</v>
      </c>
      <c r="D358" s="174">
        <v>2015</v>
      </c>
      <c r="E358" s="22" t="s">
        <v>729</v>
      </c>
      <c r="F358" s="22" t="s">
        <v>730</v>
      </c>
      <c r="G358" s="22" t="s">
        <v>95</v>
      </c>
      <c r="H358" s="22" t="s">
        <v>137</v>
      </c>
      <c r="I358" s="55">
        <v>27.9</v>
      </c>
      <c r="J358" s="55">
        <f t="shared" si="355"/>
        <v>30</v>
      </c>
      <c r="K358" s="55">
        <f t="shared" si="327"/>
        <v>5.79</v>
      </c>
      <c r="L358" s="55">
        <f t="shared" si="328"/>
        <v>63.69</v>
      </c>
      <c r="M358" s="55">
        <f t="shared" si="356"/>
        <v>64</v>
      </c>
      <c r="N358" s="56">
        <v>64</v>
      </c>
      <c r="O358" s="57">
        <f t="shared" si="345"/>
        <v>56.162699999999994</v>
      </c>
      <c r="P358" s="58">
        <f t="shared" si="329"/>
        <v>0</v>
      </c>
      <c r="Q358" s="59">
        <f t="shared" si="332"/>
        <v>10.666666666666666</v>
      </c>
      <c r="R358" s="60">
        <v>8</v>
      </c>
      <c r="S358" s="60">
        <f>6+6</f>
        <v>12</v>
      </c>
      <c r="T358" s="60">
        <f t="shared" si="346"/>
        <v>11</v>
      </c>
      <c r="U358" s="61">
        <f t="shared" si="344"/>
        <v>9</v>
      </c>
      <c r="V358" s="62"/>
      <c r="W358" s="30"/>
      <c r="X358" s="30"/>
      <c r="Y358" s="30"/>
      <c r="Z358" s="30">
        <v>1</v>
      </c>
      <c r="AA358" s="30"/>
      <c r="AB358" s="30"/>
      <c r="AC358" s="30"/>
      <c r="AD358" s="30"/>
      <c r="AE358" s="30">
        <v>1</v>
      </c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1"/>
      <c r="AQ358" s="32">
        <v>1</v>
      </c>
      <c r="AR358" s="33">
        <v>1</v>
      </c>
      <c r="AS358" s="31"/>
      <c r="AT358" s="63"/>
      <c r="AU358" s="34">
        <v>1</v>
      </c>
      <c r="AV358" s="34"/>
      <c r="AW358" s="34"/>
      <c r="AX358" s="34"/>
      <c r="AY358" s="34"/>
      <c r="AZ358" s="34"/>
      <c r="BA358" s="34">
        <v>1</v>
      </c>
      <c r="BB358" s="34">
        <v>1</v>
      </c>
      <c r="BC358" s="34"/>
      <c r="BD358" s="34"/>
      <c r="BE358" s="34"/>
      <c r="BF358" s="64"/>
      <c r="BG358" s="64">
        <v>1</v>
      </c>
      <c r="BJ358" s="64">
        <v>1</v>
      </c>
      <c r="BT358" s="64">
        <v>2</v>
      </c>
      <c r="BU358" s="64">
        <v>1</v>
      </c>
      <c r="BV358" s="64"/>
      <c r="BW358" s="64"/>
      <c r="BX358" s="64"/>
      <c r="BY358" s="64"/>
      <c r="BZ358" s="64"/>
      <c r="CA358" s="64"/>
    </row>
    <row r="359" spans="1:79" ht="15" customHeight="1" x14ac:dyDescent="0.25">
      <c r="A359" s="22"/>
      <c r="B359" s="22">
        <v>330</v>
      </c>
      <c r="C359" s="121" t="s">
        <v>427</v>
      </c>
      <c r="D359" s="174">
        <v>2016</v>
      </c>
      <c r="E359" s="22" t="s">
        <v>731</v>
      </c>
      <c r="F359" s="22" t="s">
        <v>732</v>
      </c>
      <c r="G359" s="22" t="s">
        <v>95</v>
      </c>
      <c r="H359" s="22" t="s">
        <v>84</v>
      </c>
      <c r="I359" s="55">
        <v>25.5</v>
      </c>
      <c r="J359" s="55">
        <f t="shared" si="355"/>
        <v>30</v>
      </c>
      <c r="K359" s="55">
        <f t="shared" si="327"/>
        <v>5.5500000000000007</v>
      </c>
      <c r="L359" s="55">
        <f t="shared" si="328"/>
        <v>61.05</v>
      </c>
      <c r="M359" s="55">
        <f t="shared" si="356"/>
        <v>61</v>
      </c>
      <c r="N359" s="56">
        <v>61</v>
      </c>
      <c r="O359" s="57">
        <f t="shared" si="345"/>
        <v>51.331499999999991</v>
      </c>
      <c r="P359" s="58">
        <f t="shared" si="329"/>
        <v>0</v>
      </c>
      <c r="Q359" s="59">
        <f t="shared" si="332"/>
        <v>10.166666666666666</v>
      </c>
      <c r="R359" s="60">
        <v>8</v>
      </c>
      <c r="S359" s="60">
        <v>6</v>
      </c>
      <c r="T359" s="60">
        <f t="shared" si="346"/>
        <v>7</v>
      </c>
      <c r="U359" s="61">
        <f t="shared" si="344"/>
        <v>7</v>
      </c>
      <c r="V359" s="62"/>
      <c r="W359" s="30">
        <v>1</v>
      </c>
      <c r="X359" s="30"/>
      <c r="Y359" s="30"/>
      <c r="Z359" s="30">
        <v>1</v>
      </c>
      <c r="AA359" s="30"/>
      <c r="AB359" s="30"/>
      <c r="AC359" s="30"/>
      <c r="AD359" s="30"/>
      <c r="AE359" s="30"/>
      <c r="AF359" s="30"/>
      <c r="AG359" s="30">
        <v>1</v>
      </c>
      <c r="AH359" s="30"/>
      <c r="AI359" s="30"/>
      <c r="AJ359" s="30"/>
      <c r="AK359" s="30"/>
      <c r="AL359" s="30"/>
      <c r="AM359" s="30"/>
      <c r="AN359" s="30"/>
      <c r="AO359" s="30"/>
      <c r="AP359" s="31"/>
      <c r="AQ359" s="32"/>
      <c r="AR359" s="33"/>
      <c r="AS359" s="31"/>
      <c r="AT359" s="63"/>
      <c r="AU359" s="34">
        <v>1</v>
      </c>
      <c r="AV359" s="34"/>
      <c r="AW359" s="34"/>
      <c r="AX359" s="34"/>
      <c r="AY359" s="34"/>
      <c r="AZ359" s="34"/>
      <c r="BA359" s="34"/>
      <c r="BB359" s="34"/>
      <c r="BC359" s="34"/>
      <c r="BD359" s="34">
        <v>1</v>
      </c>
      <c r="BE359" s="34"/>
      <c r="BF359" s="64"/>
      <c r="BT359" s="64">
        <v>2</v>
      </c>
      <c r="BU359" s="64"/>
      <c r="BV359" s="64"/>
      <c r="BW359" s="64"/>
      <c r="BX359" s="64"/>
      <c r="BY359" s="64"/>
      <c r="BZ359" s="64"/>
      <c r="CA359" s="64"/>
    </row>
    <row r="360" spans="1:79" ht="15" customHeight="1" x14ac:dyDescent="0.25">
      <c r="A360" s="22"/>
      <c r="B360" s="22">
        <v>331</v>
      </c>
      <c r="C360" s="121" t="s">
        <v>427</v>
      </c>
      <c r="D360" s="174">
        <v>2019</v>
      </c>
      <c r="E360" s="22" t="s">
        <v>733</v>
      </c>
      <c r="F360" s="22" t="s">
        <v>732</v>
      </c>
      <c r="G360" s="22" t="s">
        <v>95</v>
      </c>
      <c r="H360" s="22" t="s">
        <v>84</v>
      </c>
      <c r="I360" s="55">
        <v>17</v>
      </c>
      <c r="J360" s="55">
        <f t="shared" si="355"/>
        <v>30</v>
      </c>
      <c r="K360" s="55">
        <f t="shared" si="327"/>
        <v>4.7</v>
      </c>
      <c r="L360" s="55">
        <f t="shared" si="328"/>
        <v>51.7</v>
      </c>
      <c r="M360" s="55">
        <f t="shared" si="356"/>
        <v>52</v>
      </c>
      <c r="N360" s="56">
        <v>51</v>
      </c>
      <c r="O360" s="57">
        <f t="shared" si="345"/>
        <v>34.220999999999997</v>
      </c>
      <c r="P360" s="58">
        <f t="shared" si="329"/>
        <v>-1</v>
      </c>
      <c r="Q360" s="59">
        <f t="shared" si="332"/>
        <v>8.5</v>
      </c>
      <c r="R360" s="60">
        <v>5</v>
      </c>
      <c r="S360" s="60"/>
      <c r="T360" s="60">
        <f t="shared" si="346"/>
        <v>2</v>
      </c>
      <c r="U360" s="61">
        <f t="shared" si="344"/>
        <v>3</v>
      </c>
      <c r="V360" s="62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1"/>
      <c r="AQ360" s="32"/>
      <c r="AR360" s="33"/>
      <c r="AS360" s="31"/>
      <c r="AT360" s="63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64"/>
      <c r="BH360" s="64">
        <v>1</v>
      </c>
      <c r="BL360" s="64">
        <v>1</v>
      </c>
      <c r="BT360" s="64"/>
      <c r="BU360" s="64"/>
      <c r="BV360" s="64"/>
      <c r="BW360" s="64"/>
      <c r="BX360" s="64"/>
      <c r="BY360" s="64"/>
      <c r="BZ360" s="64"/>
      <c r="CA360" s="64"/>
    </row>
    <row r="361" spans="1:79" ht="15" customHeight="1" x14ac:dyDescent="0.25">
      <c r="A361" s="22"/>
      <c r="B361" s="22">
        <v>332</v>
      </c>
      <c r="C361" s="121" t="s">
        <v>427</v>
      </c>
      <c r="D361" s="174">
        <v>2018</v>
      </c>
      <c r="E361" s="22" t="s">
        <v>734</v>
      </c>
      <c r="F361" s="22" t="s">
        <v>735</v>
      </c>
      <c r="G361" s="22" t="s">
        <v>95</v>
      </c>
      <c r="H361" s="22" t="s">
        <v>164</v>
      </c>
      <c r="I361" s="55">
        <v>11.8</v>
      </c>
      <c r="J361" s="55">
        <f t="shared" si="355"/>
        <v>25</v>
      </c>
      <c r="K361" s="55">
        <f t="shared" si="327"/>
        <v>3.6799999999999997</v>
      </c>
      <c r="L361" s="55">
        <f t="shared" si="328"/>
        <v>40.479999999999997</v>
      </c>
      <c r="M361" s="55">
        <f t="shared" si="356"/>
        <v>40</v>
      </c>
      <c r="N361" s="56">
        <v>40</v>
      </c>
      <c r="O361" s="57">
        <f t="shared" si="345"/>
        <v>23.753399999999999</v>
      </c>
      <c r="P361" s="58">
        <f t="shared" si="329"/>
        <v>0</v>
      </c>
      <c r="Q361" s="59">
        <f t="shared" si="332"/>
        <v>6.666666666666667</v>
      </c>
      <c r="R361" s="60">
        <v>5</v>
      </c>
      <c r="S361" s="60">
        <f>7+6+5</f>
        <v>18</v>
      </c>
      <c r="T361" s="60">
        <f t="shared" si="346"/>
        <v>15</v>
      </c>
      <c r="U361" s="61">
        <f t="shared" si="344"/>
        <v>8</v>
      </c>
      <c r="V361" s="62"/>
      <c r="W361" s="30"/>
      <c r="X361" s="30"/>
      <c r="Y361" s="30"/>
      <c r="Z361" s="30"/>
      <c r="AA361" s="30"/>
      <c r="AB361" s="30"/>
      <c r="AC361" s="30"/>
      <c r="AD361" s="30"/>
      <c r="AE361" s="30"/>
      <c r="AF361" s="30">
        <v>2</v>
      </c>
      <c r="AG361" s="30"/>
      <c r="AH361" s="30"/>
      <c r="AI361" s="30"/>
      <c r="AJ361" s="30"/>
      <c r="AK361" s="30"/>
      <c r="AL361" s="30"/>
      <c r="AM361" s="30"/>
      <c r="AN361" s="30"/>
      <c r="AO361" s="30"/>
      <c r="AP361" s="31"/>
      <c r="AQ361" s="32"/>
      <c r="AR361" s="33"/>
      <c r="AS361" s="31"/>
      <c r="AT361" s="63"/>
      <c r="AU361" s="34">
        <v>1</v>
      </c>
      <c r="AV361" s="34"/>
      <c r="AW361" s="34"/>
      <c r="AX361" s="34"/>
      <c r="AY361" s="34"/>
      <c r="AZ361" s="34">
        <v>2</v>
      </c>
      <c r="BA361" s="34">
        <v>1</v>
      </c>
      <c r="BB361" s="34">
        <v>2</v>
      </c>
      <c r="BC361" s="34"/>
      <c r="BD361" s="34"/>
      <c r="BE361" s="34"/>
      <c r="BF361" s="64"/>
      <c r="BG361" s="64">
        <v>1</v>
      </c>
      <c r="BH361" s="64">
        <v>1</v>
      </c>
      <c r="BT361" s="64">
        <v>5</v>
      </c>
      <c r="BU361" s="64"/>
      <c r="BV361" s="64"/>
      <c r="BW361" s="64"/>
      <c r="BX361" s="64"/>
      <c r="BY361" s="64"/>
      <c r="BZ361" s="64"/>
      <c r="CA361" s="64"/>
    </row>
    <row r="362" spans="1:79" ht="15" customHeight="1" x14ac:dyDescent="0.25">
      <c r="A362" s="22"/>
      <c r="B362" s="29">
        <v>333</v>
      </c>
      <c r="C362" s="121" t="s">
        <v>427</v>
      </c>
      <c r="D362" s="174">
        <v>2014</v>
      </c>
      <c r="E362" s="22" t="s">
        <v>736</v>
      </c>
      <c r="F362" s="22" t="s">
        <v>727</v>
      </c>
      <c r="G362" s="22" t="s">
        <v>95</v>
      </c>
      <c r="H362" s="22" t="s">
        <v>728</v>
      </c>
      <c r="I362" s="55">
        <v>48.5</v>
      </c>
      <c r="J362" s="55">
        <v>50</v>
      </c>
      <c r="K362" s="55">
        <f t="shared" si="327"/>
        <v>9.8500000000000014</v>
      </c>
      <c r="L362" s="55">
        <f t="shared" si="328"/>
        <v>108.35</v>
      </c>
      <c r="M362" s="55">
        <f t="shared" si="356"/>
        <v>108</v>
      </c>
      <c r="N362" s="56">
        <v>108</v>
      </c>
      <c r="O362" s="57">
        <f t="shared" si="345"/>
        <v>97.630499999999984</v>
      </c>
      <c r="P362" s="58">
        <f t="shared" si="329"/>
        <v>0</v>
      </c>
      <c r="Q362" s="59">
        <f t="shared" si="332"/>
        <v>18</v>
      </c>
      <c r="R362" s="60">
        <v>3</v>
      </c>
      <c r="S362" s="60">
        <v>5</v>
      </c>
      <c r="T362" s="60">
        <f t="shared" si="346"/>
        <v>1</v>
      </c>
      <c r="U362" s="61">
        <f t="shared" si="344"/>
        <v>7</v>
      </c>
      <c r="V362" s="88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  <c r="AL362" s="89"/>
      <c r="AM362" s="89"/>
      <c r="AN362" s="89"/>
      <c r="AO362" s="89"/>
      <c r="AP362" s="90"/>
      <c r="AQ362" s="91"/>
      <c r="AR362" s="92"/>
      <c r="AS362" s="90"/>
      <c r="AT362" s="63"/>
      <c r="AU362" s="93"/>
      <c r="AV362" s="93"/>
      <c r="AW362" s="93"/>
      <c r="AX362" s="93"/>
      <c r="AY362" s="93"/>
      <c r="AZ362" s="93"/>
      <c r="BA362" s="93"/>
      <c r="BB362" s="93"/>
      <c r="BC362" s="93"/>
      <c r="BD362" s="93"/>
      <c r="BE362" s="93"/>
      <c r="BF362" s="94"/>
      <c r="BG362" s="94"/>
      <c r="BH362" s="94"/>
      <c r="BI362" s="94"/>
      <c r="BJ362" s="94"/>
      <c r="BK362" s="94"/>
      <c r="BL362" s="94"/>
      <c r="BM362" s="94"/>
      <c r="BN362" s="94"/>
      <c r="BO362" s="94"/>
      <c r="BP362" s="94"/>
      <c r="BQ362" s="94"/>
      <c r="BR362" s="94"/>
      <c r="BS362" s="94"/>
      <c r="BT362" s="94">
        <v>1</v>
      </c>
      <c r="BU362" s="94"/>
      <c r="BV362" s="94"/>
      <c r="BW362" s="94"/>
      <c r="BX362" s="94"/>
      <c r="BY362" s="94"/>
      <c r="BZ362" s="94"/>
      <c r="CA362" s="94"/>
    </row>
    <row r="363" spans="1:79" s="54" customFormat="1" ht="15" customHeight="1" x14ac:dyDescent="0.25">
      <c r="A363" s="67"/>
      <c r="B363" s="22">
        <v>334</v>
      </c>
      <c r="C363" s="122" t="s">
        <v>427</v>
      </c>
      <c r="D363" s="182">
        <v>2014</v>
      </c>
      <c r="E363" s="67" t="s">
        <v>737</v>
      </c>
      <c r="F363" s="67" t="s">
        <v>727</v>
      </c>
      <c r="G363" s="67" t="s">
        <v>95</v>
      </c>
      <c r="H363" s="67" t="s">
        <v>728</v>
      </c>
      <c r="I363" s="123">
        <v>36</v>
      </c>
      <c r="J363" s="123">
        <v>35</v>
      </c>
      <c r="K363" s="123">
        <f t="shared" si="327"/>
        <v>7.1000000000000005</v>
      </c>
      <c r="L363" s="123">
        <f t="shared" si="328"/>
        <v>78.099999999999994</v>
      </c>
      <c r="M363" s="123">
        <f t="shared" si="356"/>
        <v>78</v>
      </c>
      <c r="N363" s="124">
        <v>84</v>
      </c>
      <c r="O363" s="125">
        <f t="shared" si="345"/>
        <v>72.468000000000004</v>
      </c>
      <c r="P363" s="126">
        <f t="shared" si="329"/>
        <v>6</v>
      </c>
      <c r="Q363" s="127">
        <f t="shared" si="332"/>
        <v>14</v>
      </c>
      <c r="R363" s="128">
        <v>0</v>
      </c>
      <c r="S363" s="128"/>
      <c r="T363" s="128">
        <f t="shared" si="346"/>
        <v>0</v>
      </c>
      <c r="U363" s="129">
        <f t="shared" si="344"/>
        <v>0</v>
      </c>
      <c r="V363" s="88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89"/>
      <c r="AM363" s="89"/>
      <c r="AN363" s="89"/>
      <c r="AO363" s="89"/>
      <c r="AP363" s="90"/>
      <c r="AQ363" s="91"/>
      <c r="AR363" s="92"/>
      <c r="AS363" s="90"/>
      <c r="AT363" s="130"/>
      <c r="AU363" s="93"/>
      <c r="AV363" s="93"/>
      <c r="AW363" s="93"/>
      <c r="AX363" s="93"/>
      <c r="AY363" s="93"/>
      <c r="AZ363" s="93"/>
      <c r="BA363" s="93"/>
      <c r="BB363" s="93"/>
      <c r="BC363" s="93"/>
      <c r="BD363" s="93"/>
      <c r="BE363" s="93"/>
      <c r="BF363" s="94"/>
      <c r="BG363" s="94"/>
      <c r="BH363" s="94"/>
      <c r="BI363" s="94"/>
      <c r="BJ363" s="94"/>
      <c r="BK363" s="94"/>
      <c r="BL363" s="94"/>
      <c r="BM363" s="94"/>
      <c r="BN363" s="94"/>
      <c r="BO363" s="94"/>
      <c r="BP363" s="94"/>
      <c r="BQ363" s="94"/>
      <c r="BR363" s="94"/>
      <c r="BS363" s="94"/>
      <c r="BT363" s="94"/>
      <c r="BU363" s="94"/>
      <c r="BV363" s="94"/>
      <c r="BW363" s="94"/>
      <c r="BX363" s="94"/>
      <c r="BY363" s="94"/>
      <c r="BZ363" s="94"/>
      <c r="CA363" s="94"/>
    </row>
    <row r="364" spans="1:79" ht="15" customHeight="1" x14ac:dyDescent="0.25">
      <c r="A364" s="22"/>
      <c r="B364" s="22">
        <v>335</v>
      </c>
      <c r="C364" s="121" t="s">
        <v>427</v>
      </c>
      <c r="D364" s="174">
        <v>2014</v>
      </c>
      <c r="E364" s="22" t="s">
        <v>738</v>
      </c>
      <c r="F364" s="22" t="s">
        <v>727</v>
      </c>
      <c r="G364" s="22" t="s">
        <v>95</v>
      </c>
      <c r="H364" s="22" t="s">
        <v>728</v>
      </c>
      <c r="I364" s="55">
        <v>48.45</v>
      </c>
      <c r="J364" s="55">
        <v>40</v>
      </c>
      <c r="K364" s="55">
        <f t="shared" si="327"/>
        <v>8.8450000000000006</v>
      </c>
      <c r="L364" s="55">
        <f t="shared" si="328"/>
        <v>97.295000000000002</v>
      </c>
      <c r="M364" s="55">
        <f t="shared" si="356"/>
        <v>97</v>
      </c>
      <c r="N364" s="56">
        <v>99</v>
      </c>
      <c r="O364" s="57">
        <f t="shared" si="345"/>
        <v>97.529849999999996</v>
      </c>
      <c r="P364" s="58">
        <f t="shared" si="329"/>
        <v>2</v>
      </c>
      <c r="Q364" s="59">
        <f t="shared" si="332"/>
        <v>16.5</v>
      </c>
      <c r="R364" s="60">
        <v>3</v>
      </c>
      <c r="S364" s="60"/>
      <c r="T364" s="60">
        <f t="shared" si="346"/>
        <v>0</v>
      </c>
      <c r="U364" s="61">
        <f t="shared" si="344"/>
        <v>3</v>
      </c>
      <c r="V364" s="62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1"/>
      <c r="AQ364" s="32"/>
      <c r="AR364" s="33"/>
      <c r="AS364" s="31"/>
      <c r="AT364" s="63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64"/>
      <c r="BT364" s="64"/>
      <c r="BU364" s="64"/>
      <c r="BV364" s="64"/>
      <c r="BW364" s="64"/>
      <c r="BX364" s="64"/>
      <c r="BY364" s="64"/>
      <c r="BZ364" s="64"/>
      <c r="CA364" s="64"/>
    </row>
    <row r="365" spans="1:79" s="54" customFormat="1" ht="15" customHeight="1" x14ac:dyDescent="0.25">
      <c r="A365" s="22"/>
      <c r="B365" s="22">
        <v>336</v>
      </c>
      <c r="C365" s="121" t="s">
        <v>427</v>
      </c>
      <c r="D365" s="174">
        <v>2012</v>
      </c>
      <c r="E365" s="22" t="s">
        <v>738</v>
      </c>
      <c r="F365" s="22" t="s">
        <v>727</v>
      </c>
      <c r="G365" s="22" t="s">
        <v>95</v>
      </c>
      <c r="H365" s="22" t="s">
        <v>728</v>
      </c>
      <c r="I365" s="55">
        <v>55</v>
      </c>
      <c r="J365" s="55">
        <v>50</v>
      </c>
      <c r="K365" s="55">
        <f t="shared" si="327"/>
        <v>10.5</v>
      </c>
      <c r="L365" s="55">
        <f t="shared" si="328"/>
        <v>115.5</v>
      </c>
      <c r="M365" s="55">
        <f t="shared" si="356"/>
        <v>116</v>
      </c>
      <c r="N365" s="56">
        <v>120</v>
      </c>
      <c r="O365" s="57">
        <f t="shared" si="345"/>
        <v>110.715</v>
      </c>
      <c r="P365" s="58">
        <f t="shared" si="329"/>
        <v>4</v>
      </c>
      <c r="Q365" s="59">
        <f t="shared" si="332"/>
        <v>20</v>
      </c>
      <c r="R365" s="60">
        <v>3</v>
      </c>
      <c r="S365" s="60"/>
      <c r="T365" s="60">
        <f t="shared" si="346"/>
        <v>0</v>
      </c>
      <c r="U365" s="61">
        <f t="shared" si="344"/>
        <v>3</v>
      </c>
      <c r="V365" s="62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1"/>
      <c r="AQ365" s="32"/>
      <c r="AR365" s="33"/>
      <c r="AS365" s="31"/>
      <c r="AT365" s="63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</row>
    <row r="366" spans="1:79" s="54" customFormat="1" ht="15" customHeight="1" x14ac:dyDescent="0.25">
      <c r="A366" s="22"/>
      <c r="B366" s="29">
        <v>337</v>
      </c>
      <c r="C366" s="121" t="s">
        <v>427</v>
      </c>
      <c r="D366" s="174">
        <v>2018</v>
      </c>
      <c r="E366" s="22" t="s">
        <v>739</v>
      </c>
      <c r="F366" s="22" t="s">
        <v>732</v>
      </c>
      <c r="G366" s="22" t="s">
        <v>95</v>
      </c>
      <c r="H366" s="22" t="s">
        <v>84</v>
      </c>
      <c r="I366" s="55">
        <v>51</v>
      </c>
      <c r="J366" s="55">
        <v>50</v>
      </c>
      <c r="K366" s="55">
        <f>(I366+J366)*0.1</f>
        <v>10.100000000000001</v>
      </c>
      <c r="L366" s="55">
        <f>SUM(I366:K366)</f>
        <v>111.1</v>
      </c>
      <c r="M366" s="55">
        <f>ROUND(L366,0)</f>
        <v>111</v>
      </c>
      <c r="N366" s="56">
        <v>124</v>
      </c>
      <c r="O366" s="57">
        <f t="shared" si="345"/>
        <v>102.66299999999998</v>
      </c>
      <c r="P366" s="58">
        <f>N366-M366</f>
        <v>13</v>
      </c>
      <c r="Q366" s="59">
        <f t="shared" si="332"/>
        <v>20.666666666666668</v>
      </c>
      <c r="R366" s="60"/>
      <c r="S366" s="60">
        <v>3</v>
      </c>
      <c r="T366" s="60">
        <f>W366+X366+Y366+Z366+AA366+AB366+AC366+AD366+AE366+AF366+AG366+AH366+AI366+AJ366+AK366+AL366+AM366+AN366+AO366+AP366+AQ366+AR366+AS366+AT366+AU366+AV366+AW366+AX366+AY366+AZ366+BA366+BB366+BC366+BD366+BE366+BF366+BG366+BH366+BI366+BJ366+BK366+BL366+BM366+BQ366+BR366+BS366+BT366</f>
        <v>0</v>
      </c>
      <c r="U366" s="61">
        <f>R366+S366-T366</f>
        <v>3</v>
      </c>
      <c r="V366" s="62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1"/>
      <c r="AQ366" s="32"/>
      <c r="AR366" s="33"/>
      <c r="AS366" s="31"/>
      <c r="AT366" s="63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</row>
    <row r="367" spans="1:79" s="54" customFormat="1" ht="15" customHeight="1" x14ac:dyDescent="0.25">
      <c r="A367" s="22"/>
      <c r="B367" s="22">
        <v>338</v>
      </c>
      <c r="C367" s="121" t="s">
        <v>427</v>
      </c>
      <c r="D367" s="174">
        <v>2014</v>
      </c>
      <c r="E367" s="22" t="s">
        <v>739</v>
      </c>
      <c r="F367" s="22" t="s">
        <v>732</v>
      </c>
      <c r="G367" s="22" t="s">
        <v>95</v>
      </c>
      <c r="H367" s="22" t="s">
        <v>84</v>
      </c>
      <c r="I367" s="55">
        <v>51</v>
      </c>
      <c r="J367" s="55">
        <v>50</v>
      </c>
      <c r="K367" s="55">
        <f t="shared" si="327"/>
        <v>10.100000000000001</v>
      </c>
      <c r="L367" s="55">
        <f t="shared" si="328"/>
        <v>111.1</v>
      </c>
      <c r="M367" s="55">
        <f t="shared" si="356"/>
        <v>111</v>
      </c>
      <c r="N367" s="56">
        <v>125</v>
      </c>
      <c r="O367" s="57">
        <f t="shared" si="345"/>
        <v>102.66299999999998</v>
      </c>
      <c r="P367" s="58">
        <f t="shared" si="329"/>
        <v>14</v>
      </c>
      <c r="Q367" s="59">
        <f t="shared" si="332"/>
        <v>20.833333333333332</v>
      </c>
      <c r="R367" s="60">
        <v>4</v>
      </c>
      <c r="S367" s="60"/>
      <c r="T367" s="60">
        <f t="shared" si="346"/>
        <v>0</v>
      </c>
      <c r="U367" s="61">
        <f t="shared" si="344"/>
        <v>4</v>
      </c>
      <c r="V367" s="62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1"/>
      <c r="AQ367" s="32"/>
      <c r="AR367" s="33"/>
      <c r="AS367" s="31"/>
      <c r="AT367" s="63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</row>
    <row r="368" spans="1:79" s="54" customFormat="1" ht="15" hidden="1" customHeight="1" x14ac:dyDescent="0.25">
      <c r="A368" s="22" t="s">
        <v>142</v>
      </c>
      <c r="B368" s="22">
        <v>339</v>
      </c>
      <c r="C368" s="121" t="s">
        <v>427</v>
      </c>
      <c r="D368" s="174">
        <v>2013</v>
      </c>
      <c r="E368" s="22" t="s">
        <v>739</v>
      </c>
      <c r="F368" s="22" t="s">
        <v>732</v>
      </c>
      <c r="G368" s="22" t="s">
        <v>95</v>
      </c>
      <c r="H368" s="22" t="s">
        <v>84</v>
      </c>
      <c r="I368" s="55">
        <v>51</v>
      </c>
      <c r="J368" s="55">
        <v>50</v>
      </c>
      <c r="K368" s="55">
        <f>(I368+J368)*0.1</f>
        <v>10.100000000000001</v>
      </c>
      <c r="L368" s="55">
        <f>SUM(I368:K368)</f>
        <v>111.1</v>
      </c>
      <c r="M368" s="55">
        <f>ROUND(L368,0)</f>
        <v>111</v>
      </c>
      <c r="N368" s="56">
        <v>126</v>
      </c>
      <c r="O368" s="57">
        <f t="shared" si="345"/>
        <v>102.66299999999998</v>
      </c>
      <c r="P368" s="58">
        <f>N368-M368</f>
        <v>15</v>
      </c>
      <c r="Q368" s="59">
        <f t="shared" si="332"/>
        <v>21</v>
      </c>
      <c r="R368" s="60">
        <v>2</v>
      </c>
      <c r="S368" s="60"/>
      <c r="T368" s="60">
        <f t="shared" si="346"/>
        <v>2</v>
      </c>
      <c r="U368" s="61">
        <f>R368+S368-T368</f>
        <v>0</v>
      </c>
      <c r="V368" s="62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1"/>
      <c r="AQ368" s="32"/>
      <c r="AR368" s="33"/>
      <c r="AS368" s="31"/>
      <c r="AT368" s="63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>
        <v>1</v>
      </c>
      <c r="BF368" s="64"/>
      <c r="BG368" s="64"/>
      <c r="BH368" s="64"/>
      <c r="BI368" s="64">
        <v>1</v>
      </c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5"/>
    </row>
    <row r="369" spans="1:79" s="54" customFormat="1" ht="15" customHeight="1" x14ac:dyDescent="0.25">
      <c r="A369" s="22"/>
      <c r="B369" s="22">
        <v>340</v>
      </c>
      <c r="C369" s="121" t="s">
        <v>427</v>
      </c>
      <c r="D369" s="174">
        <v>2009</v>
      </c>
      <c r="E369" s="22" t="s">
        <v>739</v>
      </c>
      <c r="F369" s="22" t="s">
        <v>732</v>
      </c>
      <c r="G369" s="22" t="s">
        <v>95</v>
      </c>
      <c r="H369" s="22" t="s">
        <v>84</v>
      </c>
      <c r="I369" s="55">
        <v>88.5</v>
      </c>
      <c r="J369" s="55">
        <v>70</v>
      </c>
      <c r="K369" s="55">
        <f>(I369+J369)*0.1</f>
        <v>15.850000000000001</v>
      </c>
      <c r="L369" s="55">
        <f>SUM(I369:K369)</f>
        <v>174.35</v>
      </c>
      <c r="M369" s="55">
        <f>ROUND(L369,0)</f>
        <v>174</v>
      </c>
      <c r="N369" s="56">
        <v>174</v>
      </c>
      <c r="O369" s="57">
        <f t="shared" si="345"/>
        <v>178.15049999999999</v>
      </c>
      <c r="P369" s="58">
        <f>N369-M369</f>
        <v>0</v>
      </c>
      <c r="Q369" s="59">
        <f t="shared" si="332"/>
        <v>29</v>
      </c>
      <c r="R369" s="60">
        <v>3</v>
      </c>
      <c r="S369" s="60"/>
      <c r="T369" s="60">
        <f t="shared" si="346"/>
        <v>0</v>
      </c>
      <c r="U369" s="61">
        <f>R369+S369-T369</f>
        <v>3</v>
      </c>
      <c r="V369" s="62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1"/>
      <c r="AQ369" s="32"/>
      <c r="AR369" s="33"/>
      <c r="AS369" s="31"/>
      <c r="AT369" s="63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</row>
    <row r="370" spans="1:79" ht="15" customHeight="1" x14ac:dyDescent="0.25">
      <c r="A370" s="22"/>
      <c r="B370" s="29">
        <v>341</v>
      </c>
      <c r="C370" s="121" t="s">
        <v>427</v>
      </c>
      <c r="D370" s="174">
        <v>2016</v>
      </c>
      <c r="E370" s="22" t="s">
        <v>739</v>
      </c>
      <c r="F370" s="22" t="s">
        <v>732</v>
      </c>
      <c r="G370" s="22" t="s">
        <v>95</v>
      </c>
      <c r="H370" s="22" t="s">
        <v>84</v>
      </c>
      <c r="I370" s="55">
        <v>51</v>
      </c>
      <c r="J370" s="55">
        <v>50</v>
      </c>
      <c r="K370" s="55">
        <f t="shared" si="327"/>
        <v>10.100000000000001</v>
      </c>
      <c r="L370" s="55">
        <f t="shared" si="328"/>
        <v>111.1</v>
      </c>
      <c r="M370" s="55">
        <f t="shared" si="356"/>
        <v>111</v>
      </c>
      <c r="N370" s="56">
        <v>280</v>
      </c>
      <c r="O370" s="57">
        <f t="shared" si="345"/>
        <v>102.66299999999998</v>
      </c>
      <c r="P370" s="58">
        <f t="shared" si="329"/>
        <v>169</v>
      </c>
      <c r="Q370" s="59">
        <f t="shared" si="332"/>
        <v>46.666666666666664</v>
      </c>
      <c r="R370" s="60">
        <v>1</v>
      </c>
      <c r="S370" s="60"/>
      <c r="T370" s="60">
        <f t="shared" si="346"/>
        <v>0</v>
      </c>
      <c r="U370" s="61">
        <f t="shared" ref="U370:U420" si="357">R370+S370-T370</f>
        <v>1</v>
      </c>
      <c r="V370" s="62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1"/>
      <c r="AQ370" s="32"/>
      <c r="AR370" s="33"/>
      <c r="AS370" s="31"/>
      <c r="AT370" s="63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64"/>
      <c r="BT370" s="64"/>
      <c r="BU370" s="64"/>
      <c r="BV370" s="64"/>
      <c r="BW370" s="64"/>
      <c r="BX370" s="64"/>
      <c r="BY370" s="64"/>
      <c r="BZ370" s="64"/>
      <c r="CA370" s="64"/>
    </row>
    <row r="371" spans="1:79" ht="15" customHeight="1" x14ac:dyDescent="0.25">
      <c r="A371" s="22"/>
      <c r="B371" s="22">
        <v>342</v>
      </c>
      <c r="C371" s="121" t="s">
        <v>427</v>
      </c>
      <c r="D371" s="174">
        <v>2012</v>
      </c>
      <c r="E371" s="22" t="s">
        <v>740</v>
      </c>
      <c r="F371" s="22" t="s">
        <v>732</v>
      </c>
      <c r="G371" s="22" t="s">
        <v>95</v>
      </c>
      <c r="H371" s="22" t="s">
        <v>84</v>
      </c>
      <c r="I371" s="55">
        <v>75</v>
      </c>
      <c r="J371" s="55">
        <v>70</v>
      </c>
      <c r="K371" s="55">
        <f>(I371+J371)*0.1</f>
        <v>14.5</v>
      </c>
      <c r="L371" s="55">
        <f>SUM(I371:K371)</f>
        <v>159.5</v>
      </c>
      <c r="M371" s="55">
        <f>ROUND(L371,0)</f>
        <v>160</v>
      </c>
      <c r="N371" s="56">
        <v>160</v>
      </c>
      <c r="O371" s="57">
        <f t="shared" si="345"/>
        <v>150.97499999999999</v>
      </c>
      <c r="P371" s="58">
        <f>N371-M371</f>
        <v>0</v>
      </c>
      <c r="Q371" s="59">
        <f t="shared" si="332"/>
        <v>26.666666666666668</v>
      </c>
      <c r="R371" s="60">
        <v>2</v>
      </c>
      <c r="S371" s="60"/>
      <c r="T371" s="60">
        <f t="shared" si="346"/>
        <v>0</v>
      </c>
      <c r="U371" s="61">
        <f>R371+S371-T371</f>
        <v>2</v>
      </c>
      <c r="V371" s="62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1"/>
      <c r="AQ371" s="32"/>
      <c r="AR371" s="33"/>
      <c r="AS371" s="31"/>
      <c r="AT371" s="63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64"/>
      <c r="BT371" s="64"/>
      <c r="BU371" s="64"/>
      <c r="BV371" s="64"/>
      <c r="BW371" s="64"/>
      <c r="BX371" s="64"/>
      <c r="BY371" s="64"/>
      <c r="BZ371" s="64"/>
      <c r="CA371" s="64"/>
    </row>
    <row r="372" spans="1:79" ht="15" customHeight="1" x14ac:dyDescent="0.25">
      <c r="A372" s="22"/>
      <c r="B372" s="22">
        <v>343</v>
      </c>
      <c r="C372" s="121" t="s">
        <v>427</v>
      </c>
      <c r="D372" s="174">
        <v>2011</v>
      </c>
      <c r="E372" s="22" t="s">
        <v>740</v>
      </c>
      <c r="F372" s="22" t="s">
        <v>732</v>
      </c>
      <c r="G372" s="22" t="s">
        <v>95</v>
      </c>
      <c r="H372" s="22" t="s">
        <v>84</v>
      </c>
      <c r="I372" s="55">
        <v>75</v>
      </c>
      <c r="J372" s="55">
        <v>70</v>
      </c>
      <c r="K372" s="55">
        <f>(I372+J372)*0.1</f>
        <v>14.5</v>
      </c>
      <c r="L372" s="55">
        <f>SUM(I372:K372)</f>
        <v>159.5</v>
      </c>
      <c r="M372" s="55">
        <f>ROUND(L372,0)</f>
        <v>160</v>
      </c>
      <c r="N372" s="56">
        <v>161</v>
      </c>
      <c r="O372" s="57">
        <f t="shared" ref="O372" si="358">I372*$O$2*1.22</f>
        <v>150.97499999999999</v>
      </c>
      <c r="P372" s="58">
        <f>N372-M372</f>
        <v>1</v>
      </c>
      <c r="Q372" s="59">
        <f t="shared" ref="Q372" si="359">N372/$Q$3</f>
        <v>26.833333333333332</v>
      </c>
      <c r="R372" s="60">
        <v>1</v>
      </c>
      <c r="S372" s="60"/>
      <c r="T372" s="60">
        <f t="shared" ref="T372" si="360">W372+X372+Y372+Z372+AA372+AB372+AC372+AD372+AE372+AF372+AG372+AH372+AI372+AJ372+AK372+AL372+AM372+AN372+AO372+AP372+AQ372+AR372+AS372+AT372+AU372+AV372+AW372+AX372+AY372+AZ372+BA372+BB372+BC372+BD372+BE372+BF372+BG372+BH372+BI372+BJ372+BK372+BL372+BM372+BQ372+BR372+BS372+BT372</f>
        <v>0</v>
      </c>
      <c r="U372" s="61">
        <f>R372+S372-T372</f>
        <v>1</v>
      </c>
      <c r="V372" s="62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1"/>
      <c r="AQ372" s="32"/>
      <c r="AR372" s="33"/>
      <c r="AS372" s="31"/>
      <c r="AT372" s="63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64"/>
      <c r="BT372" s="64"/>
      <c r="BU372" s="64"/>
      <c r="BV372" s="64"/>
      <c r="BW372" s="64"/>
      <c r="BX372" s="64"/>
      <c r="BY372" s="64"/>
      <c r="BZ372" s="64"/>
      <c r="CA372" s="64"/>
    </row>
    <row r="373" spans="1:79" ht="15" customHeight="1" x14ac:dyDescent="0.25">
      <c r="A373" s="22"/>
      <c r="B373" s="22">
        <v>343</v>
      </c>
      <c r="C373" s="121" t="s">
        <v>427</v>
      </c>
      <c r="D373" s="174">
        <v>2007</v>
      </c>
      <c r="E373" s="22" t="s">
        <v>741</v>
      </c>
      <c r="F373" s="22" t="s">
        <v>732</v>
      </c>
      <c r="G373" s="22" t="s">
        <v>95</v>
      </c>
      <c r="H373" s="22" t="s">
        <v>84</v>
      </c>
      <c r="I373" s="55">
        <v>81</v>
      </c>
      <c r="J373" s="55">
        <v>80</v>
      </c>
      <c r="K373" s="55">
        <f t="shared" si="327"/>
        <v>16.100000000000001</v>
      </c>
      <c r="L373" s="55">
        <f t="shared" si="328"/>
        <v>177.1</v>
      </c>
      <c r="M373" s="55">
        <f t="shared" si="356"/>
        <v>177</v>
      </c>
      <c r="N373" s="56">
        <v>190</v>
      </c>
      <c r="O373" s="57">
        <f t="shared" ref="O373:O399" si="361">I373*$O$2*1.22</f>
        <v>163.053</v>
      </c>
      <c r="P373" s="58">
        <f t="shared" si="329"/>
        <v>13</v>
      </c>
      <c r="Q373" s="59">
        <f t="shared" si="332"/>
        <v>31.666666666666668</v>
      </c>
      <c r="R373" s="60">
        <v>4</v>
      </c>
      <c r="S373" s="60"/>
      <c r="T373" s="60">
        <f t="shared" si="346"/>
        <v>0</v>
      </c>
      <c r="U373" s="61">
        <f t="shared" si="357"/>
        <v>4</v>
      </c>
      <c r="V373" s="62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1"/>
      <c r="AQ373" s="32"/>
      <c r="AR373" s="33"/>
      <c r="AS373" s="31"/>
      <c r="AT373" s="63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64"/>
      <c r="BT373" s="64"/>
      <c r="BU373" s="64"/>
      <c r="BV373" s="64"/>
      <c r="BW373" s="64"/>
      <c r="BX373" s="64"/>
      <c r="BY373" s="64"/>
      <c r="BZ373" s="64"/>
      <c r="CA373" s="64"/>
    </row>
    <row r="374" spans="1:79" s="54" customFormat="1" ht="15" customHeight="1" x14ac:dyDescent="0.25">
      <c r="A374" s="22"/>
      <c r="B374" s="22">
        <v>344</v>
      </c>
      <c r="C374" s="121" t="s">
        <v>427</v>
      </c>
      <c r="D374" s="174">
        <v>2014</v>
      </c>
      <c r="E374" s="22" t="s">
        <v>742</v>
      </c>
      <c r="F374" s="22" t="s">
        <v>732</v>
      </c>
      <c r="G374" s="22" t="s">
        <v>95</v>
      </c>
      <c r="H374" s="22" t="s">
        <v>84</v>
      </c>
      <c r="I374" s="55">
        <v>59</v>
      </c>
      <c r="J374" s="55">
        <v>60</v>
      </c>
      <c r="K374" s="55">
        <f t="shared" si="327"/>
        <v>11.9</v>
      </c>
      <c r="L374" s="55">
        <f t="shared" si="328"/>
        <v>130.9</v>
      </c>
      <c r="M374" s="55">
        <f t="shared" si="356"/>
        <v>131</v>
      </c>
      <c r="N374" s="56">
        <v>127</v>
      </c>
      <c r="O374" s="57">
        <f t="shared" si="361"/>
        <v>118.767</v>
      </c>
      <c r="P374" s="58">
        <f t="shared" si="329"/>
        <v>-4</v>
      </c>
      <c r="Q374" s="59">
        <f t="shared" si="332"/>
        <v>21.166666666666668</v>
      </c>
      <c r="R374" s="60">
        <v>5</v>
      </c>
      <c r="S374" s="60"/>
      <c r="T374" s="60">
        <f t="shared" si="346"/>
        <v>0</v>
      </c>
      <c r="U374" s="61">
        <f t="shared" si="357"/>
        <v>5</v>
      </c>
      <c r="V374" s="62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1"/>
      <c r="AQ374" s="32"/>
      <c r="AR374" s="33"/>
      <c r="AS374" s="31"/>
      <c r="AT374" s="63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64"/>
      <c r="BG374" s="64"/>
      <c r="BH374" s="64"/>
      <c r="BI374" s="64"/>
      <c r="BJ374" s="64"/>
      <c r="BK374" s="64"/>
      <c r="BL374" s="64"/>
      <c r="BM374" s="64"/>
      <c r="BN374" s="64">
        <v>1</v>
      </c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</row>
    <row r="375" spans="1:79" s="54" customFormat="1" ht="15" customHeight="1" x14ac:dyDescent="0.25">
      <c r="A375" s="22"/>
      <c r="B375" s="29">
        <v>345</v>
      </c>
      <c r="C375" s="121" t="s">
        <v>427</v>
      </c>
      <c r="D375" s="174">
        <v>2018</v>
      </c>
      <c r="E375" s="22" t="s">
        <v>742</v>
      </c>
      <c r="F375" s="22" t="s">
        <v>732</v>
      </c>
      <c r="G375" s="22" t="s">
        <v>95</v>
      </c>
      <c r="H375" s="22" t="s">
        <v>84</v>
      </c>
      <c r="I375" s="55">
        <v>59</v>
      </c>
      <c r="J375" s="55">
        <v>60</v>
      </c>
      <c r="K375" s="55">
        <f>(I375+J375)*0.1</f>
        <v>11.9</v>
      </c>
      <c r="L375" s="55">
        <f>SUM(I375:K375)</f>
        <v>130.9</v>
      </c>
      <c r="M375" s="55">
        <f>ROUND(L375,0)</f>
        <v>131</v>
      </c>
      <c r="N375" s="56">
        <v>128</v>
      </c>
      <c r="O375" s="57">
        <f t="shared" si="361"/>
        <v>118.767</v>
      </c>
      <c r="P375" s="58">
        <f>N375-M375</f>
        <v>-3</v>
      </c>
      <c r="Q375" s="59">
        <f t="shared" si="332"/>
        <v>21.333333333333332</v>
      </c>
      <c r="R375" s="60">
        <v>3</v>
      </c>
      <c r="S375" s="60"/>
      <c r="T375" s="60">
        <f t="shared" si="346"/>
        <v>0</v>
      </c>
      <c r="U375" s="61">
        <f>R375+S375-T375</f>
        <v>3</v>
      </c>
      <c r="V375" s="62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1"/>
      <c r="AQ375" s="32"/>
      <c r="AR375" s="33"/>
      <c r="AS375" s="31"/>
      <c r="AT375" s="63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</row>
    <row r="376" spans="1:79" s="54" customFormat="1" ht="15" customHeight="1" x14ac:dyDescent="0.25">
      <c r="A376" s="22"/>
      <c r="B376" s="22">
        <v>346</v>
      </c>
      <c r="C376" s="121" t="s">
        <v>427</v>
      </c>
      <c r="D376" s="174">
        <v>2009</v>
      </c>
      <c r="E376" s="22" t="s">
        <v>743</v>
      </c>
      <c r="F376" s="22" t="s">
        <v>732</v>
      </c>
      <c r="G376" s="22" t="s">
        <v>95</v>
      </c>
      <c r="H376" s="22" t="s">
        <v>84</v>
      </c>
      <c r="I376" s="55">
        <v>75</v>
      </c>
      <c r="J376" s="55">
        <v>75</v>
      </c>
      <c r="K376" s="55">
        <f t="shared" si="327"/>
        <v>15</v>
      </c>
      <c r="L376" s="55">
        <f t="shared" si="328"/>
        <v>165</v>
      </c>
      <c r="M376" s="55">
        <f t="shared" si="356"/>
        <v>165</v>
      </c>
      <c r="N376" s="56">
        <v>183</v>
      </c>
      <c r="O376" s="57">
        <f t="shared" si="361"/>
        <v>150.97499999999999</v>
      </c>
      <c r="P376" s="58">
        <f t="shared" si="329"/>
        <v>18</v>
      </c>
      <c r="Q376" s="59">
        <f t="shared" si="332"/>
        <v>30.5</v>
      </c>
      <c r="R376" s="60">
        <v>1</v>
      </c>
      <c r="S376" s="60"/>
      <c r="T376" s="60">
        <f t="shared" si="346"/>
        <v>0</v>
      </c>
      <c r="U376" s="61">
        <f t="shared" si="357"/>
        <v>1</v>
      </c>
      <c r="V376" s="62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1"/>
      <c r="AQ376" s="32"/>
      <c r="AR376" s="33"/>
      <c r="AS376" s="31"/>
      <c r="AT376" s="63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</row>
    <row r="377" spans="1:79" s="54" customFormat="1" ht="15" customHeight="1" x14ac:dyDescent="0.25">
      <c r="A377" s="22"/>
      <c r="B377" s="22">
        <v>347</v>
      </c>
      <c r="C377" s="121" t="s">
        <v>427</v>
      </c>
      <c r="D377" s="174">
        <v>2018</v>
      </c>
      <c r="E377" s="22" t="s">
        <v>744</v>
      </c>
      <c r="F377" s="22" t="s">
        <v>745</v>
      </c>
      <c r="G377" s="22" t="s">
        <v>95</v>
      </c>
      <c r="H377" s="22" t="s">
        <v>84</v>
      </c>
      <c r="I377" s="55">
        <v>28</v>
      </c>
      <c r="J377" s="55">
        <f>IF(I377&lt;=15,$L$2,$L$3)</f>
        <v>30</v>
      </c>
      <c r="K377" s="55">
        <f t="shared" si="327"/>
        <v>5.8000000000000007</v>
      </c>
      <c r="L377" s="55">
        <f t="shared" si="328"/>
        <v>63.8</v>
      </c>
      <c r="M377" s="55">
        <f t="shared" si="356"/>
        <v>64</v>
      </c>
      <c r="N377" s="56">
        <v>62</v>
      </c>
      <c r="O377" s="57">
        <f t="shared" si="361"/>
        <v>56.36399999999999</v>
      </c>
      <c r="P377" s="58">
        <f t="shared" si="329"/>
        <v>-2</v>
      </c>
      <c r="Q377" s="59">
        <f t="shared" si="332"/>
        <v>10.333333333333334</v>
      </c>
      <c r="R377" s="60">
        <v>7</v>
      </c>
      <c r="S377" s="60"/>
      <c r="T377" s="60">
        <f t="shared" si="346"/>
        <v>2</v>
      </c>
      <c r="U377" s="61">
        <f t="shared" si="357"/>
        <v>5</v>
      </c>
      <c r="V377" s="62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1"/>
      <c r="AQ377" s="32"/>
      <c r="AR377" s="33"/>
      <c r="AS377" s="31"/>
      <c r="AT377" s="63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64"/>
      <c r="BG377" s="64"/>
      <c r="BH377" s="64"/>
      <c r="BI377" s="64"/>
      <c r="BJ377" s="64"/>
      <c r="BK377" s="64">
        <v>1</v>
      </c>
      <c r="BL377" s="64"/>
      <c r="BM377" s="64"/>
      <c r="BN377" s="64"/>
      <c r="BO377" s="64"/>
      <c r="BP377" s="64"/>
      <c r="BQ377" s="64"/>
      <c r="BR377" s="64">
        <v>1</v>
      </c>
      <c r="BS377" s="64"/>
      <c r="BT377" s="64"/>
      <c r="BU377" s="64"/>
      <c r="BV377" s="64"/>
      <c r="BW377" s="64"/>
      <c r="BX377" s="64"/>
      <c r="BY377" s="64"/>
      <c r="BZ377" s="64"/>
      <c r="CA377" s="64"/>
    </row>
    <row r="378" spans="1:79" s="54" customFormat="1" ht="15" customHeight="1" x14ac:dyDescent="0.25">
      <c r="A378" s="22"/>
      <c r="B378" s="22">
        <v>348</v>
      </c>
      <c r="C378" s="121" t="s">
        <v>427</v>
      </c>
      <c r="D378" s="174">
        <v>2012</v>
      </c>
      <c r="E378" s="22" t="s">
        <v>746</v>
      </c>
      <c r="F378" s="22" t="s">
        <v>747</v>
      </c>
      <c r="G378" s="22" t="s">
        <v>95</v>
      </c>
      <c r="H378" s="22" t="s">
        <v>748</v>
      </c>
      <c r="I378" s="55">
        <v>110</v>
      </c>
      <c r="J378" s="55">
        <v>90</v>
      </c>
      <c r="K378" s="55">
        <f>(I378+J378)*0.1</f>
        <v>20</v>
      </c>
      <c r="L378" s="55">
        <f>SUM(I378:K378)</f>
        <v>220</v>
      </c>
      <c r="M378" s="55">
        <f>ROUND(L378,0)</f>
        <v>220</v>
      </c>
      <c r="N378" s="56">
        <v>220</v>
      </c>
      <c r="O378" s="57">
        <f t="shared" si="361"/>
        <v>221.43</v>
      </c>
      <c r="P378" s="58">
        <f>N378-M378</f>
        <v>0</v>
      </c>
      <c r="Q378" s="59">
        <f t="shared" si="332"/>
        <v>36.666666666666664</v>
      </c>
      <c r="R378" s="60">
        <v>6</v>
      </c>
      <c r="S378" s="60"/>
      <c r="T378" s="60">
        <f t="shared" si="346"/>
        <v>0</v>
      </c>
      <c r="U378" s="61">
        <f>R378+S378-T378</f>
        <v>6</v>
      </c>
      <c r="V378" s="62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1"/>
      <c r="AQ378" s="32"/>
      <c r="AR378" s="33"/>
      <c r="AS378" s="31"/>
      <c r="AT378" s="63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</row>
    <row r="379" spans="1:79" s="54" customFormat="1" ht="15" customHeight="1" x14ac:dyDescent="0.25">
      <c r="A379" s="22"/>
      <c r="B379" s="29">
        <v>349</v>
      </c>
      <c r="C379" s="121" t="s">
        <v>427</v>
      </c>
      <c r="D379" s="174">
        <v>2018</v>
      </c>
      <c r="E379" s="22" t="s">
        <v>749</v>
      </c>
      <c r="F379" s="22" t="s">
        <v>750</v>
      </c>
      <c r="G379" s="22" t="s">
        <v>95</v>
      </c>
      <c r="H379" s="22" t="s">
        <v>171</v>
      </c>
      <c r="I379" s="55">
        <v>33</v>
      </c>
      <c r="J379" s="55">
        <v>30</v>
      </c>
      <c r="K379" s="55">
        <f>(I379+J379)*0.1</f>
        <v>6.3000000000000007</v>
      </c>
      <c r="L379" s="55">
        <f>SUM(I379:K379)</f>
        <v>69.3</v>
      </c>
      <c r="M379" s="55">
        <f>ROUND(L379,0)</f>
        <v>69</v>
      </c>
      <c r="N379" s="56">
        <v>69</v>
      </c>
      <c r="O379" s="57">
        <f t="shared" si="361"/>
        <v>66.428999999999988</v>
      </c>
      <c r="P379" s="58">
        <f>N379-M379</f>
        <v>0</v>
      </c>
      <c r="Q379" s="59">
        <f t="shared" si="332"/>
        <v>11.5</v>
      </c>
      <c r="R379" s="60">
        <v>0</v>
      </c>
      <c r="S379" s="60">
        <f>6+12+6+6</f>
        <v>30</v>
      </c>
      <c r="T379" s="60">
        <f>W379+X379+Y379+Z379+AA379+AB379+AC379+AD379+AE379+AF379+AG379+AH379+AI379+AJ379+AK379+AL379+AM379+AN379+AO379+AP379+AQ379+AR379+AS379+AT379+AU379+AV379+AW379+AX379+AY379+AZ379+BA379+BB379+BC379+BD379+BE379+BF379+BG379+BH379+BI379+BJ379+BK379+BL379+BM379+BQ379+BR379+BS379+BT379</f>
        <v>13</v>
      </c>
      <c r="U379" s="61">
        <f>R379+S379-T379</f>
        <v>17</v>
      </c>
      <c r="V379" s="62"/>
      <c r="W379" s="30"/>
      <c r="X379" s="30"/>
      <c r="Y379" s="30"/>
      <c r="Z379" s="30"/>
      <c r="AA379" s="30"/>
      <c r="AB379" s="30"/>
      <c r="AC379" s="30">
        <v>1</v>
      </c>
      <c r="AD379" s="30"/>
      <c r="AE379" s="30"/>
      <c r="AF379" s="30"/>
      <c r="AG379" s="30"/>
      <c r="AH379" s="30">
        <v>1</v>
      </c>
      <c r="AI379" s="30"/>
      <c r="AJ379" s="30"/>
      <c r="AK379" s="30"/>
      <c r="AL379" s="30"/>
      <c r="AM379" s="30"/>
      <c r="AN379" s="30"/>
      <c r="AO379" s="30"/>
      <c r="AP379" s="31">
        <v>2</v>
      </c>
      <c r="AQ379" s="32"/>
      <c r="AR379" s="33"/>
      <c r="AS379" s="31"/>
      <c r="AT379" s="63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64">
        <v>5</v>
      </c>
      <c r="BG379" s="64">
        <v>1</v>
      </c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>
        <v>1</v>
      </c>
      <c r="BS379" s="64"/>
      <c r="BT379" s="64">
        <v>2</v>
      </c>
      <c r="BU379" s="64"/>
      <c r="BV379" s="64"/>
      <c r="BW379" s="64"/>
      <c r="BX379" s="64"/>
      <c r="BY379" s="64"/>
      <c r="BZ379" s="64"/>
      <c r="CA379" s="64"/>
    </row>
    <row r="380" spans="1:79" s="54" customFormat="1" ht="15" customHeight="1" x14ac:dyDescent="0.25">
      <c r="A380" s="22"/>
      <c r="B380" s="29">
        <v>350</v>
      </c>
      <c r="C380" s="121" t="s">
        <v>427</v>
      </c>
      <c r="D380" s="174">
        <v>2020</v>
      </c>
      <c r="E380" s="22" t="s">
        <v>751</v>
      </c>
      <c r="F380" s="22" t="s">
        <v>750</v>
      </c>
      <c r="G380" s="22" t="s">
        <v>95</v>
      </c>
      <c r="H380" s="22" t="s">
        <v>171</v>
      </c>
      <c r="I380" s="55">
        <v>21</v>
      </c>
      <c r="J380" s="55">
        <v>30</v>
      </c>
      <c r="K380" s="55">
        <f>(I380+J380)*0.1</f>
        <v>5.1000000000000005</v>
      </c>
      <c r="L380" s="55">
        <f>SUM(I380:K380)</f>
        <v>56.1</v>
      </c>
      <c r="M380" s="55">
        <f>ROUND(L380,0)</f>
        <v>56</v>
      </c>
      <c r="N380" s="56">
        <v>56</v>
      </c>
      <c r="O380" s="57">
        <f t="shared" ref="O380" si="362">I380*$O$2*1.22</f>
        <v>42.272999999999996</v>
      </c>
      <c r="P380" s="58">
        <f>N380-M380</f>
        <v>0</v>
      </c>
      <c r="Q380" s="59">
        <f t="shared" ref="Q380" si="363">N380/$Q$3</f>
        <v>9.3333333333333339</v>
      </c>
      <c r="R380" s="60">
        <v>0</v>
      </c>
      <c r="S380" s="60">
        <f>6+6+3</f>
        <v>15</v>
      </c>
      <c r="T380" s="60">
        <f>W380+X380+Y380+Z380+AA380+AB380+AC380+AD380+AE380+AF380+AG380+AH380+AI380+AJ380+AK380+AL380+AM380+AN380+AO380+AP380+AQ380+AR380+AS380+AT380+AU380+AV380+AW380+AX380+AY380+AZ380+BA380+BB380+BC380+BD380+BE380+BF380+BG380+BH380+BI380+BJ380+BK380+BL380+BM380+BQ380+BR380+BS380+BT380</f>
        <v>7</v>
      </c>
      <c r="U380" s="61">
        <f>R380+S380-T380</f>
        <v>8</v>
      </c>
      <c r="V380" s="62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1"/>
      <c r="AQ380" s="32">
        <v>1</v>
      </c>
      <c r="AR380" s="33"/>
      <c r="AS380" s="31"/>
      <c r="AT380" s="63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64"/>
      <c r="BG380" s="64">
        <v>3</v>
      </c>
      <c r="BH380" s="64"/>
      <c r="BI380" s="64"/>
      <c r="BJ380" s="64"/>
      <c r="BK380" s="64">
        <v>3</v>
      </c>
      <c r="BL380" s="64"/>
      <c r="BM380" s="64"/>
      <c r="BN380" s="64">
        <v>3</v>
      </c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</row>
    <row r="381" spans="1:79" ht="15" customHeight="1" x14ac:dyDescent="0.25">
      <c r="A381" s="22"/>
      <c r="B381" s="22">
        <v>350</v>
      </c>
      <c r="C381" s="121" t="s">
        <v>427</v>
      </c>
      <c r="D381" s="174">
        <v>2009</v>
      </c>
      <c r="E381" s="22" t="s">
        <v>752</v>
      </c>
      <c r="F381" s="22" t="s">
        <v>732</v>
      </c>
      <c r="G381" s="22" t="s">
        <v>95</v>
      </c>
      <c r="H381" s="22" t="s">
        <v>84</v>
      </c>
      <c r="I381" s="55">
        <v>155</v>
      </c>
      <c r="J381" s="55">
        <v>150</v>
      </c>
      <c r="K381" s="55">
        <f t="shared" si="327"/>
        <v>30.5</v>
      </c>
      <c r="L381" s="55">
        <f t="shared" si="328"/>
        <v>335.5</v>
      </c>
      <c r="M381" s="55">
        <f t="shared" si="356"/>
        <v>336</v>
      </c>
      <c r="N381" s="56">
        <v>336</v>
      </c>
      <c r="O381" s="57">
        <f t="shared" si="361"/>
        <v>312.01499999999999</v>
      </c>
      <c r="P381" s="58">
        <f t="shared" si="329"/>
        <v>0</v>
      </c>
      <c r="Q381" s="59">
        <f t="shared" si="332"/>
        <v>56</v>
      </c>
      <c r="R381" s="60">
        <v>2</v>
      </c>
      <c r="S381" s="60"/>
      <c r="T381" s="60">
        <f t="shared" si="346"/>
        <v>0</v>
      </c>
      <c r="U381" s="61">
        <f t="shared" si="357"/>
        <v>2</v>
      </c>
      <c r="V381" s="62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1"/>
      <c r="AQ381" s="32"/>
      <c r="AR381" s="33"/>
      <c r="AS381" s="31"/>
      <c r="AT381" s="63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64"/>
      <c r="BT381" s="64"/>
      <c r="BU381" s="64"/>
      <c r="BV381" s="64"/>
      <c r="BW381" s="64"/>
      <c r="BX381" s="64"/>
      <c r="BY381" s="64"/>
      <c r="BZ381" s="64"/>
      <c r="CA381" s="64"/>
    </row>
    <row r="382" spans="1:79" ht="15" customHeight="1" x14ac:dyDescent="0.25">
      <c r="A382" s="22"/>
      <c r="B382" s="22">
        <v>351</v>
      </c>
      <c r="C382" s="121" t="s">
        <v>427</v>
      </c>
      <c r="D382" s="174">
        <v>2018</v>
      </c>
      <c r="E382" s="22" t="s">
        <v>753</v>
      </c>
      <c r="F382" s="22" t="s">
        <v>754</v>
      </c>
      <c r="G382" s="22" t="s">
        <v>95</v>
      </c>
      <c r="H382" s="22" t="s">
        <v>84</v>
      </c>
      <c r="I382" s="55">
        <v>35.75</v>
      </c>
      <c r="J382" s="55">
        <f t="shared" ref="J382:J387" si="364">IF(I382&lt;=15,$L$2,$L$3)</f>
        <v>30</v>
      </c>
      <c r="K382" s="55">
        <f t="shared" si="327"/>
        <v>6.5750000000000002</v>
      </c>
      <c r="L382" s="55">
        <f t="shared" si="328"/>
        <v>72.325000000000003</v>
      </c>
      <c r="M382" s="55">
        <f t="shared" si="356"/>
        <v>72</v>
      </c>
      <c r="N382" s="56">
        <v>72</v>
      </c>
      <c r="O382" s="57">
        <f t="shared" si="361"/>
        <v>71.964749999999995</v>
      </c>
      <c r="P382" s="58">
        <f t="shared" si="329"/>
        <v>0</v>
      </c>
      <c r="Q382" s="59">
        <f t="shared" si="332"/>
        <v>12</v>
      </c>
      <c r="R382" s="60">
        <v>7</v>
      </c>
      <c r="S382" s="60"/>
      <c r="T382" s="60">
        <f t="shared" si="346"/>
        <v>6</v>
      </c>
      <c r="U382" s="61">
        <f t="shared" si="357"/>
        <v>1</v>
      </c>
      <c r="V382" s="88"/>
      <c r="W382" s="89"/>
      <c r="X382" s="89"/>
      <c r="Y382" s="89"/>
      <c r="Z382" s="89">
        <v>1</v>
      </c>
      <c r="AA382" s="89"/>
      <c r="AB382" s="89"/>
      <c r="AC382" s="89"/>
      <c r="AD382" s="89"/>
      <c r="AE382" s="89"/>
      <c r="AF382" s="89"/>
      <c r="AG382" s="89">
        <v>1</v>
      </c>
      <c r="AH382" s="89"/>
      <c r="AI382" s="89"/>
      <c r="AJ382" s="89"/>
      <c r="AK382" s="89"/>
      <c r="AL382" s="89"/>
      <c r="AM382" s="89"/>
      <c r="AN382" s="89"/>
      <c r="AO382" s="89"/>
      <c r="AP382" s="90"/>
      <c r="AQ382" s="91"/>
      <c r="AR382" s="92"/>
      <c r="AS382" s="90"/>
      <c r="AT382" s="63"/>
      <c r="AU382" s="93"/>
      <c r="AV382" s="93">
        <v>1</v>
      </c>
      <c r="AW382" s="93">
        <v>1</v>
      </c>
      <c r="AX382" s="34"/>
      <c r="AY382" s="34"/>
      <c r="AZ382" s="34"/>
      <c r="BA382" s="34"/>
      <c r="BB382" s="34"/>
      <c r="BC382" s="34"/>
      <c r="BD382" s="34"/>
      <c r="BE382" s="34"/>
      <c r="BF382" s="64"/>
      <c r="BM382" s="64">
        <v>1</v>
      </c>
      <c r="BT382" s="64">
        <v>1</v>
      </c>
      <c r="BU382" s="64"/>
      <c r="BV382" s="64"/>
      <c r="BW382" s="64"/>
      <c r="BX382" s="64"/>
      <c r="BY382" s="64"/>
      <c r="BZ382" s="64"/>
      <c r="CA382" s="64"/>
    </row>
    <row r="383" spans="1:79" ht="15" customHeight="1" x14ac:dyDescent="0.25">
      <c r="A383" s="22"/>
      <c r="B383" s="22">
        <v>352</v>
      </c>
      <c r="C383" s="121" t="s">
        <v>427</v>
      </c>
      <c r="D383" s="174">
        <v>2017</v>
      </c>
      <c r="E383" s="22" t="s">
        <v>755</v>
      </c>
      <c r="F383" s="22" t="s">
        <v>756</v>
      </c>
      <c r="G383" s="22" t="s">
        <v>95</v>
      </c>
      <c r="H383" s="22" t="s">
        <v>84</v>
      </c>
      <c r="I383" s="55">
        <v>26</v>
      </c>
      <c r="J383" s="55">
        <f t="shared" si="364"/>
        <v>30</v>
      </c>
      <c r="K383" s="55">
        <f t="shared" ref="K383:K472" si="365">(I383+J383)*0.1</f>
        <v>5.6000000000000005</v>
      </c>
      <c r="L383" s="55">
        <f t="shared" ref="L383:L472" si="366">SUM(I383:K383)</f>
        <v>61.6</v>
      </c>
      <c r="M383" s="55">
        <f t="shared" si="356"/>
        <v>62</v>
      </c>
      <c r="N383" s="56">
        <v>62</v>
      </c>
      <c r="O383" s="57">
        <f t="shared" si="361"/>
        <v>52.337999999999994</v>
      </c>
      <c r="P383" s="58">
        <f t="shared" ref="P383:P472" si="367">N383-M383</f>
        <v>0</v>
      </c>
      <c r="Q383" s="59">
        <f t="shared" si="332"/>
        <v>10.333333333333334</v>
      </c>
      <c r="R383" s="60">
        <v>1</v>
      </c>
      <c r="S383" s="60">
        <v>3</v>
      </c>
      <c r="T383" s="60">
        <f t="shared" si="346"/>
        <v>0</v>
      </c>
      <c r="U383" s="61">
        <f t="shared" si="357"/>
        <v>4</v>
      </c>
      <c r="V383" s="88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  <c r="AL383" s="89"/>
      <c r="AM383" s="89"/>
      <c r="AN383" s="89"/>
      <c r="AO383" s="89"/>
      <c r="AP383" s="90"/>
      <c r="AQ383" s="91"/>
      <c r="AR383" s="92"/>
      <c r="AS383" s="90"/>
      <c r="AT383" s="63"/>
      <c r="AU383" s="93"/>
      <c r="AV383" s="93"/>
      <c r="AW383" s="93"/>
      <c r="AX383" s="34"/>
      <c r="AY383" s="34"/>
      <c r="AZ383" s="34"/>
      <c r="BA383" s="34"/>
      <c r="BB383" s="34"/>
      <c r="BC383" s="34"/>
      <c r="BD383" s="34"/>
      <c r="BE383" s="34"/>
      <c r="BF383" s="64"/>
      <c r="BT383" s="64"/>
      <c r="BU383" s="64"/>
      <c r="BV383" s="64"/>
      <c r="BW383" s="64"/>
      <c r="BX383" s="64"/>
      <c r="BY383" s="64"/>
      <c r="BZ383" s="64"/>
      <c r="CA383" s="64"/>
    </row>
    <row r="384" spans="1:79" ht="15" customHeight="1" x14ac:dyDescent="0.25">
      <c r="A384" s="22"/>
      <c r="B384" s="29">
        <v>353</v>
      </c>
      <c r="C384" s="121" t="s">
        <v>427</v>
      </c>
      <c r="D384" s="174">
        <v>2015</v>
      </c>
      <c r="E384" s="22" t="s">
        <v>757</v>
      </c>
      <c r="F384" s="22" t="s">
        <v>758</v>
      </c>
      <c r="G384" s="22" t="s">
        <v>95</v>
      </c>
      <c r="H384" s="22" t="s">
        <v>78</v>
      </c>
      <c r="I384" s="55">
        <v>28.9</v>
      </c>
      <c r="J384" s="55">
        <f t="shared" si="364"/>
        <v>30</v>
      </c>
      <c r="K384" s="55">
        <f>(I384+J384)*0.1</f>
        <v>5.8900000000000006</v>
      </c>
      <c r="L384" s="55">
        <f>SUM(I384:K384)</f>
        <v>64.789999999999992</v>
      </c>
      <c r="M384" s="55">
        <f>ROUND(L384,0)</f>
        <v>65</v>
      </c>
      <c r="N384" s="81">
        <v>65</v>
      </c>
      <c r="O384" s="57">
        <f>I384*$O$2*1.22</f>
        <v>58.175699999999992</v>
      </c>
      <c r="P384" s="58">
        <f>N384-M384</f>
        <v>0</v>
      </c>
      <c r="Q384" s="59">
        <f>N384/$Q$3</f>
        <v>10.833333333333334</v>
      </c>
      <c r="R384" s="60"/>
      <c r="S384" s="60">
        <f>6+3+6</f>
        <v>15</v>
      </c>
      <c r="T384" s="60">
        <f>W384+X384+Y384+Z384+AA384+AB384+AC384+AD384+AE384+AF384+AG384+AH384+AI384+AJ384+AK384+AL384+AM384+AN384+AO384+AP384+AQ384+AR384+AS384+AT384+AU384+AV384+AW384+AX384+AY384+AZ384+BA384+BB384+BC384+BD384+BE384+BF384+BG384+BH384+BI384+BJ384+BK384+BL384+BM384+BQ384+BR384+BS384+BT384</f>
        <v>8</v>
      </c>
      <c r="U384" s="61">
        <f>R384+S384-T384</f>
        <v>7</v>
      </c>
      <c r="V384" s="88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  <c r="AL384" s="89"/>
      <c r="AM384" s="89"/>
      <c r="AN384" s="89"/>
      <c r="AO384" s="89"/>
      <c r="AP384" s="90"/>
      <c r="AQ384" s="91"/>
      <c r="AR384" s="92"/>
      <c r="AS384" s="90"/>
      <c r="AT384" s="63"/>
      <c r="AU384" s="93"/>
      <c r="AV384" s="93"/>
      <c r="AW384" s="93"/>
      <c r="AX384" s="34"/>
      <c r="AY384" s="34"/>
      <c r="AZ384" s="34"/>
      <c r="BA384" s="34">
        <v>1</v>
      </c>
      <c r="BB384" s="34">
        <v>1</v>
      </c>
      <c r="BC384" s="34"/>
      <c r="BD384" s="34"/>
      <c r="BE384" s="34"/>
      <c r="BF384" s="64"/>
      <c r="BK384" s="64">
        <v>1</v>
      </c>
      <c r="BM384" s="64">
        <v>1</v>
      </c>
      <c r="BT384" s="64">
        <v>4</v>
      </c>
      <c r="BU384" s="64"/>
      <c r="BV384" s="64"/>
      <c r="BW384" s="64"/>
      <c r="BX384" s="64"/>
      <c r="BY384" s="64"/>
      <c r="BZ384" s="64"/>
      <c r="CA384" s="64"/>
    </row>
    <row r="385" spans="1:79" ht="15" customHeight="1" x14ac:dyDescent="0.25">
      <c r="A385" s="67"/>
      <c r="B385" s="22">
        <v>354</v>
      </c>
      <c r="C385" s="121" t="s">
        <v>427</v>
      </c>
      <c r="D385" s="174">
        <v>2019</v>
      </c>
      <c r="E385" s="22" t="s">
        <v>759</v>
      </c>
      <c r="F385" s="22" t="s">
        <v>760</v>
      </c>
      <c r="G385" s="22" t="s">
        <v>451</v>
      </c>
      <c r="H385" s="22" t="s">
        <v>84</v>
      </c>
      <c r="I385" s="55">
        <v>15.8</v>
      </c>
      <c r="J385" s="55">
        <f t="shared" si="364"/>
        <v>30</v>
      </c>
      <c r="K385" s="55">
        <f t="shared" si="365"/>
        <v>4.58</v>
      </c>
      <c r="L385" s="55">
        <f t="shared" si="366"/>
        <v>50.379999999999995</v>
      </c>
      <c r="M385" s="55">
        <f t="shared" si="356"/>
        <v>50</v>
      </c>
      <c r="N385" s="56">
        <v>42</v>
      </c>
      <c r="O385" s="57">
        <f t="shared" si="361"/>
        <v>31.805399999999999</v>
      </c>
      <c r="P385" s="58">
        <f t="shared" si="367"/>
        <v>-8</v>
      </c>
      <c r="Q385" s="59">
        <f t="shared" si="332"/>
        <v>7</v>
      </c>
      <c r="R385" s="60">
        <v>13</v>
      </c>
      <c r="S385" s="60">
        <v>6</v>
      </c>
      <c r="T385" s="60">
        <f t="shared" si="346"/>
        <v>11</v>
      </c>
      <c r="U385" s="61">
        <f t="shared" si="357"/>
        <v>8</v>
      </c>
      <c r="V385" s="62"/>
      <c r="W385" s="30"/>
      <c r="X385" s="30"/>
      <c r="Y385" s="30">
        <v>3</v>
      </c>
      <c r="Z385" s="30"/>
      <c r="AA385" s="30">
        <v>4</v>
      </c>
      <c r="AB385" s="30"/>
      <c r="AC385" s="30"/>
      <c r="AD385" s="30">
        <v>1</v>
      </c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1"/>
      <c r="AQ385" s="32"/>
      <c r="AR385" s="33"/>
      <c r="AS385" s="31"/>
      <c r="AT385" s="63"/>
      <c r="AU385" s="34"/>
      <c r="AV385" s="34">
        <v>1</v>
      </c>
      <c r="AW385" s="34"/>
      <c r="AX385" s="34"/>
      <c r="AY385" s="34"/>
      <c r="AZ385" s="34"/>
      <c r="BA385" s="34"/>
      <c r="BB385" s="34"/>
      <c r="BC385" s="34"/>
      <c r="BD385" s="34"/>
      <c r="BE385" s="34"/>
      <c r="BF385" s="64"/>
      <c r="BH385" s="64">
        <v>1</v>
      </c>
      <c r="BQ385" s="64">
        <v>1</v>
      </c>
      <c r="BT385" s="64"/>
      <c r="BU385" s="64"/>
      <c r="BV385" s="64"/>
      <c r="BW385" s="64"/>
      <c r="BX385" s="64"/>
      <c r="BY385" s="64"/>
      <c r="BZ385" s="64"/>
      <c r="CA385" s="64"/>
    </row>
    <row r="386" spans="1:79" ht="15" customHeight="1" x14ac:dyDescent="0.25">
      <c r="A386" s="67"/>
      <c r="B386" s="22">
        <v>355</v>
      </c>
      <c r="C386" s="121" t="s">
        <v>427</v>
      </c>
      <c r="D386" s="174">
        <v>2017</v>
      </c>
      <c r="E386" s="22" t="s">
        <v>761</v>
      </c>
      <c r="F386" s="22" t="s">
        <v>762</v>
      </c>
      <c r="G386" s="22" t="s">
        <v>451</v>
      </c>
      <c r="H386" s="22" t="s">
        <v>171</v>
      </c>
      <c r="I386" s="55">
        <v>23</v>
      </c>
      <c r="J386" s="55">
        <f t="shared" si="364"/>
        <v>30</v>
      </c>
      <c r="K386" s="55">
        <f>(I386+J386)*0.1</f>
        <v>5.3000000000000007</v>
      </c>
      <c r="L386" s="55">
        <f>SUM(I386:K386)</f>
        <v>58.3</v>
      </c>
      <c r="M386" s="55">
        <f>ROUND(L386,0)</f>
        <v>58</v>
      </c>
      <c r="N386" s="56">
        <v>58</v>
      </c>
      <c r="O386" s="57">
        <f t="shared" si="361"/>
        <v>46.298999999999992</v>
      </c>
      <c r="P386" s="58">
        <f>N386-M386</f>
        <v>0</v>
      </c>
      <c r="Q386" s="59">
        <f t="shared" si="332"/>
        <v>9.6666666666666661</v>
      </c>
      <c r="R386" s="60">
        <v>6</v>
      </c>
      <c r="S386" s="60"/>
      <c r="T386" s="60">
        <f t="shared" si="346"/>
        <v>2</v>
      </c>
      <c r="U386" s="61">
        <f>R386+S386-T386</f>
        <v>4</v>
      </c>
      <c r="V386" s="62"/>
      <c r="W386" s="30">
        <v>1</v>
      </c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1"/>
      <c r="AQ386" s="32"/>
      <c r="AR386" s="33"/>
      <c r="AS386" s="31"/>
      <c r="AT386" s="63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64"/>
      <c r="BJ386" s="64">
        <v>1</v>
      </c>
      <c r="BT386" s="64"/>
      <c r="BU386" s="64"/>
      <c r="BV386" s="64"/>
      <c r="BW386" s="64"/>
      <c r="BX386" s="64"/>
      <c r="BY386" s="64"/>
      <c r="BZ386" s="64"/>
      <c r="CA386" s="64"/>
    </row>
    <row r="387" spans="1:79" ht="15" customHeight="1" x14ac:dyDescent="0.25">
      <c r="A387" s="22"/>
      <c r="B387" s="22">
        <v>356</v>
      </c>
      <c r="C387" s="121" t="s">
        <v>427</v>
      </c>
      <c r="D387" s="174" t="s">
        <v>625</v>
      </c>
      <c r="E387" s="22" t="s">
        <v>763</v>
      </c>
      <c r="F387" s="22" t="s">
        <v>764</v>
      </c>
      <c r="G387" s="22" t="s">
        <v>451</v>
      </c>
      <c r="H387" s="22" t="s">
        <v>728</v>
      </c>
      <c r="I387" s="55">
        <v>22.9</v>
      </c>
      <c r="J387" s="55">
        <f t="shared" si="364"/>
        <v>30</v>
      </c>
      <c r="K387" s="55">
        <f t="shared" si="365"/>
        <v>5.29</v>
      </c>
      <c r="L387" s="55">
        <f t="shared" si="366"/>
        <v>58.19</v>
      </c>
      <c r="M387" s="55">
        <f t="shared" si="356"/>
        <v>58</v>
      </c>
      <c r="N387" s="56">
        <v>55</v>
      </c>
      <c r="O387" s="57">
        <f t="shared" si="361"/>
        <v>46.097699999999996</v>
      </c>
      <c r="P387" s="58">
        <f t="shared" si="367"/>
        <v>-3</v>
      </c>
      <c r="Q387" s="59">
        <f t="shared" ref="Q387:Q436" si="368">N387/$Q$3</f>
        <v>9.1666666666666661</v>
      </c>
      <c r="R387" s="60">
        <v>11</v>
      </c>
      <c r="S387" s="60">
        <v>5</v>
      </c>
      <c r="T387" s="60">
        <f t="shared" si="346"/>
        <v>4</v>
      </c>
      <c r="U387" s="61">
        <f t="shared" si="357"/>
        <v>12</v>
      </c>
      <c r="V387" s="62"/>
      <c r="W387" s="30">
        <v>1</v>
      </c>
      <c r="X387" s="30"/>
      <c r="Y387" s="30"/>
      <c r="Z387" s="30">
        <v>1</v>
      </c>
      <c r="AA387" s="30"/>
      <c r="AB387" s="30"/>
      <c r="AC387" s="30"/>
      <c r="AD387" s="30">
        <v>1</v>
      </c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1"/>
      <c r="AQ387" s="32"/>
      <c r="AR387" s="33"/>
      <c r="AS387" s="31"/>
      <c r="AT387" s="63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64"/>
      <c r="BJ387" s="64">
        <v>1</v>
      </c>
      <c r="BT387" s="64"/>
      <c r="BU387" s="64">
        <v>1</v>
      </c>
      <c r="BV387" s="64"/>
      <c r="BW387" s="64"/>
      <c r="BX387" s="64"/>
      <c r="BY387" s="64"/>
      <c r="BZ387" s="64"/>
      <c r="CA387" s="64"/>
    </row>
    <row r="388" spans="1:79" ht="15" customHeight="1" x14ac:dyDescent="0.25">
      <c r="A388" s="3"/>
      <c r="B388" s="29">
        <v>357</v>
      </c>
      <c r="C388" s="121" t="s">
        <v>427</v>
      </c>
      <c r="D388" s="174">
        <v>2013</v>
      </c>
      <c r="E388" s="22" t="s">
        <v>765</v>
      </c>
      <c r="F388" s="22" t="s">
        <v>764</v>
      </c>
      <c r="G388" s="22" t="s">
        <v>451</v>
      </c>
      <c r="H388" s="22" t="s">
        <v>728</v>
      </c>
      <c r="I388" s="55">
        <v>59.9</v>
      </c>
      <c r="J388" s="55">
        <v>50</v>
      </c>
      <c r="K388" s="55">
        <f t="shared" si="365"/>
        <v>10.990000000000002</v>
      </c>
      <c r="L388" s="55">
        <f t="shared" si="366"/>
        <v>120.89000000000001</v>
      </c>
      <c r="M388" s="55">
        <f t="shared" si="356"/>
        <v>121</v>
      </c>
      <c r="N388" s="56">
        <v>121</v>
      </c>
      <c r="O388" s="57">
        <f t="shared" si="361"/>
        <v>120.57869999999998</v>
      </c>
      <c r="P388" s="58">
        <f t="shared" si="367"/>
        <v>0</v>
      </c>
      <c r="Q388" s="59">
        <f t="shared" si="368"/>
        <v>20.166666666666668</v>
      </c>
      <c r="R388" s="60">
        <v>4</v>
      </c>
      <c r="S388" s="60">
        <f>1+3</f>
        <v>4</v>
      </c>
      <c r="T388" s="60">
        <f t="shared" si="346"/>
        <v>6</v>
      </c>
      <c r="U388" s="61">
        <f t="shared" si="357"/>
        <v>2</v>
      </c>
      <c r="V388" s="62"/>
      <c r="W388" s="30"/>
      <c r="X388" s="30"/>
      <c r="Y388" s="30"/>
      <c r="Z388" s="30"/>
      <c r="AA388" s="30"/>
      <c r="AB388" s="30"/>
      <c r="AC388" s="30"/>
      <c r="AD388" s="30">
        <v>1</v>
      </c>
      <c r="AE388" s="30"/>
      <c r="AF388" s="30">
        <v>2</v>
      </c>
      <c r="AG388" s="30"/>
      <c r="AH388" s="30"/>
      <c r="AI388" s="30"/>
      <c r="AJ388" s="30"/>
      <c r="AK388" s="30"/>
      <c r="AL388" s="30"/>
      <c r="AM388" s="30"/>
      <c r="AN388" s="30"/>
      <c r="AO388" s="30"/>
      <c r="AP388" s="31"/>
      <c r="AQ388" s="32"/>
      <c r="AR388" s="33"/>
      <c r="AS388" s="31"/>
      <c r="AT388" s="63"/>
      <c r="AU388" s="34"/>
      <c r="AV388" s="34">
        <v>1</v>
      </c>
      <c r="AW388" s="34"/>
      <c r="AX388" s="34"/>
      <c r="AY388" s="34"/>
      <c r="AZ388" s="34"/>
      <c r="BA388" s="34"/>
      <c r="BB388" s="34"/>
      <c r="BC388" s="34"/>
      <c r="BD388" s="34"/>
      <c r="BE388" s="34"/>
      <c r="BF388" s="64"/>
      <c r="BQ388" s="64">
        <v>2</v>
      </c>
      <c r="BT388" s="64"/>
      <c r="BU388" s="64"/>
      <c r="BV388" s="64"/>
      <c r="BW388" s="64"/>
      <c r="BX388" s="64"/>
      <c r="BY388" s="64"/>
      <c r="BZ388" s="64"/>
      <c r="CA388" s="64"/>
    </row>
    <row r="389" spans="1:79" ht="15" customHeight="1" x14ac:dyDescent="0.25">
      <c r="A389" s="22"/>
      <c r="B389" s="22">
        <v>358</v>
      </c>
      <c r="C389" s="121" t="s">
        <v>427</v>
      </c>
      <c r="D389" s="184">
        <v>2019</v>
      </c>
      <c r="E389" s="22" t="s">
        <v>766</v>
      </c>
      <c r="F389" s="22" t="s">
        <v>764</v>
      </c>
      <c r="G389" s="22" t="s">
        <v>451</v>
      </c>
      <c r="H389" s="22" t="s">
        <v>728</v>
      </c>
      <c r="I389" s="55">
        <v>99</v>
      </c>
      <c r="J389" s="55">
        <v>70</v>
      </c>
      <c r="K389" s="55">
        <f>(I389+J389)*0.1</f>
        <v>16.900000000000002</v>
      </c>
      <c r="L389" s="55">
        <f>SUM(I389:K389)</f>
        <v>185.9</v>
      </c>
      <c r="M389" s="55">
        <f>ROUND(L389,0)</f>
        <v>186</v>
      </c>
      <c r="N389" s="56">
        <v>195</v>
      </c>
      <c r="O389" s="57">
        <f t="shared" si="361"/>
        <v>199.28699999999998</v>
      </c>
      <c r="P389" s="58">
        <f>N389-M389</f>
        <v>9</v>
      </c>
      <c r="Q389" s="59">
        <f t="shared" si="368"/>
        <v>32.5</v>
      </c>
      <c r="R389" s="60">
        <v>3</v>
      </c>
      <c r="S389" s="60">
        <v>3</v>
      </c>
      <c r="T389" s="60">
        <f t="shared" si="346"/>
        <v>2</v>
      </c>
      <c r="U389" s="61">
        <f>R389+S389-T389</f>
        <v>4</v>
      </c>
      <c r="V389" s="62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1"/>
      <c r="AQ389" s="32"/>
      <c r="AR389" s="33"/>
      <c r="AS389" s="31"/>
      <c r="AT389" s="63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64"/>
      <c r="BH389" s="64">
        <v>1</v>
      </c>
      <c r="BL389" s="64">
        <v>1</v>
      </c>
      <c r="BT389" s="64"/>
      <c r="BU389" s="64"/>
      <c r="BV389" s="64"/>
      <c r="BW389" s="64"/>
      <c r="BX389" s="64"/>
      <c r="BY389" s="64"/>
      <c r="BZ389" s="64"/>
      <c r="CA389" s="64"/>
    </row>
    <row r="390" spans="1:79" ht="15" customHeight="1" x14ac:dyDescent="0.25">
      <c r="A390" s="22"/>
      <c r="B390" s="22">
        <v>359</v>
      </c>
      <c r="C390" s="121" t="s">
        <v>427</v>
      </c>
      <c r="D390" s="174">
        <v>1999</v>
      </c>
      <c r="E390" s="22" t="s">
        <v>767</v>
      </c>
      <c r="F390" s="22" t="s">
        <v>768</v>
      </c>
      <c r="G390" s="22" t="s">
        <v>451</v>
      </c>
      <c r="H390" s="22" t="s">
        <v>137</v>
      </c>
      <c r="I390" s="55">
        <v>40</v>
      </c>
      <c r="J390" s="55">
        <v>40</v>
      </c>
      <c r="K390" s="55">
        <f t="shared" si="365"/>
        <v>8</v>
      </c>
      <c r="L390" s="55">
        <f t="shared" si="366"/>
        <v>88</v>
      </c>
      <c r="M390" s="55">
        <f t="shared" si="356"/>
        <v>88</v>
      </c>
      <c r="N390" s="56">
        <v>92</v>
      </c>
      <c r="O390" s="57">
        <f t="shared" si="361"/>
        <v>80.52</v>
      </c>
      <c r="P390" s="58">
        <f t="shared" si="367"/>
        <v>4</v>
      </c>
      <c r="Q390" s="59">
        <f t="shared" si="368"/>
        <v>15.333333333333334</v>
      </c>
      <c r="R390" s="60">
        <v>1</v>
      </c>
      <c r="S390" s="60"/>
      <c r="T390" s="60">
        <f t="shared" si="346"/>
        <v>0</v>
      </c>
      <c r="U390" s="61">
        <f t="shared" si="357"/>
        <v>1</v>
      </c>
      <c r="V390" s="62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1"/>
      <c r="AQ390" s="32"/>
      <c r="AR390" s="33"/>
      <c r="AS390" s="31"/>
      <c r="AT390" s="63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64"/>
      <c r="BT390" s="64"/>
      <c r="BU390" s="64"/>
      <c r="BV390" s="64"/>
      <c r="BW390" s="64"/>
      <c r="BX390" s="64"/>
      <c r="BY390" s="64"/>
      <c r="BZ390" s="64"/>
      <c r="CA390" s="64"/>
    </row>
    <row r="391" spans="1:79" ht="15" customHeight="1" x14ac:dyDescent="0.25">
      <c r="A391" s="22"/>
      <c r="B391" s="22">
        <v>360</v>
      </c>
      <c r="C391" s="121" t="s">
        <v>427</v>
      </c>
      <c r="D391" s="168">
        <v>2021</v>
      </c>
      <c r="E391" s="22" t="s">
        <v>769</v>
      </c>
      <c r="F391" s="22" t="s">
        <v>770</v>
      </c>
      <c r="G391" s="22" t="s">
        <v>451</v>
      </c>
      <c r="H391" s="22" t="s">
        <v>84</v>
      </c>
      <c r="I391" s="55">
        <v>10.9</v>
      </c>
      <c r="J391" s="55">
        <f>IF(I391&lt;=15,$L$2,$L$3)</f>
        <v>25</v>
      </c>
      <c r="K391" s="55">
        <f t="shared" si="365"/>
        <v>3.59</v>
      </c>
      <c r="L391" s="55">
        <f t="shared" si="366"/>
        <v>39.489999999999995</v>
      </c>
      <c r="M391" s="55">
        <f t="shared" si="356"/>
        <v>39</v>
      </c>
      <c r="N391" s="56">
        <v>39</v>
      </c>
      <c r="O391" s="57">
        <f t="shared" si="361"/>
        <v>21.941699999999997</v>
      </c>
      <c r="P391" s="58">
        <f t="shared" si="367"/>
        <v>0</v>
      </c>
      <c r="Q391" s="59">
        <f t="shared" si="368"/>
        <v>6.5</v>
      </c>
      <c r="R391" s="60">
        <v>7</v>
      </c>
      <c r="S391" s="60">
        <f>6+6</f>
        <v>12</v>
      </c>
      <c r="T391" s="60">
        <f t="shared" si="346"/>
        <v>9</v>
      </c>
      <c r="U391" s="61">
        <f t="shared" si="357"/>
        <v>10</v>
      </c>
      <c r="V391" s="62"/>
      <c r="W391" s="30"/>
      <c r="X391" s="30"/>
      <c r="Y391" s="30"/>
      <c r="Z391" s="30"/>
      <c r="AA391" s="30"/>
      <c r="AB391" s="30">
        <v>2</v>
      </c>
      <c r="AC391" s="30"/>
      <c r="AD391" s="30"/>
      <c r="AE391" s="30"/>
      <c r="AF391" s="30"/>
      <c r="AG391" s="30">
        <v>1</v>
      </c>
      <c r="AH391" s="30"/>
      <c r="AI391" s="30"/>
      <c r="AJ391" s="30"/>
      <c r="AK391" s="30"/>
      <c r="AL391" s="30"/>
      <c r="AM391" s="30"/>
      <c r="AN391" s="30"/>
      <c r="AO391" s="30"/>
      <c r="AP391" s="31"/>
      <c r="AQ391" s="32"/>
      <c r="AR391" s="33"/>
      <c r="AS391" s="31">
        <v>1</v>
      </c>
      <c r="AT391" s="63">
        <v>1</v>
      </c>
      <c r="AU391" s="34"/>
      <c r="AV391" s="34"/>
      <c r="AW391" s="34"/>
      <c r="AX391" s="34"/>
      <c r="AY391" s="34"/>
      <c r="AZ391" s="34"/>
      <c r="BA391" s="34">
        <v>1</v>
      </c>
      <c r="BB391" s="34"/>
      <c r="BC391" s="34"/>
      <c r="BD391" s="34"/>
      <c r="BE391" s="34">
        <v>1</v>
      </c>
      <c r="BF391" s="64"/>
      <c r="BJ391" s="64">
        <v>1</v>
      </c>
      <c r="BK391" s="64">
        <v>1</v>
      </c>
      <c r="BT391" s="64"/>
      <c r="BU391" s="64">
        <v>1</v>
      </c>
      <c r="BV391" s="64"/>
      <c r="BW391" s="64"/>
      <c r="BX391" s="64"/>
      <c r="BY391" s="64"/>
      <c r="BZ391" s="64"/>
      <c r="CA391" s="64"/>
    </row>
    <row r="392" spans="1:79" ht="15" customHeight="1" x14ac:dyDescent="0.25">
      <c r="A392" s="71"/>
      <c r="B392" s="29">
        <v>361</v>
      </c>
      <c r="C392" s="121" t="s">
        <v>427</v>
      </c>
      <c r="D392" s="174">
        <v>2018</v>
      </c>
      <c r="E392" s="22" t="s">
        <v>771</v>
      </c>
      <c r="F392" s="22" t="s">
        <v>770</v>
      </c>
      <c r="G392" s="22" t="s">
        <v>451</v>
      </c>
      <c r="H392" s="22" t="s">
        <v>84</v>
      </c>
      <c r="I392" s="55">
        <v>25</v>
      </c>
      <c r="J392" s="55">
        <f>IF(I392&lt;=15,$L$2,$L$3)</f>
        <v>30</v>
      </c>
      <c r="K392" s="55">
        <f t="shared" si="365"/>
        <v>5.5</v>
      </c>
      <c r="L392" s="55">
        <f t="shared" si="366"/>
        <v>60.5</v>
      </c>
      <c r="M392" s="55">
        <f t="shared" si="356"/>
        <v>61</v>
      </c>
      <c r="N392" s="56">
        <v>61</v>
      </c>
      <c r="O392" s="57">
        <f t="shared" si="361"/>
        <v>50.324999999999996</v>
      </c>
      <c r="P392" s="58">
        <f t="shared" si="367"/>
        <v>0</v>
      </c>
      <c r="Q392" s="59">
        <f t="shared" si="368"/>
        <v>10.166666666666666</v>
      </c>
      <c r="R392" s="60">
        <v>12</v>
      </c>
      <c r="S392" s="60">
        <f>6+6</f>
        <v>12</v>
      </c>
      <c r="T392" s="60">
        <f t="shared" si="346"/>
        <v>16</v>
      </c>
      <c r="U392" s="61">
        <f t="shared" si="357"/>
        <v>8</v>
      </c>
      <c r="V392" s="62"/>
      <c r="W392" s="30"/>
      <c r="X392" s="30"/>
      <c r="Y392" s="30"/>
      <c r="Z392" s="30"/>
      <c r="AA392" s="30"/>
      <c r="AB392" s="30">
        <v>1</v>
      </c>
      <c r="AC392" s="30">
        <v>3</v>
      </c>
      <c r="AD392" s="30">
        <v>1</v>
      </c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1">
        <v>1</v>
      </c>
      <c r="AQ392" s="32">
        <v>1</v>
      </c>
      <c r="AR392" s="33"/>
      <c r="AS392" s="31">
        <v>1</v>
      </c>
      <c r="AT392" s="63">
        <v>4</v>
      </c>
      <c r="AU392" s="34"/>
      <c r="AV392" s="34"/>
      <c r="AW392" s="34">
        <v>1</v>
      </c>
      <c r="AX392" s="34"/>
      <c r="AY392" s="34"/>
      <c r="AZ392" s="34"/>
      <c r="BA392" s="34"/>
      <c r="BB392" s="34"/>
      <c r="BC392" s="34"/>
      <c r="BD392" s="34">
        <v>1</v>
      </c>
      <c r="BE392" s="34"/>
      <c r="BF392" s="64"/>
      <c r="BL392" s="64">
        <v>1</v>
      </c>
      <c r="BM392" s="64">
        <v>1</v>
      </c>
      <c r="BT392" s="64"/>
      <c r="BU392" s="64">
        <v>2</v>
      </c>
      <c r="BV392" s="64"/>
      <c r="BW392" s="64"/>
      <c r="BX392" s="64"/>
      <c r="BY392" s="64"/>
      <c r="BZ392" s="64"/>
      <c r="CA392" s="64"/>
    </row>
    <row r="393" spans="1:79" ht="15.75" customHeight="1" x14ac:dyDescent="0.25">
      <c r="A393" s="22"/>
      <c r="B393" s="22">
        <v>362</v>
      </c>
      <c r="C393" s="121" t="s">
        <v>427</v>
      </c>
      <c r="D393" s="174">
        <v>2016</v>
      </c>
      <c r="E393" s="22" t="s">
        <v>771</v>
      </c>
      <c r="F393" s="22" t="s">
        <v>772</v>
      </c>
      <c r="G393" s="22" t="s">
        <v>451</v>
      </c>
      <c r="H393" s="22" t="s">
        <v>84</v>
      </c>
      <c r="I393" s="55">
        <v>37.799999999999997</v>
      </c>
      <c r="J393" s="55">
        <v>35</v>
      </c>
      <c r="K393" s="55">
        <f t="shared" si="365"/>
        <v>7.28</v>
      </c>
      <c r="L393" s="55">
        <f t="shared" si="366"/>
        <v>80.08</v>
      </c>
      <c r="M393" s="55">
        <f t="shared" si="356"/>
        <v>80</v>
      </c>
      <c r="N393" s="56">
        <v>80</v>
      </c>
      <c r="O393" s="57">
        <f t="shared" si="361"/>
        <v>76.091399999999993</v>
      </c>
      <c r="P393" s="58">
        <f t="shared" si="367"/>
        <v>0</v>
      </c>
      <c r="Q393" s="59">
        <f t="shared" si="368"/>
        <v>13.333333333333334</v>
      </c>
      <c r="R393" s="60">
        <v>7</v>
      </c>
      <c r="S393" s="60">
        <v>3</v>
      </c>
      <c r="T393" s="60">
        <f t="shared" si="346"/>
        <v>4</v>
      </c>
      <c r="U393" s="61">
        <f t="shared" si="357"/>
        <v>6</v>
      </c>
      <c r="V393" s="62"/>
      <c r="W393" s="30"/>
      <c r="X393" s="30"/>
      <c r="Y393" s="30"/>
      <c r="Z393" s="30"/>
      <c r="AA393" s="30"/>
      <c r="AB393" s="30"/>
      <c r="AC393" s="30"/>
      <c r="AD393" s="30"/>
      <c r="AE393" s="30"/>
      <c r="AF393" s="30">
        <v>1</v>
      </c>
      <c r="AG393" s="30"/>
      <c r="AH393" s="30"/>
      <c r="AI393" s="30"/>
      <c r="AJ393" s="30"/>
      <c r="AK393" s="30"/>
      <c r="AL393" s="30"/>
      <c r="AM393" s="30"/>
      <c r="AN393" s="30"/>
      <c r="AO393" s="30"/>
      <c r="AP393" s="31"/>
      <c r="AQ393" s="32"/>
      <c r="AR393" s="33"/>
      <c r="AS393" s="31"/>
      <c r="AT393" s="63"/>
      <c r="AU393" s="34"/>
      <c r="AV393" s="34">
        <v>1</v>
      </c>
      <c r="AW393" s="34"/>
      <c r="AX393" s="34"/>
      <c r="AY393" s="34"/>
      <c r="AZ393" s="34"/>
      <c r="BA393" s="34">
        <v>1</v>
      </c>
      <c r="BB393" s="34"/>
      <c r="BC393" s="34"/>
      <c r="BD393" s="34">
        <v>1</v>
      </c>
      <c r="BE393" s="34"/>
      <c r="BF393" s="64"/>
      <c r="BT393" s="64"/>
      <c r="BU393" s="64"/>
      <c r="BV393" s="64"/>
      <c r="BW393" s="64"/>
      <c r="BX393" s="64"/>
      <c r="BY393" s="64"/>
      <c r="BZ393" s="64"/>
      <c r="CA393" s="64"/>
    </row>
    <row r="394" spans="1:79" ht="15" customHeight="1" x14ac:dyDescent="0.25">
      <c r="A394" s="22"/>
      <c r="B394" s="22">
        <v>363</v>
      </c>
      <c r="C394" s="121" t="s">
        <v>427</v>
      </c>
      <c r="D394" s="174">
        <v>2012</v>
      </c>
      <c r="E394" s="22" t="s">
        <v>773</v>
      </c>
      <c r="F394" s="22" t="s">
        <v>774</v>
      </c>
      <c r="G394" s="22" t="s">
        <v>451</v>
      </c>
      <c r="H394" s="22" t="s">
        <v>78</v>
      </c>
      <c r="I394" s="55">
        <v>67.2</v>
      </c>
      <c r="J394" s="55">
        <v>60</v>
      </c>
      <c r="K394" s="55">
        <f t="shared" si="365"/>
        <v>12.72</v>
      </c>
      <c r="L394" s="55">
        <f t="shared" si="366"/>
        <v>139.92000000000002</v>
      </c>
      <c r="M394" s="55">
        <f t="shared" si="356"/>
        <v>140</v>
      </c>
      <c r="N394" s="56">
        <v>139</v>
      </c>
      <c r="O394" s="57">
        <f t="shared" si="361"/>
        <v>135.27359999999999</v>
      </c>
      <c r="P394" s="58">
        <f t="shared" si="367"/>
        <v>-1</v>
      </c>
      <c r="Q394" s="59">
        <f t="shared" si="368"/>
        <v>23.166666666666668</v>
      </c>
      <c r="R394" s="60">
        <v>2</v>
      </c>
      <c r="S394" s="60"/>
      <c r="T394" s="60">
        <f t="shared" si="346"/>
        <v>0</v>
      </c>
      <c r="U394" s="61">
        <f t="shared" si="357"/>
        <v>2</v>
      </c>
      <c r="V394" s="62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1"/>
      <c r="AQ394" s="32"/>
      <c r="AR394" s="33"/>
      <c r="AS394" s="31"/>
      <c r="AT394" s="63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64"/>
      <c r="BT394" s="64"/>
      <c r="BU394" s="64"/>
      <c r="BV394" s="64"/>
      <c r="BW394" s="64"/>
      <c r="BX394" s="64"/>
      <c r="BY394" s="64"/>
      <c r="BZ394" s="64"/>
      <c r="CA394" s="64"/>
    </row>
    <row r="395" spans="1:79" ht="15" customHeight="1" x14ac:dyDescent="0.25">
      <c r="A395" s="22"/>
      <c r="B395" s="22">
        <v>364</v>
      </c>
      <c r="C395" s="121" t="s">
        <v>427</v>
      </c>
      <c r="D395" s="174">
        <v>2016</v>
      </c>
      <c r="E395" s="22" t="s">
        <v>766</v>
      </c>
      <c r="F395" s="22" t="s">
        <v>775</v>
      </c>
      <c r="G395" s="22" t="s">
        <v>451</v>
      </c>
      <c r="H395" s="22" t="s">
        <v>137</v>
      </c>
      <c r="I395" s="55">
        <v>134.6</v>
      </c>
      <c r="J395" s="55">
        <v>80</v>
      </c>
      <c r="K395" s="55">
        <f>(I395+J395)*0.1</f>
        <v>21.46</v>
      </c>
      <c r="L395" s="55">
        <f>SUM(I395:K395)</f>
        <v>236.06</v>
      </c>
      <c r="M395" s="55">
        <f>ROUND(L395,0)</f>
        <v>236</v>
      </c>
      <c r="N395" s="56">
        <v>245</v>
      </c>
      <c r="O395" s="57">
        <f t="shared" si="361"/>
        <v>270.94979999999998</v>
      </c>
      <c r="P395" s="58">
        <f>N395-M395</f>
        <v>9</v>
      </c>
      <c r="Q395" s="59">
        <f t="shared" si="368"/>
        <v>40.833333333333336</v>
      </c>
      <c r="R395" s="60">
        <v>2</v>
      </c>
      <c r="S395" s="60"/>
      <c r="T395" s="60">
        <f t="shared" si="346"/>
        <v>0</v>
      </c>
      <c r="U395" s="61">
        <f>R395+S395-T395</f>
        <v>2</v>
      </c>
      <c r="V395" s="62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1"/>
      <c r="AQ395" s="32"/>
      <c r="AR395" s="33"/>
      <c r="AS395" s="31"/>
      <c r="AT395" s="63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64"/>
      <c r="BT395" s="64"/>
      <c r="BU395" s="64"/>
      <c r="BV395" s="64"/>
      <c r="BW395" s="64"/>
      <c r="BX395" s="64"/>
      <c r="BY395" s="64"/>
      <c r="BZ395" s="64"/>
      <c r="CA395" s="64"/>
    </row>
    <row r="396" spans="1:79" ht="15" customHeight="1" x14ac:dyDescent="0.25">
      <c r="A396" s="22"/>
      <c r="B396" s="22">
        <v>366</v>
      </c>
      <c r="C396" s="121" t="s">
        <v>427</v>
      </c>
      <c r="D396" s="174">
        <v>2016</v>
      </c>
      <c r="E396" s="22" t="s">
        <v>463</v>
      </c>
      <c r="F396" s="22" t="s">
        <v>463</v>
      </c>
      <c r="G396" s="22" t="s">
        <v>451</v>
      </c>
      <c r="H396" s="22" t="s">
        <v>132</v>
      </c>
      <c r="I396" s="55">
        <v>28</v>
      </c>
      <c r="J396" s="55">
        <v>40</v>
      </c>
      <c r="K396" s="55">
        <f t="shared" si="365"/>
        <v>6.8000000000000007</v>
      </c>
      <c r="L396" s="55">
        <f t="shared" si="366"/>
        <v>74.8</v>
      </c>
      <c r="M396" s="55">
        <f t="shared" si="356"/>
        <v>75</v>
      </c>
      <c r="N396" s="56">
        <v>83</v>
      </c>
      <c r="O396" s="57">
        <f t="shared" si="361"/>
        <v>56.36399999999999</v>
      </c>
      <c r="P396" s="58">
        <f t="shared" si="367"/>
        <v>8</v>
      </c>
      <c r="Q396" s="59">
        <f t="shared" si="368"/>
        <v>13.833333333333334</v>
      </c>
      <c r="R396" s="60">
        <v>3</v>
      </c>
      <c r="S396" s="60"/>
      <c r="T396" s="60">
        <f t="shared" si="346"/>
        <v>2</v>
      </c>
      <c r="U396" s="61">
        <f t="shared" si="357"/>
        <v>1</v>
      </c>
      <c r="V396" s="62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1"/>
      <c r="AQ396" s="32">
        <v>1</v>
      </c>
      <c r="AR396" s="33"/>
      <c r="AS396" s="31"/>
      <c r="AT396" s="63"/>
      <c r="AU396" s="34">
        <v>1</v>
      </c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64"/>
      <c r="BT396" s="64"/>
      <c r="BU396" s="64"/>
      <c r="BV396" s="64"/>
      <c r="BW396" s="64"/>
      <c r="BX396" s="64"/>
      <c r="BY396" s="64"/>
      <c r="BZ396" s="64"/>
      <c r="CA396" s="64"/>
    </row>
    <row r="397" spans="1:79" ht="15" customHeight="1" x14ac:dyDescent="0.25">
      <c r="A397" s="22"/>
      <c r="B397" s="22">
        <v>367</v>
      </c>
      <c r="C397" s="121" t="s">
        <v>427</v>
      </c>
      <c r="D397" s="174">
        <v>2019</v>
      </c>
      <c r="E397" s="22" t="s">
        <v>463</v>
      </c>
      <c r="F397" s="22" t="s">
        <v>463</v>
      </c>
      <c r="G397" s="22" t="s">
        <v>451</v>
      </c>
      <c r="H397" s="22" t="s">
        <v>132</v>
      </c>
      <c r="I397" s="55">
        <v>34</v>
      </c>
      <c r="J397" s="55">
        <v>40</v>
      </c>
      <c r="K397" s="55">
        <f t="shared" ref="K397" si="369">(I397+J397)*0.1</f>
        <v>7.4</v>
      </c>
      <c r="L397" s="55">
        <f t="shared" ref="L397" si="370">SUM(I397:K397)</f>
        <v>81.400000000000006</v>
      </c>
      <c r="M397" s="55">
        <f t="shared" ref="M397" si="371">ROUND(L397,0)</f>
        <v>81</v>
      </c>
      <c r="N397" s="56">
        <v>84</v>
      </c>
      <c r="O397" s="57">
        <f t="shared" ref="O397" si="372">I397*$O$2*1.22</f>
        <v>68.441999999999993</v>
      </c>
      <c r="P397" s="58">
        <f t="shared" ref="P397" si="373">N397-M397</f>
        <v>3</v>
      </c>
      <c r="Q397" s="59">
        <f t="shared" ref="Q397" si="374">N397/$Q$3</f>
        <v>14</v>
      </c>
      <c r="R397" s="60"/>
      <c r="S397" s="60">
        <v>12</v>
      </c>
      <c r="T397" s="60">
        <f t="shared" ref="T397" si="375">W397+X397+Y397+Z397+AA397+AB397+AC397+AD397+AE397+AF397+AG397+AH397+AI397+AJ397+AK397+AL397+AM397+AN397+AO397+AP397+AQ397+AR397+AS397+AT397+AU397+AV397+AW397+AX397+AY397+AZ397+BA397+BB397+BC397+BD397+BE397+BF397+BG397+BH397+BI397+BJ397+BK397+BL397+BM397+BQ397+BR397+BS397+BT397</f>
        <v>0</v>
      </c>
      <c r="U397" s="61">
        <f t="shared" ref="U397" si="376">R397+S397-T397</f>
        <v>12</v>
      </c>
      <c r="V397" s="62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1"/>
      <c r="AQ397" s="32"/>
      <c r="AR397" s="33"/>
      <c r="AS397" s="31"/>
      <c r="AT397" s="63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64"/>
      <c r="BT397" s="64"/>
      <c r="BU397" s="64"/>
      <c r="BV397" s="64"/>
      <c r="BW397" s="64"/>
      <c r="BX397" s="64"/>
      <c r="BY397" s="64"/>
      <c r="BZ397" s="64"/>
      <c r="CA397" s="64"/>
    </row>
    <row r="398" spans="1:79" ht="15" customHeight="1" x14ac:dyDescent="0.25">
      <c r="A398" s="22"/>
      <c r="B398" s="22">
        <v>367</v>
      </c>
      <c r="C398" s="121" t="s">
        <v>427</v>
      </c>
      <c r="D398" s="174">
        <v>2012</v>
      </c>
      <c r="E398" s="22" t="s">
        <v>463</v>
      </c>
      <c r="F398" s="22" t="s">
        <v>463</v>
      </c>
      <c r="G398" s="22" t="s">
        <v>451</v>
      </c>
      <c r="H398" s="22" t="s">
        <v>132</v>
      </c>
      <c r="I398" s="55">
        <v>28</v>
      </c>
      <c r="J398" s="55">
        <v>40</v>
      </c>
      <c r="K398" s="55">
        <f>(I398+J398)*0.1</f>
        <v>6.8000000000000007</v>
      </c>
      <c r="L398" s="55">
        <f>SUM(I398:K398)</f>
        <v>74.8</v>
      </c>
      <c r="M398" s="55">
        <f>ROUND(L398,0)</f>
        <v>75</v>
      </c>
      <c r="N398" s="56">
        <v>84</v>
      </c>
      <c r="O398" s="57">
        <f t="shared" si="361"/>
        <v>56.36399999999999</v>
      </c>
      <c r="P398" s="58">
        <f>N398-M398</f>
        <v>9</v>
      </c>
      <c r="Q398" s="59">
        <f t="shared" si="368"/>
        <v>14</v>
      </c>
      <c r="R398" s="60">
        <v>12</v>
      </c>
      <c r="S398" s="60">
        <v>12</v>
      </c>
      <c r="T398" s="60">
        <f t="shared" si="346"/>
        <v>11</v>
      </c>
      <c r="U398" s="61">
        <f>R398+S398-T398</f>
        <v>13</v>
      </c>
      <c r="V398" s="62"/>
      <c r="W398" s="30">
        <v>2</v>
      </c>
      <c r="X398" s="30"/>
      <c r="Y398" s="30"/>
      <c r="Z398" s="30"/>
      <c r="AA398" s="30"/>
      <c r="AB398" s="30"/>
      <c r="AC398" s="30"/>
      <c r="AD398" s="30">
        <v>1</v>
      </c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1"/>
      <c r="AQ398" s="32"/>
      <c r="AR398" s="33"/>
      <c r="AS398" s="31"/>
      <c r="AT398" s="63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64"/>
      <c r="BH398" s="64">
        <v>1</v>
      </c>
      <c r="BL398" s="64">
        <v>5</v>
      </c>
      <c r="BT398" s="64">
        <v>2</v>
      </c>
      <c r="BU398" s="64"/>
      <c r="BV398" s="64"/>
      <c r="BW398" s="64"/>
      <c r="BX398" s="64"/>
      <c r="BY398" s="64"/>
      <c r="BZ398" s="64"/>
      <c r="CA398" s="64"/>
    </row>
    <row r="399" spans="1:79" ht="15" customHeight="1" x14ac:dyDescent="0.25">
      <c r="A399" s="22"/>
      <c r="B399" s="22">
        <v>368</v>
      </c>
      <c r="C399" s="121" t="s">
        <v>427</v>
      </c>
      <c r="D399" s="174" t="s">
        <v>776</v>
      </c>
      <c r="E399" s="22" t="s">
        <v>777</v>
      </c>
      <c r="F399" s="22" t="s">
        <v>463</v>
      </c>
      <c r="G399" s="22" t="s">
        <v>451</v>
      </c>
      <c r="H399" s="22" t="s">
        <v>132</v>
      </c>
      <c r="I399" s="55">
        <v>15</v>
      </c>
      <c r="J399" s="55">
        <v>30</v>
      </c>
      <c r="K399" s="55">
        <f>(I399+J399)*0.1</f>
        <v>4.5</v>
      </c>
      <c r="L399" s="55">
        <f>SUM(I399:K399)</f>
        <v>49.5</v>
      </c>
      <c r="M399" s="55">
        <f>ROUND(L399,0)</f>
        <v>50</v>
      </c>
      <c r="N399" s="56">
        <v>52</v>
      </c>
      <c r="O399" s="57">
        <f t="shared" si="361"/>
        <v>30.195</v>
      </c>
      <c r="P399" s="58">
        <f>N399-M399</f>
        <v>2</v>
      </c>
      <c r="Q399" s="59">
        <f t="shared" si="368"/>
        <v>8.6666666666666661</v>
      </c>
      <c r="R399" s="60">
        <v>24</v>
      </c>
      <c r="S399" s="60">
        <f>4+12+6</f>
        <v>22</v>
      </c>
      <c r="T399" s="60">
        <f>W399+X399+Y399+Z399+AA399+AB399+AC399+AD399+AE399+AF399+AG399+AH399+AI399+AJ399+AK399+AL399+AM399+AN399+AO399+AP399+AQ399+AR399+AS399+AT399+AU399+AV399+AW399+AX399+AY399+AZ399+BA399+BB399+BC399+BD399+BE399+BF399+BG399+BH399+BI399+BJ399+BK399+BL399+BM399+BQ400+BR399+BS399+BT399</f>
        <v>37</v>
      </c>
      <c r="U399" s="61">
        <f>R399+S399-T399</f>
        <v>9</v>
      </c>
      <c r="V399" s="62"/>
      <c r="W399" s="30">
        <v>6</v>
      </c>
      <c r="X399" s="30">
        <v>1</v>
      </c>
      <c r="Y399" s="30"/>
      <c r="Z399" s="30">
        <v>5</v>
      </c>
      <c r="AA399" s="30">
        <v>1</v>
      </c>
      <c r="AB399" s="30">
        <v>1</v>
      </c>
      <c r="AC399" s="30">
        <v>2</v>
      </c>
      <c r="AD399" s="30"/>
      <c r="AE399" s="30"/>
      <c r="AF399" s="30"/>
      <c r="AG399" s="30">
        <v>1</v>
      </c>
      <c r="AH399" s="30"/>
      <c r="AI399" s="30"/>
      <c r="AJ399" s="30"/>
      <c r="AK399" s="30"/>
      <c r="AL399" s="30"/>
      <c r="AM399" s="30"/>
      <c r="AN399" s="30"/>
      <c r="AO399" s="30"/>
      <c r="AP399" s="31">
        <v>1</v>
      </c>
      <c r="AQ399" s="32">
        <v>8</v>
      </c>
      <c r="AR399" s="33"/>
      <c r="AS399" s="31"/>
      <c r="AT399" s="63"/>
      <c r="AU399" s="34">
        <v>1</v>
      </c>
      <c r="AV399" s="34"/>
      <c r="AW399" s="34"/>
      <c r="AX399" s="34"/>
      <c r="AY399" s="34"/>
      <c r="AZ399" s="34">
        <v>2</v>
      </c>
      <c r="BA399" s="34">
        <v>2</v>
      </c>
      <c r="BB399" s="34"/>
      <c r="BC399" s="34"/>
      <c r="BD399" s="34"/>
      <c r="BE399" s="34"/>
      <c r="BF399" s="64"/>
      <c r="BG399" s="64">
        <v>1</v>
      </c>
      <c r="BK399" s="64">
        <v>1</v>
      </c>
      <c r="BM399" s="64">
        <v>1</v>
      </c>
      <c r="BO399" s="64">
        <v>1</v>
      </c>
      <c r="BT399" s="64">
        <v>2</v>
      </c>
      <c r="BU399" s="64"/>
      <c r="BV399" s="64"/>
      <c r="BW399" s="64"/>
      <c r="BX399" s="64"/>
      <c r="BY399" s="64"/>
      <c r="BZ399" s="64"/>
      <c r="CA399" s="64"/>
    </row>
    <row r="400" spans="1:79" ht="15" customHeight="1" x14ac:dyDescent="0.25">
      <c r="A400" s="22"/>
      <c r="B400" s="22">
        <v>369</v>
      </c>
      <c r="C400" s="121" t="s">
        <v>427</v>
      </c>
      <c r="D400" s="174">
        <v>2019</v>
      </c>
      <c r="E400" s="22" t="s">
        <v>777</v>
      </c>
      <c r="F400" s="22" t="s">
        <v>463</v>
      </c>
      <c r="G400" s="22" t="s">
        <v>451</v>
      </c>
      <c r="H400" s="22" t="s">
        <v>132</v>
      </c>
      <c r="I400" s="55">
        <v>16</v>
      </c>
      <c r="J400" s="55">
        <v>30</v>
      </c>
      <c r="K400" s="55">
        <f>(I400+J400)*0.1</f>
        <v>4.6000000000000005</v>
      </c>
      <c r="L400" s="55">
        <f>SUM(I400:K400)</f>
        <v>50.6</v>
      </c>
      <c r="M400" s="55">
        <f>ROUND(L400,0)</f>
        <v>51</v>
      </c>
      <c r="N400" s="56">
        <v>53</v>
      </c>
      <c r="O400" s="57">
        <f t="shared" ref="O400" si="377">I400*$O$2*1.22</f>
        <v>32.207999999999998</v>
      </c>
      <c r="P400" s="58">
        <f>N400-M400</f>
        <v>2</v>
      </c>
      <c r="Q400" s="59">
        <f t="shared" ref="Q400" si="378">N400/$Q$3</f>
        <v>8.8333333333333339</v>
      </c>
      <c r="R400" s="60"/>
      <c r="S400" s="60">
        <f>6+6</f>
        <v>12</v>
      </c>
      <c r="T400" s="60"/>
      <c r="U400" s="61">
        <f>R400+S400-T400</f>
        <v>12</v>
      </c>
      <c r="V400" s="62"/>
      <c r="W400" s="30">
        <v>6</v>
      </c>
      <c r="X400" s="30">
        <v>1</v>
      </c>
      <c r="Y400" s="30"/>
      <c r="Z400" s="30">
        <v>5</v>
      </c>
      <c r="AA400" s="30">
        <v>1</v>
      </c>
      <c r="AB400" s="30">
        <v>1</v>
      </c>
      <c r="AC400" s="30">
        <v>2</v>
      </c>
      <c r="AD400" s="30"/>
      <c r="AE400" s="30"/>
      <c r="AF400" s="30"/>
      <c r="AG400" s="30">
        <v>1</v>
      </c>
      <c r="AH400" s="30"/>
      <c r="AI400" s="30"/>
      <c r="AJ400" s="30"/>
      <c r="AK400" s="30"/>
      <c r="AL400" s="30"/>
      <c r="AM400" s="30"/>
      <c r="AN400" s="30"/>
      <c r="AO400" s="30"/>
      <c r="AP400" s="31"/>
      <c r="AQ400" s="32"/>
      <c r="AR400" s="33"/>
      <c r="AS400" s="31"/>
      <c r="AT400" s="63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64"/>
      <c r="BQ400" s="64">
        <v>1</v>
      </c>
      <c r="BT400" s="64">
        <v>2</v>
      </c>
      <c r="BU400" s="64"/>
      <c r="BV400" s="64"/>
      <c r="BW400" s="64"/>
      <c r="BX400" s="64"/>
      <c r="BY400" s="64"/>
      <c r="BZ400" s="64"/>
      <c r="CA400" s="64"/>
    </row>
    <row r="401" spans="1:79" ht="15" customHeight="1" x14ac:dyDescent="0.25">
      <c r="A401" s="22"/>
      <c r="B401" s="29">
        <v>369</v>
      </c>
      <c r="C401" s="121" t="s">
        <v>427</v>
      </c>
      <c r="D401" s="174">
        <v>2020</v>
      </c>
      <c r="E401" s="22" t="s">
        <v>778</v>
      </c>
      <c r="F401" s="22" t="s">
        <v>779</v>
      </c>
      <c r="G401" s="22" t="s">
        <v>451</v>
      </c>
      <c r="H401" s="22" t="s">
        <v>84</v>
      </c>
      <c r="I401" s="55">
        <v>85</v>
      </c>
      <c r="J401" s="55">
        <v>85</v>
      </c>
      <c r="K401" s="55">
        <v>90</v>
      </c>
      <c r="L401" s="55">
        <f>SUM(I401:K401)</f>
        <v>260</v>
      </c>
      <c r="M401" s="55">
        <f>ROUND(L401,0)</f>
        <v>260</v>
      </c>
      <c r="N401" s="56">
        <v>260</v>
      </c>
      <c r="O401" s="57">
        <v>240</v>
      </c>
      <c r="P401" s="58">
        <f>N401-M401</f>
        <v>0</v>
      </c>
      <c r="Q401" s="59">
        <f t="shared" si="368"/>
        <v>43.333333333333336</v>
      </c>
      <c r="R401" s="60">
        <v>2</v>
      </c>
      <c r="S401" s="60">
        <v>3</v>
      </c>
      <c r="T401" s="60">
        <f t="shared" si="346"/>
        <v>0</v>
      </c>
      <c r="U401" s="61">
        <f>R401+S401-T401</f>
        <v>5</v>
      </c>
      <c r="V401" s="62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1"/>
      <c r="AQ401" s="32"/>
      <c r="AR401" s="33"/>
      <c r="AS401" s="31"/>
      <c r="AT401" s="63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64"/>
      <c r="BT401" s="64"/>
      <c r="BU401" s="64"/>
      <c r="BV401" s="64"/>
      <c r="BW401" s="64"/>
      <c r="BX401" s="64"/>
      <c r="BY401" s="64"/>
      <c r="BZ401" s="64"/>
      <c r="CA401" s="64"/>
    </row>
    <row r="402" spans="1:79" ht="15" customHeight="1" x14ac:dyDescent="0.25">
      <c r="A402" s="22"/>
      <c r="B402" s="22">
        <v>370</v>
      </c>
      <c r="C402" s="121" t="s">
        <v>427</v>
      </c>
      <c r="D402" s="174">
        <v>2019</v>
      </c>
      <c r="E402" s="22" t="s">
        <v>779</v>
      </c>
      <c r="F402" s="22" t="s">
        <v>779</v>
      </c>
      <c r="G402" s="22" t="s">
        <v>451</v>
      </c>
      <c r="H402" s="22" t="s">
        <v>84</v>
      </c>
      <c r="I402" s="55">
        <v>36</v>
      </c>
      <c r="J402" s="55">
        <v>35</v>
      </c>
      <c r="K402" s="55">
        <f>(I402+J402)*0.1</f>
        <v>7.1000000000000005</v>
      </c>
      <c r="L402" s="55">
        <f>SUM(I402:K402)</f>
        <v>78.099999999999994</v>
      </c>
      <c r="M402" s="55">
        <f>ROUND(L402,0)</f>
        <v>78</v>
      </c>
      <c r="N402" s="56">
        <v>78</v>
      </c>
      <c r="O402" s="57">
        <f t="shared" ref="O402:O434" si="379">I402*$O$2*1.22</f>
        <v>72.468000000000004</v>
      </c>
      <c r="P402" s="58">
        <f>N402-M402</f>
        <v>0</v>
      </c>
      <c r="Q402" s="59">
        <f t="shared" si="368"/>
        <v>13</v>
      </c>
      <c r="R402" s="60">
        <v>2</v>
      </c>
      <c r="S402" s="60">
        <v>3</v>
      </c>
      <c r="T402" s="60">
        <f t="shared" si="346"/>
        <v>2</v>
      </c>
      <c r="U402" s="61">
        <f>R402+S402-T402</f>
        <v>3</v>
      </c>
      <c r="V402" s="62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>
        <v>1</v>
      </c>
      <c r="AI402" s="30"/>
      <c r="AJ402" s="30"/>
      <c r="AK402" s="30"/>
      <c r="AL402" s="30"/>
      <c r="AM402" s="30"/>
      <c r="AN402" s="30"/>
      <c r="AO402" s="30"/>
      <c r="AP402" s="31"/>
      <c r="AQ402" s="32"/>
      <c r="AR402" s="33"/>
      <c r="AS402" s="31"/>
      <c r="AT402" s="63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64">
        <v>1</v>
      </c>
      <c r="BT402" s="64"/>
      <c r="BU402" s="64"/>
      <c r="BV402" s="64"/>
      <c r="BW402" s="64"/>
      <c r="BX402" s="64"/>
      <c r="BY402" s="64"/>
      <c r="BZ402" s="64"/>
      <c r="CA402" s="64"/>
    </row>
    <row r="403" spans="1:79" ht="15" customHeight="1" x14ac:dyDescent="0.25">
      <c r="A403" s="22"/>
      <c r="B403" s="22">
        <v>370.2</v>
      </c>
      <c r="C403" s="121" t="s">
        <v>427</v>
      </c>
      <c r="D403" s="174">
        <v>2019</v>
      </c>
      <c r="E403" s="22" t="s">
        <v>780</v>
      </c>
      <c r="F403" s="22" t="s">
        <v>780</v>
      </c>
      <c r="G403" s="22" t="s">
        <v>451</v>
      </c>
      <c r="H403" s="22" t="s">
        <v>137</v>
      </c>
      <c r="I403" s="55">
        <v>13.97</v>
      </c>
      <c r="J403" s="55">
        <v>25</v>
      </c>
      <c r="K403" s="55">
        <f t="shared" ref="K403:K404" si="380">(I403+J403)*0.1</f>
        <v>3.8970000000000002</v>
      </c>
      <c r="L403" s="55">
        <f t="shared" ref="L403:L404" si="381">SUM(I403:K403)</f>
        <v>42.866999999999997</v>
      </c>
      <c r="M403" s="55">
        <f t="shared" ref="M403:M404" si="382">ROUND(L403,0)</f>
        <v>43</v>
      </c>
      <c r="N403" s="56">
        <v>43</v>
      </c>
      <c r="O403" s="57">
        <f t="shared" ref="O403:O404" si="383">I403*$O$2*1.22</f>
        <v>28.12161</v>
      </c>
      <c r="P403" s="58">
        <f t="shared" ref="P403:P404" si="384">N403-M403</f>
        <v>0</v>
      </c>
      <c r="Q403" s="59">
        <f t="shared" ref="Q403:Q404" si="385">N403/$Q$3</f>
        <v>7.166666666666667</v>
      </c>
      <c r="R403" s="60"/>
      <c r="S403" s="60">
        <v>6</v>
      </c>
      <c r="T403" s="60">
        <f t="shared" ref="T403:T404" si="386">W403+X403+Y403+Z403+AA403+AB403+AC403+AD403+AE403+AF403+AG403+AH403+AI403+AJ403+AK403+AL403+AM403+AN403+AO403+AP403+AQ403+AR403+AS403+AT403+AU403+AV403+AW403+AX403+AY403+AZ403+BA403+BB403+BC403+BD403+BE403+BF403+BG403+BH403+BI403+BJ403+BK403+BL403+BM403+BQ403+BR403+BS403+BT403</f>
        <v>2</v>
      </c>
      <c r="U403" s="61">
        <f t="shared" ref="U403:U404" si="387">R403+S403-T403</f>
        <v>4</v>
      </c>
      <c r="V403" s="62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1"/>
      <c r="AQ403" s="32"/>
      <c r="AR403" s="33"/>
      <c r="AS403" s="31"/>
      <c r="AT403" s="63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64"/>
      <c r="BT403" s="64">
        <v>2</v>
      </c>
      <c r="BU403" s="64"/>
      <c r="BV403" s="64"/>
      <c r="BW403" s="64"/>
      <c r="BX403" s="64"/>
      <c r="BY403" s="64"/>
      <c r="BZ403" s="64"/>
      <c r="CA403" s="64"/>
    </row>
    <row r="404" spans="1:79" ht="15" customHeight="1" x14ac:dyDescent="0.25">
      <c r="A404" s="22"/>
      <c r="B404" s="22">
        <v>372</v>
      </c>
      <c r="C404" s="121" t="s">
        <v>427</v>
      </c>
      <c r="D404" s="174">
        <v>2019</v>
      </c>
      <c r="E404" s="22" t="s">
        <v>781</v>
      </c>
      <c r="F404" s="22" t="s">
        <v>780</v>
      </c>
      <c r="G404" s="22" t="s">
        <v>451</v>
      </c>
      <c r="H404" s="22" t="s">
        <v>137</v>
      </c>
      <c r="I404" s="55">
        <v>80.08</v>
      </c>
      <c r="J404" s="55">
        <v>60</v>
      </c>
      <c r="K404" s="55">
        <f t="shared" si="380"/>
        <v>14.007999999999999</v>
      </c>
      <c r="L404" s="55">
        <f t="shared" si="381"/>
        <v>154.08799999999999</v>
      </c>
      <c r="M404" s="55">
        <f t="shared" si="382"/>
        <v>154</v>
      </c>
      <c r="N404" s="56">
        <v>154</v>
      </c>
      <c r="O404" s="57">
        <f t="shared" si="383"/>
        <v>161.20103999999998</v>
      </c>
      <c r="P404" s="58">
        <f t="shared" si="384"/>
        <v>0</v>
      </c>
      <c r="Q404" s="59">
        <f t="shared" si="385"/>
        <v>25.666666666666668</v>
      </c>
      <c r="R404" s="60"/>
      <c r="S404" s="60">
        <v>3</v>
      </c>
      <c r="T404" s="60">
        <f t="shared" si="386"/>
        <v>0</v>
      </c>
      <c r="U404" s="61">
        <f t="shared" si="387"/>
        <v>3</v>
      </c>
      <c r="V404" s="62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1"/>
      <c r="AQ404" s="32"/>
      <c r="AR404" s="33"/>
      <c r="AS404" s="31"/>
      <c r="AT404" s="63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64"/>
      <c r="BT404" s="64"/>
      <c r="BU404" s="64"/>
      <c r="BV404" s="64"/>
      <c r="BW404" s="64"/>
      <c r="BX404" s="64"/>
      <c r="BY404" s="64"/>
      <c r="BZ404" s="64"/>
      <c r="CA404" s="64"/>
    </row>
    <row r="405" spans="1:79" ht="15" customHeight="1" x14ac:dyDescent="0.25">
      <c r="A405" s="22"/>
      <c r="B405" s="22">
        <v>371</v>
      </c>
      <c r="C405" s="121" t="s">
        <v>427</v>
      </c>
      <c r="D405" s="184">
        <v>2016</v>
      </c>
      <c r="E405" s="22" t="s">
        <v>782</v>
      </c>
      <c r="F405" s="22" t="s">
        <v>783</v>
      </c>
      <c r="G405" s="22" t="s">
        <v>451</v>
      </c>
      <c r="H405" s="22" t="s">
        <v>784</v>
      </c>
      <c r="I405" s="55">
        <v>69.900000000000006</v>
      </c>
      <c r="J405" s="55">
        <v>60</v>
      </c>
      <c r="K405" s="55">
        <f t="shared" si="365"/>
        <v>12.990000000000002</v>
      </c>
      <c r="L405" s="55">
        <f t="shared" si="366"/>
        <v>142.89000000000001</v>
      </c>
      <c r="M405" s="55">
        <f t="shared" ref="M405:M450" si="388">ROUND(L405,0)</f>
        <v>143</v>
      </c>
      <c r="N405" s="56">
        <v>145</v>
      </c>
      <c r="O405" s="57">
        <f t="shared" si="379"/>
        <v>140.70869999999999</v>
      </c>
      <c r="P405" s="58">
        <f t="shared" si="367"/>
        <v>2</v>
      </c>
      <c r="Q405" s="59">
        <f t="shared" si="368"/>
        <v>24.166666666666668</v>
      </c>
      <c r="R405" s="60">
        <v>3</v>
      </c>
      <c r="S405" s="60">
        <v>3</v>
      </c>
      <c r="T405" s="60">
        <f t="shared" si="346"/>
        <v>1</v>
      </c>
      <c r="U405" s="61">
        <f t="shared" si="357"/>
        <v>5</v>
      </c>
      <c r="V405" s="62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1"/>
      <c r="AQ405" s="32"/>
      <c r="AR405" s="33"/>
      <c r="AS405" s="31"/>
      <c r="AT405" s="63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64"/>
      <c r="BI405" s="64">
        <v>1</v>
      </c>
      <c r="BT405" s="64"/>
      <c r="BU405" s="64"/>
      <c r="BV405" s="64"/>
      <c r="BW405" s="64"/>
      <c r="BX405" s="64"/>
      <c r="BY405" s="64"/>
      <c r="BZ405" s="64"/>
      <c r="CA405" s="64"/>
    </row>
    <row r="406" spans="1:79" ht="15" customHeight="1" x14ac:dyDescent="0.25">
      <c r="A406" s="22"/>
      <c r="B406" s="29">
        <v>373</v>
      </c>
      <c r="C406" s="121" t="s">
        <v>427</v>
      </c>
      <c r="D406" s="174">
        <v>2021</v>
      </c>
      <c r="E406" s="22" t="s">
        <v>785</v>
      </c>
      <c r="F406" s="22" t="s">
        <v>786</v>
      </c>
      <c r="G406" s="22" t="s">
        <v>451</v>
      </c>
      <c r="H406" s="22" t="s">
        <v>84</v>
      </c>
      <c r="I406" s="55">
        <v>15.9</v>
      </c>
      <c r="J406" s="55">
        <v>25</v>
      </c>
      <c r="K406" s="55">
        <f t="shared" si="365"/>
        <v>4.09</v>
      </c>
      <c r="L406" s="55">
        <f t="shared" si="366"/>
        <v>44.989999999999995</v>
      </c>
      <c r="M406" s="55">
        <f t="shared" si="388"/>
        <v>45</v>
      </c>
      <c r="N406" s="56">
        <v>45</v>
      </c>
      <c r="O406" s="57">
        <f t="shared" si="379"/>
        <v>32.006700000000002</v>
      </c>
      <c r="P406" s="58">
        <f t="shared" si="367"/>
        <v>0</v>
      </c>
      <c r="Q406" s="59">
        <f t="shared" si="368"/>
        <v>7.5</v>
      </c>
      <c r="R406" s="60">
        <v>4</v>
      </c>
      <c r="S406" s="60">
        <f>5+18</f>
        <v>23</v>
      </c>
      <c r="T406" s="60">
        <f t="shared" si="346"/>
        <v>10</v>
      </c>
      <c r="U406" s="61">
        <f t="shared" si="357"/>
        <v>17</v>
      </c>
      <c r="V406" s="62"/>
      <c r="W406" s="30">
        <v>2</v>
      </c>
      <c r="X406" s="30"/>
      <c r="Y406" s="30">
        <v>2</v>
      </c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1"/>
      <c r="AQ406" s="32"/>
      <c r="AR406" s="33"/>
      <c r="AS406" s="31"/>
      <c r="AT406" s="63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64"/>
      <c r="BH406" s="64">
        <v>1</v>
      </c>
      <c r="BO406" s="64">
        <v>1</v>
      </c>
      <c r="BP406" s="64">
        <v>2</v>
      </c>
      <c r="BT406" s="64">
        <v>5</v>
      </c>
      <c r="BU406" s="64"/>
      <c r="BV406" s="64"/>
      <c r="BW406" s="64"/>
      <c r="BX406" s="64"/>
      <c r="BY406" s="64"/>
      <c r="BZ406" s="64"/>
      <c r="CA406" s="64"/>
    </row>
    <row r="407" spans="1:79" ht="15" customHeight="1" x14ac:dyDescent="0.25">
      <c r="A407" s="22"/>
      <c r="B407" s="22">
        <v>374</v>
      </c>
      <c r="C407" s="121" t="s">
        <v>427</v>
      </c>
      <c r="D407" s="174">
        <v>2019</v>
      </c>
      <c r="E407" s="22" t="s">
        <v>787</v>
      </c>
      <c r="F407" s="22" t="s">
        <v>786</v>
      </c>
      <c r="G407" s="22" t="s">
        <v>451</v>
      </c>
      <c r="H407" s="22" t="s">
        <v>137</v>
      </c>
      <c r="I407" s="55">
        <v>28.45</v>
      </c>
      <c r="J407" s="55">
        <f>IF(I407&lt;=15,$L$2,$L$3)</f>
        <v>30</v>
      </c>
      <c r="K407" s="55">
        <f t="shared" si="365"/>
        <v>5.8450000000000006</v>
      </c>
      <c r="L407" s="55">
        <f t="shared" si="366"/>
        <v>64.295000000000002</v>
      </c>
      <c r="M407" s="55">
        <f t="shared" si="388"/>
        <v>64</v>
      </c>
      <c r="N407" s="56">
        <v>68</v>
      </c>
      <c r="O407" s="57">
        <f t="shared" si="379"/>
        <v>57.269849999999991</v>
      </c>
      <c r="P407" s="58">
        <f t="shared" si="367"/>
        <v>4</v>
      </c>
      <c r="Q407" s="59">
        <f t="shared" si="368"/>
        <v>11.333333333333334</v>
      </c>
      <c r="R407" s="60">
        <v>7</v>
      </c>
      <c r="S407" s="60"/>
      <c r="T407" s="60">
        <f t="shared" si="346"/>
        <v>2</v>
      </c>
      <c r="U407" s="61">
        <f t="shared" si="357"/>
        <v>5</v>
      </c>
      <c r="V407" s="62"/>
      <c r="W407" s="30">
        <v>1</v>
      </c>
      <c r="X407" s="30"/>
      <c r="Y407" s="30"/>
      <c r="Z407" s="30"/>
      <c r="AA407" s="30"/>
      <c r="AB407" s="30"/>
      <c r="AC407" s="30"/>
      <c r="AD407" s="30">
        <v>1</v>
      </c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1"/>
      <c r="AQ407" s="32"/>
      <c r="AR407" s="33"/>
      <c r="AS407" s="31"/>
      <c r="AT407" s="63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64"/>
      <c r="BO407" s="64">
        <v>1</v>
      </c>
      <c r="BT407" s="64"/>
      <c r="BU407" s="64"/>
      <c r="BV407" s="64"/>
      <c r="BW407" s="64"/>
      <c r="BX407" s="64"/>
      <c r="BY407" s="64"/>
      <c r="BZ407" s="64"/>
      <c r="CA407" s="64"/>
    </row>
    <row r="408" spans="1:79" ht="15" customHeight="1" x14ac:dyDescent="0.25">
      <c r="A408" s="22"/>
      <c r="B408" s="22">
        <v>375</v>
      </c>
      <c r="C408" s="121" t="s">
        <v>427</v>
      </c>
      <c r="D408" s="174">
        <v>2018</v>
      </c>
      <c r="E408" s="22" t="s">
        <v>788</v>
      </c>
      <c r="F408" s="22" t="s">
        <v>789</v>
      </c>
      <c r="G408" s="22" t="s">
        <v>451</v>
      </c>
      <c r="H408" s="22" t="s">
        <v>137</v>
      </c>
      <c r="I408" s="55">
        <v>64.680000000000007</v>
      </c>
      <c r="J408" s="55">
        <v>60</v>
      </c>
      <c r="K408" s="55">
        <f t="shared" si="365"/>
        <v>12.468000000000002</v>
      </c>
      <c r="L408" s="55">
        <f t="shared" si="366"/>
        <v>137.148</v>
      </c>
      <c r="M408" s="55">
        <f t="shared" si="388"/>
        <v>137</v>
      </c>
      <c r="N408" s="56">
        <v>155</v>
      </c>
      <c r="O408" s="57">
        <f t="shared" si="379"/>
        <v>130.20084</v>
      </c>
      <c r="P408" s="58">
        <f t="shared" si="367"/>
        <v>18</v>
      </c>
      <c r="Q408" s="59">
        <f t="shared" si="368"/>
        <v>25.833333333333332</v>
      </c>
      <c r="R408" s="60">
        <v>3</v>
      </c>
      <c r="S408" s="60"/>
      <c r="T408" s="60">
        <f t="shared" si="346"/>
        <v>0</v>
      </c>
      <c r="U408" s="61">
        <f t="shared" si="357"/>
        <v>3</v>
      </c>
      <c r="V408" s="62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1"/>
      <c r="AQ408" s="32"/>
      <c r="AR408" s="33"/>
      <c r="AS408" s="31"/>
      <c r="AT408" s="63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64"/>
      <c r="BT408" s="64"/>
      <c r="BU408" s="64"/>
      <c r="BV408" s="64"/>
      <c r="BW408" s="64"/>
      <c r="BX408" s="64"/>
      <c r="BY408" s="64"/>
      <c r="BZ408" s="64"/>
      <c r="CA408" s="64"/>
    </row>
    <row r="409" spans="1:79" ht="15" customHeight="1" x14ac:dyDescent="0.25">
      <c r="A409" s="22"/>
      <c r="B409" s="22">
        <v>376</v>
      </c>
      <c r="C409" s="121" t="s">
        <v>427</v>
      </c>
      <c r="D409" s="174">
        <v>2019</v>
      </c>
      <c r="E409" s="22" t="s">
        <v>788</v>
      </c>
      <c r="F409" s="22" t="s">
        <v>789</v>
      </c>
      <c r="G409" s="22" t="s">
        <v>451</v>
      </c>
      <c r="H409" s="22" t="s">
        <v>137</v>
      </c>
      <c r="I409" s="55">
        <v>79.95</v>
      </c>
      <c r="J409" s="55">
        <v>70</v>
      </c>
      <c r="K409" s="55">
        <f>(I409+J409)*0.1</f>
        <v>14.994999999999999</v>
      </c>
      <c r="L409" s="55">
        <f>SUM(I409:K409)</f>
        <v>164.94499999999999</v>
      </c>
      <c r="M409" s="55">
        <f>ROUND(L409,0)</f>
        <v>165</v>
      </c>
      <c r="N409" s="56">
        <v>165</v>
      </c>
      <c r="O409" s="57">
        <f t="shared" si="379"/>
        <v>160.93934999999999</v>
      </c>
      <c r="P409" s="58">
        <f>N409-M409</f>
        <v>0</v>
      </c>
      <c r="Q409" s="59">
        <f t="shared" si="368"/>
        <v>27.5</v>
      </c>
      <c r="R409" s="60">
        <v>4</v>
      </c>
      <c r="S409" s="60"/>
      <c r="T409" s="60">
        <f t="shared" si="346"/>
        <v>0</v>
      </c>
      <c r="U409" s="61">
        <f>R409+S409-T409</f>
        <v>4</v>
      </c>
      <c r="V409" s="62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1"/>
      <c r="AQ409" s="32"/>
      <c r="AR409" s="33"/>
      <c r="AS409" s="31"/>
      <c r="AT409" s="63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64"/>
      <c r="BT409" s="64"/>
      <c r="BU409" s="64"/>
      <c r="BV409" s="64"/>
      <c r="BW409" s="64"/>
      <c r="BX409" s="64"/>
      <c r="BY409" s="64"/>
      <c r="BZ409" s="64"/>
      <c r="CA409" s="64"/>
    </row>
    <row r="410" spans="1:79" ht="15" customHeight="1" x14ac:dyDescent="0.25">
      <c r="A410" s="22"/>
      <c r="B410" s="29">
        <v>377</v>
      </c>
      <c r="C410" s="121" t="s">
        <v>427</v>
      </c>
      <c r="D410" s="174">
        <v>2011</v>
      </c>
      <c r="E410" s="22" t="s">
        <v>790</v>
      </c>
      <c r="F410" s="22" t="s">
        <v>791</v>
      </c>
      <c r="G410" s="22" t="s">
        <v>451</v>
      </c>
      <c r="H410" s="22" t="s">
        <v>135</v>
      </c>
      <c r="I410" s="55">
        <v>143.75</v>
      </c>
      <c r="J410" s="55">
        <v>140</v>
      </c>
      <c r="K410" s="55">
        <f t="shared" si="365"/>
        <v>28.375</v>
      </c>
      <c r="L410" s="55">
        <f t="shared" si="366"/>
        <v>312.125</v>
      </c>
      <c r="M410" s="55">
        <f t="shared" si="388"/>
        <v>312</v>
      </c>
      <c r="N410" s="56">
        <v>290</v>
      </c>
      <c r="O410" s="57">
        <f t="shared" si="379"/>
        <v>289.36874999999998</v>
      </c>
      <c r="P410" s="58">
        <f t="shared" si="367"/>
        <v>-22</v>
      </c>
      <c r="Q410" s="59">
        <f t="shared" si="368"/>
        <v>48.333333333333336</v>
      </c>
      <c r="R410" s="60">
        <v>1</v>
      </c>
      <c r="S410" s="60"/>
      <c r="T410" s="60">
        <f t="shared" ref="T410:T474" si="389">W410+X410+Y410+Z410+AA410+AB410+AC410+AD410+AE410+AF410+AG410+AH410+AI410+AJ410+AK410+AL410+AM410+AN410+AO410+AP410+AQ410+AR410+AS410+AT410+AU410+AV410+AW410+AX410+AY410+AZ410+BA410+BB410+BC410+BD410+BE410+BF410+BG410+BH410+BI410+BJ410+BK410+BL410+BM410+BQ410+BR410+BS410+BT410</f>
        <v>0</v>
      </c>
      <c r="U410" s="61">
        <f t="shared" si="357"/>
        <v>1</v>
      </c>
      <c r="V410" s="62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1"/>
      <c r="AQ410" s="32"/>
      <c r="AR410" s="33"/>
      <c r="AS410" s="31"/>
      <c r="AT410" s="63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64"/>
      <c r="BT410" s="64"/>
      <c r="BU410" s="64"/>
      <c r="BV410" s="64"/>
      <c r="BW410" s="64"/>
      <c r="BX410" s="64"/>
      <c r="BY410" s="64"/>
      <c r="BZ410" s="64"/>
      <c r="CA410" s="64"/>
    </row>
    <row r="411" spans="1:79" s="54" customFormat="1" ht="15" customHeight="1" x14ac:dyDescent="0.25">
      <c r="A411" s="22"/>
      <c r="B411" s="22">
        <v>378</v>
      </c>
      <c r="C411" s="121" t="s">
        <v>427</v>
      </c>
      <c r="D411" s="174">
        <v>2012</v>
      </c>
      <c r="E411" s="22" t="s">
        <v>790</v>
      </c>
      <c r="F411" s="22" t="s">
        <v>791</v>
      </c>
      <c r="G411" s="22" t="s">
        <v>451</v>
      </c>
      <c r="H411" s="22" t="s">
        <v>135</v>
      </c>
      <c r="I411" s="55">
        <v>143.75</v>
      </c>
      <c r="J411" s="55">
        <v>141</v>
      </c>
      <c r="K411" s="55">
        <f t="shared" si="365"/>
        <v>28.475000000000001</v>
      </c>
      <c r="L411" s="55">
        <f t="shared" si="366"/>
        <v>313.22500000000002</v>
      </c>
      <c r="M411" s="55">
        <f t="shared" si="388"/>
        <v>313</v>
      </c>
      <c r="N411" s="56">
        <v>299</v>
      </c>
      <c r="O411" s="57">
        <f t="shared" si="379"/>
        <v>289.36874999999998</v>
      </c>
      <c r="P411" s="58">
        <f t="shared" si="367"/>
        <v>-14</v>
      </c>
      <c r="Q411" s="59">
        <f t="shared" si="368"/>
        <v>49.833333333333336</v>
      </c>
      <c r="R411" s="60">
        <v>2</v>
      </c>
      <c r="S411" s="60"/>
      <c r="T411" s="60">
        <f t="shared" si="389"/>
        <v>0</v>
      </c>
      <c r="U411" s="61">
        <f t="shared" si="357"/>
        <v>2</v>
      </c>
      <c r="V411" s="62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1"/>
      <c r="AQ411" s="32"/>
      <c r="AR411" s="33"/>
      <c r="AS411" s="31"/>
      <c r="AT411" s="63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</row>
    <row r="412" spans="1:79" s="54" customFormat="1" ht="15" customHeight="1" x14ac:dyDescent="0.25">
      <c r="A412" s="22"/>
      <c r="B412" s="22">
        <v>379</v>
      </c>
      <c r="C412" s="121" t="s">
        <v>427</v>
      </c>
      <c r="D412" s="174">
        <v>2018</v>
      </c>
      <c r="E412" s="22" t="s">
        <v>792</v>
      </c>
      <c r="F412" s="22" t="s">
        <v>421</v>
      </c>
      <c r="G412" s="22" t="s">
        <v>451</v>
      </c>
      <c r="H412" s="22" t="s">
        <v>78</v>
      </c>
      <c r="I412" s="55">
        <v>84</v>
      </c>
      <c r="J412" s="55">
        <v>80</v>
      </c>
      <c r="K412" s="55">
        <f t="shared" ref="K412:K417" si="390">(I412+J412)*0.1</f>
        <v>16.400000000000002</v>
      </c>
      <c r="L412" s="55">
        <f t="shared" ref="L412:L417" si="391">SUM(I412:K412)</f>
        <v>180.4</v>
      </c>
      <c r="M412" s="55">
        <f t="shared" ref="M412:M417" si="392">ROUND(L412,0)</f>
        <v>180</v>
      </c>
      <c r="N412" s="56">
        <v>180</v>
      </c>
      <c r="O412" s="57">
        <f t="shared" si="379"/>
        <v>169.09199999999998</v>
      </c>
      <c r="P412" s="58">
        <f t="shared" ref="P412:P417" si="393">N412-M412</f>
        <v>0</v>
      </c>
      <c r="Q412" s="59">
        <f t="shared" si="368"/>
        <v>30</v>
      </c>
      <c r="R412" s="60">
        <v>1</v>
      </c>
      <c r="S412" s="60">
        <v>3</v>
      </c>
      <c r="T412" s="60">
        <f t="shared" si="389"/>
        <v>1</v>
      </c>
      <c r="U412" s="61">
        <f t="shared" ref="U412:U417" si="394">R412+S412-T412</f>
        <v>3</v>
      </c>
      <c r="V412" s="62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1"/>
      <c r="AQ412" s="32">
        <v>1</v>
      </c>
      <c r="AR412" s="33"/>
      <c r="AS412" s="31"/>
      <c r="AT412" s="63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</row>
    <row r="413" spans="1:79" ht="15" customHeight="1" x14ac:dyDescent="0.25">
      <c r="A413" s="67"/>
      <c r="B413" s="22">
        <v>380</v>
      </c>
      <c r="C413" s="75" t="s">
        <v>427</v>
      </c>
      <c r="D413" s="174">
        <v>2007</v>
      </c>
      <c r="E413" s="22" t="s">
        <v>793</v>
      </c>
      <c r="F413" s="22" t="s">
        <v>732</v>
      </c>
      <c r="G413" s="22" t="s">
        <v>95</v>
      </c>
      <c r="H413" s="22" t="s">
        <v>784</v>
      </c>
      <c r="I413" s="55">
        <v>161</v>
      </c>
      <c r="J413" s="55">
        <v>130</v>
      </c>
      <c r="K413" s="55">
        <f t="shared" si="390"/>
        <v>29.1</v>
      </c>
      <c r="L413" s="55">
        <f t="shared" si="391"/>
        <v>320.10000000000002</v>
      </c>
      <c r="M413" s="55">
        <f t="shared" si="392"/>
        <v>320</v>
      </c>
      <c r="N413" s="56">
        <v>318</v>
      </c>
      <c r="O413" s="57">
        <f t="shared" si="379"/>
        <v>324.09299999999996</v>
      </c>
      <c r="P413" s="58">
        <f t="shared" si="393"/>
        <v>-2</v>
      </c>
      <c r="Q413" s="59">
        <f t="shared" si="368"/>
        <v>53</v>
      </c>
      <c r="R413" s="60">
        <v>4</v>
      </c>
      <c r="S413" s="60"/>
      <c r="T413" s="60">
        <f>W413+X413+Y413+Z413+AA413+AB413+AC413+AD413+AE413+AF413+AG413+AH413+AI413+AJ413+AK413+AL413+AM413+AN413+AO413+AP413+AQ413+AR413+AS413+AT413+AU413+AV413+AW413+AX413+AY413+AZ413+BA413+BB413+BC413+BD413+BE413+BF413+BG413+BH413+BI413+BJ413+BK413+BL413+BM413+BQ413+BR413+BS413+BT413</f>
        <v>0</v>
      </c>
      <c r="U413" s="61">
        <f t="shared" si="394"/>
        <v>4</v>
      </c>
      <c r="V413" s="62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1"/>
      <c r="AQ413" s="32"/>
      <c r="AR413" s="33"/>
      <c r="AS413" s="31"/>
      <c r="AT413" s="63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64"/>
      <c r="BT413" s="64"/>
      <c r="BU413" s="64"/>
      <c r="BV413" s="64"/>
      <c r="BW413" s="64"/>
      <c r="BX413" s="64"/>
      <c r="BY413" s="64"/>
      <c r="BZ413" s="64"/>
      <c r="CA413" s="64"/>
    </row>
    <row r="414" spans="1:79" ht="15" customHeight="1" x14ac:dyDescent="0.25">
      <c r="A414" s="22"/>
      <c r="B414" s="29">
        <v>381</v>
      </c>
      <c r="C414" s="75" t="s">
        <v>427</v>
      </c>
      <c r="D414" s="174">
        <v>2011</v>
      </c>
      <c r="E414" s="22" t="s">
        <v>739</v>
      </c>
      <c r="F414" s="22" t="s">
        <v>732</v>
      </c>
      <c r="G414" s="22" t="s">
        <v>95</v>
      </c>
      <c r="H414" s="22" t="s">
        <v>784</v>
      </c>
      <c r="I414" s="55">
        <v>61</v>
      </c>
      <c r="J414" s="55">
        <v>60</v>
      </c>
      <c r="K414" s="55">
        <f t="shared" si="390"/>
        <v>12.100000000000001</v>
      </c>
      <c r="L414" s="55">
        <f t="shared" si="391"/>
        <v>133.1</v>
      </c>
      <c r="M414" s="55">
        <f t="shared" si="392"/>
        <v>133</v>
      </c>
      <c r="N414" s="56">
        <v>135</v>
      </c>
      <c r="O414" s="57">
        <f t="shared" si="379"/>
        <v>122.79299999999999</v>
      </c>
      <c r="P414" s="58">
        <f t="shared" si="393"/>
        <v>2</v>
      </c>
      <c r="Q414" s="59">
        <f t="shared" si="368"/>
        <v>22.5</v>
      </c>
      <c r="R414" s="60">
        <v>1</v>
      </c>
      <c r="S414" s="60"/>
      <c r="T414" s="60">
        <f>W414+X414+Y414+Z414+AA414+AB414+AC414+AD414+AE414+AF414+AG414+AH414+AI414+AJ414+AK414+AL414+AM414+AN414+AO414+AP414+AQ414+AR414+AS414+AT414+AU414+AV414+AW414+AX414+AY414+AZ414+BA414+BB414+BC414+BD414+BE414+BF414+BG414+BH414+BI414+BJ414+BK414+BL414+BM414+BQ414+BR414+BS414+BT414</f>
        <v>0</v>
      </c>
      <c r="U414" s="61">
        <f t="shared" si="394"/>
        <v>1</v>
      </c>
      <c r="V414" s="62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1"/>
      <c r="AQ414" s="32"/>
      <c r="AR414" s="33"/>
      <c r="AS414" s="31"/>
      <c r="AT414" s="63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64"/>
      <c r="BT414" s="64"/>
      <c r="BU414" s="64"/>
      <c r="BV414" s="64"/>
      <c r="BW414" s="64"/>
      <c r="BX414" s="64"/>
      <c r="BY414" s="64"/>
      <c r="BZ414" s="64"/>
      <c r="CA414" s="64"/>
    </row>
    <row r="415" spans="1:79" s="54" customFormat="1" ht="15" customHeight="1" x14ac:dyDescent="0.25">
      <c r="A415" s="22"/>
      <c r="B415" s="22">
        <v>382</v>
      </c>
      <c r="C415" s="75" t="s">
        <v>427</v>
      </c>
      <c r="D415" s="174">
        <v>2013</v>
      </c>
      <c r="E415" s="22" t="s">
        <v>794</v>
      </c>
      <c r="F415" s="22" t="s">
        <v>732</v>
      </c>
      <c r="G415" s="22" t="s">
        <v>95</v>
      </c>
      <c r="H415" s="22" t="s">
        <v>84</v>
      </c>
      <c r="I415" s="55">
        <v>185</v>
      </c>
      <c r="J415" s="55">
        <v>136</v>
      </c>
      <c r="K415" s="55">
        <f t="shared" si="390"/>
        <v>32.1</v>
      </c>
      <c r="L415" s="55">
        <f t="shared" si="391"/>
        <v>353.1</v>
      </c>
      <c r="M415" s="55">
        <f t="shared" si="392"/>
        <v>353</v>
      </c>
      <c r="N415" s="56">
        <v>450</v>
      </c>
      <c r="O415" s="57">
        <f t="shared" si="379"/>
        <v>372.40499999999997</v>
      </c>
      <c r="P415" s="58">
        <f t="shared" si="393"/>
        <v>97</v>
      </c>
      <c r="Q415" s="59">
        <f t="shared" si="368"/>
        <v>75</v>
      </c>
      <c r="R415" s="60">
        <v>1</v>
      </c>
      <c r="S415" s="60"/>
      <c r="T415" s="60">
        <f>W415+X415+Y415+Z415+AA415+AB415+AC415+AD415+AE415+AF415+AG415+AH415+AI415+AJ415+AK415+AL415+AM415+AN415+AO415+AP415+AQ415+AR415+AS415+AT415+AU415+AV415+AW415+AX415+AY415+AZ415+BA415+BB415+BC415+BD415+BE415+BF415+BG415+BH415+BI415+BJ415+BK415+BL415+BM415+BQ415+BR415+BS415+BT415</f>
        <v>0</v>
      </c>
      <c r="U415" s="61">
        <f t="shared" si="394"/>
        <v>1</v>
      </c>
      <c r="V415" s="62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1"/>
      <c r="AQ415" s="32"/>
      <c r="AR415" s="33"/>
      <c r="AS415" s="31"/>
      <c r="AT415" s="63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</row>
    <row r="416" spans="1:79" s="54" customFormat="1" ht="15" customHeight="1" x14ac:dyDescent="0.25">
      <c r="A416" s="22"/>
      <c r="B416" s="22">
        <v>383</v>
      </c>
      <c r="C416" s="75" t="s">
        <v>427</v>
      </c>
      <c r="D416" s="174">
        <v>2016</v>
      </c>
      <c r="E416" s="22" t="s">
        <v>794</v>
      </c>
      <c r="F416" s="22" t="s">
        <v>732</v>
      </c>
      <c r="G416" s="22" t="s">
        <v>95</v>
      </c>
      <c r="H416" s="22" t="s">
        <v>84</v>
      </c>
      <c r="I416" s="55">
        <v>185</v>
      </c>
      <c r="J416" s="55">
        <v>180</v>
      </c>
      <c r="K416" s="55">
        <f t="shared" si="390"/>
        <v>36.5</v>
      </c>
      <c r="L416" s="55">
        <f t="shared" si="391"/>
        <v>401.5</v>
      </c>
      <c r="M416" s="55">
        <f t="shared" si="392"/>
        <v>402</v>
      </c>
      <c r="N416" s="56">
        <v>440</v>
      </c>
      <c r="O416" s="57">
        <f t="shared" si="379"/>
        <v>372.40499999999997</v>
      </c>
      <c r="P416" s="58">
        <f t="shared" si="393"/>
        <v>38</v>
      </c>
      <c r="Q416" s="59">
        <f t="shared" si="368"/>
        <v>73.333333333333329</v>
      </c>
      <c r="R416" s="60">
        <v>2</v>
      </c>
      <c r="S416" s="60"/>
      <c r="T416" s="60">
        <f>W416+X416+Y416+Z416+AA416+AB416+AC416+AD416+AE416+AF416+AG416+AH416+AI416+AJ416+AK416+AL416+AM416+AN416+AO416+AP416+AQ416+AR416+AS416+AT416+AU416+AV416+AW416+AX416+AY416+AZ416+BA416+BB416+BC416+BD416+BE416+BF416+BG416+BH416+BI416+BJ416+BK416+BL416+BM416+BQ416+BR416+BS416+BT416</f>
        <v>0</v>
      </c>
      <c r="U416" s="61">
        <f t="shared" si="394"/>
        <v>2</v>
      </c>
      <c r="V416" s="62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1"/>
      <c r="AQ416" s="32"/>
      <c r="AR416" s="33"/>
      <c r="AS416" s="31"/>
      <c r="AT416" s="63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</row>
    <row r="417" spans="1:79" ht="15" customHeight="1" x14ac:dyDescent="0.25">
      <c r="A417" s="22"/>
      <c r="B417" s="22">
        <v>384</v>
      </c>
      <c r="C417" s="75" t="s">
        <v>427</v>
      </c>
      <c r="D417" s="174">
        <v>2013</v>
      </c>
      <c r="E417" s="22" t="s">
        <v>795</v>
      </c>
      <c r="F417" s="22" t="s">
        <v>796</v>
      </c>
      <c r="G417" s="22" t="s">
        <v>451</v>
      </c>
      <c r="H417" s="22" t="s">
        <v>784</v>
      </c>
      <c r="I417" s="55">
        <v>535</v>
      </c>
      <c r="J417" s="55">
        <v>200</v>
      </c>
      <c r="K417" s="55">
        <f t="shared" si="390"/>
        <v>73.5</v>
      </c>
      <c r="L417" s="55">
        <f t="shared" si="391"/>
        <v>808.5</v>
      </c>
      <c r="M417" s="55">
        <f t="shared" si="392"/>
        <v>809</v>
      </c>
      <c r="N417" s="56">
        <v>980</v>
      </c>
      <c r="O417" s="57">
        <f t="shared" si="379"/>
        <v>1076.9549999999999</v>
      </c>
      <c r="P417" s="58">
        <f t="shared" si="393"/>
        <v>171</v>
      </c>
      <c r="Q417" s="59">
        <f t="shared" si="368"/>
        <v>163.33333333333334</v>
      </c>
      <c r="R417" s="60">
        <v>2</v>
      </c>
      <c r="S417" s="60"/>
      <c r="T417" s="60">
        <f>W417+X417+Y417+Z417+AA417+AB417+AC417+AD417+AE417+AF417+AG417+AH417+AI417+AJ417+AK417+AL417+AM417+AN417+AO417+AP417+AQ417+AR417+AS417+AT417+AU417+AV417+AW417+AX417+AY417+AZ417+BA417+BB417+BC417+BD417+BE417+BF417+BG417+BH417+BI417+BJ417+BK417+BL417+BM417+BQ417+BR417+BS417+BT417</f>
        <v>0</v>
      </c>
      <c r="U417" s="61">
        <f t="shared" si="394"/>
        <v>2</v>
      </c>
      <c r="V417" s="62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1"/>
      <c r="AQ417" s="32"/>
      <c r="AR417" s="33"/>
      <c r="AS417" s="31"/>
      <c r="AT417" s="63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64"/>
      <c r="BT417" s="64"/>
      <c r="BU417" s="64"/>
      <c r="BV417" s="64"/>
      <c r="BW417" s="64"/>
      <c r="BX417" s="64"/>
      <c r="BY417" s="64"/>
      <c r="BZ417" s="64"/>
      <c r="CA417" s="64"/>
    </row>
    <row r="418" spans="1:79" ht="15" customHeight="1" x14ac:dyDescent="0.25">
      <c r="A418" s="22"/>
      <c r="B418" s="29">
        <v>385</v>
      </c>
      <c r="C418" s="121" t="s">
        <v>427</v>
      </c>
      <c r="D418" s="174" t="s">
        <v>797</v>
      </c>
      <c r="E418" s="22" t="s">
        <v>798</v>
      </c>
      <c r="F418" s="22" t="s">
        <v>768</v>
      </c>
      <c r="G418" s="22" t="s">
        <v>451</v>
      </c>
      <c r="H418" s="22" t="s">
        <v>78</v>
      </c>
      <c r="I418" s="55">
        <v>45.9</v>
      </c>
      <c r="J418" s="55">
        <v>40</v>
      </c>
      <c r="K418" s="55">
        <f t="shared" si="365"/>
        <v>8.5900000000000016</v>
      </c>
      <c r="L418" s="55">
        <f t="shared" si="366"/>
        <v>94.490000000000009</v>
      </c>
      <c r="M418" s="55">
        <f t="shared" si="388"/>
        <v>94</v>
      </c>
      <c r="N418" s="56">
        <v>94</v>
      </c>
      <c r="O418" s="57">
        <f t="shared" si="379"/>
        <v>92.396699999999996</v>
      </c>
      <c r="P418" s="58">
        <f t="shared" si="367"/>
        <v>0</v>
      </c>
      <c r="Q418" s="59">
        <f t="shared" si="368"/>
        <v>15.666666666666666</v>
      </c>
      <c r="R418" s="60">
        <v>6</v>
      </c>
      <c r="S418" s="60"/>
      <c r="T418" s="60">
        <f t="shared" si="389"/>
        <v>0</v>
      </c>
      <c r="U418" s="61">
        <f t="shared" si="357"/>
        <v>6</v>
      </c>
      <c r="V418" s="62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1"/>
      <c r="AQ418" s="32"/>
      <c r="AR418" s="33"/>
      <c r="AS418" s="31"/>
      <c r="AT418" s="63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64"/>
      <c r="BT418" s="64"/>
      <c r="BU418" s="64"/>
      <c r="BV418" s="64"/>
      <c r="BW418" s="64"/>
      <c r="BX418" s="64"/>
      <c r="BY418" s="64"/>
      <c r="BZ418" s="64"/>
      <c r="CA418" s="64"/>
    </row>
    <row r="419" spans="1:79" ht="15" customHeight="1" x14ac:dyDescent="0.25">
      <c r="A419" s="22"/>
      <c r="B419" s="22">
        <v>386</v>
      </c>
      <c r="C419" s="121" t="s">
        <v>427</v>
      </c>
      <c r="D419" s="174" t="s">
        <v>799</v>
      </c>
      <c r="E419" s="22" t="s">
        <v>800</v>
      </c>
      <c r="F419" s="22" t="s">
        <v>449</v>
      </c>
      <c r="G419" s="22" t="s">
        <v>451</v>
      </c>
      <c r="H419" s="22" t="s">
        <v>728</v>
      </c>
      <c r="I419" s="55">
        <v>10.9</v>
      </c>
      <c r="J419" s="55">
        <f t="shared" ref="J419:J424" si="395">IF(I419&lt;=15,$L$2,$L$3)</f>
        <v>25</v>
      </c>
      <c r="K419" s="55">
        <f t="shared" si="365"/>
        <v>3.59</v>
      </c>
      <c r="L419" s="55">
        <f t="shared" si="366"/>
        <v>39.489999999999995</v>
      </c>
      <c r="M419" s="55">
        <f t="shared" si="388"/>
        <v>39</v>
      </c>
      <c r="N419" s="56">
        <v>38</v>
      </c>
      <c r="O419" s="57">
        <f t="shared" si="379"/>
        <v>21.941699999999997</v>
      </c>
      <c r="P419" s="58">
        <f t="shared" si="367"/>
        <v>-1</v>
      </c>
      <c r="Q419" s="59">
        <f t="shared" si="368"/>
        <v>6.333333333333333</v>
      </c>
      <c r="R419" s="60">
        <v>19</v>
      </c>
      <c r="S419" s="60">
        <v>3</v>
      </c>
      <c r="T419" s="60">
        <f t="shared" si="389"/>
        <v>7</v>
      </c>
      <c r="U419" s="61">
        <f t="shared" si="357"/>
        <v>15</v>
      </c>
      <c r="V419" s="88"/>
      <c r="W419" s="89">
        <v>1</v>
      </c>
      <c r="X419" s="89"/>
      <c r="Y419" s="89"/>
      <c r="Z419" s="89">
        <v>1</v>
      </c>
      <c r="AA419" s="89"/>
      <c r="AB419" s="89"/>
      <c r="AC419" s="89"/>
      <c r="AD419" s="89"/>
      <c r="AE419" s="89">
        <v>1</v>
      </c>
      <c r="AF419" s="89"/>
      <c r="AG419" s="89"/>
      <c r="AH419" s="89"/>
      <c r="AI419" s="89"/>
      <c r="AJ419" s="89"/>
      <c r="AK419" s="89"/>
      <c r="AL419" s="89"/>
      <c r="AM419" s="89"/>
      <c r="AN419" s="89"/>
      <c r="AO419" s="89"/>
      <c r="AP419" s="90"/>
      <c r="AQ419" s="91"/>
      <c r="AR419" s="92"/>
      <c r="AS419" s="90"/>
      <c r="AT419" s="63">
        <v>2</v>
      </c>
      <c r="AU419" s="93"/>
      <c r="AV419" s="93"/>
      <c r="AW419" s="93"/>
      <c r="AX419" s="93"/>
      <c r="AY419" s="93"/>
      <c r="AZ419" s="93"/>
      <c r="BA419" s="93"/>
      <c r="BB419" s="93">
        <v>2</v>
      </c>
      <c r="BC419" s="93"/>
      <c r="BD419" s="93"/>
      <c r="BE419" s="93"/>
      <c r="BF419" s="94"/>
      <c r="BG419" s="94"/>
      <c r="BH419" s="94"/>
      <c r="BI419" s="94"/>
      <c r="BJ419" s="94"/>
      <c r="BK419" s="94"/>
      <c r="BL419" s="94"/>
      <c r="BM419" s="94"/>
      <c r="BN419" s="94"/>
      <c r="BO419" s="94"/>
      <c r="BP419" s="94"/>
      <c r="BQ419" s="94"/>
      <c r="BR419" s="94"/>
      <c r="BS419" s="94"/>
      <c r="BT419" s="94"/>
      <c r="BU419" s="94"/>
      <c r="BV419" s="94"/>
      <c r="BW419" s="94"/>
      <c r="BX419" s="94"/>
      <c r="BY419" s="94"/>
      <c r="BZ419" s="94"/>
      <c r="CA419" s="94"/>
    </row>
    <row r="420" spans="1:79" ht="15" customHeight="1" x14ac:dyDescent="0.25">
      <c r="A420" s="22"/>
      <c r="B420" s="22">
        <v>387</v>
      </c>
      <c r="C420" s="121" t="s">
        <v>427</v>
      </c>
      <c r="D420" s="174">
        <v>2017</v>
      </c>
      <c r="E420" s="22" t="s">
        <v>801</v>
      </c>
      <c r="F420" s="22" t="s">
        <v>449</v>
      </c>
      <c r="G420" s="22" t="s">
        <v>451</v>
      </c>
      <c r="H420" s="22" t="s">
        <v>728</v>
      </c>
      <c r="I420" s="55">
        <v>29</v>
      </c>
      <c r="J420" s="55">
        <f t="shared" si="395"/>
        <v>30</v>
      </c>
      <c r="K420" s="55">
        <f>(I420+J420)*0.1</f>
        <v>5.9</v>
      </c>
      <c r="L420" s="55">
        <f>SUM(I420:K420)</f>
        <v>64.900000000000006</v>
      </c>
      <c r="M420" s="55">
        <f>ROUND(L420,0)</f>
        <v>65</v>
      </c>
      <c r="N420" s="56">
        <v>65</v>
      </c>
      <c r="O420" s="57">
        <f t="shared" si="379"/>
        <v>58.376999999999995</v>
      </c>
      <c r="P420" s="58">
        <f>N420-M420</f>
        <v>0</v>
      </c>
      <c r="Q420" s="59">
        <f t="shared" si="368"/>
        <v>10.833333333333334</v>
      </c>
      <c r="R420" s="60">
        <v>1</v>
      </c>
      <c r="S420" s="60">
        <v>21</v>
      </c>
      <c r="T420" s="60">
        <f t="shared" si="389"/>
        <v>8</v>
      </c>
      <c r="U420" s="61">
        <f t="shared" si="357"/>
        <v>14</v>
      </c>
      <c r="V420" s="88"/>
      <c r="W420" s="89"/>
      <c r="X420" s="89"/>
      <c r="Y420" s="89"/>
      <c r="Z420" s="89"/>
      <c r="AA420" s="89"/>
      <c r="AB420" s="89"/>
      <c r="AC420" s="89">
        <v>1</v>
      </c>
      <c r="AD420" s="89"/>
      <c r="AE420" s="89">
        <v>1</v>
      </c>
      <c r="AF420" s="89"/>
      <c r="AG420" s="89"/>
      <c r="AH420" s="89"/>
      <c r="AI420" s="89"/>
      <c r="AJ420" s="89"/>
      <c r="AK420" s="89"/>
      <c r="AL420" s="89"/>
      <c r="AM420" s="89"/>
      <c r="AN420" s="89"/>
      <c r="AO420" s="89"/>
      <c r="AP420" s="90"/>
      <c r="AQ420" s="91"/>
      <c r="AR420" s="92"/>
      <c r="AS420" s="90"/>
      <c r="AT420" s="63"/>
      <c r="AU420" s="93"/>
      <c r="AV420" s="93"/>
      <c r="AW420" s="93"/>
      <c r="AX420" s="93"/>
      <c r="AY420" s="93"/>
      <c r="AZ420" s="93"/>
      <c r="BA420" s="93"/>
      <c r="BB420" s="93"/>
      <c r="BC420" s="93">
        <v>1</v>
      </c>
      <c r="BD420" s="93"/>
      <c r="BE420" s="93"/>
      <c r="BF420" s="94"/>
      <c r="BG420" s="94"/>
      <c r="BH420" s="94"/>
      <c r="BI420" s="94"/>
      <c r="BJ420" s="94"/>
      <c r="BK420" s="94">
        <v>1</v>
      </c>
      <c r="BL420" s="94"/>
      <c r="BM420" s="94"/>
      <c r="BN420" s="94"/>
      <c r="BO420" s="94"/>
      <c r="BP420" s="94"/>
      <c r="BQ420" s="94"/>
      <c r="BR420" s="94"/>
      <c r="BS420" s="94"/>
      <c r="BT420" s="94">
        <v>4</v>
      </c>
      <c r="BU420" s="94"/>
      <c r="BV420" s="94"/>
      <c r="BW420" s="94"/>
      <c r="BX420" s="94"/>
      <c r="BY420" s="94"/>
      <c r="BZ420" s="94"/>
      <c r="CA420" s="94"/>
    </row>
    <row r="421" spans="1:79" ht="15" customHeight="1" x14ac:dyDescent="0.25">
      <c r="A421" s="22"/>
      <c r="B421" s="29">
        <v>389</v>
      </c>
      <c r="C421" s="121" t="s">
        <v>427</v>
      </c>
      <c r="D421" s="174" t="s">
        <v>776</v>
      </c>
      <c r="E421" s="22" t="s">
        <v>802</v>
      </c>
      <c r="F421" s="22" t="s">
        <v>803</v>
      </c>
      <c r="G421" s="22" t="s">
        <v>804</v>
      </c>
      <c r="H421" s="22" t="s">
        <v>132</v>
      </c>
      <c r="I421" s="55">
        <v>15</v>
      </c>
      <c r="J421" s="55">
        <f t="shared" si="395"/>
        <v>25</v>
      </c>
      <c r="K421" s="55">
        <f t="shared" si="365"/>
        <v>4</v>
      </c>
      <c r="L421" s="55">
        <f t="shared" si="366"/>
        <v>44</v>
      </c>
      <c r="M421" s="55">
        <f t="shared" si="388"/>
        <v>44</v>
      </c>
      <c r="N421" s="56">
        <v>44</v>
      </c>
      <c r="O421" s="57">
        <f t="shared" si="379"/>
        <v>30.195</v>
      </c>
      <c r="P421" s="58">
        <f t="shared" si="367"/>
        <v>0</v>
      </c>
      <c r="Q421" s="59">
        <f t="shared" si="368"/>
        <v>7.333333333333333</v>
      </c>
      <c r="R421" s="60">
        <v>6</v>
      </c>
      <c r="S421" s="60"/>
      <c r="T421" s="60">
        <f t="shared" si="389"/>
        <v>2</v>
      </c>
      <c r="U421" s="61">
        <f t="shared" ref="U421:U468" si="396">R421+S421-T421</f>
        <v>4</v>
      </c>
      <c r="V421" s="62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1"/>
      <c r="AQ421" s="32"/>
      <c r="AR421" s="33"/>
      <c r="AS421" s="31"/>
      <c r="AT421" s="63"/>
      <c r="AU421" s="34"/>
      <c r="AV421" s="34"/>
      <c r="AW421" s="34"/>
      <c r="AX421" s="34"/>
      <c r="AY421" s="34"/>
      <c r="AZ421" s="34"/>
      <c r="BA421" s="34">
        <v>1</v>
      </c>
      <c r="BB421" s="34"/>
      <c r="BC421" s="34"/>
      <c r="BD421" s="34"/>
      <c r="BE421" s="34"/>
      <c r="BF421" s="64">
        <v>1</v>
      </c>
      <c r="BT421" s="64"/>
      <c r="BU421" s="64"/>
      <c r="BV421" s="64"/>
      <c r="BW421" s="64"/>
      <c r="BX421" s="64"/>
      <c r="BY421" s="64"/>
      <c r="BZ421" s="64"/>
      <c r="CA421" s="64"/>
    </row>
    <row r="422" spans="1:79" ht="15" customHeight="1" x14ac:dyDescent="0.25">
      <c r="A422" s="22"/>
      <c r="B422" s="22">
        <v>390</v>
      </c>
      <c r="C422" s="121" t="s">
        <v>427</v>
      </c>
      <c r="D422" s="174">
        <v>2015</v>
      </c>
      <c r="E422" s="22" t="s">
        <v>802</v>
      </c>
      <c r="F422" s="22" t="s">
        <v>803</v>
      </c>
      <c r="G422" s="22" t="s">
        <v>804</v>
      </c>
      <c r="H422" s="22" t="s">
        <v>132</v>
      </c>
      <c r="I422" s="55">
        <v>15</v>
      </c>
      <c r="J422" s="55">
        <f t="shared" si="395"/>
        <v>25</v>
      </c>
      <c r="K422" s="55">
        <f t="shared" si="365"/>
        <v>4</v>
      </c>
      <c r="L422" s="55">
        <f t="shared" si="366"/>
        <v>44</v>
      </c>
      <c r="M422" s="55">
        <f t="shared" si="388"/>
        <v>44</v>
      </c>
      <c r="N422" s="56">
        <v>43</v>
      </c>
      <c r="O422" s="57">
        <f t="shared" si="379"/>
        <v>30.195</v>
      </c>
      <c r="P422" s="58">
        <f t="shared" si="367"/>
        <v>-1</v>
      </c>
      <c r="Q422" s="59">
        <f t="shared" si="368"/>
        <v>7.166666666666667</v>
      </c>
      <c r="R422" s="60">
        <v>2</v>
      </c>
      <c r="S422" s="60">
        <v>1</v>
      </c>
      <c r="T422" s="60">
        <f t="shared" si="389"/>
        <v>0</v>
      </c>
      <c r="U422" s="61">
        <f t="shared" si="396"/>
        <v>3</v>
      </c>
      <c r="V422" s="62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1"/>
      <c r="AQ422" s="32"/>
      <c r="AR422" s="33"/>
      <c r="AS422" s="31"/>
      <c r="AT422" s="63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64"/>
      <c r="BT422" s="64"/>
      <c r="BU422" s="64"/>
      <c r="BV422" s="64"/>
      <c r="BW422" s="64"/>
      <c r="BX422" s="64"/>
      <c r="BY422" s="64"/>
      <c r="BZ422" s="64"/>
      <c r="CA422" s="64"/>
    </row>
    <row r="423" spans="1:79" ht="15" customHeight="1" x14ac:dyDescent="0.25">
      <c r="A423" s="22"/>
      <c r="B423" s="22">
        <v>391</v>
      </c>
      <c r="C423" s="121" t="s">
        <v>427</v>
      </c>
      <c r="D423" s="174">
        <v>2017</v>
      </c>
      <c r="E423" s="22" t="s">
        <v>805</v>
      </c>
      <c r="F423" s="22" t="s">
        <v>806</v>
      </c>
      <c r="G423" s="22" t="s">
        <v>807</v>
      </c>
      <c r="H423" s="22" t="s">
        <v>78</v>
      </c>
      <c r="I423" s="55">
        <v>17.3</v>
      </c>
      <c r="J423" s="55">
        <f t="shared" si="395"/>
        <v>30</v>
      </c>
      <c r="K423" s="55">
        <f>(I423+J423)*0.1</f>
        <v>4.7299999999999995</v>
      </c>
      <c r="L423" s="55">
        <f>SUM(I423:K423)</f>
        <v>52.029999999999994</v>
      </c>
      <c r="M423" s="55">
        <f>ROUND(L423,0)</f>
        <v>52</v>
      </c>
      <c r="N423" s="56">
        <v>56</v>
      </c>
      <c r="O423" s="57">
        <f t="shared" si="379"/>
        <v>34.8249</v>
      </c>
      <c r="P423" s="58">
        <f>N423-M423</f>
        <v>4</v>
      </c>
      <c r="Q423" s="59">
        <f t="shared" si="368"/>
        <v>9.3333333333333339</v>
      </c>
      <c r="R423" s="60"/>
      <c r="S423" s="60">
        <v>6</v>
      </c>
      <c r="T423" s="60"/>
      <c r="U423" s="61">
        <f>R423+S423-T423</f>
        <v>6</v>
      </c>
      <c r="V423" s="62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>
        <v>4</v>
      </c>
      <c r="AH423" s="30"/>
      <c r="AI423" s="30"/>
      <c r="AJ423" s="30"/>
      <c r="AK423" s="30"/>
      <c r="AL423" s="30"/>
      <c r="AM423" s="30"/>
      <c r="AN423" s="30"/>
      <c r="AO423" s="30"/>
      <c r="AP423" s="31"/>
      <c r="AQ423" s="32"/>
      <c r="AR423" s="33"/>
      <c r="AS423" s="31"/>
      <c r="AT423" s="63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>
        <v>1</v>
      </c>
      <c r="BE423" s="34"/>
      <c r="BF423" s="64"/>
      <c r="BT423" s="64">
        <v>2</v>
      </c>
      <c r="BU423" s="64"/>
      <c r="BV423" s="64"/>
      <c r="BW423" s="64"/>
      <c r="BX423" s="64"/>
      <c r="BY423" s="64"/>
      <c r="BZ423" s="64"/>
      <c r="CA423" s="64"/>
    </row>
    <row r="424" spans="1:79" ht="15" customHeight="1" x14ac:dyDescent="0.25">
      <c r="A424" s="22"/>
      <c r="B424" s="22">
        <v>392</v>
      </c>
      <c r="C424" s="121" t="s">
        <v>427</v>
      </c>
      <c r="D424" s="174">
        <v>2018</v>
      </c>
      <c r="E424" s="22" t="s">
        <v>808</v>
      </c>
      <c r="F424" s="22" t="s">
        <v>809</v>
      </c>
      <c r="G424" s="22" t="s">
        <v>810</v>
      </c>
      <c r="H424" s="22" t="s">
        <v>78</v>
      </c>
      <c r="I424" s="55">
        <v>22.9</v>
      </c>
      <c r="J424" s="55">
        <f t="shared" si="395"/>
        <v>30</v>
      </c>
      <c r="K424" s="55">
        <f t="shared" si="365"/>
        <v>5.29</v>
      </c>
      <c r="L424" s="55">
        <f t="shared" si="366"/>
        <v>58.19</v>
      </c>
      <c r="M424" s="55">
        <f t="shared" si="388"/>
        <v>58</v>
      </c>
      <c r="N424" s="56">
        <v>58</v>
      </c>
      <c r="O424" s="57">
        <f t="shared" si="379"/>
        <v>46.097699999999996</v>
      </c>
      <c r="P424" s="58">
        <f t="shared" si="367"/>
        <v>0</v>
      </c>
      <c r="Q424" s="59">
        <f t="shared" si="368"/>
        <v>9.6666666666666661</v>
      </c>
      <c r="R424" s="60"/>
      <c r="S424" s="60">
        <v>12</v>
      </c>
      <c r="T424" s="60">
        <f t="shared" si="389"/>
        <v>5</v>
      </c>
      <c r="U424" s="61">
        <f t="shared" si="396"/>
        <v>7</v>
      </c>
      <c r="V424" s="62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1">
        <v>1</v>
      </c>
      <c r="AQ424" s="32">
        <v>1</v>
      </c>
      <c r="AR424" s="33"/>
      <c r="AS424" s="31"/>
      <c r="AT424" s="63">
        <v>2</v>
      </c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64"/>
      <c r="BK424" s="64">
        <v>1</v>
      </c>
      <c r="BT424" s="64"/>
      <c r="BU424" s="64"/>
      <c r="BV424" s="64"/>
      <c r="BW424" s="64"/>
      <c r="BX424" s="64"/>
      <c r="BY424" s="64"/>
      <c r="BZ424" s="64"/>
      <c r="CA424" s="64"/>
    </row>
    <row r="425" spans="1:79" ht="15" customHeight="1" x14ac:dyDescent="0.25">
      <c r="A425" s="22"/>
      <c r="B425" s="22">
        <v>393</v>
      </c>
      <c r="C425" s="121" t="s">
        <v>427</v>
      </c>
      <c r="D425" s="174">
        <v>2018</v>
      </c>
      <c r="E425" s="22" t="s">
        <v>811</v>
      </c>
      <c r="F425" s="22" t="s">
        <v>812</v>
      </c>
      <c r="G425" s="22" t="s">
        <v>810</v>
      </c>
      <c r="H425" s="22" t="s">
        <v>78</v>
      </c>
      <c r="I425" s="55">
        <v>23.5</v>
      </c>
      <c r="J425" s="55">
        <f t="shared" ref="J425" si="397">IF(I425&lt;=15,$L$2,$L$3)</f>
        <v>30</v>
      </c>
      <c r="K425" s="55">
        <f t="shared" ref="K425" si="398">(I425+J425)*0.1</f>
        <v>5.3500000000000005</v>
      </c>
      <c r="L425" s="55">
        <f t="shared" ref="L425" si="399">SUM(I425:K425)</f>
        <v>58.85</v>
      </c>
      <c r="M425" s="55">
        <f t="shared" ref="M425" si="400">ROUND(L425,0)</f>
        <v>59</v>
      </c>
      <c r="N425" s="56">
        <v>56</v>
      </c>
      <c r="O425" s="57">
        <f t="shared" ref="O425" si="401">I425*$O$2*1.22</f>
        <v>47.305499999999995</v>
      </c>
      <c r="P425" s="58">
        <f t="shared" ref="P425" si="402">N425-M425</f>
        <v>-3</v>
      </c>
      <c r="Q425" s="59">
        <f t="shared" ref="Q425" si="403">N425/$Q$3</f>
        <v>9.3333333333333339</v>
      </c>
      <c r="R425" s="60">
        <v>5</v>
      </c>
      <c r="S425" s="60">
        <v>6</v>
      </c>
      <c r="T425" s="60">
        <f t="shared" ref="T425" si="404">W425+X425+Y425+Z425+AA425+AB425+AC425+AD425+AE425+AF425+AG425+AH425+AI425+AJ425+AK425+AL425+AM425+AN425+AO425+AP425+AQ425+AR425+AS425+AT425+AU425+AV425+AW425+AX425+AY425+AZ425+BA425+BB425+BC425+BD425+BE425+BF425+BG425+BH425+BI425+BJ425+BK425+BL425+BM425+BQ425+BR425+BS425+BT425</f>
        <v>13</v>
      </c>
      <c r="U425" s="61">
        <f t="shared" ref="U425" si="405">R425+S425-T425</f>
        <v>-2</v>
      </c>
      <c r="V425" s="62"/>
      <c r="W425" s="30">
        <v>2</v>
      </c>
      <c r="X425" s="30"/>
      <c r="Y425" s="30"/>
      <c r="Z425" s="30"/>
      <c r="AA425" s="30"/>
      <c r="AB425" s="30">
        <v>2</v>
      </c>
      <c r="AC425" s="30"/>
      <c r="AD425" s="30"/>
      <c r="AE425" s="30"/>
      <c r="AF425" s="30">
        <v>1</v>
      </c>
      <c r="AG425" s="30">
        <v>1</v>
      </c>
      <c r="AH425" s="30"/>
      <c r="AI425" s="30"/>
      <c r="AJ425" s="30"/>
      <c r="AK425" s="30"/>
      <c r="AL425" s="30"/>
      <c r="AM425" s="30"/>
      <c r="AN425" s="30"/>
      <c r="AO425" s="30"/>
      <c r="AP425" s="31"/>
      <c r="AQ425" s="32"/>
      <c r="AR425" s="33"/>
      <c r="AS425" s="31"/>
      <c r="AT425" s="63"/>
      <c r="AU425" s="34"/>
      <c r="AV425" s="34"/>
      <c r="AW425" s="34"/>
      <c r="AX425" s="34"/>
      <c r="AY425" s="34"/>
      <c r="AZ425" s="34"/>
      <c r="BA425" s="34"/>
      <c r="BB425" s="34">
        <v>3</v>
      </c>
      <c r="BC425" s="34"/>
      <c r="BD425" s="34"/>
      <c r="BE425" s="34"/>
      <c r="BF425" s="64"/>
      <c r="BG425" s="64">
        <v>1</v>
      </c>
      <c r="BQ425" s="64">
        <v>1</v>
      </c>
      <c r="BT425" s="64">
        <v>2</v>
      </c>
      <c r="BU425" s="64"/>
      <c r="BV425" s="64"/>
      <c r="BW425" s="64"/>
      <c r="BX425" s="64"/>
      <c r="BY425" s="64"/>
      <c r="BZ425" s="64"/>
      <c r="CA425" s="64"/>
    </row>
    <row r="426" spans="1:79" ht="15" customHeight="1" x14ac:dyDescent="0.25">
      <c r="A426" s="22"/>
      <c r="B426" s="29">
        <v>393</v>
      </c>
      <c r="C426" s="121" t="s">
        <v>427</v>
      </c>
      <c r="D426" s="174">
        <v>2021</v>
      </c>
      <c r="E426" s="22" t="s">
        <v>813</v>
      </c>
      <c r="F426" s="22" t="s">
        <v>814</v>
      </c>
      <c r="G426" s="22" t="s">
        <v>810</v>
      </c>
      <c r="H426" s="22" t="s">
        <v>78</v>
      </c>
      <c r="I426" s="55">
        <v>46.5</v>
      </c>
      <c r="J426" s="55">
        <v>40</v>
      </c>
      <c r="K426" s="55">
        <f t="shared" si="365"/>
        <v>8.65</v>
      </c>
      <c r="L426" s="55">
        <f t="shared" si="366"/>
        <v>95.15</v>
      </c>
      <c r="M426" s="55">
        <f t="shared" si="388"/>
        <v>95</v>
      </c>
      <c r="N426" s="56">
        <v>95</v>
      </c>
      <c r="O426" s="57">
        <f t="shared" si="379"/>
        <v>93.604499999999987</v>
      </c>
      <c r="P426" s="58">
        <f t="shared" si="367"/>
        <v>0</v>
      </c>
      <c r="Q426" s="59">
        <f t="shared" si="368"/>
        <v>15.833333333333334</v>
      </c>
      <c r="R426" s="60">
        <v>9</v>
      </c>
      <c r="S426" s="60">
        <v>6</v>
      </c>
      <c r="T426" s="60">
        <f t="shared" si="389"/>
        <v>8</v>
      </c>
      <c r="U426" s="61">
        <f t="shared" si="396"/>
        <v>7</v>
      </c>
      <c r="V426" s="62"/>
      <c r="W426" s="30">
        <v>1</v>
      </c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1"/>
      <c r="AQ426" s="32">
        <v>1</v>
      </c>
      <c r="AR426" s="33"/>
      <c r="AS426" s="31"/>
      <c r="AT426" s="63">
        <v>1</v>
      </c>
      <c r="AU426" s="34"/>
      <c r="AV426" s="34"/>
      <c r="AW426" s="34"/>
      <c r="AX426" s="34"/>
      <c r="AY426" s="34"/>
      <c r="AZ426" s="34"/>
      <c r="BA426" s="34"/>
      <c r="BB426" s="34"/>
      <c r="BC426" s="34"/>
      <c r="BD426" s="34">
        <v>1</v>
      </c>
      <c r="BE426" s="34">
        <v>1</v>
      </c>
      <c r="BF426" s="64"/>
      <c r="BG426" s="64">
        <v>1</v>
      </c>
      <c r="BT426" s="64">
        <v>2</v>
      </c>
      <c r="BU426" s="64">
        <v>1</v>
      </c>
      <c r="BV426" s="64"/>
      <c r="BW426" s="64"/>
      <c r="BX426" s="64"/>
      <c r="BY426" s="64"/>
      <c r="BZ426" s="64"/>
      <c r="CA426" s="64"/>
    </row>
    <row r="427" spans="1:79" ht="15" customHeight="1" x14ac:dyDescent="0.25">
      <c r="A427" s="22"/>
      <c r="B427" s="22">
        <v>394</v>
      </c>
      <c r="C427" s="121" t="s">
        <v>427</v>
      </c>
      <c r="D427" s="174">
        <v>2018</v>
      </c>
      <c r="E427" s="22" t="s">
        <v>815</v>
      </c>
      <c r="F427" s="22" t="s">
        <v>97</v>
      </c>
      <c r="G427" s="22" t="s">
        <v>98</v>
      </c>
      <c r="H427" s="22" t="s">
        <v>135</v>
      </c>
      <c r="I427" s="55">
        <v>26.64</v>
      </c>
      <c r="J427" s="55">
        <f>IF(I427&lt;=15,$L$2,$L$3)</f>
        <v>30</v>
      </c>
      <c r="K427" s="55">
        <f t="shared" si="365"/>
        <v>5.6640000000000006</v>
      </c>
      <c r="L427" s="55">
        <f t="shared" si="366"/>
        <v>62.304000000000002</v>
      </c>
      <c r="M427" s="55">
        <f t="shared" si="388"/>
        <v>62</v>
      </c>
      <c r="N427" s="56">
        <v>62</v>
      </c>
      <c r="O427" s="57">
        <f t="shared" si="379"/>
        <v>53.626319999999993</v>
      </c>
      <c r="P427" s="58">
        <f t="shared" si="367"/>
        <v>0</v>
      </c>
      <c r="Q427" s="59">
        <f t="shared" si="368"/>
        <v>10.333333333333334</v>
      </c>
      <c r="R427" s="60">
        <v>5</v>
      </c>
      <c r="S427" s="60">
        <v>6</v>
      </c>
      <c r="T427" s="60">
        <f t="shared" si="389"/>
        <v>10</v>
      </c>
      <c r="U427" s="61">
        <f t="shared" si="396"/>
        <v>1</v>
      </c>
      <c r="V427" s="62"/>
      <c r="W427" s="30"/>
      <c r="X427" s="30"/>
      <c r="Y427" s="30"/>
      <c r="Z427" s="30"/>
      <c r="AA427" s="30"/>
      <c r="AB427" s="30"/>
      <c r="AC427" s="30"/>
      <c r="AD427" s="30">
        <v>5</v>
      </c>
      <c r="AE427" s="30"/>
      <c r="AF427" s="30"/>
      <c r="AG427" s="30"/>
      <c r="AH427" s="30">
        <v>1</v>
      </c>
      <c r="AI427" s="30"/>
      <c r="AJ427" s="30"/>
      <c r="AK427" s="30"/>
      <c r="AL427" s="30"/>
      <c r="AM427" s="30"/>
      <c r="AN427" s="30"/>
      <c r="AO427" s="30"/>
      <c r="AP427" s="31"/>
      <c r="AQ427" s="32"/>
      <c r="AR427" s="33"/>
      <c r="AS427" s="31">
        <v>1</v>
      </c>
      <c r="AT427" s="63"/>
      <c r="AU427" s="34"/>
      <c r="AV427" s="34">
        <v>1</v>
      </c>
      <c r="AW427" s="34"/>
      <c r="AX427" s="34"/>
      <c r="AY427" s="34"/>
      <c r="AZ427" s="34"/>
      <c r="BA427" s="34"/>
      <c r="BB427" s="34"/>
      <c r="BC427" s="34"/>
      <c r="BD427" s="34">
        <v>1</v>
      </c>
      <c r="BE427" s="34"/>
      <c r="BF427" s="64"/>
      <c r="BT427" s="64">
        <v>1</v>
      </c>
      <c r="BU427" s="64"/>
      <c r="BV427" s="64"/>
      <c r="BW427" s="64"/>
      <c r="BX427" s="64"/>
      <c r="BY427" s="64"/>
      <c r="BZ427" s="64"/>
      <c r="CA427" s="64"/>
    </row>
    <row r="428" spans="1:79" ht="15" customHeight="1" x14ac:dyDescent="0.25">
      <c r="A428" s="22"/>
      <c r="B428" s="22">
        <v>395</v>
      </c>
      <c r="C428" s="121" t="s">
        <v>427</v>
      </c>
      <c r="D428" s="174" t="s">
        <v>816</v>
      </c>
      <c r="E428" s="22" t="s">
        <v>817</v>
      </c>
      <c r="F428" s="22" t="s">
        <v>97</v>
      </c>
      <c r="G428" s="22" t="s">
        <v>98</v>
      </c>
      <c r="H428" s="22" t="s">
        <v>137</v>
      </c>
      <c r="I428" s="55">
        <v>43.08</v>
      </c>
      <c r="J428" s="55">
        <v>40</v>
      </c>
      <c r="K428" s="55">
        <f t="shared" si="365"/>
        <v>8.3079999999999998</v>
      </c>
      <c r="L428" s="55">
        <f t="shared" si="366"/>
        <v>91.388000000000005</v>
      </c>
      <c r="M428" s="55">
        <f t="shared" si="388"/>
        <v>91</v>
      </c>
      <c r="N428" s="56">
        <v>102</v>
      </c>
      <c r="O428" s="57">
        <f t="shared" si="379"/>
        <v>86.720039999999997</v>
      </c>
      <c r="P428" s="58">
        <f t="shared" si="367"/>
        <v>11</v>
      </c>
      <c r="Q428" s="59">
        <f t="shared" si="368"/>
        <v>17</v>
      </c>
      <c r="R428" s="60">
        <v>2</v>
      </c>
      <c r="S428" s="60">
        <v>6</v>
      </c>
      <c r="T428" s="60">
        <f t="shared" si="389"/>
        <v>2</v>
      </c>
      <c r="U428" s="61">
        <f t="shared" si="396"/>
        <v>6</v>
      </c>
      <c r="V428" s="62"/>
      <c r="W428" s="30"/>
      <c r="X428" s="30"/>
      <c r="Y428" s="30">
        <v>1</v>
      </c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1"/>
      <c r="AQ428" s="32"/>
      <c r="AR428" s="33"/>
      <c r="AS428" s="31"/>
      <c r="AT428" s="63"/>
      <c r="AU428" s="34"/>
      <c r="AV428" s="34"/>
      <c r="AW428" s="34">
        <v>1</v>
      </c>
      <c r="AX428" s="34"/>
      <c r="AY428" s="34"/>
      <c r="AZ428" s="34"/>
      <c r="BA428" s="34"/>
      <c r="BB428" s="34"/>
      <c r="BC428" s="34"/>
      <c r="BD428" s="34"/>
      <c r="BE428" s="34"/>
      <c r="BF428" s="64"/>
      <c r="BT428" s="64"/>
      <c r="BU428" s="64">
        <v>1</v>
      </c>
      <c r="BV428" s="64"/>
      <c r="BW428" s="64"/>
      <c r="BX428" s="64"/>
      <c r="BY428" s="64"/>
      <c r="BZ428" s="64"/>
      <c r="CA428" s="64"/>
    </row>
    <row r="429" spans="1:79" ht="15" customHeight="1" x14ac:dyDescent="0.25">
      <c r="A429" s="22"/>
      <c r="B429" s="22">
        <v>396</v>
      </c>
      <c r="C429" s="121" t="s">
        <v>427</v>
      </c>
      <c r="D429" s="174">
        <v>2016</v>
      </c>
      <c r="E429" s="22" t="s">
        <v>818</v>
      </c>
      <c r="F429" s="22" t="s">
        <v>768</v>
      </c>
      <c r="G429" s="22" t="s">
        <v>98</v>
      </c>
      <c r="H429" s="22" t="s">
        <v>78</v>
      </c>
      <c r="I429" s="55">
        <v>19.899999999999999</v>
      </c>
      <c r="J429" s="55">
        <f>IF(I429&lt;=15,$L$2,$L$3)</f>
        <v>30</v>
      </c>
      <c r="K429" s="55">
        <f t="shared" si="365"/>
        <v>4.99</v>
      </c>
      <c r="L429" s="55">
        <f t="shared" si="366"/>
        <v>54.89</v>
      </c>
      <c r="M429" s="55">
        <f t="shared" si="388"/>
        <v>55</v>
      </c>
      <c r="N429" s="56">
        <v>55</v>
      </c>
      <c r="O429" s="57">
        <f t="shared" si="379"/>
        <v>40.058699999999995</v>
      </c>
      <c r="P429" s="58">
        <f t="shared" si="367"/>
        <v>0</v>
      </c>
      <c r="Q429" s="59">
        <f t="shared" si="368"/>
        <v>9.1666666666666661</v>
      </c>
      <c r="R429" s="60">
        <v>3</v>
      </c>
      <c r="S429" s="60"/>
      <c r="T429" s="60">
        <f t="shared" si="389"/>
        <v>2</v>
      </c>
      <c r="U429" s="61">
        <f t="shared" si="396"/>
        <v>1</v>
      </c>
      <c r="V429" s="62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>
        <v>1</v>
      </c>
      <c r="AH429" s="30"/>
      <c r="AI429" s="30"/>
      <c r="AJ429" s="30"/>
      <c r="AK429" s="30"/>
      <c r="AL429" s="30"/>
      <c r="AM429" s="30"/>
      <c r="AN429" s="30"/>
      <c r="AO429" s="30"/>
      <c r="AP429" s="31"/>
      <c r="AQ429" s="32"/>
      <c r="AR429" s="33"/>
      <c r="AS429" s="31"/>
      <c r="AT429" s="63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64"/>
      <c r="BH429" s="64">
        <v>1</v>
      </c>
      <c r="BT429" s="64"/>
      <c r="BU429" s="64"/>
      <c r="BV429" s="64"/>
      <c r="BW429" s="64"/>
      <c r="BX429" s="64"/>
      <c r="BY429" s="64"/>
      <c r="BZ429" s="64"/>
      <c r="CA429" s="64"/>
    </row>
    <row r="430" spans="1:79" s="54" customFormat="1" ht="15" customHeight="1" x14ac:dyDescent="0.25">
      <c r="A430" s="22"/>
      <c r="B430" s="29">
        <v>397</v>
      </c>
      <c r="C430" s="121" t="s">
        <v>427</v>
      </c>
      <c r="D430" s="174">
        <v>2020</v>
      </c>
      <c r="E430" s="22" t="s">
        <v>819</v>
      </c>
      <c r="F430" s="22" t="s">
        <v>820</v>
      </c>
      <c r="G430" s="22" t="s">
        <v>98</v>
      </c>
      <c r="H430" s="22" t="s">
        <v>78</v>
      </c>
      <c r="I430" s="55">
        <v>8.9</v>
      </c>
      <c r="J430" s="55">
        <f>IF(I430&lt;=15,$L$2,$L$3)</f>
        <v>25</v>
      </c>
      <c r="K430" s="55">
        <f t="shared" si="365"/>
        <v>3.39</v>
      </c>
      <c r="L430" s="55">
        <f t="shared" si="366"/>
        <v>37.29</v>
      </c>
      <c r="M430" s="55">
        <f t="shared" si="388"/>
        <v>37</v>
      </c>
      <c r="N430" s="56">
        <v>34</v>
      </c>
      <c r="O430" s="57">
        <f t="shared" si="379"/>
        <v>17.915700000000001</v>
      </c>
      <c r="P430" s="58">
        <f t="shared" si="367"/>
        <v>-3</v>
      </c>
      <c r="Q430" s="59">
        <f t="shared" si="368"/>
        <v>5.666666666666667</v>
      </c>
      <c r="R430" s="60">
        <v>6</v>
      </c>
      <c r="S430" s="60">
        <f>6+6+6</f>
        <v>18</v>
      </c>
      <c r="T430" s="60">
        <f t="shared" si="389"/>
        <v>7</v>
      </c>
      <c r="U430" s="61">
        <f t="shared" si="396"/>
        <v>17</v>
      </c>
      <c r="V430" s="62"/>
      <c r="W430" s="30"/>
      <c r="X430" s="30"/>
      <c r="Y430" s="30"/>
      <c r="Z430" s="30"/>
      <c r="AA430" s="30">
        <v>2</v>
      </c>
      <c r="AB430" s="30"/>
      <c r="AC430" s="30"/>
      <c r="AD430" s="30"/>
      <c r="AE430" s="30"/>
      <c r="AF430" s="30">
        <v>2</v>
      </c>
      <c r="AG430" s="30"/>
      <c r="AH430" s="30"/>
      <c r="AI430" s="30"/>
      <c r="AJ430" s="30"/>
      <c r="AK430" s="30"/>
      <c r="AL430" s="30"/>
      <c r="AM430" s="30"/>
      <c r="AN430" s="30"/>
      <c r="AO430" s="30"/>
      <c r="AP430" s="31"/>
      <c r="AQ430" s="32"/>
      <c r="AR430" s="33"/>
      <c r="AS430" s="31"/>
      <c r="AT430" s="63">
        <v>2</v>
      </c>
      <c r="AU430" s="34"/>
      <c r="AV430" s="34"/>
      <c r="AW430" s="34"/>
      <c r="AX430" s="34"/>
      <c r="AY430" s="34"/>
      <c r="AZ430" s="34"/>
      <c r="BA430" s="34"/>
      <c r="BB430" s="34"/>
      <c r="BC430" s="34"/>
      <c r="BD430" s="34">
        <v>1</v>
      </c>
      <c r="BE430" s="3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>
        <v>2</v>
      </c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</row>
    <row r="431" spans="1:79" s="54" customFormat="1" ht="15" customHeight="1" x14ac:dyDescent="0.25">
      <c r="A431" s="67"/>
      <c r="B431" s="22">
        <v>398</v>
      </c>
      <c r="C431" s="121" t="s">
        <v>427</v>
      </c>
      <c r="D431" s="174">
        <v>2015</v>
      </c>
      <c r="E431" s="22" t="s">
        <v>821</v>
      </c>
      <c r="F431" s="22" t="s">
        <v>822</v>
      </c>
      <c r="G431" s="22" t="s">
        <v>98</v>
      </c>
      <c r="H431" s="22" t="s">
        <v>132</v>
      </c>
      <c r="I431" s="55">
        <v>33.5</v>
      </c>
      <c r="J431" s="55">
        <v>35</v>
      </c>
      <c r="K431" s="55">
        <f t="shared" si="365"/>
        <v>6.8500000000000005</v>
      </c>
      <c r="L431" s="55">
        <f t="shared" si="366"/>
        <v>75.349999999999994</v>
      </c>
      <c r="M431" s="55">
        <f t="shared" si="388"/>
        <v>75</v>
      </c>
      <c r="N431" s="56">
        <v>79</v>
      </c>
      <c r="O431" s="57">
        <f t="shared" si="379"/>
        <v>67.43549999999999</v>
      </c>
      <c r="P431" s="58">
        <f t="shared" si="367"/>
        <v>4</v>
      </c>
      <c r="Q431" s="59">
        <f t="shared" si="368"/>
        <v>13.166666666666666</v>
      </c>
      <c r="R431" s="60">
        <v>0</v>
      </c>
      <c r="S431" s="60"/>
      <c r="T431" s="60">
        <f t="shared" si="389"/>
        <v>1</v>
      </c>
      <c r="U431" s="61">
        <f t="shared" si="396"/>
        <v>-1</v>
      </c>
      <c r="V431" s="62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1"/>
      <c r="AQ431" s="32"/>
      <c r="AR431" s="33"/>
      <c r="AS431" s="31"/>
      <c r="AT431" s="63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>
        <v>1</v>
      </c>
      <c r="BU431" s="64"/>
      <c r="BV431" s="64"/>
      <c r="BW431" s="64"/>
      <c r="BX431" s="64"/>
      <c r="BY431" s="64"/>
      <c r="BZ431" s="64"/>
      <c r="CA431" s="64"/>
    </row>
    <row r="432" spans="1:79" s="54" customFormat="1" ht="15" customHeight="1" x14ac:dyDescent="0.25">
      <c r="A432" s="22"/>
      <c r="B432" s="22">
        <v>399</v>
      </c>
      <c r="C432" s="121" t="s">
        <v>427</v>
      </c>
      <c r="D432" s="174">
        <v>2016</v>
      </c>
      <c r="E432" s="22" t="s">
        <v>821</v>
      </c>
      <c r="F432" s="22" t="s">
        <v>822</v>
      </c>
      <c r="G432" s="22" t="s">
        <v>98</v>
      </c>
      <c r="H432" s="22" t="s">
        <v>132</v>
      </c>
      <c r="I432" s="55">
        <v>33.5</v>
      </c>
      <c r="J432" s="55">
        <v>35</v>
      </c>
      <c r="K432" s="55">
        <f t="shared" si="365"/>
        <v>6.8500000000000005</v>
      </c>
      <c r="L432" s="55">
        <f t="shared" si="366"/>
        <v>75.349999999999994</v>
      </c>
      <c r="M432" s="55">
        <f t="shared" si="388"/>
        <v>75</v>
      </c>
      <c r="N432" s="56">
        <v>79</v>
      </c>
      <c r="O432" s="57">
        <f t="shared" si="379"/>
        <v>67.43549999999999</v>
      </c>
      <c r="P432" s="58">
        <f t="shared" si="367"/>
        <v>4</v>
      </c>
      <c r="Q432" s="59">
        <f t="shared" si="368"/>
        <v>13.166666666666666</v>
      </c>
      <c r="R432" s="60">
        <v>1</v>
      </c>
      <c r="S432" s="60"/>
      <c r="T432" s="60">
        <f t="shared" si="389"/>
        <v>1</v>
      </c>
      <c r="U432" s="61">
        <f t="shared" si="396"/>
        <v>0</v>
      </c>
      <c r="V432" s="62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1"/>
      <c r="AQ432" s="32"/>
      <c r="AR432" s="33"/>
      <c r="AS432" s="31"/>
      <c r="AT432" s="63">
        <v>1</v>
      </c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</row>
    <row r="433" spans="1:79" s="54" customFormat="1" ht="15" customHeight="1" x14ac:dyDescent="0.25">
      <c r="A433" s="22"/>
      <c r="B433" s="22">
        <v>400</v>
      </c>
      <c r="C433" s="121" t="s">
        <v>427</v>
      </c>
      <c r="D433" s="174">
        <v>2020</v>
      </c>
      <c r="E433" s="22" t="s">
        <v>821</v>
      </c>
      <c r="F433" s="22" t="s">
        <v>822</v>
      </c>
      <c r="G433" s="22" t="s">
        <v>98</v>
      </c>
      <c r="H433" s="22" t="s">
        <v>132</v>
      </c>
      <c r="I433" s="55">
        <v>42.5</v>
      </c>
      <c r="J433" s="55">
        <v>40</v>
      </c>
      <c r="K433" s="55">
        <f t="shared" ref="K433:K439" si="406">(I433+J433)*0.1</f>
        <v>8.25</v>
      </c>
      <c r="L433" s="55">
        <f t="shared" ref="L433:L439" si="407">SUM(I433:K433)</f>
        <v>90.75</v>
      </c>
      <c r="M433" s="55">
        <f t="shared" ref="M433:M439" si="408">ROUND(L433,0)</f>
        <v>91</v>
      </c>
      <c r="N433" s="56">
        <v>91</v>
      </c>
      <c r="O433" s="57">
        <f t="shared" si="379"/>
        <v>85.552499999999995</v>
      </c>
      <c r="P433" s="58">
        <f t="shared" ref="P433:P439" si="409">N433-M433</f>
        <v>0</v>
      </c>
      <c r="Q433" s="59">
        <f t="shared" si="368"/>
        <v>15.166666666666666</v>
      </c>
      <c r="R433" s="60"/>
      <c r="S433" s="60">
        <v>6</v>
      </c>
      <c r="T433" s="60">
        <f>W433+X433+Y433+Z433+AA433+AB433+AC433+AD433+AE433+AF433+AG433+AH433+AI433+AJ433+AK433+AL433+AM433+AN433+AO433+AP433+AQ433+AR433+AS433+AT433+AU433+AV433+AW433+AX433+AY433+AZ433+BA433+BB433+BC433+BD433+BE433+BF433+BG433+BH433+BI433+BJ433+BK433+BL433+BM433+BQ433+BR433+BS433+BT433</f>
        <v>1</v>
      </c>
      <c r="U433" s="61">
        <f t="shared" ref="U433:U439" si="410">R433+S433-T433</f>
        <v>5</v>
      </c>
      <c r="V433" s="62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1"/>
      <c r="AQ433" s="32"/>
      <c r="AR433" s="33"/>
      <c r="AS433" s="31"/>
      <c r="AT433" s="63"/>
      <c r="AU433" s="34"/>
      <c r="AV433" s="34"/>
      <c r="AW433" s="34"/>
      <c r="AX433" s="34"/>
      <c r="AY433" s="34"/>
      <c r="AZ433" s="34">
        <v>1</v>
      </c>
      <c r="BA433" s="34"/>
      <c r="BB433" s="34"/>
      <c r="BC433" s="34"/>
      <c r="BD433" s="34"/>
      <c r="BE433" s="3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</row>
    <row r="434" spans="1:79" ht="15" customHeight="1" x14ac:dyDescent="0.25">
      <c r="A434" s="22"/>
      <c r="B434" s="29">
        <v>401</v>
      </c>
      <c r="C434" s="121" t="s">
        <v>427</v>
      </c>
      <c r="D434" s="174">
        <v>2017</v>
      </c>
      <c r="E434" s="22" t="s">
        <v>823</v>
      </c>
      <c r="F434" s="22" t="s">
        <v>822</v>
      </c>
      <c r="G434" s="22" t="s">
        <v>98</v>
      </c>
      <c r="H434" s="22" t="s">
        <v>132</v>
      </c>
      <c r="I434" s="55">
        <v>57.5</v>
      </c>
      <c r="J434" s="55">
        <v>35</v>
      </c>
      <c r="K434" s="55">
        <f t="shared" si="406"/>
        <v>9.25</v>
      </c>
      <c r="L434" s="55">
        <f t="shared" si="407"/>
        <v>101.75</v>
      </c>
      <c r="M434" s="55">
        <f t="shared" si="408"/>
        <v>102</v>
      </c>
      <c r="N434" s="56">
        <v>113</v>
      </c>
      <c r="O434" s="57">
        <f t="shared" si="379"/>
        <v>115.7475</v>
      </c>
      <c r="P434" s="58">
        <f t="shared" si="409"/>
        <v>11</v>
      </c>
      <c r="Q434" s="59">
        <f t="shared" si="368"/>
        <v>18.833333333333332</v>
      </c>
      <c r="R434" s="60">
        <v>6</v>
      </c>
      <c r="S434" s="60"/>
      <c r="T434" s="60">
        <f t="shared" si="389"/>
        <v>1</v>
      </c>
      <c r="U434" s="61">
        <f t="shared" si="410"/>
        <v>5</v>
      </c>
      <c r="V434" s="88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1"/>
      <c r="AQ434" s="32"/>
      <c r="AR434" s="33"/>
      <c r="AS434" s="31"/>
      <c r="AT434" s="63">
        <v>1</v>
      </c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64"/>
      <c r="BT434" s="64"/>
      <c r="BU434" s="64"/>
      <c r="BV434" s="64"/>
      <c r="BW434" s="64"/>
      <c r="BX434" s="64"/>
      <c r="BY434" s="64"/>
      <c r="BZ434" s="64"/>
      <c r="CA434" s="64"/>
    </row>
    <row r="435" spans="1:79" s="54" customFormat="1" ht="15" customHeight="1" x14ac:dyDescent="0.25">
      <c r="A435" s="22"/>
      <c r="B435" s="22">
        <v>402</v>
      </c>
      <c r="C435" s="121" t="s">
        <v>427</v>
      </c>
      <c r="D435" s="174">
        <v>2017</v>
      </c>
      <c r="E435" s="22" t="s">
        <v>824</v>
      </c>
      <c r="F435" s="22" t="s">
        <v>822</v>
      </c>
      <c r="G435" s="22" t="s">
        <v>98</v>
      </c>
      <c r="H435" s="22" t="s">
        <v>132</v>
      </c>
      <c r="I435" s="55">
        <v>27.5</v>
      </c>
      <c r="J435" s="55">
        <f>IF(I435&lt;=15,$L$2,$L$3)</f>
        <v>30</v>
      </c>
      <c r="K435" s="55">
        <f t="shared" si="406"/>
        <v>5.75</v>
      </c>
      <c r="L435" s="55">
        <f t="shared" si="407"/>
        <v>63.25</v>
      </c>
      <c r="M435" s="55">
        <f t="shared" si="408"/>
        <v>63</v>
      </c>
      <c r="N435" s="56">
        <v>64</v>
      </c>
      <c r="O435" s="57">
        <f t="shared" ref="O435:O468" si="411">I435*$O$2*1.22</f>
        <v>55.357500000000002</v>
      </c>
      <c r="P435" s="58">
        <f t="shared" si="409"/>
        <v>1</v>
      </c>
      <c r="Q435" s="59">
        <f t="shared" si="368"/>
        <v>10.666666666666666</v>
      </c>
      <c r="R435" s="60">
        <v>1</v>
      </c>
      <c r="S435" s="60"/>
      <c r="T435" s="60">
        <f t="shared" si="389"/>
        <v>1</v>
      </c>
      <c r="U435" s="61">
        <f t="shared" si="410"/>
        <v>0</v>
      </c>
      <c r="V435" s="88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1"/>
      <c r="AQ435" s="32"/>
      <c r="AR435" s="33"/>
      <c r="AS435" s="31"/>
      <c r="AT435" s="63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64"/>
      <c r="BG435" s="64">
        <v>1</v>
      </c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</row>
    <row r="436" spans="1:79" ht="15" customHeight="1" x14ac:dyDescent="0.25">
      <c r="A436" s="22"/>
      <c r="B436" s="22">
        <v>403</v>
      </c>
      <c r="C436" s="121" t="s">
        <v>427</v>
      </c>
      <c r="D436" s="174">
        <v>2017</v>
      </c>
      <c r="E436" s="22" t="s">
        <v>825</v>
      </c>
      <c r="F436" s="22" t="s">
        <v>822</v>
      </c>
      <c r="G436" s="22" t="s">
        <v>98</v>
      </c>
      <c r="H436" s="22" t="s">
        <v>132</v>
      </c>
      <c r="I436" s="55">
        <v>27.5</v>
      </c>
      <c r="J436" s="55">
        <f>IF(I436&lt;=15,$L$2,$L$3)</f>
        <v>30</v>
      </c>
      <c r="K436" s="55">
        <f t="shared" si="406"/>
        <v>5.75</v>
      </c>
      <c r="L436" s="55">
        <f t="shared" si="407"/>
        <v>63.25</v>
      </c>
      <c r="M436" s="55">
        <f t="shared" si="408"/>
        <v>63</v>
      </c>
      <c r="N436" s="56">
        <v>63</v>
      </c>
      <c r="O436" s="57">
        <f t="shared" si="411"/>
        <v>55.357500000000002</v>
      </c>
      <c r="P436" s="58">
        <f t="shared" si="409"/>
        <v>0</v>
      </c>
      <c r="Q436" s="59">
        <f t="shared" si="368"/>
        <v>10.5</v>
      </c>
      <c r="R436" s="60">
        <v>1</v>
      </c>
      <c r="S436" s="60"/>
      <c r="T436" s="60">
        <f t="shared" si="389"/>
        <v>0</v>
      </c>
      <c r="U436" s="61">
        <f t="shared" si="410"/>
        <v>1</v>
      </c>
      <c r="V436" s="62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1"/>
      <c r="AQ436" s="32"/>
      <c r="AR436" s="33"/>
      <c r="AS436" s="31"/>
      <c r="AT436" s="63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64"/>
      <c r="BT436" s="64"/>
      <c r="BU436" s="64"/>
      <c r="BV436" s="64"/>
      <c r="BW436" s="64"/>
      <c r="BX436" s="64"/>
      <c r="BY436" s="64"/>
      <c r="BZ436" s="64"/>
      <c r="CA436" s="64"/>
    </row>
    <row r="437" spans="1:79" ht="15" customHeight="1" x14ac:dyDescent="0.25">
      <c r="A437" s="22"/>
      <c r="B437" s="22">
        <v>404</v>
      </c>
      <c r="C437" s="121" t="s">
        <v>427</v>
      </c>
      <c r="D437" s="174">
        <v>2018</v>
      </c>
      <c r="E437" s="22" t="s">
        <v>826</v>
      </c>
      <c r="F437" s="22" t="s">
        <v>822</v>
      </c>
      <c r="G437" s="22" t="s">
        <v>98</v>
      </c>
      <c r="H437" s="22" t="s">
        <v>132</v>
      </c>
      <c r="I437" s="55">
        <v>34.75</v>
      </c>
      <c r="J437" s="55">
        <f>IF(I437&lt;=15,$L$2,$L$3)</f>
        <v>30</v>
      </c>
      <c r="K437" s="55">
        <f t="shared" si="406"/>
        <v>6.4750000000000005</v>
      </c>
      <c r="L437" s="55">
        <f t="shared" si="407"/>
        <v>71.224999999999994</v>
      </c>
      <c r="M437" s="55">
        <f t="shared" si="408"/>
        <v>71</v>
      </c>
      <c r="N437" s="56">
        <v>71</v>
      </c>
      <c r="O437" s="57">
        <f t="shared" si="411"/>
        <v>69.95174999999999</v>
      </c>
      <c r="P437" s="58">
        <f t="shared" si="409"/>
        <v>0</v>
      </c>
      <c r="Q437" s="59"/>
      <c r="R437" s="60">
        <v>3</v>
      </c>
      <c r="S437" s="60"/>
      <c r="T437" s="60">
        <f t="shared" si="389"/>
        <v>3</v>
      </c>
      <c r="U437" s="61">
        <f t="shared" si="410"/>
        <v>0</v>
      </c>
      <c r="V437" s="62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1"/>
      <c r="AQ437" s="32">
        <v>1</v>
      </c>
      <c r="AR437" s="33"/>
      <c r="AS437" s="31"/>
      <c r="AT437" s="63"/>
      <c r="AU437" s="34"/>
      <c r="AV437" s="34"/>
      <c r="AW437" s="34"/>
      <c r="AX437" s="34">
        <v>1</v>
      </c>
      <c r="AY437" s="34"/>
      <c r="AZ437" s="34"/>
      <c r="BA437" s="34"/>
      <c r="BB437" s="34"/>
      <c r="BC437" s="34"/>
      <c r="BD437" s="34"/>
      <c r="BE437" s="34">
        <v>1</v>
      </c>
      <c r="BF437" s="64"/>
      <c r="BT437" s="64"/>
      <c r="BU437" s="64"/>
      <c r="BV437" s="64"/>
      <c r="BW437" s="64"/>
      <c r="BX437" s="64"/>
      <c r="BY437" s="64"/>
      <c r="BZ437" s="64"/>
      <c r="CA437" s="64"/>
    </row>
    <row r="438" spans="1:79" s="54" customFormat="1" ht="15" customHeight="1" x14ac:dyDescent="0.25">
      <c r="A438" s="22"/>
      <c r="B438" s="29">
        <v>405</v>
      </c>
      <c r="C438" s="121" t="s">
        <v>427</v>
      </c>
      <c r="D438" s="174">
        <v>2014</v>
      </c>
      <c r="E438" s="22" t="s">
        <v>827</v>
      </c>
      <c r="F438" s="22" t="s">
        <v>828</v>
      </c>
      <c r="G438" s="22" t="s">
        <v>98</v>
      </c>
      <c r="H438" s="22" t="s">
        <v>78</v>
      </c>
      <c r="I438" s="55">
        <v>30.9</v>
      </c>
      <c r="J438" s="55">
        <v>30</v>
      </c>
      <c r="K438" s="55">
        <f t="shared" si="406"/>
        <v>6.09</v>
      </c>
      <c r="L438" s="55">
        <f t="shared" si="407"/>
        <v>66.989999999999995</v>
      </c>
      <c r="M438" s="55">
        <f t="shared" si="408"/>
        <v>67</v>
      </c>
      <c r="N438" s="56">
        <v>67</v>
      </c>
      <c r="O438" s="57">
        <f t="shared" si="411"/>
        <v>62.201699999999988</v>
      </c>
      <c r="P438" s="58">
        <f t="shared" si="409"/>
        <v>0</v>
      </c>
      <c r="Q438" s="59">
        <f t="shared" ref="Q438:Q465" si="412">N438/$Q$3</f>
        <v>11.166666666666666</v>
      </c>
      <c r="R438" s="60">
        <v>7</v>
      </c>
      <c r="S438" s="60">
        <v>5</v>
      </c>
      <c r="T438" s="60">
        <f t="shared" si="389"/>
        <v>10</v>
      </c>
      <c r="U438" s="61">
        <f t="shared" si="410"/>
        <v>2</v>
      </c>
      <c r="V438" s="62"/>
      <c r="W438" s="30">
        <v>1</v>
      </c>
      <c r="X438" s="30"/>
      <c r="Y438" s="30"/>
      <c r="Z438" s="30">
        <v>2</v>
      </c>
      <c r="AA438" s="30"/>
      <c r="AB438" s="30"/>
      <c r="AC438" s="30">
        <v>1</v>
      </c>
      <c r="AD438" s="30"/>
      <c r="AE438" s="30">
        <v>1</v>
      </c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1"/>
      <c r="AQ438" s="32"/>
      <c r="AR438" s="33"/>
      <c r="AS438" s="31"/>
      <c r="AT438" s="63">
        <v>1</v>
      </c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64"/>
      <c r="BG438" s="64">
        <v>1</v>
      </c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>
        <v>1</v>
      </c>
      <c r="BS438" s="64"/>
      <c r="BT438" s="64">
        <v>2</v>
      </c>
      <c r="BU438" s="64"/>
      <c r="BV438" s="64"/>
      <c r="BW438" s="64"/>
      <c r="BX438" s="64"/>
      <c r="BY438" s="64"/>
      <c r="BZ438" s="64"/>
      <c r="CA438" s="64"/>
    </row>
    <row r="439" spans="1:79" s="54" customFormat="1" ht="15" customHeight="1" x14ac:dyDescent="0.25">
      <c r="A439" s="22"/>
      <c r="B439" s="22">
        <v>406</v>
      </c>
      <c r="C439" s="121" t="s">
        <v>427</v>
      </c>
      <c r="D439" s="174">
        <v>2020</v>
      </c>
      <c r="E439" s="22" t="s">
        <v>829</v>
      </c>
      <c r="F439" s="22" t="s">
        <v>828</v>
      </c>
      <c r="G439" s="22" t="s">
        <v>98</v>
      </c>
      <c r="H439" s="22" t="s">
        <v>78</v>
      </c>
      <c r="I439" s="55">
        <v>16.2</v>
      </c>
      <c r="J439" s="55">
        <v>30</v>
      </c>
      <c r="K439" s="55">
        <f t="shared" si="406"/>
        <v>4.62</v>
      </c>
      <c r="L439" s="55">
        <f t="shared" si="407"/>
        <v>50.82</v>
      </c>
      <c r="M439" s="55">
        <f t="shared" si="408"/>
        <v>51</v>
      </c>
      <c r="N439" s="56">
        <v>51</v>
      </c>
      <c r="O439" s="57">
        <f t="shared" si="411"/>
        <v>32.610599999999998</v>
      </c>
      <c r="P439" s="58">
        <f t="shared" si="409"/>
        <v>0</v>
      </c>
      <c r="Q439" s="59">
        <f t="shared" si="412"/>
        <v>8.5</v>
      </c>
      <c r="R439" s="60">
        <v>4</v>
      </c>
      <c r="S439" s="60">
        <v>2</v>
      </c>
      <c r="T439" s="60">
        <f t="shared" si="389"/>
        <v>2</v>
      </c>
      <c r="U439" s="61">
        <f t="shared" si="410"/>
        <v>4</v>
      </c>
      <c r="V439" s="62"/>
      <c r="W439" s="30"/>
      <c r="X439" s="30"/>
      <c r="Y439" s="30"/>
      <c r="Z439" s="30"/>
      <c r="AA439" s="30"/>
      <c r="AB439" s="30"/>
      <c r="AC439" s="30"/>
      <c r="AD439" s="30"/>
      <c r="AE439" s="30"/>
      <c r="AF439" s="30">
        <v>1</v>
      </c>
      <c r="AG439" s="30"/>
      <c r="AH439" s="30"/>
      <c r="AI439" s="30"/>
      <c r="AJ439" s="30"/>
      <c r="AK439" s="30"/>
      <c r="AL439" s="30"/>
      <c r="AM439" s="30"/>
      <c r="AN439" s="30"/>
      <c r="AO439" s="30"/>
      <c r="AP439" s="31"/>
      <c r="AQ439" s="32"/>
      <c r="AR439" s="33"/>
      <c r="AS439" s="31"/>
      <c r="AT439" s="63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>
        <v>1</v>
      </c>
      <c r="BS439" s="64"/>
      <c r="BT439" s="64"/>
      <c r="BU439" s="64"/>
      <c r="BV439" s="64"/>
      <c r="BW439" s="64"/>
      <c r="BX439" s="64"/>
      <c r="BY439" s="64"/>
      <c r="BZ439" s="64"/>
      <c r="CA439" s="64"/>
    </row>
    <row r="440" spans="1:79" s="54" customFormat="1" ht="15" customHeight="1" x14ac:dyDescent="0.25">
      <c r="A440" s="22"/>
      <c r="B440" s="22">
        <v>407</v>
      </c>
      <c r="C440" s="121" t="s">
        <v>427</v>
      </c>
      <c r="D440" s="174">
        <v>2015</v>
      </c>
      <c r="E440" s="22" t="s">
        <v>830</v>
      </c>
      <c r="F440" s="22" t="s">
        <v>822</v>
      </c>
      <c r="G440" s="22" t="s">
        <v>98</v>
      </c>
      <c r="H440" s="22" t="s">
        <v>132</v>
      </c>
      <c r="I440" s="55">
        <v>24.75</v>
      </c>
      <c r="J440" s="55">
        <f>IF(I440&lt;=15,$L$2,$L$3)</f>
        <v>30</v>
      </c>
      <c r="K440" s="55">
        <f t="shared" si="365"/>
        <v>5.4750000000000005</v>
      </c>
      <c r="L440" s="55">
        <f t="shared" si="366"/>
        <v>60.225000000000001</v>
      </c>
      <c r="M440" s="55">
        <f t="shared" si="388"/>
        <v>60</v>
      </c>
      <c r="N440" s="56">
        <v>61</v>
      </c>
      <c r="O440" s="57">
        <f t="shared" si="411"/>
        <v>49.821749999999994</v>
      </c>
      <c r="P440" s="58">
        <f t="shared" si="367"/>
        <v>1</v>
      </c>
      <c r="Q440" s="59">
        <f t="shared" si="412"/>
        <v>10.166666666666666</v>
      </c>
      <c r="R440" s="60">
        <v>0</v>
      </c>
      <c r="S440" s="60"/>
      <c r="T440" s="60">
        <f t="shared" si="389"/>
        <v>0</v>
      </c>
      <c r="U440" s="61">
        <f t="shared" si="396"/>
        <v>0</v>
      </c>
      <c r="V440" s="62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1"/>
      <c r="AQ440" s="32"/>
      <c r="AR440" s="33"/>
      <c r="AS440" s="31"/>
      <c r="AT440" s="63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</row>
    <row r="441" spans="1:79" ht="15" customHeight="1" x14ac:dyDescent="0.25">
      <c r="A441" s="22"/>
      <c r="B441" s="22">
        <v>408</v>
      </c>
      <c r="C441" s="75" t="s">
        <v>427</v>
      </c>
      <c r="D441" s="174">
        <v>2015</v>
      </c>
      <c r="E441" s="22" t="s">
        <v>823</v>
      </c>
      <c r="F441" s="22" t="s">
        <v>822</v>
      </c>
      <c r="G441" s="22" t="s">
        <v>98</v>
      </c>
      <c r="H441" s="22" t="s">
        <v>132</v>
      </c>
      <c r="I441" s="55">
        <v>77.5</v>
      </c>
      <c r="J441" s="55">
        <v>70</v>
      </c>
      <c r="K441" s="55">
        <f>(I441+J441)*0.1</f>
        <v>14.75</v>
      </c>
      <c r="L441" s="55">
        <f>SUM(I441:K441)</f>
        <v>162.25</v>
      </c>
      <c r="M441" s="55">
        <f>ROUND(L441,0)</f>
        <v>162</v>
      </c>
      <c r="N441" s="56">
        <v>165</v>
      </c>
      <c r="O441" s="57">
        <f t="shared" si="411"/>
        <v>156.00749999999999</v>
      </c>
      <c r="P441" s="58">
        <f>N441-M441</f>
        <v>3</v>
      </c>
      <c r="Q441" s="59">
        <f t="shared" si="412"/>
        <v>27.5</v>
      </c>
      <c r="R441" s="60">
        <v>2</v>
      </c>
      <c r="S441" s="60"/>
      <c r="T441" s="60">
        <f>W441+X441+Y441+Z441+AA441+AB441+AC441+AD441+AE441+AF441+AG441+AH441+AI441+AJ441+AK441+AL441+AM441+AN441+AO441+AP441+AQ441+AR441+AS441+AT441+AU441+AV441+AW441+AX441+AY441+AZ441+BA441+BB441+BC441+BD441+BE441+BF441+BG441+BH441+BI441+BJ441+BK441+BL441+BM441+BQ441+BR441+BS441+BT441</f>
        <v>0</v>
      </c>
      <c r="U441" s="61">
        <f>R441+S441-T441</f>
        <v>2</v>
      </c>
      <c r="V441" s="62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1"/>
      <c r="AQ441" s="32"/>
      <c r="AR441" s="33"/>
      <c r="AS441" s="31"/>
      <c r="AT441" s="63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64"/>
      <c r="BT441" s="64"/>
      <c r="BU441" s="64"/>
      <c r="BV441" s="64"/>
      <c r="BW441" s="64"/>
      <c r="BX441" s="64"/>
      <c r="BY441" s="64"/>
      <c r="BZ441" s="64"/>
      <c r="CA441" s="64"/>
    </row>
    <row r="442" spans="1:79" ht="15" customHeight="1" x14ac:dyDescent="0.25">
      <c r="A442" s="22"/>
      <c r="B442" s="22">
        <v>409</v>
      </c>
      <c r="C442" s="75" t="s">
        <v>427</v>
      </c>
      <c r="D442" s="174">
        <v>2016</v>
      </c>
      <c r="E442" s="22" t="s">
        <v>831</v>
      </c>
      <c r="F442" s="22" t="s">
        <v>832</v>
      </c>
      <c r="G442" s="22" t="s">
        <v>98</v>
      </c>
      <c r="H442" s="22" t="s">
        <v>171</v>
      </c>
      <c r="I442" s="55">
        <v>24.5</v>
      </c>
      <c r="J442" s="55">
        <v>30</v>
      </c>
      <c r="K442" s="55">
        <f t="shared" ref="K442:K443" si="413">(I442+J442)*0.1</f>
        <v>5.45</v>
      </c>
      <c r="L442" s="55">
        <f t="shared" ref="L442:L443" si="414">SUM(I442:K442)</f>
        <v>59.95</v>
      </c>
      <c r="M442" s="55">
        <f t="shared" ref="M442:M443" si="415">ROUND(L442,0)</f>
        <v>60</v>
      </c>
      <c r="N442" s="56">
        <v>60</v>
      </c>
      <c r="O442" s="57">
        <f t="shared" ref="O442:O443" si="416">I442*$O$2*1.22</f>
        <v>49.318499999999993</v>
      </c>
      <c r="P442" s="58">
        <f t="shared" ref="P442:P443" si="417">N442-M442</f>
        <v>0</v>
      </c>
      <c r="Q442" s="59">
        <f t="shared" ref="Q442:Q443" si="418">N442/$Q$3</f>
        <v>10</v>
      </c>
      <c r="R442" s="60"/>
      <c r="S442" s="60">
        <v>12</v>
      </c>
      <c r="T442" s="60">
        <f t="shared" ref="T442:T443" si="419">W442+X442+Y442+Z442+AA442+AB442+AC442+AD442+AE442+AF442+AG442+AH442+AI442+AJ442+AK442+AL442+AM442+AN442+AO442+AP442+AQ442+AR442+AS442+AT442+AU442+AV442+AW442+AX442+AY442+AZ442+BA442+BB442+BC442+BD442+BE442+BF442+BG442+BH442+BI442+BJ442+BK442+BL442+BM442+BQ442+BR442+BS442+BT442</f>
        <v>1</v>
      </c>
      <c r="U442" s="61">
        <f t="shared" ref="U442:U443" si="420">R442+S442-T442</f>
        <v>11</v>
      </c>
      <c r="V442" s="62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1"/>
      <c r="AQ442" s="32"/>
      <c r="AR442" s="33"/>
      <c r="AS442" s="31"/>
      <c r="AT442" s="63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64"/>
      <c r="BI442" s="64">
        <v>1</v>
      </c>
      <c r="BT442" s="64"/>
      <c r="BU442" s="64"/>
      <c r="BV442" s="64"/>
      <c r="BW442" s="64"/>
      <c r="BX442" s="64"/>
      <c r="BY442" s="64"/>
      <c r="BZ442" s="64"/>
      <c r="CA442" s="64"/>
    </row>
    <row r="443" spans="1:79" ht="15" customHeight="1" x14ac:dyDescent="0.25">
      <c r="A443" s="22"/>
      <c r="B443" s="22">
        <v>410</v>
      </c>
      <c r="C443" s="75" t="s">
        <v>427</v>
      </c>
      <c r="D443" s="174">
        <v>2017</v>
      </c>
      <c r="E443" s="22" t="s">
        <v>824</v>
      </c>
      <c r="F443" s="22" t="s">
        <v>832</v>
      </c>
      <c r="G443" s="22" t="s">
        <v>98</v>
      </c>
      <c r="H443" s="22" t="s">
        <v>171</v>
      </c>
      <c r="I443" s="55">
        <v>24.5</v>
      </c>
      <c r="J443" s="55">
        <v>30</v>
      </c>
      <c r="K443" s="55">
        <f t="shared" si="413"/>
        <v>5.45</v>
      </c>
      <c r="L443" s="55">
        <f t="shared" si="414"/>
        <v>59.95</v>
      </c>
      <c r="M443" s="55">
        <f t="shared" si="415"/>
        <v>60</v>
      </c>
      <c r="N443" s="56">
        <v>60</v>
      </c>
      <c r="O443" s="57">
        <f t="shared" si="416"/>
        <v>49.318499999999993</v>
      </c>
      <c r="P443" s="58">
        <f t="shared" si="417"/>
        <v>0</v>
      </c>
      <c r="Q443" s="59">
        <f t="shared" si="418"/>
        <v>10</v>
      </c>
      <c r="R443" s="60"/>
      <c r="S443" s="60">
        <v>6</v>
      </c>
      <c r="T443" s="60">
        <f t="shared" si="419"/>
        <v>0</v>
      </c>
      <c r="U443" s="61">
        <f t="shared" si="420"/>
        <v>6</v>
      </c>
      <c r="V443" s="62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1"/>
      <c r="AQ443" s="32"/>
      <c r="AR443" s="33"/>
      <c r="AS443" s="31"/>
      <c r="AT443" s="63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64"/>
      <c r="BT443" s="64"/>
      <c r="BU443" s="64"/>
      <c r="BV443" s="64"/>
      <c r="BW443" s="64"/>
      <c r="BX443" s="64"/>
      <c r="BY443" s="64"/>
      <c r="BZ443" s="64"/>
      <c r="CA443" s="64"/>
    </row>
    <row r="444" spans="1:79" ht="15" customHeight="1" x14ac:dyDescent="0.25">
      <c r="A444" s="22"/>
      <c r="B444" s="29">
        <v>409</v>
      </c>
      <c r="C444" s="131" t="s">
        <v>161</v>
      </c>
      <c r="D444" s="174">
        <v>2020</v>
      </c>
      <c r="E444" s="178" t="s">
        <v>833</v>
      </c>
      <c r="F444" s="22" t="s">
        <v>834</v>
      </c>
      <c r="G444" s="22" t="s">
        <v>161</v>
      </c>
      <c r="H444" s="22" t="s">
        <v>84</v>
      </c>
      <c r="I444" s="55">
        <v>39.5</v>
      </c>
      <c r="J444" s="55">
        <v>35</v>
      </c>
      <c r="K444" s="55">
        <f t="shared" si="365"/>
        <v>7.45</v>
      </c>
      <c r="L444" s="55">
        <f t="shared" si="366"/>
        <v>81.95</v>
      </c>
      <c r="M444" s="55">
        <f t="shared" si="388"/>
        <v>82</v>
      </c>
      <c r="N444" s="56">
        <v>82</v>
      </c>
      <c r="O444" s="57">
        <f t="shared" si="411"/>
        <v>79.513499999999993</v>
      </c>
      <c r="P444" s="58">
        <f t="shared" si="367"/>
        <v>0</v>
      </c>
      <c r="Q444" s="59">
        <f t="shared" si="412"/>
        <v>13.666666666666666</v>
      </c>
      <c r="R444" s="60">
        <v>2</v>
      </c>
      <c r="S444" s="60"/>
      <c r="T444" s="60">
        <f t="shared" si="389"/>
        <v>0</v>
      </c>
      <c r="U444" s="61">
        <f t="shared" si="396"/>
        <v>2</v>
      </c>
      <c r="V444" s="62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1"/>
      <c r="AQ444" s="32"/>
      <c r="AR444" s="33"/>
      <c r="AS444" s="31"/>
      <c r="AT444" s="63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64"/>
      <c r="BT444" s="64"/>
      <c r="BU444" s="64"/>
      <c r="BV444" s="64"/>
      <c r="BW444" s="64"/>
      <c r="BX444" s="64"/>
      <c r="BY444" s="64"/>
      <c r="BZ444" s="64"/>
      <c r="CA444" s="64"/>
    </row>
    <row r="445" spans="1:79" ht="15" customHeight="1" x14ac:dyDescent="0.25">
      <c r="A445" s="22"/>
      <c r="B445" s="22">
        <v>410</v>
      </c>
      <c r="C445" s="131" t="s">
        <v>161</v>
      </c>
      <c r="D445" s="174">
        <v>2019</v>
      </c>
      <c r="E445" s="178" t="s">
        <v>835</v>
      </c>
      <c r="F445" s="22" t="s">
        <v>836</v>
      </c>
      <c r="G445" s="22" t="s">
        <v>161</v>
      </c>
      <c r="H445" s="22" t="s">
        <v>171</v>
      </c>
      <c r="I445" s="55">
        <v>25.5</v>
      </c>
      <c r="J445" s="55">
        <v>30</v>
      </c>
      <c r="K445" s="55">
        <f>(I445+J445)*0.1</f>
        <v>5.5500000000000007</v>
      </c>
      <c r="L445" s="55">
        <f>SUM(I445:K445)</f>
        <v>61.05</v>
      </c>
      <c r="M445" s="55">
        <f>ROUND(L445,0)</f>
        <v>61</v>
      </c>
      <c r="N445" s="56">
        <v>61</v>
      </c>
      <c r="O445" s="57">
        <f t="shared" si="411"/>
        <v>51.331499999999991</v>
      </c>
      <c r="P445" s="58">
        <f>N445-M445</f>
        <v>0</v>
      </c>
      <c r="Q445" s="59">
        <f t="shared" si="412"/>
        <v>10.166666666666666</v>
      </c>
      <c r="R445" s="60">
        <v>0</v>
      </c>
      <c r="S445" s="60">
        <v>6</v>
      </c>
      <c r="T445" s="60">
        <f>W445+X445+Y445+Z445+AA445+AB445+AC445+AD445+AE445+AF445+AG445+AH445+AI445+AJ445+AK445+AL445+AM445+AN445+AO445+AP445+AQ445+AR445+AS445+AT445+AU445+AV445+AW445+AX445+AY445+AZ445+BA445+BB445+BC445+BD445+BE445+BF445+BG445+BH445+BI445+BJ445+BK445+BL445+BM445+BQ445+BR445+BS445+BT445</f>
        <v>2</v>
      </c>
      <c r="U445" s="61">
        <f>R445+S445-T445</f>
        <v>4</v>
      </c>
      <c r="V445" s="62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1"/>
      <c r="AQ445" s="32"/>
      <c r="AR445" s="33"/>
      <c r="AS445" s="31"/>
      <c r="AT445" s="63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64"/>
      <c r="BH445" s="64">
        <v>1</v>
      </c>
      <c r="BT445" s="64">
        <v>1</v>
      </c>
      <c r="BU445" s="64"/>
      <c r="BV445" s="64"/>
      <c r="BW445" s="64"/>
      <c r="BX445" s="64"/>
      <c r="BY445" s="64"/>
      <c r="BZ445" s="64"/>
      <c r="CA445" s="64"/>
    </row>
    <row r="446" spans="1:79" ht="15" customHeight="1" x14ac:dyDescent="0.25">
      <c r="A446" s="22"/>
      <c r="B446" s="22">
        <v>411</v>
      </c>
      <c r="C446" s="131" t="s">
        <v>161</v>
      </c>
      <c r="D446" s="174" t="s">
        <v>837</v>
      </c>
      <c r="E446" s="22" t="s">
        <v>838</v>
      </c>
      <c r="F446" s="22" t="s">
        <v>839</v>
      </c>
      <c r="G446" s="22" t="s">
        <v>161</v>
      </c>
      <c r="H446" s="22" t="s">
        <v>78</v>
      </c>
      <c r="I446" s="55">
        <v>52.38</v>
      </c>
      <c r="J446" s="55">
        <v>50</v>
      </c>
      <c r="K446" s="55">
        <f t="shared" si="365"/>
        <v>10.238</v>
      </c>
      <c r="L446" s="55">
        <f t="shared" si="366"/>
        <v>112.61799999999999</v>
      </c>
      <c r="M446" s="55">
        <f t="shared" si="388"/>
        <v>113</v>
      </c>
      <c r="N446" s="56">
        <v>113</v>
      </c>
      <c r="O446" s="57">
        <f t="shared" si="411"/>
        <v>105.44093999999998</v>
      </c>
      <c r="P446" s="58">
        <f t="shared" si="367"/>
        <v>0</v>
      </c>
      <c r="Q446" s="59">
        <f t="shared" si="412"/>
        <v>18.833333333333332</v>
      </c>
      <c r="R446" s="60">
        <v>2</v>
      </c>
      <c r="S446" s="60"/>
      <c r="T446" s="60">
        <f t="shared" si="389"/>
        <v>1</v>
      </c>
      <c r="U446" s="61">
        <f t="shared" si="396"/>
        <v>1</v>
      </c>
      <c r="V446" s="62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1"/>
      <c r="AQ446" s="32">
        <v>1</v>
      </c>
      <c r="AR446" s="33"/>
      <c r="AS446" s="31"/>
      <c r="AT446" s="63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64"/>
      <c r="BT446" s="64"/>
      <c r="BU446" s="64"/>
      <c r="BV446" s="64"/>
      <c r="BW446" s="64"/>
      <c r="BX446" s="64"/>
      <c r="BY446" s="64"/>
      <c r="BZ446" s="64"/>
      <c r="CA446" s="64"/>
    </row>
    <row r="447" spans="1:79" ht="15" customHeight="1" x14ac:dyDescent="0.25">
      <c r="A447" s="22"/>
      <c r="B447" s="22">
        <v>412</v>
      </c>
      <c r="C447" s="131" t="s">
        <v>161</v>
      </c>
      <c r="D447" s="174">
        <v>2014</v>
      </c>
      <c r="E447" s="22" t="s">
        <v>840</v>
      </c>
      <c r="F447" s="22" t="s">
        <v>840</v>
      </c>
      <c r="G447" s="22" t="s">
        <v>841</v>
      </c>
      <c r="H447" s="22" t="s">
        <v>78</v>
      </c>
      <c r="I447" s="55">
        <v>74.900000000000006</v>
      </c>
      <c r="J447" s="55">
        <v>70</v>
      </c>
      <c r="K447" s="55">
        <f t="shared" si="365"/>
        <v>14.490000000000002</v>
      </c>
      <c r="L447" s="55">
        <f t="shared" si="366"/>
        <v>159.39000000000001</v>
      </c>
      <c r="M447" s="55">
        <f t="shared" si="388"/>
        <v>159</v>
      </c>
      <c r="N447" s="56">
        <v>139</v>
      </c>
      <c r="O447" s="57">
        <f t="shared" si="411"/>
        <v>150.77370000000002</v>
      </c>
      <c r="P447" s="58">
        <f t="shared" si="367"/>
        <v>-20</v>
      </c>
      <c r="Q447" s="59">
        <f t="shared" si="412"/>
        <v>23.166666666666668</v>
      </c>
      <c r="R447" s="60">
        <v>1</v>
      </c>
      <c r="S447" s="60"/>
      <c r="T447" s="60">
        <f t="shared" si="389"/>
        <v>0</v>
      </c>
      <c r="U447" s="61">
        <f t="shared" si="396"/>
        <v>1</v>
      </c>
      <c r="V447" s="62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1"/>
      <c r="AQ447" s="32"/>
      <c r="AR447" s="33"/>
      <c r="AS447" s="31"/>
      <c r="AT447" s="63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64"/>
      <c r="BT447" s="64"/>
      <c r="BU447" s="64"/>
      <c r="BV447" s="64"/>
      <c r="BW447" s="64"/>
      <c r="BX447" s="64"/>
      <c r="BY447" s="64"/>
      <c r="BZ447" s="64"/>
      <c r="CA447" s="64"/>
    </row>
    <row r="448" spans="1:79" ht="15" customHeight="1" x14ac:dyDescent="0.25">
      <c r="A448" s="22"/>
      <c r="B448" s="29">
        <v>413</v>
      </c>
      <c r="C448" s="131" t="s">
        <v>161</v>
      </c>
      <c r="D448" s="174">
        <v>2015</v>
      </c>
      <c r="E448" s="22" t="s">
        <v>842</v>
      </c>
      <c r="F448" s="22" t="s">
        <v>842</v>
      </c>
      <c r="G448" s="22" t="s">
        <v>841</v>
      </c>
      <c r="H448" s="22" t="s">
        <v>78</v>
      </c>
      <c r="I448" s="55">
        <v>33</v>
      </c>
      <c r="J448" s="55">
        <v>30</v>
      </c>
      <c r="K448" s="55">
        <f t="shared" si="365"/>
        <v>6.3000000000000007</v>
      </c>
      <c r="L448" s="55">
        <f t="shared" si="366"/>
        <v>69.3</v>
      </c>
      <c r="M448" s="55">
        <f t="shared" si="388"/>
        <v>69</v>
      </c>
      <c r="N448" s="56">
        <v>67</v>
      </c>
      <c r="O448" s="57">
        <f t="shared" si="411"/>
        <v>66.428999999999988</v>
      </c>
      <c r="P448" s="58">
        <f t="shared" si="367"/>
        <v>-2</v>
      </c>
      <c r="Q448" s="59">
        <f t="shared" si="412"/>
        <v>11.166666666666666</v>
      </c>
      <c r="R448" s="60">
        <v>3</v>
      </c>
      <c r="S448" s="60"/>
      <c r="T448" s="60">
        <f t="shared" si="389"/>
        <v>1</v>
      </c>
      <c r="U448" s="61">
        <f t="shared" si="396"/>
        <v>2</v>
      </c>
      <c r="V448" s="62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>
        <v>1</v>
      </c>
      <c r="AI448" s="30"/>
      <c r="AJ448" s="30"/>
      <c r="AK448" s="30"/>
      <c r="AL448" s="30"/>
      <c r="AM448" s="30"/>
      <c r="AN448" s="30"/>
      <c r="AO448" s="30"/>
      <c r="AP448" s="31"/>
      <c r="AQ448" s="32"/>
      <c r="AR448" s="33"/>
      <c r="AS448" s="31"/>
      <c r="AT448" s="63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64"/>
      <c r="BT448" s="64"/>
      <c r="BU448" s="64"/>
      <c r="BV448" s="64"/>
      <c r="BW448" s="64"/>
      <c r="BX448" s="64"/>
      <c r="BY448" s="64"/>
      <c r="BZ448" s="64"/>
      <c r="CA448" s="64"/>
    </row>
    <row r="449" spans="1:79" ht="15" customHeight="1" x14ac:dyDescent="0.25">
      <c r="A449" s="22"/>
      <c r="B449" s="22">
        <v>414</v>
      </c>
      <c r="C449" s="131" t="s">
        <v>161</v>
      </c>
      <c r="D449" s="174">
        <v>2014</v>
      </c>
      <c r="E449" s="22" t="s">
        <v>843</v>
      </c>
      <c r="F449" s="22" t="s">
        <v>844</v>
      </c>
      <c r="G449" s="22" t="s">
        <v>841</v>
      </c>
      <c r="H449" s="55" t="s">
        <v>78</v>
      </c>
      <c r="I449" s="55">
        <v>20.5</v>
      </c>
      <c r="J449" s="55">
        <f>IF(I449&lt;=15,$L$2,$L$3)</f>
        <v>30</v>
      </c>
      <c r="K449" s="55">
        <f t="shared" si="365"/>
        <v>5.0500000000000007</v>
      </c>
      <c r="L449" s="55">
        <f t="shared" si="366"/>
        <v>55.55</v>
      </c>
      <c r="M449" s="55">
        <f t="shared" si="388"/>
        <v>56</v>
      </c>
      <c r="N449" s="56">
        <v>53</v>
      </c>
      <c r="O449" s="57">
        <f t="shared" si="411"/>
        <v>41.266499999999994</v>
      </c>
      <c r="P449" s="58">
        <f t="shared" si="367"/>
        <v>-3</v>
      </c>
      <c r="Q449" s="59">
        <f t="shared" si="412"/>
        <v>8.8333333333333339</v>
      </c>
      <c r="R449" s="60">
        <v>3</v>
      </c>
      <c r="S449" s="60"/>
      <c r="T449" s="60">
        <f t="shared" si="389"/>
        <v>0</v>
      </c>
      <c r="U449" s="61">
        <f t="shared" si="396"/>
        <v>3</v>
      </c>
      <c r="V449" s="62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1"/>
      <c r="AQ449" s="32"/>
      <c r="AR449" s="33"/>
      <c r="AS449" s="31"/>
      <c r="AT449" s="63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64"/>
      <c r="BT449" s="64"/>
      <c r="BU449" s="64"/>
      <c r="BV449" s="64"/>
      <c r="BW449" s="64"/>
      <c r="BX449" s="64"/>
      <c r="BY449" s="64"/>
      <c r="BZ449" s="64"/>
      <c r="CA449" s="64"/>
    </row>
    <row r="450" spans="1:79" ht="15" customHeight="1" x14ac:dyDescent="0.25">
      <c r="A450" s="22"/>
      <c r="B450" s="22">
        <v>415</v>
      </c>
      <c r="C450" s="131" t="s">
        <v>161</v>
      </c>
      <c r="D450" s="174">
        <v>2018</v>
      </c>
      <c r="E450" s="22" t="s">
        <v>845</v>
      </c>
      <c r="F450" s="22" t="s">
        <v>846</v>
      </c>
      <c r="G450" s="22" t="s">
        <v>841</v>
      </c>
      <c r="H450" s="22" t="s">
        <v>78</v>
      </c>
      <c r="I450" s="55">
        <v>23.9</v>
      </c>
      <c r="J450" s="55">
        <f>IF(I450&lt;=15,$L$2,$L$3)</f>
        <v>30</v>
      </c>
      <c r="K450" s="55">
        <f t="shared" si="365"/>
        <v>5.3900000000000006</v>
      </c>
      <c r="L450" s="55">
        <f t="shared" si="366"/>
        <v>59.29</v>
      </c>
      <c r="M450" s="55">
        <f t="shared" si="388"/>
        <v>59</v>
      </c>
      <c r="N450" s="56">
        <v>60</v>
      </c>
      <c r="O450" s="57">
        <f t="shared" si="411"/>
        <v>48.110699999999994</v>
      </c>
      <c r="P450" s="58">
        <f t="shared" si="367"/>
        <v>1</v>
      </c>
      <c r="Q450" s="59">
        <f t="shared" si="412"/>
        <v>10</v>
      </c>
      <c r="R450" s="60">
        <v>3</v>
      </c>
      <c r="S450" s="60">
        <v>6</v>
      </c>
      <c r="T450" s="60">
        <f t="shared" si="389"/>
        <v>3</v>
      </c>
      <c r="U450" s="61">
        <f t="shared" si="396"/>
        <v>6</v>
      </c>
      <c r="V450" s="62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1"/>
      <c r="AQ450" s="32"/>
      <c r="AR450" s="33"/>
      <c r="AS450" s="31"/>
      <c r="AT450" s="63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>
        <v>1</v>
      </c>
      <c r="BF450" s="64"/>
      <c r="BL450" s="64">
        <v>2</v>
      </c>
      <c r="BT450" s="64"/>
      <c r="BU450" s="64"/>
      <c r="BV450" s="64"/>
      <c r="BW450" s="64"/>
      <c r="BX450" s="64"/>
      <c r="BY450" s="64"/>
      <c r="BZ450" s="64"/>
      <c r="CA450" s="64"/>
    </row>
    <row r="451" spans="1:79" ht="15" customHeight="1" x14ac:dyDescent="0.25">
      <c r="A451" s="22"/>
      <c r="B451" s="22">
        <v>416</v>
      </c>
      <c r="C451" s="131" t="s">
        <v>161</v>
      </c>
      <c r="D451" s="174">
        <v>2009</v>
      </c>
      <c r="E451" s="22" t="s">
        <v>845</v>
      </c>
      <c r="F451" s="22" t="s">
        <v>846</v>
      </c>
      <c r="G451" s="22" t="s">
        <v>841</v>
      </c>
      <c r="H451" s="22" t="s">
        <v>78</v>
      </c>
      <c r="I451" s="55">
        <v>33</v>
      </c>
      <c r="J451" s="55">
        <f>IF(I451&lt;=15,$L$2,$L$3)</f>
        <v>30</v>
      </c>
      <c r="K451" s="55">
        <f t="shared" ref="K451" si="421">(I451+J451)*0.1</f>
        <v>6.3000000000000007</v>
      </c>
      <c r="L451" s="55">
        <f t="shared" ref="L451" si="422">SUM(I451:K451)</f>
        <v>69.3</v>
      </c>
      <c r="M451" s="55">
        <f t="shared" ref="M451" si="423">ROUND(L451,0)</f>
        <v>69</v>
      </c>
      <c r="N451" s="56">
        <v>75</v>
      </c>
      <c r="O451" s="57">
        <f t="shared" ref="O451" si="424">I451*$O$2*1.22</f>
        <v>66.428999999999988</v>
      </c>
      <c r="P451" s="58">
        <f t="shared" ref="P451" si="425">N451-M451</f>
        <v>6</v>
      </c>
      <c r="Q451" s="59">
        <f t="shared" ref="Q451" si="426">N451/$Q$3</f>
        <v>12.5</v>
      </c>
      <c r="R451" s="60">
        <v>1</v>
      </c>
      <c r="S451" s="60">
        <v>8</v>
      </c>
      <c r="T451" s="60">
        <f t="shared" ref="T451" si="427">W451+X451+Y451+Z451+AA451+AB451+AC451+AD451+AE451+AF451+AG451+AH451+AI451+AJ451+AK451+AL451+AM451+AN451+AO451+AP451+AQ451+AR451+AS451+AT451+AU451+AV451+AW451+AX451+AY451+AZ451+BA451+BB451+BC451+BD451+BE451+BF451+BG451+BH451+BI451+BJ451+BK451+BL451+BM451+BQ451+BR451+BS451+BT451</f>
        <v>4</v>
      </c>
      <c r="U451" s="61">
        <f t="shared" ref="U451" si="428">R451+S451-T451</f>
        <v>5</v>
      </c>
      <c r="V451" s="62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1"/>
      <c r="AQ451" s="32"/>
      <c r="AR451" s="33"/>
      <c r="AS451" s="31"/>
      <c r="AT451" s="63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>
        <v>1</v>
      </c>
      <c r="BF451" s="64"/>
      <c r="BM451" s="64">
        <v>2</v>
      </c>
      <c r="BT451" s="64">
        <v>1</v>
      </c>
      <c r="BU451" s="64"/>
      <c r="BV451" s="64"/>
      <c r="BW451" s="64"/>
      <c r="BX451" s="64"/>
      <c r="BY451" s="64"/>
      <c r="BZ451" s="64"/>
      <c r="CA451" s="64"/>
    </row>
    <row r="452" spans="1:79" s="54" customFormat="1" ht="15" customHeight="1" x14ac:dyDescent="0.25">
      <c r="A452" s="22"/>
      <c r="B452" s="22">
        <v>416</v>
      </c>
      <c r="C452" s="131" t="s">
        <v>161</v>
      </c>
      <c r="D452" s="174">
        <v>1999</v>
      </c>
      <c r="E452" s="22" t="s">
        <v>847</v>
      </c>
      <c r="F452" s="22" t="s">
        <v>847</v>
      </c>
      <c r="G452" s="22" t="s">
        <v>841</v>
      </c>
      <c r="H452" s="22" t="s">
        <v>78</v>
      </c>
      <c r="I452" s="55">
        <v>51.9</v>
      </c>
      <c r="J452" s="55">
        <v>55</v>
      </c>
      <c r="K452" s="55">
        <f t="shared" ref="K452:K457" si="429">(I452+J452)*0.1</f>
        <v>10.690000000000001</v>
      </c>
      <c r="L452" s="55">
        <f t="shared" ref="L452:L457" si="430">SUM(I452:K452)</f>
        <v>117.59</v>
      </c>
      <c r="M452" s="55">
        <f t="shared" ref="M452:M457" si="431">ROUND(L452,0)</f>
        <v>118</v>
      </c>
      <c r="N452" s="56">
        <v>119</v>
      </c>
      <c r="O452" s="57">
        <f t="shared" si="411"/>
        <v>104.47469999999998</v>
      </c>
      <c r="P452" s="58">
        <f t="shared" ref="P452:P457" si="432">N452-M452</f>
        <v>1</v>
      </c>
      <c r="Q452" s="59">
        <f t="shared" si="412"/>
        <v>19.833333333333332</v>
      </c>
      <c r="R452" s="60">
        <v>2</v>
      </c>
      <c r="S452" s="60"/>
      <c r="T452" s="60">
        <f t="shared" si="389"/>
        <v>0</v>
      </c>
      <c r="U452" s="61">
        <f t="shared" ref="U452:U457" si="433">R452+S452-T452</f>
        <v>2</v>
      </c>
      <c r="V452" s="62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1"/>
      <c r="AQ452" s="32"/>
      <c r="AR452" s="33"/>
      <c r="AS452" s="31"/>
      <c r="AT452" s="63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</row>
    <row r="453" spans="1:79" s="54" customFormat="1" ht="15" customHeight="1" x14ac:dyDescent="0.25">
      <c r="A453" s="22"/>
      <c r="B453" s="29">
        <v>417</v>
      </c>
      <c r="C453" s="131" t="s">
        <v>161</v>
      </c>
      <c r="D453" s="174">
        <v>2018</v>
      </c>
      <c r="E453" s="22" t="s">
        <v>848</v>
      </c>
      <c r="F453" s="22" t="s">
        <v>848</v>
      </c>
      <c r="G453" s="22" t="s">
        <v>841</v>
      </c>
      <c r="H453" s="22" t="s">
        <v>78</v>
      </c>
      <c r="I453" s="55">
        <v>119</v>
      </c>
      <c r="J453" s="55">
        <v>100</v>
      </c>
      <c r="K453" s="55">
        <f t="shared" si="429"/>
        <v>21.900000000000002</v>
      </c>
      <c r="L453" s="55">
        <f t="shared" si="430"/>
        <v>240.9</v>
      </c>
      <c r="M453" s="55">
        <f t="shared" si="431"/>
        <v>241</v>
      </c>
      <c r="N453" s="56">
        <v>239</v>
      </c>
      <c r="O453" s="57">
        <f t="shared" si="411"/>
        <v>239.547</v>
      </c>
      <c r="P453" s="58">
        <f t="shared" si="432"/>
        <v>-2</v>
      </c>
      <c r="Q453" s="59">
        <f t="shared" si="412"/>
        <v>39.833333333333336</v>
      </c>
      <c r="R453" s="60">
        <v>2</v>
      </c>
      <c r="S453" s="60"/>
      <c r="T453" s="60">
        <f t="shared" si="389"/>
        <v>0</v>
      </c>
      <c r="U453" s="61">
        <f t="shared" si="433"/>
        <v>2</v>
      </c>
      <c r="V453" s="62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1"/>
      <c r="AQ453" s="32"/>
      <c r="AR453" s="33"/>
      <c r="AS453" s="31"/>
      <c r="AT453" s="63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</row>
    <row r="454" spans="1:79" s="54" customFormat="1" ht="15" customHeight="1" x14ac:dyDescent="0.25">
      <c r="A454" s="22"/>
      <c r="B454" s="22">
        <v>418</v>
      </c>
      <c r="C454" s="131" t="s">
        <v>161</v>
      </c>
      <c r="D454" s="174">
        <v>2009</v>
      </c>
      <c r="E454" s="22" t="s">
        <v>849</v>
      </c>
      <c r="F454" s="22" t="s">
        <v>849</v>
      </c>
      <c r="G454" s="22" t="s">
        <v>841</v>
      </c>
      <c r="H454" s="22" t="s">
        <v>78</v>
      </c>
      <c r="I454" s="55">
        <v>49.9</v>
      </c>
      <c r="J454" s="55">
        <v>50</v>
      </c>
      <c r="K454" s="55">
        <f t="shared" si="429"/>
        <v>9.990000000000002</v>
      </c>
      <c r="L454" s="55">
        <f t="shared" si="430"/>
        <v>109.89000000000001</v>
      </c>
      <c r="M454" s="55">
        <f t="shared" si="431"/>
        <v>110</v>
      </c>
      <c r="N454" s="56">
        <v>110</v>
      </c>
      <c r="O454" s="57">
        <f t="shared" si="411"/>
        <v>100.44869999999999</v>
      </c>
      <c r="P454" s="58">
        <f t="shared" si="432"/>
        <v>0</v>
      </c>
      <c r="Q454" s="59">
        <f t="shared" si="412"/>
        <v>18.333333333333332</v>
      </c>
      <c r="R454" s="60">
        <v>2</v>
      </c>
      <c r="S454" s="60"/>
      <c r="T454" s="60">
        <f t="shared" si="389"/>
        <v>0</v>
      </c>
      <c r="U454" s="61">
        <f t="shared" si="433"/>
        <v>2</v>
      </c>
      <c r="V454" s="62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1"/>
      <c r="AQ454" s="32"/>
      <c r="AR454" s="33"/>
      <c r="AS454" s="31"/>
      <c r="AT454" s="63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</row>
    <row r="455" spans="1:79" ht="15" customHeight="1" x14ac:dyDescent="0.25">
      <c r="A455" s="22"/>
      <c r="B455" s="22">
        <v>420</v>
      </c>
      <c r="C455" s="131" t="s">
        <v>161</v>
      </c>
      <c r="D455" s="174">
        <v>2019</v>
      </c>
      <c r="E455" s="22" t="s">
        <v>850</v>
      </c>
      <c r="F455" s="22" t="s">
        <v>851</v>
      </c>
      <c r="G455" s="22" t="s">
        <v>852</v>
      </c>
      <c r="H455" s="22" t="s">
        <v>171</v>
      </c>
      <c r="I455" s="55">
        <v>35</v>
      </c>
      <c r="J455" s="55">
        <f>IF(I455&lt;=15,$L$2,$L$3)</f>
        <v>30</v>
      </c>
      <c r="K455" s="55">
        <f t="shared" si="429"/>
        <v>6.5</v>
      </c>
      <c r="L455" s="55">
        <f t="shared" si="430"/>
        <v>71.5</v>
      </c>
      <c r="M455" s="55">
        <f t="shared" si="431"/>
        <v>72</v>
      </c>
      <c r="N455" s="56">
        <v>72</v>
      </c>
      <c r="O455" s="57">
        <f t="shared" si="411"/>
        <v>70.454999999999998</v>
      </c>
      <c r="P455" s="58">
        <f t="shared" si="432"/>
        <v>0</v>
      </c>
      <c r="Q455" s="59">
        <f t="shared" si="412"/>
        <v>12</v>
      </c>
      <c r="R455" s="60">
        <v>1</v>
      </c>
      <c r="S455" s="60">
        <v>6</v>
      </c>
      <c r="T455" s="60">
        <f t="shared" si="389"/>
        <v>1</v>
      </c>
      <c r="U455" s="61">
        <f t="shared" si="433"/>
        <v>6</v>
      </c>
      <c r="V455" s="62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>
        <v>1</v>
      </c>
      <c r="AH455" s="30"/>
      <c r="AI455" s="30"/>
      <c r="AJ455" s="30"/>
      <c r="AK455" s="30"/>
      <c r="AL455" s="30"/>
      <c r="AM455" s="30"/>
      <c r="AN455" s="30"/>
      <c r="AO455" s="30"/>
      <c r="AP455" s="31"/>
      <c r="AQ455" s="32"/>
      <c r="AR455" s="33"/>
      <c r="AS455" s="31"/>
      <c r="AT455" s="63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64"/>
      <c r="BT455" s="64"/>
      <c r="BU455" s="64"/>
      <c r="BV455" s="64"/>
      <c r="BW455" s="64"/>
      <c r="BX455" s="64"/>
      <c r="BY455" s="64"/>
      <c r="BZ455" s="64"/>
      <c r="CA455" s="64"/>
    </row>
    <row r="456" spans="1:79" ht="15" customHeight="1" x14ac:dyDescent="0.25">
      <c r="A456" s="22"/>
      <c r="B456" s="29">
        <v>421</v>
      </c>
      <c r="C456" s="131" t="s">
        <v>161</v>
      </c>
      <c r="D456" s="174">
        <v>2019</v>
      </c>
      <c r="E456" s="22" t="s">
        <v>853</v>
      </c>
      <c r="F456" s="22" t="s">
        <v>854</v>
      </c>
      <c r="G456" s="22" t="s">
        <v>852</v>
      </c>
      <c r="H456" s="22" t="s">
        <v>78</v>
      </c>
      <c r="I456" s="55">
        <v>36.9</v>
      </c>
      <c r="J456" s="55">
        <v>35</v>
      </c>
      <c r="K456" s="55">
        <f t="shared" si="429"/>
        <v>7.1900000000000013</v>
      </c>
      <c r="L456" s="55">
        <f t="shared" si="430"/>
        <v>79.09</v>
      </c>
      <c r="M456" s="55">
        <f t="shared" si="431"/>
        <v>79</v>
      </c>
      <c r="N456" s="56">
        <v>74</v>
      </c>
      <c r="O456" s="57">
        <f t="shared" si="411"/>
        <v>74.279699999999991</v>
      </c>
      <c r="P456" s="58">
        <f t="shared" si="432"/>
        <v>-5</v>
      </c>
      <c r="Q456" s="59">
        <f t="shared" si="412"/>
        <v>12.333333333333334</v>
      </c>
      <c r="R456" s="60">
        <v>5</v>
      </c>
      <c r="S456" s="60"/>
      <c r="T456" s="60">
        <f t="shared" si="389"/>
        <v>0</v>
      </c>
      <c r="U456" s="61">
        <f t="shared" si="433"/>
        <v>5</v>
      </c>
      <c r="V456" s="62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1"/>
      <c r="AQ456" s="32"/>
      <c r="AR456" s="33"/>
      <c r="AS456" s="31"/>
      <c r="AT456" s="63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64"/>
      <c r="BT456" s="64"/>
      <c r="BU456" s="64"/>
      <c r="BV456" s="64"/>
      <c r="BW456" s="64"/>
      <c r="BX456" s="64"/>
      <c r="BY456" s="64"/>
      <c r="BZ456" s="64"/>
      <c r="CA456" s="64"/>
    </row>
    <row r="457" spans="1:79" ht="15" customHeight="1" x14ac:dyDescent="0.25">
      <c r="A457" s="22">
        <v>12</v>
      </c>
      <c r="B457" s="29">
        <v>422</v>
      </c>
      <c r="C457" s="131" t="s">
        <v>161</v>
      </c>
      <c r="D457" s="174">
        <v>2020</v>
      </c>
      <c r="E457" s="22" t="s">
        <v>855</v>
      </c>
      <c r="F457" s="22" t="s">
        <v>856</v>
      </c>
      <c r="G457" s="22"/>
      <c r="H457" s="22" t="s">
        <v>857</v>
      </c>
      <c r="I457" s="55">
        <v>14.9</v>
      </c>
      <c r="J457" s="55">
        <v>25</v>
      </c>
      <c r="K457" s="55">
        <f t="shared" si="429"/>
        <v>3.99</v>
      </c>
      <c r="L457" s="55">
        <f t="shared" si="430"/>
        <v>43.89</v>
      </c>
      <c r="M457" s="55">
        <f t="shared" si="431"/>
        <v>44</v>
      </c>
      <c r="N457" s="56">
        <v>45</v>
      </c>
      <c r="O457" s="57">
        <f t="shared" ref="O457" si="434">I457*$O$2*1.22</f>
        <v>29.9937</v>
      </c>
      <c r="P457" s="58">
        <f t="shared" si="432"/>
        <v>1</v>
      </c>
      <c r="Q457" s="59">
        <f t="shared" ref="Q457" si="435">N457/$Q$3</f>
        <v>7.5</v>
      </c>
      <c r="R457" s="60">
        <v>1</v>
      </c>
      <c r="S457" s="60"/>
      <c r="T457" s="60">
        <f t="shared" ref="T457" si="436">W457+X457+Y457+Z457+AA457+AB457+AC457+AD457+AE457+AF457+AG457+AH457+AI457+AJ457+AK457+AL457+AM457+AN457+AO457+AP457+AQ457+AR457+AS457+AT457+AU457+AV457+AW457+AX457+AY457+AZ457+BA457+BB457+BC457+BD457+BE457+BF457+BG457+BH457+BI457+BJ457+BK457+BL457+BM457+BQ457+BR457+BS457+BT457</f>
        <v>0</v>
      </c>
      <c r="U457" s="61">
        <f t="shared" si="433"/>
        <v>1</v>
      </c>
      <c r="V457" s="62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1"/>
      <c r="AQ457" s="32"/>
      <c r="AR457" s="33"/>
      <c r="AS457" s="31"/>
      <c r="AT457" s="63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64"/>
      <c r="BT457" s="64"/>
      <c r="BU457" s="64">
        <v>1</v>
      </c>
      <c r="BV457" s="64"/>
      <c r="BW457" s="64"/>
      <c r="BX457" s="64"/>
      <c r="BY457" s="64"/>
      <c r="BZ457" s="64"/>
      <c r="CA457" s="64"/>
    </row>
    <row r="458" spans="1:79" ht="15" customHeight="1" x14ac:dyDescent="0.25">
      <c r="A458" s="22"/>
      <c r="B458" s="22">
        <v>422</v>
      </c>
      <c r="C458" s="131" t="s">
        <v>858</v>
      </c>
      <c r="D458" s="174">
        <v>2012</v>
      </c>
      <c r="E458" s="22" t="s">
        <v>859</v>
      </c>
      <c r="F458" s="22" t="s">
        <v>860</v>
      </c>
      <c r="G458" s="22" t="s">
        <v>858</v>
      </c>
      <c r="H458" s="22" t="s">
        <v>78</v>
      </c>
      <c r="I458" s="55">
        <v>36.9</v>
      </c>
      <c r="J458" s="55">
        <v>35</v>
      </c>
      <c r="K458" s="55">
        <f t="shared" si="365"/>
        <v>7.1900000000000013</v>
      </c>
      <c r="L458" s="55">
        <f t="shared" si="366"/>
        <v>79.09</v>
      </c>
      <c r="M458" s="55">
        <f t="shared" ref="M458:M474" si="437">ROUND(L458,0)</f>
        <v>79</v>
      </c>
      <c r="N458" s="56">
        <v>82</v>
      </c>
      <c r="O458" s="57">
        <f t="shared" si="411"/>
        <v>74.279699999999991</v>
      </c>
      <c r="P458" s="58">
        <f t="shared" si="367"/>
        <v>3</v>
      </c>
      <c r="Q458" s="59">
        <f t="shared" si="412"/>
        <v>13.666666666666666</v>
      </c>
      <c r="R458" s="60">
        <v>6</v>
      </c>
      <c r="S458" s="60"/>
      <c r="T458" s="60">
        <f t="shared" si="389"/>
        <v>0</v>
      </c>
      <c r="U458" s="61">
        <f t="shared" si="396"/>
        <v>6</v>
      </c>
      <c r="V458" s="62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1"/>
      <c r="AQ458" s="32"/>
      <c r="AR458" s="33"/>
      <c r="AS458" s="31"/>
      <c r="AT458" s="63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64"/>
      <c r="BT458" s="64"/>
      <c r="BU458" s="64"/>
      <c r="BV458" s="64"/>
      <c r="BW458" s="64"/>
      <c r="BX458" s="64"/>
      <c r="BY458" s="64"/>
      <c r="BZ458" s="64"/>
      <c r="CA458" s="64"/>
    </row>
    <row r="459" spans="1:79" ht="15" customHeight="1" x14ac:dyDescent="0.25">
      <c r="A459" s="132"/>
      <c r="B459" s="22">
        <v>423</v>
      </c>
      <c r="C459" s="131" t="s">
        <v>858</v>
      </c>
      <c r="D459" s="174">
        <v>2014</v>
      </c>
      <c r="E459" s="22" t="s">
        <v>861</v>
      </c>
      <c r="F459" s="22" t="s">
        <v>862</v>
      </c>
      <c r="G459" s="22" t="s">
        <v>858</v>
      </c>
      <c r="H459" s="22" t="s">
        <v>78</v>
      </c>
      <c r="I459" s="55">
        <v>34.5</v>
      </c>
      <c r="J459" s="55">
        <v>35</v>
      </c>
      <c r="K459" s="55">
        <f>(I459+J459)*0.1</f>
        <v>6.95</v>
      </c>
      <c r="L459" s="55">
        <f>SUM(I459:K459)</f>
        <v>76.45</v>
      </c>
      <c r="M459" s="55">
        <f>ROUND(L459,0)</f>
        <v>76</v>
      </c>
      <c r="N459" s="56">
        <v>76</v>
      </c>
      <c r="O459" s="57">
        <f t="shared" si="411"/>
        <v>69.448499999999996</v>
      </c>
      <c r="P459" s="58">
        <f>N459-M459</f>
        <v>0</v>
      </c>
      <c r="Q459" s="59">
        <f t="shared" si="412"/>
        <v>12.666666666666666</v>
      </c>
      <c r="R459" s="60">
        <v>3</v>
      </c>
      <c r="S459" s="60">
        <v>3</v>
      </c>
      <c r="T459" s="60">
        <f t="shared" si="389"/>
        <v>3</v>
      </c>
      <c r="U459" s="61">
        <f>R459+S459-T459</f>
        <v>3</v>
      </c>
      <c r="V459" s="62"/>
      <c r="W459" s="30"/>
      <c r="X459" s="30"/>
      <c r="Y459" s="30">
        <v>3</v>
      </c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1"/>
      <c r="AQ459" s="32"/>
      <c r="AR459" s="33"/>
      <c r="AS459" s="31"/>
      <c r="AT459" s="63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64"/>
      <c r="BT459" s="64"/>
      <c r="BU459" s="64"/>
      <c r="BV459" s="64"/>
      <c r="BW459" s="64"/>
      <c r="BX459" s="64"/>
      <c r="BY459" s="64"/>
      <c r="BZ459" s="64"/>
      <c r="CA459" s="64"/>
    </row>
    <row r="460" spans="1:79" ht="15" customHeight="1" x14ac:dyDescent="0.25">
      <c r="A460" s="22"/>
      <c r="B460" s="22">
        <v>424</v>
      </c>
      <c r="C460" s="131" t="s">
        <v>863</v>
      </c>
      <c r="D460" s="174">
        <v>2017</v>
      </c>
      <c r="E460" s="22" t="s">
        <v>864</v>
      </c>
      <c r="F460" s="22" t="s">
        <v>865</v>
      </c>
      <c r="G460" s="22" t="s">
        <v>866</v>
      </c>
      <c r="H460" s="22" t="s">
        <v>78</v>
      </c>
      <c r="I460" s="55">
        <v>44.8</v>
      </c>
      <c r="J460" s="55">
        <v>35</v>
      </c>
      <c r="K460" s="55">
        <f>(I460+J460)*0.1</f>
        <v>7.98</v>
      </c>
      <c r="L460" s="55">
        <f>SUM(I460:K460)</f>
        <v>87.78</v>
      </c>
      <c r="M460" s="55">
        <f>ROUND(L460,0)</f>
        <v>88</v>
      </c>
      <c r="N460" s="56">
        <v>87</v>
      </c>
      <c r="O460" s="57">
        <f t="shared" si="411"/>
        <v>90.182399999999987</v>
      </c>
      <c r="P460" s="58">
        <f>N460-M460</f>
        <v>-1</v>
      </c>
      <c r="Q460" s="59">
        <f t="shared" si="412"/>
        <v>14.5</v>
      </c>
      <c r="R460" s="60">
        <v>2</v>
      </c>
      <c r="S460" s="60">
        <v>6</v>
      </c>
      <c r="T460" s="60">
        <f t="shared" si="389"/>
        <v>1</v>
      </c>
      <c r="U460" s="61">
        <f>R460+S460-T460</f>
        <v>7</v>
      </c>
      <c r="V460" s="62"/>
      <c r="W460" s="30"/>
      <c r="X460" s="30"/>
      <c r="Y460" s="30">
        <v>1</v>
      </c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1"/>
      <c r="AQ460" s="32"/>
      <c r="AR460" s="33"/>
      <c r="AS460" s="31"/>
      <c r="AT460" s="63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64"/>
      <c r="BT460" s="64"/>
      <c r="BU460" s="64"/>
      <c r="BV460" s="64"/>
      <c r="BW460" s="64"/>
      <c r="BX460" s="64"/>
      <c r="BY460" s="64"/>
      <c r="BZ460" s="64"/>
      <c r="CA460" s="64"/>
    </row>
    <row r="461" spans="1:79" ht="15" customHeight="1" x14ac:dyDescent="0.25">
      <c r="A461" s="22"/>
      <c r="B461" s="29">
        <v>425</v>
      </c>
      <c r="C461" s="131" t="s">
        <v>863</v>
      </c>
      <c r="D461" s="174">
        <v>2018</v>
      </c>
      <c r="E461" s="22" t="s">
        <v>867</v>
      </c>
      <c r="F461" s="22" t="s">
        <v>868</v>
      </c>
      <c r="G461" s="22" t="s">
        <v>869</v>
      </c>
      <c r="H461" s="22" t="s">
        <v>78</v>
      </c>
      <c r="I461" s="55">
        <v>45.9</v>
      </c>
      <c r="J461" s="55">
        <v>40</v>
      </c>
      <c r="K461" s="55">
        <f>(I461+J461)*0.1</f>
        <v>8.5900000000000016</v>
      </c>
      <c r="L461" s="55">
        <f>SUM(I461:K461)</f>
        <v>94.490000000000009</v>
      </c>
      <c r="M461" s="55">
        <f>ROUND(L461,0)</f>
        <v>94</v>
      </c>
      <c r="N461" s="56">
        <v>94</v>
      </c>
      <c r="O461" s="57">
        <f t="shared" ref="O461" si="438">I461*$O$2*1.22</f>
        <v>92.396699999999996</v>
      </c>
      <c r="P461" s="58">
        <f>N461-M461</f>
        <v>0</v>
      </c>
      <c r="Q461" s="59">
        <f t="shared" ref="Q461" si="439">N461/$Q$3</f>
        <v>15.666666666666666</v>
      </c>
      <c r="R461" s="60">
        <v>2</v>
      </c>
      <c r="S461" s="60">
        <v>6</v>
      </c>
      <c r="T461" s="60">
        <f t="shared" ref="T461" si="440">W461+X461+Y461+Z461+AA461+AB461+AC461+AD461+AE461+AF461+AG461+AH461+AI461+AJ461+AK461+AL461+AM461+AN461+AO461+AP461+AQ461+AR461+AS461+AT461+AU461+AV461+AW461+AX461+AY461+AZ461+BA461+BB461+BC461+BD461+BE461+BF461+BG461+BH461+BI461+BJ461+BK461+BL461+BM461+BQ461+BR461+BS461+BT461</f>
        <v>3</v>
      </c>
      <c r="U461" s="61">
        <f>R461+S461-T461</f>
        <v>5</v>
      </c>
      <c r="V461" s="62"/>
      <c r="W461" s="30"/>
      <c r="X461" s="30"/>
      <c r="Y461" s="30">
        <v>2</v>
      </c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1"/>
      <c r="AQ461" s="32"/>
      <c r="AR461" s="33"/>
      <c r="AS461" s="31"/>
      <c r="AT461" s="63"/>
      <c r="AU461" s="34"/>
      <c r="AV461" s="34"/>
      <c r="AW461" s="34"/>
      <c r="AX461" s="34"/>
      <c r="AY461" s="34"/>
      <c r="AZ461" s="34">
        <v>1</v>
      </c>
      <c r="BA461" s="34"/>
      <c r="BB461" s="34"/>
      <c r="BC461" s="34"/>
      <c r="BD461" s="34"/>
      <c r="BE461" s="34"/>
      <c r="BF461" s="64"/>
      <c r="BT461" s="64"/>
      <c r="BU461" s="64"/>
      <c r="BV461" s="64"/>
      <c r="BW461" s="64"/>
      <c r="BX461" s="64"/>
      <c r="BY461" s="64"/>
      <c r="BZ461" s="64"/>
      <c r="CA461" s="64"/>
    </row>
    <row r="462" spans="1:79" ht="15" customHeight="1" x14ac:dyDescent="0.25">
      <c r="A462" s="22"/>
      <c r="B462" s="29">
        <v>426</v>
      </c>
      <c r="C462" s="131" t="s">
        <v>863</v>
      </c>
      <c r="D462" s="174">
        <v>2017</v>
      </c>
      <c r="E462" s="22" t="s">
        <v>870</v>
      </c>
      <c r="F462" s="22" t="s">
        <v>871</v>
      </c>
      <c r="G462" s="22" t="s">
        <v>869</v>
      </c>
      <c r="H462" s="22" t="s">
        <v>78</v>
      </c>
      <c r="I462" s="55">
        <v>18</v>
      </c>
      <c r="J462" s="55">
        <v>30</v>
      </c>
      <c r="K462" s="55">
        <f>(I462+J462)*0.1</f>
        <v>4.8000000000000007</v>
      </c>
      <c r="L462" s="55">
        <f>SUM(I462:K462)</f>
        <v>52.8</v>
      </c>
      <c r="M462" s="55">
        <f>ROUND(L462,0)</f>
        <v>53</v>
      </c>
      <c r="N462" s="56">
        <v>53</v>
      </c>
      <c r="O462" s="57">
        <f t="shared" ref="O462" si="441">I462*$O$2*1.22</f>
        <v>36.234000000000002</v>
      </c>
      <c r="P462" s="58">
        <f>N462-M462</f>
        <v>0</v>
      </c>
      <c r="Q462" s="59">
        <f t="shared" ref="Q462" si="442">N462/$Q$3</f>
        <v>8.8333333333333339</v>
      </c>
      <c r="R462" s="60">
        <v>1</v>
      </c>
      <c r="S462" s="60">
        <v>3</v>
      </c>
      <c r="T462" s="60">
        <f t="shared" ref="T462" si="443">W462+X462+Y462+Z462+AA462+AB462+AC462+AD462+AE462+AF462+AG462+AH462+AI462+AJ462+AK462+AL462+AM462+AN462+AO462+AP462+AQ462+AR462+AS462+AT462+AU462+AV462+AW462+AX462+AY462+AZ462+BA462+BB462+BC462+BD462+BE462+BF462+BG462+BH462+BI462+BJ462+BK462+BL462+BM462+BQ462+BR462+BS462+BT462</f>
        <v>1</v>
      </c>
      <c r="U462" s="61">
        <f>R462+S462-T462</f>
        <v>3</v>
      </c>
      <c r="V462" s="62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1"/>
      <c r="AQ462" s="32"/>
      <c r="AR462" s="33"/>
      <c r="AS462" s="31"/>
      <c r="AT462" s="63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64"/>
      <c r="BL462" s="64">
        <v>1</v>
      </c>
      <c r="BT462" s="64"/>
      <c r="BU462" s="64"/>
      <c r="BV462" s="64"/>
      <c r="BW462" s="64"/>
      <c r="BX462" s="64"/>
      <c r="BY462" s="64"/>
      <c r="BZ462" s="64"/>
      <c r="CA462" s="64"/>
    </row>
    <row r="463" spans="1:79" ht="15" customHeight="1" x14ac:dyDescent="0.25">
      <c r="A463" s="22"/>
      <c r="B463" s="22">
        <v>426</v>
      </c>
      <c r="C463" s="131" t="s">
        <v>872</v>
      </c>
      <c r="D463" s="174">
        <v>2006</v>
      </c>
      <c r="E463" s="22" t="s">
        <v>873</v>
      </c>
      <c r="F463" s="22" t="s">
        <v>874</v>
      </c>
      <c r="G463" s="22" t="s">
        <v>872</v>
      </c>
      <c r="H463" s="22" t="s">
        <v>78</v>
      </c>
      <c r="I463" s="55">
        <v>31.9</v>
      </c>
      <c r="J463" s="55">
        <f>IF(I463&lt;=15,$L$2,$L$3)</f>
        <v>30</v>
      </c>
      <c r="K463" s="55">
        <f t="shared" si="365"/>
        <v>6.19</v>
      </c>
      <c r="L463" s="55">
        <f t="shared" si="366"/>
        <v>68.09</v>
      </c>
      <c r="M463" s="55">
        <f t="shared" si="437"/>
        <v>68</v>
      </c>
      <c r="N463" s="56">
        <v>69</v>
      </c>
      <c r="O463" s="57">
        <f t="shared" si="411"/>
        <v>64.214699999999993</v>
      </c>
      <c r="P463" s="58">
        <f t="shared" si="367"/>
        <v>1</v>
      </c>
      <c r="Q463" s="59">
        <f t="shared" si="412"/>
        <v>11.5</v>
      </c>
      <c r="R463" s="60">
        <v>3</v>
      </c>
      <c r="S463" s="60"/>
      <c r="T463" s="60">
        <f t="shared" si="389"/>
        <v>3</v>
      </c>
      <c r="U463" s="61">
        <f t="shared" si="396"/>
        <v>0</v>
      </c>
      <c r="V463" s="62"/>
      <c r="W463" s="30"/>
      <c r="X463" s="30"/>
      <c r="Y463" s="30"/>
      <c r="Z463" s="30"/>
      <c r="AA463" s="30"/>
      <c r="AB463" s="30"/>
      <c r="AC463" s="30"/>
      <c r="AD463" s="30"/>
      <c r="AE463" s="30">
        <v>1</v>
      </c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1"/>
      <c r="AQ463" s="32"/>
      <c r="AR463" s="33"/>
      <c r="AS463" s="31"/>
      <c r="AT463" s="63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64">
        <v>1</v>
      </c>
      <c r="BT463" s="64">
        <v>1</v>
      </c>
      <c r="BU463" s="64"/>
      <c r="BV463" s="64"/>
      <c r="BW463" s="64"/>
      <c r="BX463" s="64"/>
      <c r="BY463" s="64"/>
      <c r="BZ463" s="64"/>
      <c r="CA463" s="64"/>
    </row>
    <row r="464" spans="1:79" ht="15" customHeight="1" x14ac:dyDescent="0.25">
      <c r="A464" s="22"/>
      <c r="B464" s="22">
        <v>427</v>
      </c>
      <c r="C464" s="131" t="s">
        <v>872</v>
      </c>
      <c r="D464" s="174">
        <v>2012</v>
      </c>
      <c r="E464" s="22" t="s">
        <v>875</v>
      </c>
      <c r="F464" s="22" t="s">
        <v>876</v>
      </c>
      <c r="G464" s="22" t="s">
        <v>872</v>
      </c>
      <c r="H464" s="22" t="s">
        <v>177</v>
      </c>
      <c r="I464" s="55">
        <v>18</v>
      </c>
      <c r="J464" s="55">
        <f>IF(I464&lt;=15,$L$2,$L$3)</f>
        <v>30</v>
      </c>
      <c r="K464" s="55">
        <f>(I464+J464)*0.1</f>
        <v>4.8000000000000007</v>
      </c>
      <c r="L464" s="55">
        <f>SUM(I464:K464)</f>
        <v>52.8</v>
      </c>
      <c r="M464" s="55">
        <f>ROUND(L464,0)</f>
        <v>53</v>
      </c>
      <c r="N464" s="56">
        <v>56</v>
      </c>
      <c r="O464" s="57">
        <f t="shared" si="411"/>
        <v>36.234000000000002</v>
      </c>
      <c r="P464" s="58">
        <f>N464-M464</f>
        <v>3</v>
      </c>
      <c r="Q464" s="59">
        <f t="shared" si="412"/>
        <v>9.3333333333333339</v>
      </c>
      <c r="R464" s="60">
        <v>0</v>
      </c>
      <c r="S464" s="60">
        <v>13</v>
      </c>
      <c r="T464" s="60">
        <f t="shared" si="389"/>
        <v>11</v>
      </c>
      <c r="U464" s="61">
        <f>R464+S464-T464</f>
        <v>2</v>
      </c>
      <c r="V464" s="62"/>
      <c r="W464" s="30"/>
      <c r="X464" s="30"/>
      <c r="Y464" s="30"/>
      <c r="Z464" s="30"/>
      <c r="AA464" s="30">
        <v>2</v>
      </c>
      <c r="AB464" s="30"/>
      <c r="AC464" s="30"/>
      <c r="AD464" s="30"/>
      <c r="AE464" s="30"/>
      <c r="AF464" s="30"/>
      <c r="AG464" s="30"/>
      <c r="AH464" s="30">
        <v>1</v>
      </c>
      <c r="AI464" s="30"/>
      <c r="AJ464" s="30"/>
      <c r="AK464" s="30"/>
      <c r="AL464" s="30"/>
      <c r="AM464" s="30"/>
      <c r="AN464" s="30"/>
      <c r="AO464" s="30"/>
      <c r="AP464" s="31"/>
      <c r="AQ464" s="32">
        <v>2</v>
      </c>
      <c r="AR464" s="33"/>
      <c r="AS464" s="31"/>
      <c r="AT464" s="63"/>
      <c r="AU464" s="34"/>
      <c r="AV464" s="34"/>
      <c r="AW464" s="34"/>
      <c r="AX464" s="34"/>
      <c r="AY464" s="34"/>
      <c r="AZ464" s="34"/>
      <c r="BA464" s="34"/>
      <c r="BB464" s="34">
        <v>1</v>
      </c>
      <c r="BC464" s="34">
        <v>1</v>
      </c>
      <c r="BD464" s="34">
        <v>1</v>
      </c>
      <c r="BE464" s="34">
        <v>1</v>
      </c>
      <c r="BF464" s="64"/>
      <c r="BM464" s="64">
        <v>1</v>
      </c>
      <c r="BT464" s="64">
        <v>1</v>
      </c>
      <c r="BU464" s="64"/>
      <c r="BV464" s="64"/>
      <c r="BW464" s="64"/>
      <c r="BX464" s="64"/>
      <c r="BY464" s="64"/>
      <c r="BZ464" s="64"/>
      <c r="CA464" s="64"/>
    </row>
    <row r="465" spans="1:136" ht="15" customHeight="1" x14ac:dyDescent="0.25">
      <c r="A465" s="22"/>
      <c r="B465" s="22">
        <v>428</v>
      </c>
      <c r="C465" s="131" t="s">
        <v>872</v>
      </c>
      <c r="D465" s="174">
        <v>2020</v>
      </c>
      <c r="E465" s="22" t="s">
        <v>877</v>
      </c>
      <c r="F465" s="22" t="s">
        <v>878</v>
      </c>
      <c r="G465" s="22" t="s">
        <v>872</v>
      </c>
      <c r="H465" s="22" t="s">
        <v>78</v>
      </c>
      <c r="I465" s="55">
        <v>41.5</v>
      </c>
      <c r="J465" s="55">
        <v>40</v>
      </c>
      <c r="K465" s="55">
        <f>(I465+J465)*0.1</f>
        <v>8.15</v>
      </c>
      <c r="L465" s="55">
        <f>SUM(I465:K465)</f>
        <v>89.65</v>
      </c>
      <c r="M465" s="55">
        <f>ROUND(L465,0)</f>
        <v>90</v>
      </c>
      <c r="N465" s="56">
        <v>90</v>
      </c>
      <c r="O465" s="57">
        <f t="shared" si="411"/>
        <v>83.53949999999999</v>
      </c>
      <c r="P465" s="58">
        <f>N465-M465</f>
        <v>0</v>
      </c>
      <c r="Q465" s="59">
        <f t="shared" si="412"/>
        <v>15</v>
      </c>
      <c r="R465" s="60">
        <v>3</v>
      </c>
      <c r="S465" s="60"/>
      <c r="T465" s="60">
        <f>W465+X465+Y465+Z465+AA465+AB465+AC465+AD465+AE465+AF465+AG465+AH465+AI465+AJ465+AK465+AL465+AM465+AN465+AO465+AP465+AQ465+AR465+AS465+AT465+AU465+AV465+AW465+AX465+AY465+AZ465+BA465+BB465+BC465+BD465+BE465+BF465+BG465+BH465+BI465+BJ465+BK465+BL465+BM465+BQ465+BR465+BS465+BT465</f>
        <v>0</v>
      </c>
      <c r="U465" s="61">
        <f>R465+S465-T465</f>
        <v>3</v>
      </c>
      <c r="V465" s="62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1"/>
      <c r="AQ465" s="32"/>
      <c r="AR465" s="33"/>
      <c r="AS465" s="31"/>
      <c r="AT465" s="63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64"/>
      <c r="BT465" s="64"/>
      <c r="BU465" s="64"/>
      <c r="BV465" s="64"/>
      <c r="BW465" s="64"/>
      <c r="BX465" s="64"/>
      <c r="BY465" s="64"/>
      <c r="BZ465" s="64"/>
      <c r="CA465" s="64"/>
    </row>
    <row r="466" spans="1:136" ht="15" customHeight="1" x14ac:dyDescent="0.25">
      <c r="A466" s="22"/>
      <c r="B466" s="29">
        <v>429</v>
      </c>
      <c r="C466" s="131" t="s">
        <v>879</v>
      </c>
      <c r="D466" s="174">
        <v>2019</v>
      </c>
      <c r="E466" s="22" t="s">
        <v>880</v>
      </c>
      <c r="F466" s="22" t="s">
        <v>881</v>
      </c>
      <c r="G466" s="22" t="s">
        <v>882</v>
      </c>
      <c r="H466" s="22" t="s">
        <v>78</v>
      </c>
      <c r="I466" s="55">
        <v>21</v>
      </c>
      <c r="J466" s="55">
        <f>IF(I466&lt;=15,$L$2,$L$3)</f>
        <v>30</v>
      </c>
      <c r="K466" s="55">
        <f t="shared" si="365"/>
        <v>5.1000000000000005</v>
      </c>
      <c r="L466" s="55">
        <f t="shared" si="366"/>
        <v>56.1</v>
      </c>
      <c r="M466" s="55">
        <f t="shared" si="437"/>
        <v>56</v>
      </c>
      <c r="N466" s="56">
        <v>56</v>
      </c>
      <c r="O466" s="57">
        <f t="shared" si="411"/>
        <v>42.272999999999996</v>
      </c>
      <c r="P466" s="58">
        <f t="shared" si="367"/>
        <v>0</v>
      </c>
      <c r="Q466" s="59"/>
      <c r="R466" s="60">
        <v>3</v>
      </c>
      <c r="S466" s="60">
        <v>2</v>
      </c>
      <c r="T466" s="60">
        <f t="shared" si="389"/>
        <v>3</v>
      </c>
      <c r="U466" s="61">
        <f t="shared" si="396"/>
        <v>2</v>
      </c>
      <c r="V466" s="62"/>
      <c r="W466" s="30"/>
      <c r="X466" s="30"/>
      <c r="Y466" s="30"/>
      <c r="Z466" s="30"/>
      <c r="AA466" s="30"/>
      <c r="AB466" s="30"/>
      <c r="AC466" s="30"/>
      <c r="AD466" s="30">
        <v>2</v>
      </c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1"/>
      <c r="AQ466" s="32"/>
      <c r="AR466" s="33"/>
      <c r="AS466" s="31"/>
      <c r="AT466" s="63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64"/>
      <c r="BM466" s="64">
        <v>1</v>
      </c>
      <c r="BT466" s="64"/>
      <c r="BU466" s="64"/>
      <c r="BV466" s="64"/>
      <c r="BW466" s="64"/>
      <c r="BX466" s="64"/>
      <c r="BY466" s="64"/>
      <c r="BZ466" s="64"/>
      <c r="CA466" s="64"/>
    </row>
    <row r="467" spans="1:136" ht="15" customHeight="1" x14ac:dyDescent="0.25">
      <c r="A467" s="22"/>
      <c r="B467" s="22">
        <v>431</v>
      </c>
      <c r="C467" s="131" t="s">
        <v>866</v>
      </c>
      <c r="D467" s="174">
        <v>2015</v>
      </c>
      <c r="E467" s="22" t="s">
        <v>883</v>
      </c>
      <c r="F467" s="22" t="s">
        <v>884</v>
      </c>
      <c r="G467" s="22" t="s">
        <v>866</v>
      </c>
      <c r="H467" s="22" t="s">
        <v>177</v>
      </c>
      <c r="I467" s="55">
        <v>18</v>
      </c>
      <c r="J467" s="55">
        <f>IF(I467&lt;=15,$L$2,$L$3)</f>
        <v>30</v>
      </c>
      <c r="K467" s="55">
        <f>(I467+J467)*0.1</f>
        <v>4.8000000000000007</v>
      </c>
      <c r="L467" s="55">
        <f>SUM(I467:K467)</f>
        <v>52.8</v>
      </c>
      <c r="M467" s="55">
        <f>ROUND(L467,0)</f>
        <v>53</v>
      </c>
      <c r="N467" s="56">
        <v>53</v>
      </c>
      <c r="O467" s="57">
        <f t="shared" si="411"/>
        <v>36.234000000000002</v>
      </c>
      <c r="P467" s="58">
        <f>N467-M467</f>
        <v>0</v>
      </c>
      <c r="Q467" s="59">
        <f t="shared" ref="Q467:Q474" si="444">N467/$Q$3</f>
        <v>8.8333333333333339</v>
      </c>
      <c r="R467" s="60">
        <v>0</v>
      </c>
      <c r="S467" s="60"/>
      <c r="T467" s="60">
        <f t="shared" si="389"/>
        <v>0</v>
      </c>
      <c r="U467" s="61">
        <f>R467+S467-T467</f>
        <v>0</v>
      </c>
      <c r="V467" s="62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1"/>
      <c r="AQ467" s="32"/>
      <c r="AR467" s="33"/>
      <c r="AS467" s="31"/>
      <c r="AT467" s="63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64"/>
      <c r="BT467" s="64"/>
      <c r="BU467" s="64"/>
      <c r="BV467" s="64"/>
      <c r="BW467" s="64"/>
      <c r="BX467" s="64"/>
      <c r="BY467" s="64"/>
      <c r="BZ467" s="64"/>
      <c r="CA467" s="64"/>
    </row>
    <row r="468" spans="1:136" ht="15" customHeight="1" x14ac:dyDescent="0.25">
      <c r="A468" s="22"/>
      <c r="B468" s="22">
        <v>432</v>
      </c>
      <c r="C468" s="131" t="s">
        <v>885</v>
      </c>
      <c r="D468" s="174">
        <v>2017</v>
      </c>
      <c r="E468" s="22" t="s">
        <v>886</v>
      </c>
      <c r="F468" s="22" t="s">
        <v>887</v>
      </c>
      <c r="G468" s="22" t="s">
        <v>885</v>
      </c>
      <c r="H468" s="22" t="s">
        <v>78</v>
      </c>
      <c r="I468" s="55">
        <v>26.9</v>
      </c>
      <c r="J468" s="55">
        <f>IF(I468&lt;=15,$L$2,$L$3)</f>
        <v>30</v>
      </c>
      <c r="K468" s="55">
        <f t="shared" si="365"/>
        <v>5.69</v>
      </c>
      <c r="L468" s="55">
        <f t="shared" si="366"/>
        <v>62.589999999999996</v>
      </c>
      <c r="M468" s="55">
        <f t="shared" si="437"/>
        <v>63</v>
      </c>
      <c r="N468" s="56">
        <v>63</v>
      </c>
      <c r="O468" s="57">
        <f t="shared" si="411"/>
        <v>54.149699999999996</v>
      </c>
      <c r="P468" s="58">
        <f t="shared" si="367"/>
        <v>0</v>
      </c>
      <c r="Q468" s="59">
        <f t="shared" si="444"/>
        <v>10.5</v>
      </c>
      <c r="R468" s="60">
        <v>1</v>
      </c>
      <c r="S468" s="60">
        <f>3+6</f>
        <v>9</v>
      </c>
      <c r="T468" s="60">
        <f t="shared" si="389"/>
        <v>2</v>
      </c>
      <c r="U468" s="61">
        <f t="shared" si="396"/>
        <v>8</v>
      </c>
      <c r="V468" s="62"/>
      <c r="W468" s="30"/>
      <c r="X468" s="30">
        <v>1</v>
      </c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1"/>
      <c r="AQ468" s="32"/>
      <c r="AR468" s="33"/>
      <c r="AS468" s="31"/>
      <c r="AT468" s="63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64">
        <v>1</v>
      </c>
      <c r="BT468" s="64"/>
      <c r="BU468" s="64"/>
      <c r="BV468" s="64"/>
      <c r="BW468" s="64"/>
      <c r="BX468" s="64"/>
      <c r="BY468" s="64"/>
      <c r="BZ468" s="64"/>
      <c r="CA468" s="64"/>
    </row>
    <row r="469" spans="1:136" ht="15" customHeight="1" x14ac:dyDescent="0.25">
      <c r="A469" s="22"/>
      <c r="B469" s="29">
        <v>433</v>
      </c>
      <c r="C469" s="75" t="s">
        <v>888</v>
      </c>
      <c r="D469" s="174">
        <v>2010</v>
      </c>
      <c r="E469" s="22" t="s">
        <v>889</v>
      </c>
      <c r="F469" s="22" t="s">
        <v>890</v>
      </c>
      <c r="G469" s="22" t="s">
        <v>161</v>
      </c>
      <c r="H469" s="22" t="s">
        <v>888</v>
      </c>
      <c r="I469" s="55">
        <v>200</v>
      </c>
      <c r="J469" s="55">
        <v>95</v>
      </c>
      <c r="K469" s="55">
        <f>(I469+J469)*0.1</f>
        <v>29.5</v>
      </c>
      <c r="L469" s="55">
        <f>SUM(I469:K469)</f>
        <v>324.5</v>
      </c>
      <c r="M469" s="55">
        <f>ROUND(L469,0)</f>
        <v>325</v>
      </c>
      <c r="N469" s="56">
        <v>324</v>
      </c>
      <c r="O469" s="57">
        <v>324</v>
      </c>
      <c r="P469" s="58">
        <f>N469-M469</f>
        <v>-1</v>
      </c>
      <c r="Q469" s="59">
        <f t="shared" si="444"/>
        <v>54</v>
      </c>
      <c r="R469" s="60">
        <v>3</v>
      </c>
      <c r="S469" s="60"/>
      <c r="T469" s="60">
        <f t="shared" si="389"/>
        <v>0</v>
      </c>
      <c r="U469" s="61">
        <f t="shared" ref="U469:U474" si="445">R469+S469-T469</f>
        <v>3</v>
      </c>
      <c r="V469" s="62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1"/>
      <c r="AQ469" s="32"/>
      <c r="AR469" s="33"/>
      <c r="AS469" s="31"/>
      <c r="AT469" s="63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64"/>
      <c r="BT469" s="64"/>
      <c r="BU469" s="64"/>
      <c r="BV469" s="64"/>
      <c r="BW469" s="64"/>
      <c r="BX469" s="64"/>
      <c r="BY469" s="64"/>
      <c r="BZ469" s="64"/>
      <c r="CA469" s="64"/>
    </row>
    <row r="470" spans="1:136" ht="15" customHeight="1" x14ac:dyDescent="0.25">
      <c r="A470" s="22"/>
      <c r="B470" s="22">
        <v>434</v>
      </c>
      <c r="C470" s="75" t="s">
        <v>888</v>
      </c>
      <c r="D470" s="174">
        <v>2010</v>
      </c>
      <c r="E470" s="22" t="s">
        <v>891</v>
      </c>
      <c r="F470" s="22" t="s">
        <v>892</v>
      </c>
      <c r="G470" s="22" t="s">
        <v>872</v>
      </c>
      <c r="H470" s="22" t="s">
        <v>888</v>
      </c>
      <c r="I470" s="55">
        <v>200</v>
      </c>
      <c r="J470" s="55">
        <v>85</v>
      </c>
      <c r="K470" s="55">
        <f>(I470+J470)*0.1</f>
        <v>28.5</v>
      </c>
      <c r="L470" s="55">
        <f>SUM(I470:K470)</f>
        <v>313.5</v>
      </c>
      <c r="M470" s="55">
        <f>ROUND(L470,0)</f>
        <v>314</v>
      </c>
      <c r="N470" s="56">
        <v>299</v>
      </c>
      <c r="O470" s="57">
        <v>279</v>
      </c>
      <c r="P470" s="58">
        <f>N470-M470</f>
        <v>-15</v>
      </c>
      <c r="Q470" s="59">
        <f t="shared" si="444"/>
        <v>49.833333333333336</v>
      </c>
      <c r="R470" s="60">
        <v>4</v>
      </c>
      <c r="S470" s="60"/>
      <c r="T470" s="60">
        <f t="shared" si="389"/>
        <v>0</v>
      </c>
      <c r="U470" s="61">
        <f t="shared" si="445"/>
        <v>4</v>
      </c>
      <c r="V470" s="62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1"/>
      <c r="AQ470" s="32"/>
      <c r="AR470" s="33"/>
      <c r="AS470" s="31"/>
      <c r="AT470" s="63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64"/>
      <c r="BT470" s="64"/>
      <c r="BU470" s="64"/>
      <c r="BV470" s="64"/>
      <c r="BW470" s="64"/>
      <c r="BX470" s="64"/>
      <c r="BY470" s="64"/>
      <c r="BZ470" s="64"/>
      <c r="CA470" s="64"/>
    </row>
    <row r="471" spans="1:136" ht="15" customHeight="1" x14ac:dyDescent="0.25">
      <c r="A471" s="22"/>
      <c r="B471" s="22">
        <v>435</v>
      </c>
      <c r="C471" s="75" t="s">
        <v>888</v>
      </c>
      <c r="D471" s="174">
        <v>1993</v>
      </c>
      <c r="E471" s="22" t="s">
        <v>893</v>
      </c>
      <c r="F471" s="22" t="s">
        <v>893</v>
      </c>
      <c r="G471" s="22" t="s">
        <v>161</v>
      </c>
      <c r="H471" s="22" t="s">
        <v>888</v>
      </c>
      <c r="I471" s="55">
        <v>420</v>
      </c>
      <c r="J471" s="55">
        <v>290</v>
      </c>
      <c r="K471" s="55">
        <f>(I471+J471)*0.1</f>
        <v>71</v>
      </c>
      <c r="L471" s="55">
        <f>SUM(I471:K471)</f>
        <v>781</v>
      </c>
      <c r="M471" s="55">
        <f>ROUND(L471,0)</f>
        <v>781</v>
      </c>
      <c r="N471" s="56">
        <v>84</v>
      </c>
      <c r="O471" s="57">
        <f t="shared" ref="O471:O479" si="446">I471*$O$2*1.22</f>
        <v>845.46</v>
      </c>
      <c r="P471" s="58">
        <f>N471-M471</f>
        <v>-697</v>
      </c>
      <c r="Q471" s="59">
        <f t="shared" si="444"/>
        <v>14</v>
      </c>
      <c r="R471" s="60">
        <v>5</v>
      </c>
      <c r="S471" s="60"/>
      <c r="T471" s="60">
        <f t="shared" si="389"/>
        <v>0</v>
      </c>
      <c r="U471" s="61">
        <f t="shared" si="445"/>
        <v>5</v>
      </c>
      <c r="V471" s="62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1"/>
      <c r="AQ471" s="32"/>
      <c r="AR471" s="33"/>
      <c r="AS471" s="31"/>
      <c r="AT471" s="63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64"/>
      <c r="BT471" s="64"/>
      <c r="BU471" s="64"/>
      <c r="BV471" s="64"/>
      <c r="BW471" s="64"/>
      <c r="BX471" s="64"/>
      <c r="BY471" s="64"/>
      <c r="BZ471" s="64"/>
      <c r="CA471" s="64"/>
    </row>
    <row r="472" spans="1:136" s="133" customFormat="1" ht="15" customHeight="1" x14ac:dyDescent="0.25">
      <c r="A472" s="22"/>
      <c r="B472" s="22">
        <v>436</v>
      </c>
      <c r="C472" s="30" t="s">
        <v>894</v>
      </c>
      <c r="D472" s="174">
        <v>2016</v>
      </c>
      <c r="E472" s="22" t="s">
        <v>611</v>
      </c>
      <c r="F472" s="22" t="s">
        <v>267</v>
      </c>
      <c r="G472" s="22" t="s">
        <v>77</v>
      </c>
      <c r="H472" s="22" t="s">
        <v>132</v>
      </c>
      <c r="I472" s="55">
        <v>11.25</v>
      </c>
      <c r="J472" s="55">
        <f>IF(I472&lt;=15,$L$2,$L$3)</f>
        <v>25</v>
      </c>
      <c r="K472" s="55">
        <f t="shared" si="365"/>
        <v>3.625</v>
      </c>
      <c r="L472" s="55">
        <f t="shared" si="366"/>
        <v>39.875</v>
      </c>
      <c r="M472" s="55">
        <f t="shared" si="437"/>
        <v>40</v>
      </c>
      <c r="N472" s="56">
        <v>38</v>
      </c>
      <c r="O472" s="57">
        <f t="shared" si="446"/>
        <v>22.646249999999998</v>
      </c>
      <c r="P472" s="58">
        <f t="shared" si="367"/>
        <v>-2</v>
      </c>
      <c r="Q472" s="59">
        <f t="shared" si="444"/>
        <v>6.333333333333333</v>
      </c>
      <c r="R472" s="60">
        <v>0</v>
      </c>
      <c r="S472" s="60"/>
      <c r="T472" s="60">
        <f t="shared" si="389"/>
        <v>0</v>
      </c>
      <c r="U472" s="61">
        <f t="shared" si="445"/>
        <v>0</v>
      </c>
      <c r="V472" s="62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1"/>
      <c r="AQ472" s="32"/>
      <c r="AR472" s="33"/>
      <c r="AS472" s="31"/>
      <c r="AT472" s="63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  <c r="DO472" s="54"/>
      <c r="DP472" s="54"/>
      <c r="DQ472" s="54"/>
      <c r="DR472" s="54"/>
      <c r="DS472" s="54"/>
      <c r="DT472" s="54"/>
      <c r="DU472" s="54"/>
      <c r="DV472" s="54"/>
      <c r="DW472" s="54"/>
      <c r="DX472" s="54"/>
      <c r="DY472" s="54"/>
      <c r="DZ472" s="54"/>
      <c r="EA472" s="54"/>
      <c r="EB472" s="54"/>
      <c r="EC472" s="54"/>
      <c r="ED472" s="54"/>
      <c r="EE472" s="54"/>
      <c r="EF472" s="54"/>
    </row>
    <row r="473" spans="1:136" ht="15" customHeight="1" x14ac:dyDescent="0.25">
      <c r="A473" s="22"/>
      <c r="B473" s="29">
        <v>437</v>
      </c>
      <c r="C473" s="30" t="s">
        <v>894</v>
      </c>
      <c r="D473" s="174">
        <v>2016</v>
      </c>
      <c r="E473" s="22" t="s">
        <v>895</v>
      </c>
      <c r="F473" s="22" t="s">
        <v>605</v>
      </c>
      <c r="G473" s="22" t="s">
        <v>606</v>
      </c>
      <c r="H473" s="22" t="s">
        <v>607</v>
      </c>
      <c r="I473" s="55">
        <v>16.39</v>
      </c>
      <c r="J473" s="55">
        <f>IF(I473&lt;=15,$L$2,$L$3)</f>
        <v>30</v>
      </c>
      <c r="K473" s="55">
        <f>(I473+J473)*0.1</f>
        <v>4.6390000000000002</v>
      </c>
      <c r="L473" s="55">
        <f>SUM(I473:K473)</f>
        <v>51.029000000000003</v>
      </c>
      <c r="M473" s="55">
        <f t="shared" si="437"/>
        <v>51</v>
      </c>
      <c r="N473" s="56">
        <v>43</v>
      </c>
      <c r="O473" s="57">
        <f t="shared" si="446"/>
        <v>32.993069999999996</v>
      </c>
      <c r="P473" s="58">
        <f>N473-M473</f>
        <v>-8</v>
      </c>
      <c r="Q473" s="59">
        <f t="shared" si="444"/>
        <v>7.166666666666667</v>
      </c>
      <c r="R473" s="60"/>
      <c r="S473" s="60"/>
      <c r="T473" s="60">
        <f t="shared" si="389"/>
        <v>0</v>
      </c>
      <c r="U473" s="61">
        <f t="shared" si="445"/>
        <v>0</v>
      </c>
      <c r="V473" s="62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1"/>
      <c r="AQ473" s="32"/>
      <c r="AR473" s="33"/>
      <c r="AS473" s="31"/>
      <c r="AT473" s="63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64"/>
      <c r="BT473" s="64"/>
      <c r="BU473" s="64"/>
      <c r="BV473" s="64"/>
      <c r="BW473" s="64"/>
      <c r="BX473" s="64"/>
      <c r="BY473" s="64"/>
      <c r="BZ473" s="64"/>
      <c r="CA473" s="64"/>
    </row>
    <row r="474" spans="1:136" ht="15" customHeight="1" x14ac:dyDescent="0.25">
      <c r="A474" s="22"/>
      <c r="B474" s="22">
        <v>438</v>
      </c>
      <c r="C474" s="30" t="s">
        <v>894</v>
      </c>
      <c r="D474" s="174">
        <v>2016</v>
      </c>
      <c r="E474" s="22" t="s">
        <v>896</v>
      </c>
      <c r="F474" s="22" t="s">
        <v>605</v>
      </c>
      <c r="G474" s="22" t="s">
        <v>606</v>
      </c>
      <c r="H474" s="22" t="s">
        <v>607</v>
      </c>
      <c r="I474" s="55">
        <v>16.39</v>
      </c>
      <c r="J474" s="55">
        <f>IF(I474&lt;=15,$L$2,$L$3)</f>
        <v>30</v>
      </c>
      <c r="K474" s="55">
        <f>(I474+J474)*0.1</f>
        <v>4.6390000000000002</v>
      </c>
      <c r="L474" s="55">
        <f>SUM(I474:K474)</f>
        <v>51.029000000000003</v>
      </c>
      <c r="M474" s="55">
        <f t="shared" si="437"/>
        <v>51</v>
      </c>
      <c r="N474" s="56">
        <v>43</v>
      </c>
      <c r="O474" s="57">
        <f t="shared" si="446"/>
        <v>32.993069999999996</v>
      </c>
      <c r="P474" s="58">
        <f>N474-M474</f>
        <v>-8</v>
      </c>
      <c r="Q474" s="59">
        <f t="shared" si="444"/>
        <v>7.166666666666667</v>
      </c>
      <c r="R474" s="60"/>
      <c r="S474" s="60"/>
      <c r="T474" s="60">
        <f t="shared" si="389"/>
        <v>0</v>
      </c>
      <c r="U474" s="61">
        <f t="shared" si="445"/>
        <v>0</v>
      </c>
      <c r="V474" s="62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1"/>
      <c r="AQ474" s="32"/>
      <c r="AR474" s="33"/>
      <c r="AS474" s="31"/>
      <c r="AT474" s="63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64"/>
      <c r="BT474" s="64"/>
      <c r="BU474" s="64"/>
      <c r="BV474" s="64"/>
      <c r="BW474" s="64"/>
      <c r="BX474" s="64"/>
      <c r="BY474" s="64"/>
      <c r="BZ474" s="64"/>
      <c r="CA474" s="64"/>
    </row>
    <row r="475" spans="1:136" ht="15" customHeight="1" x14ac:dyDescent="0.25">
      <c r="A475" s="22"/>
      <c r="B475" s="22">
        <v>439</v>
      </c>
      <c r="C475" s="30" t="s">
        <v>894</v>
      </c>
      <c r="D475" s="174">
        <v>2015</v>
      </c>
      <c r="E475" s="22" t="s">
        <v>897</v>
      </c>
      <c r="F475" s="22" t="s">
        <v>285</v>
      </c>
      <c r="G475" s="22" t="s">
        <v>606</v>
      </c>
      <c r="H475" s="22" t="s">
        <v>396</v>
      </c>
      <c r="I475" s="55">
        <v>193.6</v>
      </c>
      <c r="J475" s="55">
        <v>150</v>
      </c>
      <c r="K475" s="55">
        <f>(I475+J475)*0.1</f>
        <v>34.360000000000007</v>
      </c>
      <c r="L475" s="55">
        <f>SUM(I475:K475)</f>
        <v>377.96000000000004</v>
      </c>
      <c r="M475" s="55">
        <f t="shared" ref="M475" si="447">ROUND(L475,0)</f>
        <v>378</v>
      </c>
      <c r="N475" s="56">
        <v>44</v>
      </c>
      <c r="O475" s="57">
        <f t="shared" ref="O475" si="448">I475*$O$2*1.22</f>
        <v>389.71679999999998</v>
      </c>
      <c r="P475" s="58">
        <f>N475-M475</f>
        <v>-334</v>
      </c>
      <c r="Q475" s="59">
        <f t="shared" ref="Q475" si="449">N475/$Q$3</f>
        <v>7.333333333333333</v>
      </c>
      <c r="R475" s="60"/>
      <c r="S475" s="60">
        <v>6</v>
      </c>
      <c r="T475" s="60">
        <f t="shared" ref="T475" si="450">W475+X475+Y475+Z475+AA475+AB475+AC475+AD475+AE475+AF475+AG475+AH475+AI475+AJ475+AK475+AL475+AM475+AN475+AO475+AP475+AQ475+AR475+AS475+AT475+AU475+AV475+AW475+AX475+AY475+AZ475+BA475+BB475+BC475+BD475+BE475+BF475+BG475+BH475+BI475+BJ475+BK475+BL475+BM475+BQ475+BR475+BS475+BT475</f>
        <v>0</v>
      </c>
      <c r="U475" s="61">
        <f t="shared" ref="U475" si="451">R475+S475-T475</f>
        <v>6</v>
      </c>
      <c r="V475" s="62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1"/>
      <c r="AQ475" s="32"/>
      <c r="AR475" s="33"/>
      <c r="AS475" s="31"/>
      <c r="AT475" s="63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64"/>
      <c r="BT475" s="64"/>
      <c r="BU475" s="64"/>
      <c r="BV475" s="64"/>
      <c r="BW475" s="64"/>
      <c r="BX475" s="64"/>
      <c r="BY475" s="64"/>
      <c r="BZ475" s="64"/>
      <c r="CA475" s="64"/>
    </row>
    <row r="476" spans="1:136" ht="15" customHeight="1" x14ac:dyDescent="0.25">
      <c r="A476" s="22"/>
      <c r="B476" s="22"/>
      <c r="C476" s="25"/>
      <c r="D476" s="174"/>
      <c r="E476" s="199" t="s">
        <v>898</v>
      </c>
      <c r="F476" s="200" t="s">
        <v>899</v>
      </c>
      <c r="G476" s="200"/>
      <c r="H476" s="200" t="s">
        <v>899</v>
      </c>
      <c r="I476" s="134">
        <v>136.06</v>
      </c>
      <c r="J476" s="135"/>
      <c r="K476" s="40"/>
      <c r="L476" s="55"/>
      <c r="M476" s="55"/>
      <c r="N476" s="56"/>
      <c r="O476" s="57">
        <f t="shared" si="446"/>
        <v>273.88878</v>
      </c>
      <c r="P476" s="85"/>
      <c r="Q476" s="59"/>
      <c r="R476" s="60"/>
      <c r="S476" s="60"/>
      <c r="T476" s="60">
        <f>W476+X476+Y476+Z476+AA476+AB476+AC476+AD476+AE476+AF476+AG476+AH476+AI476+AJ476+AK476+AL476+AM476+AN476+AO476+AP476+AQ476+AR476+AS476+AT476+AU476+AV476+AW476+AX476+AY476+AZ476+BA476+BB476+BC476+BD476+BE476+BF476+BG476+BH476+BI476+BJ476+BK476+BL476+BM476+BQ476+BR476+BS476+BT476</f>
        <v>0</v>
      </c>
      <c r="U476" s="60"/>
      <c r="V476" s="69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1"/>
      <c r="AQ476" s="32"/>
      <c r="AR476" s="33"/>
      <c r="AS476" s="31"/>
      <c r="AT476" s="63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64"/>
      <c r="BT476" s="64"/>
      <c r="BU476" s="64"/>
      <c r="BV476" s="64"/>
      <c r="BW476" s="64"/>
      <c r="BX476" s="64"/>
      <c r="BY476" s="64"/>
      <c r="BZ476" s="64"/>
      <c r="CA476" s="64"/>
    </row>
    <row r="477" spans="1:136" x14ac:dyDescent="0.25">
      <c r="A477" s="23"/>
      <c r="B477" s="23"/>
      <c r="C477" s="23"/>
      <c r="D477" s="183"/>
      <c r="E477" s="23" t="s">
        <v>900</v>
      </c>
      <c r="F477" s="23" t="s">
        <v>899</v>
      </c>
      <c r="G477" s="23"/>
      <c r="H477" s="201" t="s">
        <v>78</v>
      </c>
      <c r="I477" s="136">
        <v>286</v>
      </c>
      <c r="J477" s="137"/>
      <c r="K477" s="138"/>
      <c r="L477" s="138"/>
      <c r="M477" s="138"/>
      <c r="N477" s="139"/>
      <c r="O477" s="140">
        <f t="shared" si="446"/>
        <v>575.71799999999996</v>
      </c>
      <c r="P477" s="102"/>
      <c r="Q477" s="141"/>
      <c r="R477" s="142">
        <f>SUM(R4:R474)</f>
        <v>3105</v>
      </c>
      <c r="S477" s="142">
        <f>SUM(S4:S474)</f>
        <v>7615</v>
      </c>
      <c r="T477" s="142">
        <f>SUM(T4:T476)</f>
        <v>6310</v>
      </c>
      <c r="U477" s="105">
        <f>SUM(U4:U476)</f>
        <v>4286</v>
      </c>
      <c r="V477" s="106"/>
      <c r="W477" s="143">
        <f t="shared" ref="W477:BB477" si="452">SUM(W4:W476)</f>
        <v>594</v>
      </c>
      <c r="X477" s="143">
        <f t="shared" si="452"/>
        <v>99</v>
      </c>
      <c r="Y477" s="143">
        <f t="shared" si="452"/>
        <v>106</v>
      </c>
      <c r="Z477" s="143">
        <f t="shared" si="452"/>
        <v>134</v>
      </c>
      <c r="AA477" s="143">
        <f t="shared" si="452"/>
        <v>155</v>
      </c>
      <c r="AB477" s="143">
        <f t="shared" si="452"/>
        <v>202</v>
      </c>
      <c r="AC477" s="143">
        <f t="shared" si="452"/>
        <v>130</v>
      </c>
      <c r="AD477" s="143">
        <f t="shared" si="452"/>
        <v>178</v>
      </c>
      <c r="AE477" s="143">
        <f t="shared" si="452"/>
        <v>125</v>
      </c>
      <c r="AF477" s="143">
        <f t="shared" si="452"/>
        <v>155</v>
      </c>
      <c r="AG477" s="143">
        <f t="shared" si="452"/>
        <v>169</v>
      </c>
      <c r="AH477" s="143">
        <f t="shared" si="452"/>
        <v>94</v>
      </c>
      <c r="AI477" s="143">
        <f t="shared" si="452"/>
        <v>0</v>
      </c>
      <c r="AJ477" s="143">
        <f t="shared" si="452"/>
        <v>0</v>
      </c>
      <c r="AK477" s="143">
        <f t="shared" si="452"/>
        <v>0</v>
      </c>
      <c r="AL477" s="143">
        <f t="shared" si="452"/>
        <v>0</v>
      </c>
      <c r="AM477" s="143">
        <f t="shared" si="452"/>
        <v>0</v>
      </c>
      <c r="AN477" s="143">
        <f t="shared" si="452"/>
        <v>0</v>
      </c>
      <c r="AO477" s="143">
        <f t="shared" si="452"/>
        <v>0</v>
      </c>
      <c r="AP477" s="144">
        <f t="shared" si="452"/>
        <v>129</v>
      </c>
      <c r="AQ477" s="145">
        <f t="shared" si="452"/>
        <v>159</v>
      </c>
      <c r="AR477" s="146">
        <f t="shared" si="452"/>
        <v>60</v>
      </c>
      <c r="AS477" s="144">
        <f t="shared" si="452"/>
        <v>165</v>
      </c>
      <c r="AT477" s="147">
        <f t="shared" si="452"/>
        <v>227</v>
      </c>
      <c r="AU477" s="147">
        <f t="shared" si="452"/>
        <v>156</v>
      </c>
      <c r="AV477" s="147">
        <f t="shared" si="452"/>
        <v>97</v>
      </c>
      <c r="AW477" s="147">
        <f t="shared" si="452"/>
        <v>97</v>
      </c>
      <c r="AX477" s="147">
        <f t="shared" si="452"/>
        <v>22</v>
      </c>
      <c r="AY477" s="147">
        <f t="shared" si="452"/>
        <v>62</v>
      </c>
      <c r="AZ477" s="147">
        <f t="shared" si="452"/>
        <v>156</v>
      </c>
      <c r="BA477" s="147">
        <f t="shared" si="452"/>
        <v>125</v>
      </c>
      <c r="BB477" s="147">
        <f t="shared" si="452"/>
        <v>137</v>
      </c>
      <c r="BC477" s="147">
        <f t="shared" ref="BC477:CA477" si="453">SUM(BC4:BC476)</f>
        <v>143</v>
      </c>
      <c r="BD477" s="147">
        <f t="shared" si="453"/>
        <v>121</v>
      </c>
      <c r="BE477" s="147">
        <f t="shared" si="453"/>
        <v>173</v>
      </c>
      <c r="BF477" s="147">
        <f t="shared" si="453"/>
        <v>698</v>
      </c>
      <c r="BG477" s="147">
        <f t="shared" si="453"/>
        <v>160</v>
      </c>
      <c r="BH477" s="147">
        <f t="shared" si="453"/>
        <v>200</v>
      </c>
      <c r="BI477" s="147">
        <f t="shared" si="453"/>
        <v>105</v>
      </c>
      <c r="BJ477" s="147">
        <f t="shared" si="453"/>
        <v>136</v>
      </c>
      <c r="BK477" s="147">
        <f t="shared" si="453"/>
        <v>109</v>
      </c>
      <c r="BL477" s="147">
        <f t="shared" si="453"/>
        <v>137</v>
      </c>
      <c r="BM477" s="147">
        <f t="shared" si="453"/>
        <v>113</v>
      </c>
      <c r="BN477" s="147">
        <f t="shared" si="453"/>
        <v>124</v>
      </c>
      <c r="BO477" s="147">
        <f t="shared" si="453"/>
        <v>135</v>
      </c>
      <c r="BP477" s="147">
        <f t="shared" si="453"/>
        <v>97</v>
      </c>
      <c r="BQ477" s="147">
        <f t="shared" si="453"/>
        <v>107</v>
      </c>
      <c r="BR477" s="147">
        <f t="shared" si="453"/>
        <v>100</v>
      </c>
      <c r="BS477" s="147">
        <f t="shared" si="453"/>
        <v>0</v>
      </c>
      <c r="BT477" s="147">
        <f t="shared" si="453"/>
        <v>458</v>
      </c>
      <c r="BU477" s="147">
        <f t="shared" si="453"/>
        <v>105</v>
      </c>
      <c r="BV477" s="147">
        <f t="shared" si="453"/>
        <v>0</v>
      </c>
      <c r="BW477" s="147">
        <f t="shared" si="453"/>
        <v>0</v>
      </c>
      <c r="BX477" s="147">
        <f t="shared" si="453"/>
        <v>0</v>
      </c>
      <c r="BY477" s="147">
        <f t="shared" si="453"/>
        <v>0</v>
      </c>
      <c r="BZ477" s="147">
        <f t="shared" si="453"/>
        <v>0</v>
      </c>
      <c r="CA477" s="147">
        <f t="shared" si="453"/>
        <v>0</v>
      </c>
    </row>
    <row r="478" spans="1:136" ht="16.5" thickBot="1" x14ac:dyDescent="0.3">
      <c r="A478" s="22"/>
      <c r="B478" s="22"/>
      <c r="C478" s="22"/>
      <c r="D478" s="22"/>
      <c r="E478" s="23" t="s">
        <v>901</v>
      </c>
      <c r="F478" s="23" t="s">
        <v>899</v>
      </c>
      <c r="G478" s="23"/>
      <c r="H478" s="23" t="s">
        <v>78</v>
      </c>
      <c r="I478" s="169">
        <v>24.5</v>
      </c>
      <c r="J478" s="149"/>
      <c r="K478" s="149"/>
      <c r="L478" s="149"/>
      <c r="M478" s="149"/>
      <c r="N478" s="149"/>
      <c r="O478" s="149">
        <f t="shared" si="446"/>
        <v>49.318499999999993</v>
      </c>
      <c r="P478" s="171"/>
      <c r="Q478" s="172"/>
      <c r="R478" s="171"/>
      <c r="S478" s="171"/>
      <c r="T478" s="171"/>
      <c r="U478" s="171"/>
      <c r="V478" s="173"/>
      <c r="W478" s="150">
        <f>1520.5+1216+3073.5+585+1399+3434.5+1693</f>
        <v>12921.5</v>
      </c>
      <c r="X478" s="150">
        <f>1266.9+1078+728+1100+557.5+320+1074</f>
        <v>6124.4</v>
      </c>
      <c r="Y478" s="150">
        <f>673+547.5+1233+747.1+1099.5+117.9</f>
        <v>4418</v>
      </c>
      <c r="Z478" s="150">
        <f>429+419+345.5+895+537.5+38+1240.5+797.8+1311.5+80</f>
        <v>6093.8</v>
      </c>
      <c r="AA478" s="150">
        <f>598.5+780.5+891+1347.5+1527.5+1206.3+583</f>
        <v>6934.3</v>
      </c>
      <c r="AB478" s="150">
        <f>1102.5+921.5+967.5+1173+41+1657.5+1427+967.5</f>
        <v>8257.5</v>
      </c>
      <c r="AC478" s="150">
        <f>666+321+649.5+381.5+50+1913.9+1407.5+773.5</f>
        <v>6162.9</v>
      </c>
      <c r="AD478" s="150">
        <f>653.5+857.5+1215.5+1061+1472+1390+1317.5+80</f>
        <v>8047</v>
      </c>
      <c r="AE478" s="150">
        <f>1124.5+787+1046+1277+1304+1865</f>
        <v>7403.5</v>
      </c>
      <c r="AF478" s="150">
        <f>837+673.5+58+896.5+1154.5+2081+1565+944.5</f>
        <v>8210</v>
      </c>
      <c r="AG478" s="150">
        <f>890+572.15+60+1153+1311.5+1703.35+1623.3+60+1221.5</f>
        <v>8594.7999999999993</v>
      </c>
      <c r="AH478" s="66">
        <f>925.6+590+1289+984+736+110+718</f>
        <v>5352.6</v>
      </c>
      <c r="AJ478" s="66"/>
      <c r="AK478" s="66"/>
      <c r="AL478" s="66"/>
      <c r="AM478" s="66"/>
      <c r="AN478" s="66"/>
      <c r="AO478" s="66"/>
      <c r="AP478" s="151">
        <f>142+296+302+641+616.5+676+420.6+350</f>
        <v>3444.1</v>
      </c>
      <c r="AQ478" s="152">
        <f>548+1272.5+879.5+4917</f>
        <v>7617</v>
      </c>
      <c r="AR478" s="2">
        <f>591+448.5+331.5+885.3+533+748.5+648.5</f>
        <v>4186.3</v>
      </c>
      <c r="AS478" s="151">
        <f>1074+744.5+533.5+452+830+886+836+954+56+180</f>
        <v>6546</v>
      </c>
      <c r="AT478" s="153">
        <f>998.5+58+961.9+1290+1440+413+66+36+673.5+688.5+46+731+677.8+679.5</f>
        <v>8759.7000000000007</v>
      </c>
      <c r="AU478" s="153">
        <f>1091.5+972+931+1134+1445+1500+863.5</f>
        <v>7937</v>
      </c>
      <c r="AV478" s="153">
        <f>666+914.5+969+925.5+1525+433</f>
        <v>5433</v>
      </c>
      <c r="AW478" s="153">
        <f>748+325+666.6+909.5+664.5+567+605+347</f>
        <v>4832.6000000000004</v>
      </c>
      <c r="AX478" s="153">
        <v>5980.5</v>
      </c>
      <c r="AY478" s="153">
        <f>449+359+37+442+562+1480+876</f>
        <v>4205</v>
      </c>
      <c r="AZ478" s="153">
        <f>852+812.5+1305+100+1208+539.5+1233.5+1188</f>
        <v>7238.5</v>
      </c>
      <c r="BA478" s="153">
        <f>907+477+1133+921+875+678.5+1085.5</f>
        <v>6077</v>
      </c>
      <c r="BB478" s="153">
        <f>1248.5+1006.3+5737.5</f>
        <v>7992.3</v>
      </c>
      <c r="BC478" s="153">
        <v>8331.65</v>
      </c>
      <c r="BD478" s="153">
        <v>7634.5</v>
      </c>
      <c r="BE478" s="153">
        <v>9850.2800000000007</v>
      </c>
      <c r="BF478" s="153">
        <f>7557.85+120</f>
        <v>7677.85</v>
      </c>
      <c r="BG478" s="154"/>
      <c r="BH478" s="154">
        <v>10533</v>
      </c>
      <c r="BI478" s="154"/>
      <c r="BJ478" s="154">
        <v>7509</v>
      </c>
      <c r="BK478" s="154">
        <v>5518.1</v>
      </c>
      <c r="BL478" s="154">
        <v>8988.6</v>
      </c>
      <c r="BM478" s="154">
        <v>4432.7</v>
      </c>
      <c r="BN478" s="154">
        <v>6901</v>
      </c>
      <c r="BO478" s="154">
        <v>6447</v>
      </c>
      <c r="BP478" s="154">
        <v>5412</v>
      </c>
      <c r="BQ478" s="154">
        <v>5883.4</v>
      </c>
      <c r="BR478" s="154">
        <v>5526.4</v>
      </c>
      <c r="BS478" s="154">
        <v>0</v>
      </c>
      <c r="BT478" s="154">
        <v>29035.45</v>
      </c>
      <c r="BU478" s="154">
        <v>7695</v>
      </c>
      <c r="BV478" s="154">
        <v>0</v>
      </c>
      <c r="BW478" s="154">
        <v>0</v>
      </c>
      <c r="BX478" s="154">
        <v>0</v>
      </c>
      <c r="BY478" s="154">
        <v>0</v>
      </c>
      <c r="BZ478" s="154">
        <v>0</v>
      </c>
      <c r="CA478" s="154">
        <v>0</v>
      </c>
    </row>
    <row r="479" spans="1:136" x14ac:dyDescent="0.25">
      <c r="A479" s="22"/>
      <c r="B479" s="71"/>
      <c r="C479" s="22"/>
      <c r="D479" s="174"/>
      <c r="E479" s="23" t="s">
        <v>902</v>
      </c>
      <c r="F479" s="23" t="s">
        <v>903</v>
      </c>
      <c r="G479" s="22"/>
      <c r="H479" s="23" t="s">
        <v>78</v>
      </c>
      <c r="I479" s="169">
        <v>1.56</v>
      </c>
      <c r="J479" s="155"/>
      <c r="K479" s="155"/>
      <c r="L479" s="155"/>
      <c r="M479" s="155"/>
      <c r="N479" s="155"/>
      <c r="O479" s="155">
        <f t="shared" si="446"/>
        <v>3.1402799999999997</v>
      </c>
      <c r="P479" s="156"/>
      <c r="Q479" s="157"/>
      <c r="R479" s="155"/>
      <c r="S479" s="155"/>
      <c r="T479" s="155"/>
      <c r="U479" s="158"/>
      <c r="V479" s="155"/>
      <c r="W479" s="159"/>
      <c r="X479" s="159"/>
      <c r="Y479" s="159"/>
      <c r="Z479" s="159"/>
      <c r="AA479" s="159"/>
      <c r="AB479" s="159"/>
      <c r="AC479" s="159"/>
      <c r="AD479" s="159"/>
      <c r="AE479" s="159"/>
      <c r="AF479" s="159"/>
      <c r="AG479" s="159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</row>
    <row r="480" spans="1:136" x14ac:dyDescent="0.25">
      <c r="A480" s="22"/>
      <c r="B480" s="71"/>
      <c r="C480" s="22"/>
      <c r="D480" s="174"/>
      <c r="E480" s="22"/>
      <c r="F480" s="22"/>
      <c r="G480" s="22"/>
      <c r="I480" s="155"/>
      <c r="J480" s="155"/>
      <c r="K480" s="155"/>
      <c r="L480" s="155"/>
      <c r="M480" s="155"/>
      <c r="N480" s="155"/>
      <c r="O480" s="155"/>
      <c r="P480" s="156"/>
      <c r="Q480" s="157"/>
      <c r="R480" s="155"/>
      <c r="S480" s="155"/>
      <c r="T480" s="155"/>
      <c r="U480" s="158"/>
      <c r="W480" s="167">
        <f>W478/X488</f>
        <v>1845.9285714285713</v>
      </c>
      <c r="X480" s="167">
        <f>X478/X488</f>
        <v>874.91428571428571</v>
      </c>
      <c r="Y480" s="167">
        <f>Y478/Y488</f>
        <v>631.14285714285711</v>
      </c>
      <c r="Z480" s="167">
        <f>Z478/Z488</f>
        <v>870.5428571428572</v>
      </c>
      <c r="AA480" s="167">
        <f>AA478/AA488</f>
        <v>990.61428571428576</v>
      </c>
      <c r="AB480" s="167">
        <f>AB478/AB488</f>
        <v>1179.6428571428571</v>
      </c>
      <c r="AC480" s="167">
        <f>AC478/AE488</f>
        <v>880.41428571428571</v>
      </c>
      <c r="AD480" s="167">
        <f>AD478/AD488</f>
        <v>1149.5714285714287</v>
      </c>
      <c r="AE480" s="167">
        <f>AE478/AE488</f>
        <v>1057.6428571428571</v>
      </c>
      <c r="AF480" s="167">
        <f>AF478/AF488</f>
        <v>1172.8571428571429</v>
      </c>
      <c r="AG480" s="167">
        <f>AG478/AG488</f>
        <v>1227.8285714285714</v>
      </c>
      <c r="AH480" s="167">
        <f>AH478/AH488</f>
        <v>892.1</v>
      </c>
      <c r="AI480" s="167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</row>
    <row r="481" spans="1:72" x14ac:dyDescent="0.25">
      <c r="A481" s="22"/>
      <c r="B481" s="22"/>
      <c r="C481" s="22"/>
      <c r="D481" s="174"/>
      <c r="E481" s="202" t="s">
        <v>904</v>
      </c>
      <c r="F481" s="22"/>
      <c r="G481" s="22"/>
      <c r="N481" s="66"/>
      <c r="O481" s="167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</row>
    <row r="482" spans="1:72" x14ac:dyDescent="0.25">
      <c r="A482" s="22"/>
      <c r="B482" s="22"/>
      <c r="C482" s="22"/>
      <c r="D482" s="174"/>
      <c r="E482" s="202"/>
      <c r="F482" s="22"/>
      <c r="G482" s="22"/>
      <c r="N482" s="66"/>
      <c r="O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</row>
    <row r="483" spans="1:72" x14ac:dyDescent="0.25">
      <c r="A483" s="22"/>
      <c r="B483" s="22"/>
      <c r="C483" s="22"/>
      <c r="D483" s="174"/>
      <c r="E483" s="23" t="s">
        <v>905</v>
      </c>
      <c r="F483" s="23" t="s">
        <v>857</v>
      </c>
      <c r="G483" s="23">
        <v>52.6</v>
      </c>
      <c r="N483" s="164"/>
      <c r="O483" s="165"/>
      <c r="P483" s="66"/>
      <c r="Q483" s="66"/>
      <c r="S483" s="166"/>
      <c r="U483" s="66"/>
      <c r="AJ483" s="66"/>
      <c r="AK483" s="66"/>
      <c r="AL483" s="66"/>
      <c r="AM483" s="66"/>
      <c r="AN483" s="66" t="s">
        <v>906</v>
      </c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</row>
    <row r="484" spans="1:72" x14ac:dyDescent="0.25">
      <c r="A484" s="22"/>
      <c r="B484" s="22"/>
      <c r="C484" s="22"/>
      <c r="D484" s="174"/>
      <c r="E484" s="23" t="s">
        <v>907</v>
      </c>
      <c r="F484" s="23" t="s">
        <v>857</v>
      </c>
      <c r="G484" s="23">
        <v>64.8</v>
      </c>
      <c r="N484" s="164"/>
      <c r="O484" s="165"/>
      <c r="P484" s="66"/>
      <c r="Q484" s="66"/>
      <c r="S484" s="166"/>
      <c r="U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</row>
    <row r="485" spans="1:72" x14ac:dyDescent="0.25">
      <c r="A485" s="22"/>
      <c r="B485" s="22"/>
      <c r="C485" s="22"/>
      <c r="D485" s="174"/>
      <c r="E485" s="23" t="s">
        <v>908</v>
      </c>
      <c r="F485" s="23" t="s">
        <v>78</v>
      </c>
      <c r="G485" s="23">
        <v>21.9</v>
      </c>
      <c r="N485" s="164"/>
      <c r="O485" s="165"/>
      <c r="P485" s="66"/>
      <c r="Q485" s="66"/>
      <c r="S485" s="166"/>
      <c r="U485" s="66"/>
      <c r="AJ485" s="66"/>
      <c r="AK485" s="66"/>
      <c r="AL485" s="66"/>
      <c r="AM485" s="66"/>
      <c r="AN485" s="66">
        <f>AP478+AQ478+AR478+AS478+AT478+AU478+AV478</f>
        <v>43923.100000000006</v>
      </c>
      <c r="AO485" s="66"/>
      <c r="AP485" s="66"/>
      <c r="AQ485" s="66"/>
      <c r="AR485" s="66"/>
      <c r="AS485" s="66" t="s">
        <v>909</v>
      </c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</row>
    <row r="486" spans="1:72" x14ac:dyDescent="0.25">
      <c r="N486" s="66"/>
      <c r="O486" s="66"/>
      <c r="P486" s="66"/>
      <c r="Q486" s="66"/>
      <c r="U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</row>
    <row r="487" spans="1:72" x14ac:dyDescent="0.25">
      <c r="I487" s="167"/>
      <c r="N487" s="66"/>
      <c r="O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</row>
    <row r="488" spans="1:72" x14ac:dyDescent="0.25">
      <c r="I488" s="167"/>
      <c r="N488" s="66"/>
      <c r="O488" s="66"/>
      <c r="X488" s="66">
        <v>7</v>
      </c>
      <c r="Y488" s="66">
        <v>7</v>
      </c>
      <c r="Z488" s="66">
        <v>7</v>
      </c>
      <c r="AA488" s="66">
        <v>7</v>
      </c>
      <c r="AB488" s="66">
        <v>7</v>
      </c>
      <c r="AC488" s="66">
        <v>7</v>
      </c>
      <c r="AD488" s="66">
        <v>7</v>
      </c>
      <c r="AE488" s="66">
        <v>7</v>
      </c>
      <c r="AF488" s="66">
        <v>7</v>
      </c>
      <c r="AG488" s="66">
        <v>7</v>
      </c>
      <c r="AH488" s="66">
        <v>6</v>
      </c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 t="s">
        <v>910</v>
      </c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</row>
    <row r="489" spans="1:72" x14ac:dyDescent="0.25">
      <c r="I489" s="167"/>
      <c r="N489" s="66"/>
      <c r="O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</row>
    <row r="490" spans="1:72" ht="16.5" thickBot="1" x14ac:dyDescent="0.3">
      <c r="N490" s="66"/>
      <c r="O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</row>
    <row r="491" spans="1:72" ht="16.5" thickBot="1" x14ac:dyDescent="0.3">
      <c r="M491" s="177"/>
      <c r="N491" s="148" t="s">
        <v>911</v>
      </c>
      <c r="O491" s="149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</row>
    <row r="492" spans="1:72" ht="16.5" thickBot="1" x14ac:dyDescent="0.3">
      <c r="N492" s="148" t="s">
        <v>912</v>
      </c>
      <c r="O492" s="149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</row>
    <row r="493" spans="1:72" x14ac:dyDescent="0.25">
      <c r="N493" s="66"/>
      <c r="O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</row>
    <row r="494" spans="1:72" x14ac:dyDescent="0.25">
      <c r="N494" s="66"/>
      <c r="O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</row>
    <row r="495" spans="1:72" x14ac:dyDescent="0.25">
      <c r="N495" s="66"/>
      <c r="O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</row>
    <row r="496" spans="1:72" x14ac:dyDescent="0.25">
      <c r="L496" s="167"/>
      <c r="N496" s="66"/>
      <c r="O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</row>
    <row r="497" spans="12:72" x14ac:dyDescent="0.25">
      <c r="L497" s="167"/>
      <c r="N497" s="66"/>
      <c r="O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</row>
    <row r="498" spans="12:72" x14ac:dyDescent="0.25">
      <c r="N498" s="66"/>
      <c r="O498" s="66"/>
      <c r="AO498" s="66"/>
      <c r="AP498" s="66"/>
      <c r="AQ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</row>
    <row r="499" spans="12:72" x14ac:dyDescent="0.25">
      <c r="N499" s="66"/>
      <c r="O499" s="66"/>
      <c r="AO499" s="66"/>
      <c r="AP499" s="66"/>
      <c r="AQ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</row>
    <row r="500" spans="12:72" x14ac:dyDescent="0.25">
      <c r="N500" s="66"/>
      <c r="O500" s="66"/>
      <c r="AO500" s="66"/>
      <c r="AP500" s="66"/>
      <c r="AQ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</row>
    <row r="501" spans="12:72" x14ac:dyDescent="0.25">
      <c r="N501" s="66"/>
      <c r="O501" s="66"/>
      <c r="AO501" s="66"/>
      <c r="AP501" s="66"/>
      <c r="AQ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</row>
    <row r="502" spans="12:72" x14ac:dyDescent="0.25">
      <c r="N502" s="66"/>
      <c r="O502" s="66"/>
      <c r="AO502" s="66"/>
      <c r="AP502" s="66"/>
      <c r="AQ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</row>
    <row r="503" spans="12:72" x14ac:dyDescent="0.25">
      <c r="N503" s="66"/>
      <c r="O503" s="66"/>
      <c r="AO503" s="66"/>
      <c r="AP503" s="66"/>
      <c r="AQ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</row>
    <row r="504" spans="12:72" x14ac:dyDescent="0.25">
      <c r="N504" s="66"/>
      <c r="O504" s="66"/>
      <c r="AO504" s="66"/>
      <c r="AP504" s="66"/>
      <c r="AQ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</row>
    <row r="505" spans="12:72" x14ac:dyDescent="0.25">
      <c r="N505" s="66"/>
      <c r="O505" s="66"/>
      <c r="AO505" s="66"/>
      <c r="AP505" s="66"/>
      <c r="AQ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</row>
    <row r="506" spans="12:72" x14ac:dyDescent="0.25">
      <c r="N506" s="66"/>
      <c r="O506" s="66"/>
      <c r="AO506" s="66"/>
      <c r="AP506" s="66"/>
      <c r="AQ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</row>
    <row r="507" spans="12:72" x14ac:dyDescent="0.25">
      <c r="N507" s="66"/>
      <c r="O507" s="66"/>
      <c r="AO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</row>
    <row r="508" spans="12:72" x14ac:dyDescent="0.25">
      <c r="N508" s="66"/>
      <c r="O508" s="66"/>
      <c r="AO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</row>
    <row r="509" spans="12:72" x14ac:dyDescent="0.25">
      <c r="N509" s="66"/>
      <c r="O509" s="66"/>
      <c r="AO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</row>
    <row r="510" spans="12:72" x14ac:dyDescent="0.25">
      <c r="N510" s="66"/>
      <c r="O510" s="66"/>
      <c r="AO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</row>
    <row r="511" spans="12:72" x14ac:dyDescent="0.25">
      <c r="N511" s="66"/>
      <c r="O511" s="66"/>
      <c r="AO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</row>
    <row r="512" spans="12:72" x14ac:dyDescent="0.25">
      <c r="N512" s="66"/>
      <c r="O512" s="66"/>
      <c r="AO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</row>
    <row r="513" spans="14:72" x14ac:dyDescent="0.25">
      <c r="N513" s="66"/>
      <c r="O513" s="66"/>
      <c r="AO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</row>
    <row r="514" spans="14:72" x14ac:dyDescent="0.25">
      <c r="N514" s="66"/>
      <c r="O514" s="66"/>
      <c r="AO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</row>
    <row r="515" spans="14:72" x14ac:dyDescent="0.25">
      <c r="N515" s="66"/>
      <c r="O515" s="66"/>
      <c r="AO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</row>
    <row r="516" spans="14:72" x14ac:dyDescent="0.25">
      <c r="N516" s="66"/>
      <c r="O516" s="66"/>
      <c r="AO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</row>
    <row r="517" spans="14:72" x14ac:dyDescent="0.25">
      <c r="N517" s="66"/>
      <c r="O517" s="66"/>
      <c r="AO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</row>
    <row r="518" spans="14:72" x14ac:dyDescent="0.25">
      <c r="N518" s="66"/>
      <c r="O518" s="66"/>
      <c r="AO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</row>
    <row r="519" spans="14:72" x14ac:dyDescent="0.25">
      <c r="N519" s="66"/>
      <c r="O519" s="66"/>
      <c r="AO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</row>
    <row r="520" spans="14:72" x14ac:dyDescent="0.25">
      <c r="N520" s="66"/>
      <c r="O520" s="66"/>
      <c r="AO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</row>
    <row r="521" spans="14:72" x14ac:dyDescent="0.25">
      <c r="N521" s="66"/>
      <c r="O521" s="66"/>
      <c r="AO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</row>
    <row r="522" spans="14:72" x14ac:dyDescent="0.25">
      <c r="N522" s="66"/>
      <c r="O522" s="66"/>
      <c r="AO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</row>
    <row r="523" spans="14:72" x14ac:dyDescent="0.25">
      <c r="N523" s="66"/>
      <c r="O523" s="66"/>
      <c r="AO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</row>
    <row r="524" spans="14:72" x14ac:dyDescent="0.25">
      <c r="N524" s="66"/>
      <c r="O524" s="66"/>
      <c r="AO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</row>
    <row r="525" spans="14:72" x14ac:dyDescent="0.25">
      <c r="N525" s="66"/>
      <c r="O525" s="66"/>
      <c r="AO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</row>
    <row r="526" spans="14:72" x14ac:dyDescent="0.25">
      <c r="N526" s="66"/>
      <c r="O526" s="66"/>
      <c r="AO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</row>
    <row r="527" spans="14:72" x14ac:dyDescent="0.25">
      <c r="N527" s="66"/>
      <c r="O527" s="66"/>
      <c r="AO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</row>
    <row r="528" spans="14:72" x14ac:dyDescent="0.25">
      <c r="N528" s="66"/>
      <c r="O528" s="66"/>
      <c r="AO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</row>
    <row r="529" spans="14:72" x14ac:dyDescent="0.25">
      <c r="N529" s="66"/>
      <c r="O529" s="66"/>
      <c r="AO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</row>
    <row r="530" spans="14:72" x14ac:dyDescent="0.25">
      <c r="N530" s="66"/>
      <c r="O530" s="66"/>
      <c r="AO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</row>
    <row r="531" spans="14:72" x14ac:dyDescent="0.25">
      <c r="N531" s="66"/>
      <c r="O531" s="66"/>
      <c r="AO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</row>
    <row r="532" spans="14:72" x14ac:dyDescent="0.25">
      <c r="N532" s="66"/>
      <c r="O532" s="66"/>
      <c r="AO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</row>
    <row r="533" spans="14:72" x14ac:dyDescent="0.25">
      <c r="N533" s="66"/>
      <c r="O533" s="66"/>
      <c r="AO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</row>
    <row r="534" spans="14:72" x14ac:dyDescent="0.25">
      <c r="N534" s="66"/>
      <c r="O534" s="66"/>
      <c r="AO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</row>
    <row r="535" spans="14:72" x14ac:dyDescent="0.25">
      <c r="N535" s="66"/>
      <c r="O535" s="66"/>
      <c r="AO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</row>
    <row r="536" spans="14:72" x14ac:dyDescent="0.25">
      <c r="N536" s="66"/>
      <c r="O536" s="66"/>
      <c r="AO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</row>
    <row r="537" spans="14:72" x14ac:dyDescent="0.25">
      <c r="N537" s="66"/>
      <c r="O537" s="66"/>
      <c r="AO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</row>
    <row r="538" spans="14:72" x14ac:dyDescent="0.25">
      <c r="N538" s="66"/>
      <c r="O538" s="66"/>
      <c r="AO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</row>
    <row r="539" spans="14:72" x14ac:dyDescent="0.25">
      <c r="N539" s="66"/>
      <c r="O539" s="66"/>
      <c r="AO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</row>
    <row r="540" spans="14:72" x14ac:dyDescent="0.25">
      <c r="N540" s="66"/>
      <c r="O540" s="66"/>
      <c r="AO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</row>
    <row r="541" spans="14:72" x14ac:dyDescent="0.25">
      <c r="N541" s="66"/>
      <c r="O541" s="66"/>
      <c r="AO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</row>
    <row r="542" spans="14:72" x14ac:dyDescent="0.25">
      <c r="N542" s="66"/>
      <c r="O542" s="66"/>
      <c r="AO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</row>
    <row r="543" spans="14:72" x14ac:dyDescent="0.25">
      <c r="N543" s="66"/>
      <c r="O543" s="66"/>
      <c r="AO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</row>
    <row r="544" spans="14:72" x14ac:dyDescent="0.25">
      <c r="N544" s="66"/>
      <c r="O544" s="66"/>
      <c r="AO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</row>
    <row r="545" spans="14:72" x14ac:dyDescent="0.25">
      <c r="N545" s="66"/>
      <c r="O545" s="66"/>
      <c r="AO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</row>
    <row r="546" spans="14:72" x14ac:dyDescent="0.25">
      <c r="N546" s="66"/>
      <c r="O546" s="66"/>
      <c r="AO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</row>
    <row r="547" spans="14:72" x14ac:dyDescent="0.25">
      <c r="N547" s="66"/>
      <c r="O547" s="66"/>
      <c r="AO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</row>
    <row r="548" spans="14:72" x14ac:dyDescent="0.25">
      <c r="N548" s="66"/>
      <c r="O548" s="66"/>
      <c r="AO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</row>
    <row r="549" spans="14:72" x14ac:dyDescent="0.25">
      <c r="N549" s="66"/>
      <c r="O549" s="66"/>
      <c r="AO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</row>
    <row r="550" spans="14:72" x14ac:dyDescent="0.25">
      <c r="N550" s="66"/>
      <c r="O550" s="66"/>
      <c r="AO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</row>
    <row r="551" spans="14:72" x14ac:dyDescent="0.25">
      <c r="N551" s="66"/>
      <c r="O551" s="66"/>
      <c r="AO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</row>
    <row r="552" spans="14:72" x14ac:dyDescent="0.25">
      <c r="N552" s="66"/>
      <c r="O552" s="66"/>
      <c r="AO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</row>
    <row r="553" spans="14:72" x14ac:dyDescent="0.25">
      <c r="N553" s="66"/>
      <c r="O553" s="66"/>
      <c r="AO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</row>
    <row r="554" spans="14:72" x14ac:dyDescent="0.25">
      <c r="N554" s="66"/>
      <c r="O554" s="66"/>
      <c r="AO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</row>
    <row r="555" spans="14:72" x14ac:dyDescent="0.25">
      <c r="N555" s="66"/>
      <c r="O555" s="66"/>
      <c r="AO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</row>
    <row r="556" spans="14:72" x14ac:dyDescent="0.25">
      <c r="N556" s="66"/>
      <c r="O556" s="66"/>
      <c r="AO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</row>
    <row r="557" spans="14:72" x14ac:dyDescent="0.25">
      <c r="N557" s="66"/>
      <c r="O557" s="66"/>
      <c r="AO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</row>
    <row r="558" spans="14:72" x14ac:dyDescent="0.25">
      <c r="N558" s="66"/>
      <c r="O558" s="66"/>
      <c r="AO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</row>
    <row r="559" spans="14:72" x14ac:dyDescent="0.25">
      <c r="N559" s="66"/>
      <c r="O559" s="66"/>
      <c r="AO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</row>
    <row r="560" spans="14:72" x14ac:dyDescent="0.25">
      <c r="N560" s="66"/>
      <c r="O560" s="66"/>
      <c r="AO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</row>
    <row r="561" spans="14:72" x14ac:dyDescent="0.25">
      <c r="N561" s="66"/>
      <c r="O561" s="66"/>
      <c r="AO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</row>
    <row r="562" spans="14:72" x14ac:dyDescent="0.25">
      <c r="N562" s="66"/>
      <c r="O562" s="66"/>
      <c r="AO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</row>
    <row r="563" spans="14:72" x14ac:dyDescent="0.25">
      <c r="N563" s="66"/>
      <c r="O563" s="66"/>
      <c r="AO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</row>
    <row r="564" spans="14:72" x14ac:dyDescent="0.25">
      <c r="N564" s="66"/>
      <c r="O564" s="66"/>
      <c r="AO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</row>
    <row r="565" spans="14:72" x14ac:dyDescent="0.25">
      <c r="N565" s="66"/>
      <c r="O565" s="66"/>
      <c r="AO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</row>
    <row r="566" spans="14:72" x14ac:dyDescent="0.25">
      <c r="N566" s="66"/>
      <c r="O566" s="66"/>
      <c r="AO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</row>
    <row r="567" spans="14:72" x14ac:dyDescent="0.25">
      <c r="N567" s="66"/>
      <c r="O567" s="66"/>
      <c r="AO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</row>
    <row r="568" spans="14:72" x14ac:dyDescent="0.25">
      <c r="N568" s="66"/>
      <c r="O568" s="66"/>
      <c r="AO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</row>
    <row r="569" spans="14:72" x14ac:dyDescent="0.25">
      <c r="N569" s="66"/>
      <c r="O569" s="66"/>
      <c r="AO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</row>
    <row r="570" spans="14:72" x14ac:dyDescent="0.25">
      <c r="N570" s="66"/>
      <c r="O570" s="66"/>
      <c r="AO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</row>
    <row r="571" spans="14:72" x14ac:dyDescent="0.25">
      <c r="N571" s="66"/>
      <c r="O571" s="66"/>
      <c r="AO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</row>
    <row r="572" spans="14:72" x14ac:dyDescent="0.25">
      <c r="N572" s="66"/>
      <c r="O572" s="66"/>
      <c r="AO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</row>
    <row r="573" spans="14:72" x14ac:dyDescent="0.25">
      <c r="N573" s="66"/>
      <c r="O573" s="66"/>
      <c r="AO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</row>
    <row r="574" spans="14:72" x14ac:dyDescent="0.25">
      <c r="N574" s="66"/>
      <c r="O574" s="66"/>
      <c r="AO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</row>
    <row r="575" spans="14:72" x14ac:dyDescent="0.25">
      <c r="N575" s="66"/>
      <c r="O575" s="66"/>
      <c r="AO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</row>
    <row r="576" spans="14:72" x14ac:dyDescent="0.25">
      <c r="N576" s="66"/>
      <c r="O576" s="66"/>
      <c r="AO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</row>
    <row r="577" spans="14:72" x14ac:dyDescent="0.25">
      <c r="N577" s="66"/>
      <c r="O577" s="66"/>
      <c r="AO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</row>
    <row r="578" spans="14:72" x14ac:dyDescent="0.25">
      <c r="N578" s="66"/>
      <c r="O578" s="66"/>
      <c r="AO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</row>
    <row r="579" spans="14:72" x14ac:dyDescent="0.25">
      <c r="N579" s="66"/>
      <c r="O579" s="66"/>
      <c r="AO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</row>
    <row r="580" spans="14:72" x14ac:dyDescent="0.25">
      <c r="N580" s="66"/>
      <c r="O580" s="66"/>
      <c r="AO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</row>
    <row r="581" spans="14:72" x14ac:dyDescent="0.25">
      <c r="N581" s="66"/>
      <c r="O581" s="66"/>
      <c r="AO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</row>
    <row r="582" spans="14:72" x14ac:dyDescent="0.25">
      <c r="N582" s="66"/>
      <c r="O582" s="66"/>
      <c r="AO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</row>
    <row r="583" spans="14:72" x14ac:dyDescent="0.25">
      <c r="N583" s="66"/>
      <c r="O583" s="66"/>
      <c r="AO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</row>
    <row r="584" spans="14:72" x14ac:dyDescent="0.25">
      <c r="N584" s="66"/>
      <c r="O584" s="66"/>
      <c r="AO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</row>
    <row r="585" spans="14:72" x14ac:dyDescent="0.25">
      <c r="N585" s="66"/>
      <c r="O585" s="66"/>
      <c r="AO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</row>
    <row r="586" spans="14:72" x14ac:dyDescent="0.25">
      <c r="N586" s="66"/>
      <c r="O586" s="66"/>
      <c r="AO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</row>
    <row r="587" spans="14:72" x14ac:dyDescent="0.25">
      <c r="N587" s="66"/>
      <c r="O587" s="66"/>
      <c r="AO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</row>
    <row r="588" spans="14:72" x14ac:dyDescent="0.25">
      <c r="N588" s="66"/>
      <c r="O588" s="66"/>
      <c r="AO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</row>
    <row r="589" spans="14:72" x14ac:dyDescent="0.25">
      <c r="N589" s="66"/>
      <c r="O589" s="66"/>
      <c r="AO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</row>
    <row r="590" spans="14:72" x14ac:dyDescent="0.25">
      <c r="N590" s="66"/>
      <c r="O590" s="66"/>
      <c r="AO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</row>
    <row r="591" spans="14:72" x14ac:dyDescent="0.25">
      <c r="N591" s="66"/>
      <c r="O591" s="66"/>
      <c r="AO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</row>
    <row r="592" spans="14:72" x14ac:dyDescent="0.25">
      <c r="N592" s="66"/>
      <c r="O592" s="66"/>
      <c r="AO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</row>
    <row r="593" spans="14:72" x14ac:dyDescent="0.25">
      <c r="N593" s="66"/>
      <c r="O593" s="66"/>
      <c r="AO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</row>
    <row r="594" spans="14:72" x14ac:dyDescent="0.25">
      <c r="N594" s="66"/>
      <c r="O594" s="66"/>
      <c r="AO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</row>
    <row r="595" spans="14:72" x14ac:dyDescent="0.25">
      <c r="N595" s="66"/>
      <c r="O595" s="66"/>
      <c r="AO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</row>
    <row r="596" spans="14:72" x14ac:dyDescent="0.25">
      <c r="N596" s="66"/>
      <c r="O596" s="66"/>
      <c r="AO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</row>
    <row r="597" spans="14:72" x14ac:dyDescent="0.25">
      <c r="N597" s="66"/>
      <c r="O597" s="66"/>
      <c r="AO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</row>
    <row r="598" spans="14:72" x14ac:dyDescent="0.25">
      <c r="N598" s="66"/>
      <c r="O598" s="66"/>
      <c r="AO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</row>
    <row r="599" spans="14:72" x14ac:dyDescent="0.25">
      <c r="N599" s="66"/>
      <c r="O599" s="66"/>
      <c r="AO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</row>
    <row r="600" spans="14:72" x14ac:dyDescent="0.25">
      <c r="N600" s="66"/>
      <c r="O600" s="66"/>
      <c r="AO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</row>
    <row r="601" spans="14:72" x14ac:dyDescent="0.25">
      <c r="N601" s="66"/>
      <c r="O601" s="66"/>
      <c r="AO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</row>
    <row r="602" spans="14:72" x14ac:dyDescent="0.25">
      <c r="N602" s="66"/>
      <c r="O602" s="66"/>
      <c r="AO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</row>
    <row r="603" spans="14:72" x14ac:dyDescent="0.25">
      <c r="N603" s="66"/>
      <c r="O603" s="66"/>
      <c r="AO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</row>
    <row r="604" spans="14:72" x14ac:dyDescent="0.25">
      <c r="N604" s="66"/>
      <c r="O604" s="66"/>
      <c r="AO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</row>
    <row r="605" spans="14:72" x14ac:dyDescent="0.25">
      <c r="N605" s="66"/>
      <c r="O605" s="66"/>
      <c r="AO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</row>
    <row r="606" spans="14:72" x14ac:dyDescent="0.25">
      <c r="N606" s="66"/>
      <c r="O606" s="66"/>
      <c r="AO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</row>
    <row r="607" spans="14:72" x14ac:dyDescent="0.25">
      <c r="N607" s="66"/>
      <c r="O607" s="66"/>
      <c r="AO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</row>
    <row r="608" spans="14:72" x14ac:dyDescent="0.25">
      <c r="N608" s="66"/>
      <c r="O608" s="66"/>
      <c r="AO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</row>
    <row r="609" spans="14:72" x14ac:dyDescent="0.25">
      <c r="N609" s="66"/>
      <c r="O609" s="66"/>
      <c r="AO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</row>
    <row r="610" spans="14:72" x14ac:dyDescent="0.25">
      <c r="N610" s="66"/>
      <c r="O610" s="66"/>
      <c r="AO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</row>
    <row r="611" spans="14:72" x14ac:dyDescent="0.25">
      <c r="N611" s="66"/>
      <c r="O611" s="66"/>
      <c r="AO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</row>
    <row r="612" spans="14:72" x14ac:dyDescent="0.25">
      <c r="N612" s="66"/>
      <c r="O612" s="66"/>
      <c r="AO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</row>
    <row r="613" spans="14:72" x14ac:dyDescent="0.25">
      <c r="N613" s="66"/>
      <c r="O613" s="66"/>
      <c r="AO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</row>
    <row r="614" spans="14:72" x14ac:dyDescent="0.25">
      <c r="N614" s="66"/>
      <c r="O614" s="66"/>
      <c r="AO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</row>
    <row r="615" spans="14:72" x14ac:dyDescent="0.25">
      <c r="N615" s="66"/>
      <c r="O615" s="66"/>
      <c r="AO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</row>
    <row r="616" spans="14:72" x14ac:dyDescent="0.25">
      <c r="N616" s="66"/>
      <c r="O616" s="66"/>
      <c r="AO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</row>
    <row r="617" spans="14:72" x14ac:dyDescent="0.25">
      <c r="N617" s="66"/>
      <c r="O617" s="66"/>
      <c r="AO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</row>
    <row r="618" spans="14:72" x14ac:dyDescent="0.25">
      <c r="N618" s="66"/>
      <c r="O618" s="66"/>
      <c r="AO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</row>
    <row r="619" spans="14:72" x14ac:dyDescent="0.25">
      <c r="N619" s="66"/>
      <c r="O619" s="66"/>
      <c r="AO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</row>
    <row r="620" spans="14:72" x14ac:dyDescent="0.25">
      <c r="N620" s="66"/>
      <c r="O620" s="66"/>
      <c r="AO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</row>
    <row r="621" spans="14:72" x14ac:dyDescent="0.25">
      <c r="N621" s="66"/>
      <c r="O621" s="66"/>
      <c r="AO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</row>
    <row r="622" spans="14:72" x14ac:dyDescent="0.25">
      <c r="N622" s="66"/>
      <c r="O622" s="66"/>
      <c r="AO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</row>
    <row r="623" spans="14:72" x14ac:dyDescent="0.25">
      <c r="N623" s="66"/>
      <c r="O623" s="66"/>
      <c r="AO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</row>
    <row r="624" spans="14:72" x14ac:dyDescent="0.25">
      <c r="N624" s="66"/>
      <c r="O624" s="66"/>
      <c r="AO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</row>
    <row r="625" spans="14:72" x14ac:dyDescent="0.25">
      <c r="N625" s="66"/>
      <c r="O625" s="66"/>
      <c r="AO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</row>
    <row r="626" spans="14:72" x14ac:dyDescent="0.25">
      <c r="N626" s="66"/>
      <c r="O626" s="66"/>
      <c r="AO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</row>
    <row r="627" spans="14:72" x14ac:dyDescent="0.25">
      <c r="N627" s="66"/>
      <c r="O627" s="66"/>
      <c r="AO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</row>
    <row r="628" spans="14:72" x14ac:dyDescent="0.25">
      <c r="N628" s="66"/>
      <c r="O628" s="66"/>
      <c r="AO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</row>
    <row r="629" spans="14:72" x14ac:dyDescent="0.25">
      <c r="N629" s="66"/>
      <c r="O629" s="66"/>
      <c r="AO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</row>
    <row r="630" spans="14:72" x14ac:dyDescent="0.25">
      <c r="N630" s="66"/>
      <c r="O630" s="66"/>
      <c r="AO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</row>
    <row r="631" spans="14:72" x14ac:dyDescent="0.25">
      <c r="N631" s="66"/>
      <c r="O631" s="66"/>
      <c r="AO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</row>
    <row r="632" spans="14:72" x14ac:dyDescent="0.25">
      <c r="N632" s="66"/>
      <c r="O632" s="66"/>
      <c r="AO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</row>
    <row r="633" spans="14:72" x14ac:dyDescent="0.25">
      <c r="N633" s="66"/>
      <c r="O633" s="66"/>
      <c r="AO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</row>
    <row r="634" spans="14:72" x14ac:dyDescent="0.25">
      <c r="N634" s="66"/>
      <c r="O634" s="66"/>
      <c r="AO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</row>
    <row r="635" spans="14:72" x14ac:dyDescent="0.25">
      <c r="N635" s="66"/>
      <c r="O635" s="66"/>
      <c r="AO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</row>
    <row r="636" spans="14:72" x14ac:dyDescent="0.25">
      <c r="N636" s="66"/>
      <c r="O636" s="66"/>
      <c r="AO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</row>
    <row r="637" spans="14:72" x14ac:dyDescent="0.25">
      <c r="N637" s="66"/>
      <c r="O637" s="66"/>
      <c r="AO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</row>
    <row r="638" spans="14:72" x14ac:dyDescent="0.25">
      <c r="N638" s="66"/>
      <c r="O638" s="66"/>
      <c r="AO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</row>
    <row r="639" spans="14:72" x14ac:dyDescent="0.25">
      <c r="N639" s="66"/>
      <c r="O639" s="66"/>
      <c r="AO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</row>
    <row r="640" spans="14:72" x14ac:dyDescent="0.25">
      <c r="N640" s="66"/>
      <c r="O640" s="66"/>
      <c r="AO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</row>
    <row r="641" spans="14:72" x14ac:dyDescent="0.25">
      <c r="N641" s="66"/>
      <c r="O641" s="66"/>
      <c r="AO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</row>
    <row r="642" spans="14:72" x14ac:dyDescent="0.25">
      <c r="N642" s="66"/>
      <c r="O642" s="66"/>
      <c r="AO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</row>
    <row r="643" spans="14:72" x14ac:dyDescent="0.25">
      <c r="N643" s="66"/>
      <c r="O643" s="66"/>
      <c r="AO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</row>
    <row r="644" spans="14:72" x14ac:dyDescent="0.25">
      <c r="N644" s="66"/>
      <c r="O644" s="66"/>
      <c r="AO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</row>
    <row r="645" spans="14:72" x14ac:dyDescent="0.25">
      <c r="N645" s="66"/>
      <c r="O645" s="66"/>
      <c r="AO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</row>
    <row r="646" spans="14:72" x14ac:dyDescent="0.25">
      <c r="N646" s="66"/>
      <c r="O646" s="66"/>
      <c r="AO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</row>
    <row r="647" spans="14:72" x14ac:dyDescent="0.25">
      <c r="N647" s="66"/>
      <c r="O647" s="66"/>
      <c r="AO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</row>
    <row r="648" spans="14:72" x14ac:dyDescent="0.25">
      <c r="N648" s="66"/>
      <c r="O648" s="66"/>
      <c r="AO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</row>
    <row r="649" spans="14:72" x14ac:dyDescent="0.25">
      <c r="N649" s="66"/>
      <c r="O649" s="66"/>
      <c r="AO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</row>
    <row r="650" spans="14:72" x14ac:dyDescent="0.25">
      <c r="N650" s="66"/>
      <c r="O650" s="66"/>
      <c r="AO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</row>
    <row r="651" spans="14:72" x14ac:dyDescent="0.25">
      <c r="N651" s="66"/>
      <c r="O651" s="66"/>
      <c r="AO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</row>
    <row r="652" spans="14:72" x14ac:dyDescent="0.25">
      <c r="N652" s="66"/>
      <c r="O652" s="66"/>
      <c r="AO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</row>
    <row r="653" spans="14:72" x14ac:dyDescent="0.25">
      <c r="N653" s="66"/>
      <c r="O653" s="66"/>
      <c r="AO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</row>
    <row r="654" spans="14:72" x14ac:dyDescent="0.25">
      <c r="N654" s="66"/>
      <c r="O654" s="66"/>
      <c r="AO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</row>
    <row r="655" spans="14:72" x14ac:dyDescent="0.25">
      <c r="N655" s="66"/>
      <c r="O655" s="66"/>
      <c r="AO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</row>
    <row r="656" spans="14:72" x14ac:dyDescent="0.25">
      <c r="N656" s="66"/>
      <c r="O656" s="66"/>
      <c r="AO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</row>
    <row r="657" spans="14:72" x14ac:dyDescent="0.25">
      <c r="N657" s="66"/>
      <c r="O657" s="66"/>
      <c r="AO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</row>
    <row r="658" spans="14:72" x14ac:dyDescent="0.25">
      <c r="N658" s="66"/>
      <c r="O658" s="66"/>
      <c r="AO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</row>
    <row r="659" spans="14:72" x14ac:dyDescent="0.25">
      <c r="N659" s="66"/>
      <c r="O659" s="66"/>
      <c r="AO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</row>
    <row r="660" spans="14:72" x14ac:dyDescent="0.25">
      <c r="N660" s="66"/>
      <c r="O660" s="66"/>
      <c r="AO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</row>
    <row r="661" spans="14:72" x14ac:dyDescent="0.25">
      <c r="N661" s="66"/>
      <c r="O661" s="66"/>
      <c r="AO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</row>
    <row r="662" spans="14:72" x14ac:dyDescent="0.25">
      <c r="N662" s="66"/>
      <c r="O662" s="66"/>
      <c r="AO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</row>
    <row r="663" spans="14:72" x14ac:dyDescent="0.25">
      <c r="N663" s="66"/>
      <c r="O663" s="66"/>
      <c r="AO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</row>
    <row r="664" spans="14:72" x14ac:dyDescent="0.25">
      <c r="N664" s="66"/>
      <c r="O664" s="66"/>
      <c r="AO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</row>
    <row r="665" spans="14:72" x14ac:dyDescent="0.25">
      <c r="N665" s="66"/>
      <c r="O665" s="66"/>
      <c r="AO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</row>
    <row r="666" spans="14:72" x14ac:dyDescent="0.25">
      <c r="N666" s="66"/>
      <c r="O666" s="66"/>
      <c r="AO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</row>
    <row r="667" spans="14:72" x14ac:dyDescent="0.25">
      <c r="N667" s="66"/>
      <c r="O667" s="66"/>
      <c r="AO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</row>
    <row r="668" spans="14:72" x14ac:dyDescent="0.25">
      <c r="N668" s="66"/>
      <c r="O668" s="66"/>
      <c r="AO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</row>
    <row r="669" spans="14:72" x14ac:dyDescent="0.25">
      <c r="N669" s="66"/>
      <c r="O669" s="66"/>
      <c r="AO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</row>
    <row r="670" spans="14:72" x14ac:dyDescent="0.25">
      <c r="N670" s="66"/>
      <c r="O670" s="66"/>
      <c r="AO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</row>
    <row r="671" spans="14:72" x14ac:dyDescent="0.25">
      <c r="N671" s="66"/>
      <c r="O671" s="66"/>
      <c r="AO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</row>
    <row r="672" spans="14:72" x14ac:dyDescent="0.25">
      <c r="N672" s="66"/>
      <c r="O672" s="66"/>
      <c r="AO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</row>
    <row r="673" spans="14:72" x14ac:dyDescent="0.25">
      <c r="N673" s="66"/>
      <c r="O673" s="66"/>
      <c r="AO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</row>
    <row r="674" spans="14:72" x14ac:dyDescent="0.25">
      <c r="N674" s="66"/>
      <c r="O674" s="66"/>
      <c r="AO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</row>
    <row r="675" spans="14:72" x14ac:dyDescent="0.25">
      <c r="N675" s="66"/>
      <c r="O675" s="66"/>
      <c r="AO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</row>
    <row r="676" spans="14:72" x14ac:dyDescent="0.25">
      <c r="N676" s="66"/>
      <c r="O676" s="66"/>
      <c r="AO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</row>
    <row r="677" spans="14:72" x14ac:dyDescent="0.25">
      <c r="N677" s="66"/>
      <c r="O677" s="66"/>
      <c r="AO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</row>
    <row r="678" spans="14:72" x14ac:dyDescent="0.25">
      <c r="N678" s="66"/>
      <c r="O678" s="66"/>
      <c r="AO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</row>
    <row r="679" spans="14:72" x14ac:dyDescent="0.25">
      <c r="N679" s="66"/>
      <c r="O679" s="66"/>
      <c r="AO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</row>
    <row r="680" spans="14:72" x14ac:dyDescent="0.25">
      <c r="N680" s="66"/>
      <c r="O680" s="66"/>
      <c r="AO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</row>
    <row r="681" spans="14:72" x14ac:dyDescent="0.25">
      <c r="N681" s="66"/>
      <c r="O681" s="66"/>
      <c r="AO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</row>
    <row r="682" spans="14:72" x14ac:dyDescent="0.25">
      <c r="N682" s="66"/>
      <c r="O682" s="66"/>
      <c r="AO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</row>
    <row r="683" spans="14:72" x14ac:dyDescent="0.25">
      <c r="N683" s="66"/>
      <c r="O683" s="66"/>
      <c r="AO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</row>
    <row r="684" spans="14:72" x14ac:dyDescent="0.25">
      <c r="N684" s="66"/>
      <c r="O684" s="66"/>
      <c r="AO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</row>
    <row r="685" spans="14:72" x14ac:dyDescent="0.25">
      <c r="N685" s="66"/>
      <c r="O685" s="66"/>
      <c r="AO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</row>
    <row r="686" spans="14:72" x14ac:dyDescent="0.25">
      <c r="N686" s="66"/>
      <c r="O686" s="66"/>
      <c r="AO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</row>
    <row r="687" spans="14:72" x14ac:dyDescent="0.25">
      <c r="N687" s="66"/>
      <c r="O687" s="66"/>
      <c r="AO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</row>
    <row r="688" spans="14:72" x14ac:dyDescent="0.25">
      <c r="N688" s="66"/>
      <c r="O688" s="66"/>
      <c r="AO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</row>
    <row r="689" spans="14:72" x14ac:dyDescent="0.25">
      <c r="N689" s="66"/>
      <c r="O689" s="66"/>
      <c r="AO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</row>
    <row r="690" spans="14:72" x14ac:dyDescent="0.25">
      <c r="N690" s="66"/>
      <c r="O690" s="66"/>
      <c r="AO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</row>
    <row r="691" spans="14:72" x14ac:dyDescent="0.25">
      <c r="N691" s="66"/>
      <c r="O691" s="66"/>
      <c r="AO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</row>
    <row r="692" spans="14:72" x14ac:dyDescent="0.25">
      <c r="N692" s="66"/>
      <c r="O692" s="66"/>
      <c r="AO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</row>
    <row r="693" spans="14:72" x14ac:dyDescent="0.25">
      <c r="N693" s="66"/>
      <c r="O693" s="66"/>
      <c r="AO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</row>
    <row r="694" spans="14:72" x14ac:dyDescent="0.25">
      <c r="N694" s="66"/>
      <c r="O694" s="66"/>
      <c r="AO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</row>
    <row r="695" spans="14:72" x14ac:dyDescent="0.25">
      <c r="N695" s="66"/>
      <c r="O695" s="66"/>
      <c r="AO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</row>
    <row r="696" spans="14:72" x14ac:dyDescent="0.25">
      <c r="N696" s="66"/>
      <c r="O696" s="66"/>
      <c r="AO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</row>
    <row r="697" spans="14:72" x14ac:dyDescent="0.25">
      <c r="N697" s="66"/>
      <c r="O697" s="66"/>
      <c r="AO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</row>
    <row r="698" spans="14:72" x14ac:dyDescent="0.25">
      <c r="N698" s="66"/>
      <c r="O698" s="66"/>
      <c r="AO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</row>
    <row r="699" spans="14:72" x14ac:dyDescent="0.25">
      <c r="N699" s="66"/>
      <c r="O699" s="66"/>
      <c r="AO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</row>
    <row r="700" spans="14:72" x14ac:dyDescent="0.25">
      <c r="N700" s="66"/>
      <c r="O700" s="66"/>
      <c r="AO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</row>
    <row r="701" spans="14:72" x14ac:dyDescent="0.25">
      <c r="N701" s="66"/>
      <c r="O701" s="66"/>
      <c r="AO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</row>
    <row r="702" spans="14:72" x14ac:dyDescent="0.25">
      <c r="N702" s="66"/>
      <c r="O702" s="66"/>
      <c r="AO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</row>
    <row r="703" spans="14:72" x14ac:dyDescent="0.25">
      <c r="N703" s="66"/>
      <c r="O703" s="66"/>
      <c r="AO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</row>
    <row r="704" spans="14:72" x14ac:dyDescent="0.25">
      <c r="N704" s="66"/>
      <c r="O704" s="66"/>
      <c r="AO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</row>
    <row r="705" spans="14:72" x14ac:dyDescent="0.25">
      <c r="N705" s="66"/>
      <c r="O705" s="66"/>
      <c r="AO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</row>
    <row r="706" spans="14:72" x14ac:dyDescent="0.25">
      <c r="N706" s="66"/>
      <c r="O706" s="66"/>
      <c r="AO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</row>
    <row r="707" spans="14:72" x14ac:dyDescent="0.25">
      <c r="N707" s="66"/>
      <c r="O707" s="66"/>
      <c r="AO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</row>
    <row r="708" spans="14:72" x14ac:dyDescent="0.25">
      <c r="N708" s="66"/>
      <c r="O708" s="66"/>
      <c r="AO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</row>
    <row r="709" spans="14:72" x14ac:dyDescent="0.25">
      <c r="N709" s="66"/>
      <c r="O709" s="66"/>
      <c r="AO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</row>
    <row r="710" spans="14:72" x14ac:dyDescent="0.25">
      <c r="N710" s="66"/>
      <c r="O710" s="66"/>
      <c r="AO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</row>
    <row r="711" spans="14:72" x14ac:dyDescent="0.25">
      <c r="N711" s="66"/>
      <c r="O711" s="66"/>
      <c r="AO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</row>
    <row r="712" spans="14:72" x14ac:dyDescent="0.25">
      <c r="N712" s="66"/>
      <c r="O712" s="66"/>
      <c r="AO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</row>
    <row r="713" spans="14:72" x14ac:dyDescent="0.25">
      <c r="N713" s="66"/>
      <c r="O713" s="66"/>
      <c r="AO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</row>
    <row r="714" spans="14:72" x14ac:dyDescent="0.25">
      <c r="N714" s="66"/>
      <c r="O714" s="66"/>
      <c r="AO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</row>
    <row r="715" spans="14:72" x14ac:dyDescent="0.25">
      <c r="N715" s="66"/>
      <c r="O715" s="66"/>
      <c r="AO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</row>
    <row r="716" spans="14:72" x14ac:dyDescent="0.25">
      <c r="N716" s="66"/>
      <c r="O716" s="66"/>
      <c r="AO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</row>
    <row r="717" spans="14:72" x14ac:dyDescent="0.25">
      <c r="N717" s="66"/>
      <c r="O717" s="66"/>
      <c r="AO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</row>
    <row r="718" spans="14:72" x14ac:dyDescent="0.25">
      <c r="N718" s="66"/>
      <c r="O718" s="66"/>
      <c r="AO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</row>
    <row r="719" spans="14:72" x14ac:dyDescent="0.25">
      <c r="N719" s="66"/>
      <c r="O719" s="66"/>
      <c r="AO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</row>
    <row r="720" spans="14:72" x14ac:dyDescent="0.25">
      <c r="N720" s="66"/>
      <c r="O720" s="66"/>
      <c r="AO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</row>
    <row r="721" spans="14:72" x14ac:dyDescent="0.25">
      <c r="N721" s="66"/>
      <c r="O721" s="66"/>
      <c r="AO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</row>
    <row r="722" spans="14:72" x14ac:dyDescent="0.25">
      <c r="N722" s="66"/>
      <c r="O722" s="66"/>
      <c r="AO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</row>
    <row r="723" spans="14:72" x14ac:dyDescent="0.25">
      <c r="N723" s="66"/>
      <c r="O723" s="66"/>
      <c r="AO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</row>
    <row r="724" spans="14:72" x14ac:dyDescent="0.25">
      <c r="N724" s="66"/>
      <c r="O724" s="66"/>
      <c r="AO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</row>
    <row r="725" spans="14:72" x14ac:dyDescent="0.25">
      <c r="N725" s="66"/>
      <c r="O725" s="66"/>
      <c r="AO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</row>
    <row r="726" spans="14:72" x14ac:dyDescent="0.25">
      <c r="N726" s="66"/>
      <c r="O726" s="66"/>
      <c r="AO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</row>
    <row r="727" spans="14:72" x14ac:dyDescent="0.25">
      <c r="N727" s="66"/>
      <c r="O727" s="66"/>
      <c r="AO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</row>
    <row r="728" spans="14:72" x14ac:dyDescent="0.25">
      <c r="N728" s="66"/>
      <c r="O728" s="66"/>
      <c r="AO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</row>
    <row r="729" spans="14:72" x14ac:dyDescent="0.25">
      <c r="N729" s="66"/>
      <c r="O729" s="66"/>
      <c r="AO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</row>
    <row r="730" spans="14:72" x14ac:dyDescent="0.25">
      <c r="N730" s="66"/>
      <c r="O730" s="66"/>
      <c r="AO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</row>
    <row r="731" spans="14:72" x14ac:dyDescent="0.25">
      <c r="N731" s="66"/>
      <c r="O731" s="66"/>
      <c r="AO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</row>
    <row r="732" spans="14:72" x14ac:dyDescent="0.25">
      <c r="N732" s="66"/>
      <c r="O732" s="66"/>
      <c r="AO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</row>
    <row r="733" spans="14:72" x14ac:dyDescent="0.25">
      <c r="N733" s="66"/>
      <c r="O733" s="66"/>
      <c r="AO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</row>
    <row r="734" spans="14:72" x14ac:dyDescent="0.25">
      <c r="N734" s="66"/>
      <c r="O734" s="66"/>
      <c r="AO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</row>
    <row r="735" spans="14:72" x14ac:dyDescent="0.25">
      <c r="N735" s="66"/>
      <c r="O735" s="66"/>
      <c r="AO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</row>
    <row r="736" spans="14:72" x14ac:dyDescent="0.25">
      <c r="N736" s="66"/>
      <c r="O736" s="66"/>
      <c r="AO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</row>
    <row r="737" spans="59:72" x14ac:dyDescent="0.25"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170"/>
    </row>
  </sheetData>
  <autoFilter ref="A1:BQ489" xr:uid="{1C4BCC8E-56F8-4FF8-A3F8-02C15A579150}">
    <filterColumn colId="0">
      <filters blank="1">
        <filter val="12"/>
        <filter val="18"/>
        <filter val="2"/>
        <filter val="6"/>
      </filters>
    </filterColumn>
    <sortState xmlns:xlrd2="http://schemas.microsoft.com/office/spreadsheetml/2017/richdata2" ref="A2:BQ489">
      <sortCondition ref="B1:B489"/>
    </sortState>
  </autoFilter>
  <sortState xmlns:xlrd2="http://schemas.microsoft.com/office/spreadsheetml/2017/richdata2" ref="B1:B497">
    <sortCondition ref="B336:B466"/>
  </sortState>
  <mergeCells count="2">
    <mergeCell ref="W3:AC3"/>
    <mergeCell ref="BS1:BT1"/>
  </mergeCells>
  <phoneticPr fontId="4" type="noConversion"/>
  <conditionalFormatting sqref="U1:U477 U479:U482 S483:S485 U487:U1048576">
    <cfRule type="cellIs" dxfId="0" priority="3" operator="lessThan">
      <formula>6</formula>
    </cfRule>
  </conditionalFormatting>
  <pageMargins left="0.11811023622047245" right="0.31496062992125984" top="0.78740157480314965" bottom="0.78740157480314965" header="0.31496062992125984" footer="0.31496062992125984"/>
  <pageSetup paperSize="9" scale="8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Inventar</vt:lpstr>
      <vt:lpstr>Inventar!Druckbereich</vt:lpstr>
      <vt:lpstr>Inventar!Drucktitel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Mahlknecht - Hotel Pfösl</dc:creator>
  <cp:keywords/>
  <dc:description/>
  <cp:lastModifiedBy>Daniel Mahlknecht</cp:lastModifiedBy>
  <cp:revision/>
  <dcterms:created xsi:type="dcterms:W3CDTF">2018-05-15T13:38:45Z</dcterms:created>
  <dcterms:modified xsi:type="dcterms:W3CDTF">2024-01-19T09:48:06Z</dcterms:modified>
  <cp:category/>
  <cp:contentStatus/>
</cp:coreProperties>
</file>