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rol Panel" sheetId="1" state="visible" r:id="rId3"/>
    <sheet name="Vehicle Pool" sheetId="2" state="visible" r:id="rId4"/>
    <sheet name="Eligibility &amp; Concentration" sheetId="3" state="visible" r:id="rId5"/>
    <sheet name="Borrowing Base - Daily" sheetId="4" state="visible" r:id="rId6"/>
    <sheet name="Borrowing Base - Settlement" sheetId="5" state="visible" r:id="rId7"/>
    <sheet name="Advance Rates &amp; CE" sheetId="6" state="visible" r:id="rId8"/>
    <sheet name="Reserves" sheetId="7" state="visible" r:id="rId9"/>
    <sheet name="Collections &amp; Sales" sheetId="8" state="visible" r:id="rId10"/>
    <sheet name="Waterfalls - Pre-EA" sheetId="9" state="visible" r:id="rId11"/>
    <sheet name="Waterfalls - Post-EA" sheetId="10" state="visible" r:id="rId12"/>
    <sheet name="Note Balances" sheetId="11" state="visible" r:id="rId13"/>
    <sheet name="Triggers &amp; Events" sheetId="12" state="visible" r:id="rId14"/>
    <sheet name="P&amp;L &amp; Balance Sheet" sheetId="13" state="visible" r:id="rId15"/>
    <sheet name="Reporting &amp; Dashboards" sheetId="14" state="visible" r:id="rId16"/>
    <sheet name="Sensitivity Analysis" sheetId="15" state="visible" r:id="rId17"/>
    <sheet name="Error Log" sheetId="16" state="visible" r:id="rId1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<sst xmlns="http://schemas.openxmlformats.org/spreadsheetml/2006/main" count="1463" uniqueCount="292">
  <si>
    <t xml:space="preserve">AUTO1 FUNDING B.V. INVENTORY ABS FACILITY</t>
  </si>
  <si>
    <t xml:space="preserve">Senior Lender Underwriting Model - Control Panel</t>
  </si>
  <si>
    <t xml:space="preserve">Model Version: 1.0 | Date: 28-Oct-2025</t>
  </si>
  <si>
    <t xml:space="preserve">TRANSACTION PARAMETERS</t>
  </si>
  <si>
    <t xml:space="preserve">Facility Sizing (EUR)</t>
  </si>
  <si>
    <t xml:space="preserve">Total facility commitment:</t>
  </si>
  <si>
    <t xml:space="preserve">€ mm</t>
  </si>
  <si>
    <t xml:space="preserve">Current facility drawn (Q1 2025):</t>
  </si>
  <si>
    <t xml:space="preserve">Senior notes commitment:</t>
  </si>
  <si>
    <t xml:space="preserve">Mezzanine notes commitment:</t>
  </si>
  <si>
    <t xml:space="preserve">Junior notes commitment (calculated):</t>
  </si>
  <si>
    <t xml:space="preserve">Your senior participation (GBP):</t>
  </si>
  <si>
    <t xml:space="preserve">£ mm</t>
  </si>
  <si>
    <t xml:space="preserve">GBP/EUR FX rate:</t>
  </si>
  <si>
    <t xml:space="preserve">Your senior participation (EUR equiv):</t>
  </si>
  <si>
    <t xml:space="preserve">Timing Assumptions</t>
  </si>
  <si>
    <t xml:space="preserve">Model start date:</t>
  </si>
  <si>
    <t xml:space="preserve">dd-mmm-yyyy</t>
  </si>
  <si>
    <t xml:space="preserve">Revolving period (months):</t>
  </si>
  <si>
    <t xml:space="preserve">months</t>
  </si>
  <si>
    <t xml:space="preserve">12-month extension toggle:</t>
  </si>
  <si>
    <t xml:space="preserve">No</t>
  </si>
  <si>
    <t xml:space="preserve">Yes/No</t>
  </si>
  <si>
    <t xml:space="preserve">Expected amortisation period (months):</t>
  </si>
  <si>
    <t xml:space="preserve">Model end date (calculated):</t>
  </si>
  <si>
    <t xml:space="preserve">Daily calculation toggle:</t>
  </si>
  <si>
    <t xml:space="preserve">Yes</t>
  </si>
  <si>
    <t xml:space="preserve">Settlement frequency:</t>
  </si>
  <si>
    <t xml:space="preserve">days (biweekly)</t>
  </si>
  <si>
    <t xml:space="preserve">Payment dates - Interest:</t>
  </si>
  <si>
    <t xml:space="preserve">Monthly</t>
  </si>
  <si>
    <t xml:space="preserve">Payment dates - Principal:</t>
  </si>
  <si>
    <t xml:space="preserve">Advance Rates &amp; Credit Enhancement</t>
  </si>
  <si>
    <t xml:space="preserve">Senior advance rate floor:</t>
  </si>
  <si>
    <t xml:space="preserve">%</t>
  </si>
  <si>
    <t xml:space="preserve">Mezzanine advance rate floor:</t>
  </si>
  <si>
    <t xml:space="preserve">Combined advance rate (Senior + Mezz):</t>
  </si>
  <si>
    <t xml:space="preserve">Senior CE floor (minimum):</t>
  </si>
  <si>
    <t xml:space="preserve">Mezzanine CE floor (minimum):</t>
  </si>
  <si>
    <t xml:space="preserve">Dynamic AR toggle:</t>
  </si>
  <si>
    <t xml:space="preserve">Interest Rates &amp; Costs</t>
  </si>
  <si>
    <t xml:space="preserve">Current 1M EURIBOR:</t>
  </si>
  <si>
    <t xml:space="preserve">Senior notes spread (bps):</t>
  </si>
  <si>
    <t xml:space="preserve">bps</t>
  </si>
  <si>
    <t xml:space="preserve">Senior notes coupon (total):</t>
  </si>
  <si>
    <t xml:space="preserve">Mezzanine notes spread (bps):</t>
  </si>
  <si>
    <t xml:space="preserve">Mezzanine notes coupon (total):</t>
  </si>
  <si>
    <t xml:space="preserve">Junior notes coupon:</t>
  </si>
  <si>
    <t xml:space="preserve">% (equity-like)</t>
  </si>
  <si>
    <t xml:space="preserve">Interest rate stress scenario:</t>
  </si>
  <si>
    <t xml:space="preserve">Base</t>
  </si>
  <si>
    <t xml:space="preserve">Base/+300bps/+500bps/12%</t>
  </si>
  <si>
    <t xml:space="preserve">EURIBOR stress add-on:</t>
  </si>
  <si>
    <t xml:space="preserve">Stressed EURIBOR:</t>
  </si>
  <si>
    <t xml:space="preserve">Day count convention:</t>
  </si>
  <si>
    <t xml:space="preserve">ACT/360</t>
  </si>
  <si>
    <t xml:space="preserve">AUTO1 Recourse Assumptions</t>
  </si>
  <si>
    <t xml:space="preserve">AUTO1 solvency scenario:</t>
  </si>
  <si>
    <t xml:space="preserve">Always Solvent</t>
  </si>
  <si>
    <t xml:space="preserve">Always Solvent/Default</t>
  </si>
  <si>
    <t xml:space="preserve">AUTO1 default month (if applicable):</t>
  </si>
  <si>
    <t xml:space="preserve">month from start</t>
  </si>
  <si>
    <t xml:space="preserve">AUTO1 recourse coverage:</t>
  </si>
  <si>
    <t xml:space="preserve">% (100% during solvency)</t>
  </si>
  <si>
    <t xml:space="preserve">Post-default AUTO1 recovery:</t>
  </si>
  <si>
    <t xml:space="preserve">% (conservative)</t>
  </si>
  <si>
    <t xml:space="preserve">PORTFOLIO / COLLATERAL ASSUMPTIONS</t>
  </si>
  <si>
    <t xml:space="preserve">Initial Pool Characteristics (Q1 2025 Actual)</t>
  </si>
  <si>
    <t xml:space="preserve">Total vehicles in pool:</t>
  </si>
  <si>
    <t xml:space="preserve">count</t>
  </si>
  <si>
    <t xml:space="preserve">Total inventory value (gross):</t>
  </si>
  <si>
    <t xml:space="preserve">€</t>
  </si>
  <si>
    <t xml:space="preserve">Weighted average DOI:</t>
  </si>
  <si>
    <t xml:space="preserve">days</t>
  </si>
  <si>
    <t xml:space="preserve">Weighted average vehicle age:</t>
  </si>
  <si>
    <t xml:space="preserve">years</t>
  </si>
  <si>
    <t xml:space="preserve">Weighted average purchase price:</t>
  </si>
  <si>
    <t xml:space="preserve">Reserved inventory (% of value):</t>
  </si>
  <si>
    <t xml:space="preserve">Reserved inventory value:</t>
  </si>
  <si>
    <t xml:space="preserve">Vehicle Turnover / Sales Assumptions</t>
  </si>
  <si>
    <t xml:space="preserve">Average days on inventory (base case):</t>
  </si>
  <si>
    <t xml:space="preserve">DOI stress scenario adjustment:</t>
  </si>
  <si>
    <t xml:space="preserve">days (+10/+20/+50%)</t>
  </si>
  <si>
    <t xml:space="preserve">Stressed DOI:</t>
  </si>
  <si>
    <t xml:space="preserve">Sales rate (% pool per month):</t>
  </si>
  <si>
    <t xml:space="preserve">Liquidation scenario toggle:</t>
  </si>
  <si>
    <t xml:space="preserve">Immediate</t>
  </si>
  <si>
    <t xml:space="preserve">Immediate/6m/12m/18m</t>
  </si>
  <si>
    <t xml:space="preserve">Cash Trading Margin (CTM) Assumptions</t>
  </si>
  <si>
    <t xml:space="preserve">Current CTM (Q1 2025 actual):</t>
  </si>
  <si>
    <t xml:space="preserve">Base case CTM (going forward):</t>
  </si>
  <si>
    <t xml:space="preserve">Stress case CTM:</t>
  </si>
  <si>
    <t xml:space="preserve">% (trigger level)</t>
  </si>
  <si>
    <t xml:space="preserve">Severe stress CTM:</t>
  </si>
  <si>
    <t xml:space="preserve">CTM scenario selection:</t>
  </si>
  <si>
    <t xml:space="preserve">Base/Stress/Severe</t>
  </si>
  <si>
    <t xml:space="preserve">Selected CTM:</t>
  </si>
  <si>
    <t xml:space="preserve">CTM compression toggle:</t>
  </si>
  <si>
    <t xml:space="preserve">Stable</t>
  </si>
  <si>
    <t xml:space="preserve">Stable/Linear/Step</t>
  </si>
  <si>
    <t xml:space="preserve">Market Value Decline (MVD) Haircuts</t>
  </si>
  <si>
    <t xml:space="preserve">Rating scenario:</t>
  </si>
  <si>
    <t xml:space="preserve">A</t>
  </si>
  <si>
    <t xml:space="preserve">B/BB/BBB/A/AA/AAA</t>
  </si>
  <si>
    <t xml:space="preserve">MVD haircut lookup:</t>
  </si>
  <si>
    <t xml:space="preserve">  B rated:</t>
  </si>
  <si>
    <t xml:space="preserve">  BB rated:</t>
  </si>
  <si>
    <t xml:space="preserve">  BBB rated:</t>
  </si>
  <si>
    <t xml:space="preserve">  A rated:</t>
  </si>
  <si>
    <t xml:space="preserve">  AA rated:</t>
  </si>
  <si>
    <t xml:space="preserve">  AAA rated:</t>
  </si>
  <si>
    <t xml:space="preserve">Selected MVD - normal inventory:</t>
  </si>
  <si>
    <t xml:space="preserve">MVD uplift - reserved inventory:</t>
  </si>
  <si>
    <t xml:space="preserve">pp</t>
  </si>
  <si>
    <t xml:space="preserve">Selected MVD - reserved inventory:</t>
  </si>
  <si>
    <t xml:space="preserve">Blended MVD haircut:</t>
  </si>
  <si>
    <t xml:space="preserve">TRIGGER &amp; CONCENTRATION LIMITS</t>
  </si>
  <si>
    <t xml:space="preserve">Early Amortisation Triggers</t>
  </si>
  <si>
    <t xml:space="preserve">CTM trigger - min 3m rolling avg:</t>
  </si>
  <si>
    <t xml:space="preserve">Used vouchers trigger - max 3m avg:</t>
  </si>
  <si>
    <t xml:space="preserve">Closed claims trigger - max 3m avg:</t>
  </si>
  <si>
    <t xml:space="preserve">BBV breach cure period:</t>
  </si>
  <si>
    <t xml:space="preserve">business days</t>
  </si>
  <si>
    <t xml:space="preserve">Replenishment Conditions (Concentration Limits)</t>
  </si>
  <si>
    <t xml:space="preserve">Max % pool 180-300 days DOI:</t>
  </si>
  <si>
    <t xml:space="preserve">Max weighted average DOI:</t>
  </si>
  <si>
    <t xml:space="preserve">Max % vehicles age &lt;2 years:</t>
  </si>
  <si>
    <t xml:space="preserve">Max % vehicles age &lt;5 years:</t>
  </si>
  <si>
    <t xml:space="preserve">Max weighted average age:</t>
  </si>
  <si>
    <t xml:space="preserve">Max % vehicles price &gt;EUR 40k:</t>
  </si>
  <si>
    <t xml:space="preserve">Max % vehicles from non-Germany:</t>
  </si>
  <si>
    <t xml:space="preserve">Max % vehicles from Italy:</t>
  </si>
  <si>
    <t xml:space="preserve">Max % negative-margin countries:</t>
  </si>
  <si>
    <t xml:space="preserve">Max combined top 3 brands:</t>
  </si>
  <si>
    <t xml:space="preserve">Min number of brands &gt;4% share:</t>
  </si>
  <si>
    <t xml:space="preserve">Max % electric vehicles:</t>
  </si>
  <si>
    <t xml:space="preserve">Max % remarketing vehicles:</t>
  </si>
  <si>
    <t xml:space="preserve">Max % refurbishment investments:</t>
  </si>
  <si>
    <t xml:space="preserve">Max % Swedish vehicles:</t>
  </si>
  <si>
    <t xml:space="preserve">VEHICLE POOL - STRATIFIED PROXY MODEL</t>
  </si>
  <si>
    <t xml:space="preserve">Representative buckets weighted by % of total pool</t>
  </si>
  <si>
    <t xml:space="preserve">Note: For underwriting. Migrate to loan-level data if transaction proceeds.</t>
  </si>
  <si>
    <t xml:space="preserve">Bucket_ID</t>
  </si>
  <si>
    <t xml:space="preserve">DOI_Bucket</t>
  </si>
  <si>
    <t xml:space="preserve">Jurisdiction</t>
  </si>
  <si>
    <t xml:space="preserve">Fuel_Type</t>
  </si>
  <si>
    <t xml:space="preserve">Vehicle_Count</t>
  </si>
  <si>
    <t xml:space="preserve">Bucket_Value_EUR</t>
  </si>
  <si>
    <t xml:space="preserve">Avg_Purchase_Price</t>
  </si>
  <si>
    <t xml:space="preserve">Avg_Vehicle_Age</t>
  </si>
  <si>
    <t xml:space="preserve">Avg_Mileage</t>
  </si>
  <si>
    <t xml:space="preserve">Avg_DOI</t>
  </si>
  <si>
    <t xml:space="preserve">Brand_Top</t>
  </si>
  <si>
    <t xml:space="preserve">Eligible_Flag</t>
  </si>
  <si>
    <t xml:space="preserve">Reserved_Flag</t>
  </si>
  <si>
    <t xml:space="preserve">Concentration_Breach</t>
  </si>
  <si>
    <t xml:space="preserve">Expected_Sale_Price</t>
  </si>
  <si>
    <t xml:space="preserve">CTM_Assumed</t>
  </si>
  <si>
    <t xml:space="preserve">Refurb_Cost</t>
  </si>
  <si>
    <t xml:space="preserve">BBV_Inclusion</t>
  </si>
  <si>
    <t xml:space="preserve">MVD_Haircut_Rate</t>
  </si>
  <si>
    <t xml:space="preserve">MVD_Haircut_EUR</t>
  </si>
  <si>
    <t xml:space="preserve">Net_BBV_Contribution</t>
  </si>
  <si>
    <t xml:space="preserve">0-70d</t>
  </si>
  <si>
    <t xml:space="preserve">DE</t>
  </si>
  <si>
    <t xml:space="preserve">Diesel</t>
  </si>
  <si>
    <t xml:space="preserve">VW</t>
  </si>
  <si>
    <t xml:space="preserve">Petrol</t>
  </si>
  <si>
    <t xml:space="preserve">Electric</t>
  </si>
  <si>
    <t xml:space="preserve">FR</t>
  </si>
  <si>
    <t xml:space="preserve">Renault</t>
  </si>
  <si>
    <t xml:space="preserve">ES</t>
  </si>
  <si>
    <t xml:space="preserve">IT</t>
  </si>
  <si>
    <t xml:space="preserve">NL</t>
  </si>
  <si>
    <t xml:space="preserve">BE</t>
  </si>
  <si>
    <t xml:space="preserve">AT</t>
  </si>
  <si>
    <t xml:space="preserve">PL</t>
  </si>
  <si>
    <t xml:space="preserve">SE</t>
  </si>
  <si>
    <t xml:space="preserve">71-90d</t>
  </si>
  <si>
    <t xml:space="preserve">91-140d</t>
  </si>
  <si>
    <t xml:space="preserve">141-170d</t>
  </si>
  <si>
    <t xml:space="preserve">171-300d</t>
  </si>
  <si>
    <t xml:space="preserve">&gt;300d</t>
  </si>
  <si>
    <t xml:space="preserve">TOTAL</t>
  </si>
  <si>
    <t xml:space="preserve">ELIGIBILITY &amp; CONCENTRATION LIMITS</t>
  </si>
  <si>
    <t xml:space="preserve">Metric</t>
  </si>
  <si>
    <t xml:space="preserve">Value</t>
  </si>
  <si>
    <t xml:space="preserve">Unit</t>
  </si>
  <si>
    <t xml:space="preserve">Total vehicles</t>
  </si>
  <si>
    <t xml:space="preserve">Eligible vehicles</t>
  </si>
  <si>
    <t xml:space="preserve">Total value</t>
  </si>
  <si>
    <t xml:space="preserve">EUR</t>
  </si>
  <si>
    <t xml:space="preserve">Eligible value</t>
  </si>
  <si>
    <t xml:space="preserve">Weighted avg DOI</t>
  </si>
  <si>
    <t xml:space="preserve">Total dilutions</t>
  </si>
  <si>
    <t xml:space="preserve">BORROWING BASE - DAILY</t>
  </si>
  <si>
    <t xml:space="preserve">Key calculations - see full model specification for complete build-out</t>
  </si>
  <si>
    <t xml:space="preserve">Net BBV</t>
  </si>
  <si>
    <t xml:space="preserve">BORROWING BASE - SETTLEMENT</t>
  </si>
  <si>
    <t xml:space="preserve">Senior BBV (80% of Net BBV)</t>
  </si>
  <si>
    <t xml:space="preserve">Senior Notes Outstanding</t>
  </si>
  <si>
    <t xml:space="preserve">ADVANCE RATES &amp; CE</t>
  </si>
  <si>
    <t xml:space="preserve">Senior CE %</t>
  </si>
  <si>
    <t xml:space="preserve">CE Floor</t>
  </si>
  <si>
    <t xml:space="preserve">CE Compliant?</t>
  </si>
  <si>
    <t xml:space="preserve">RESERVE ACCOUNTS</t>
  </si>
  <si>
    <t xml:space="preserve">Reserve Account</t>
  </si>
  <si>
    <t xml:space="preserve">Balance</t>
  </si>
  <si>
    <t xml:space="preserve">Target</t>
  </si>
  <si>
    <t xml:space="preserve">Surplus/(Shortfall)</t>
  </si>
  <si>
    <t xml:space="preserve">Senior Reserve</t>
  </si>
  <si>
    <t xml:space="preserve">Mezzanine Reserve</t>
  </si>
  <si>
    <t xml:space="preserve">VAT Reserve</t>
  </si>
  <si>
    <t xml:space="preserve">Trade Tax Reserve</t>
  </si>
  <si>
    <t xml:space="preserve">COLLECTIONS &amp; SALES ASSUMPTIONS</t>
  </si>
  <si>
    <t xml:space="preserve">Monthly Collections (EUR mm)</t>
  </si>
  <si>
    <t xml:space="preserve">Avg DOI</t>
  </si>
  <si>
    <t xml:space="preserve">Monthly turnover rate</t>
  </si>
  <si>
    <t xml:space="preserve">Pool value</t>
  </si>
  <si>
    <t xml:space="preserve">Monthly collections (gross)</t>
  </si>
  <si>
    <t xml:space="preserve">CTM</t>
  </si>
  <si>
    <t xml:space="preserve">Monthly collections (net of CTM)</t>
  </si>
  <si>
    <t xml:space="preserve">ISSUER PRIORITY OF PAYMENTS - PRE-EA</t>
  </si>
  <si>
    <t xml:space="preserve">Available Funds</t>
  </si>
  <si>
    <t xml:space="preserve">Priority</t>
  </si>
  <si>
    <t xml:space="preserve">Item</t>
  </si>
  <si>
    <t xml:space="preserve">Amount</t>
  </si>
  <si>
    <t xml:space="preserve">Remaining</t>
  </si>
  <si>
    <t xml:space="preserve">1</t>
  </si>
  <si>
    <t xml:space="preserve">Taxes and fees</t>
  </si>
  <si>
    <t xml:space="preserve">2</t>
  </si>
  <si>
    <t xml:space="preserve">Senior interest</t>
  </si>
  <si>
    <t xml:space="preserve">3</t>
  </si>
  <si>
    <t xml:space="preserve">Mezz interest</t>
  </si>
  <si>
    <t xml:space="preserve">4</t>
  </si>
  <si>
    <t xml:space="preserve">Reserve replenishment</t>
  </si>
  <si>
    <t xml:space="preserve">5</t>
  </si>
  <si>
    <t xml:space="preserve">Voluntary prepayment</t>
  </si>
  <si>
    <t xml:space="preserve">ISSUER PRIORITY OF PAYMENTS - POST-EA</t>
  </si>
  <si>
    <t xml:space="preserve">Senior principal</t>
  </si>
  <si>
    <t xml:space="preserve">NOTE BALANCES OVER TIME</t>
  </si>
  <si>
    <t xml:space="preserve">Date</t>
  </si>
  <si>
    <t xml:space="preserve">Senior O/S</t>
  </si>
  <si>
    <t xml:space="preserve">Mezz O/S</t>
  </si>
  <si>
    <t xml:space="preserve">Junior O/S</t>
  </si>
  <si>
    <t xml:space="preserve">Total O/S</t>
  </si>
  <si>
    <t xml:space="preserve">EARLY AMORTISATION TRIGGERS &amp; MONITORING</t>
  </si>
  <si>
    <t xml:space="preserve">Trigger</t>
  </si>
  <si>
    <t xml:space="preserve">Threshold</t>
  </si>
  <si>
    <t xml:space="preserve">Current</t>
  </si>
  <si>
    <t xml:space="preserve">3m Avg</t>
  </si>
  <si>
    <t xml:space="preserve">Status</t>
  </si>
  <si>
    <t xml:space="preserve">Used vouchers</t>
  </si>
  <si>
    <t xml:space="preserve">Closed claims</t>
  </si>
  <si>
    <t xml:space="preserve">BBV breach</t>
  </si>
  <si>
    <t xml:space="preserve">Pass/Fail</t>
  </si>
  <si>
    <t xml:space="preserve">N/A</t>
  </si>
  <si>
    <t xml:space="preserve">EARLY AMORTISATION EVENT TRIGGERED?</t>
  </si>
  <si>
    <t xml:space="preserve">KEY PERFORMANCE INDICATORS &amp; SUMMARY</t>
  </si>
  <si>
    <t xml:space="preserve">CREDIT METRICS</t>
  </si>
  <si>
    <t xml:space="preserve">Senior Notes O/S</t>
  </si>
  <si>
    <t xml:space="preserve">Senior CE (EUR)</t>
  </si>
  <si>
    <t xml:space="preserve">Available headroom</t>
  </si>
  <si>
    <t xml:space="preserve">CTM (current)</t>
  </si>
  <si>
    <t xml:space="preserve">Distance to CTM trigger</t>
  </si>
  <si>
    <t xml:space="preserve">Senior reserve balance</t>
  </si>
  <si>
    <t xml:space="preserve">Monthly collections</t>
  </si>
  <si>
    <t xml:space="preserve">Early Amort Event?</t>
  </si>
  <si>
    <t xml:space="preserve">SENSITIVITY ANALYSIS</t>
  </si>
  <si>
    <t xml:space="preserve">SCENARIO INPUTS</t>
  </si>
  <si>
    <t xml:space="preserve">Scenario</t>
  </si>
  <si>
    <t xml:space="preserve">CTM %</t>
  </si>
  <si>
    <t xml:space="preserve">MVD Haircut %</t>
  </si>
  <si>
    <t xml:space="preserve">DOI (days)</t>
  </si>
  <si>
    <t xml:space="preserve">AUTO1 Default (month)</t>
  </si>
  <si>
    <t xml:space="preserve">Base Case</t>
  </si>
  <si>
    <t xml:space="preserve">Stress</t>
  </si>
  <si>
    <t xml:space="preserve">Severe</t>
  </si>
  <si>
    <t xml:space="preserve">SCENARIO OUTPUTS</t>
  </si>
  <si>
    <t xml:space="preserve">Senior Loss %</t>
  </si>
  <si>
    <t xml:space="preserve">Coverage (months)</t>
  </si>
  <si>
    <t xml:space="preserve">Liquidity Score</t>
  </si>
  <si>
    <t xml:space="preserve">ERROR LOG &amp; VALIDATION CHECKS</t>
  </si>
  <si>
    <t xml:space="preserve">All validation checks should show ✓ OK</t>
  </si>
  <si>
    <t xml:space="preserve">Check</t>
  </si>
  <si>
    <t xml:space="preserve">Detail</t>
  </si>
  <si>
    <t xml:space="preserve">Senior CE &gt;= 20% floor</t>
  </si>
  <si>
    <t xml:space="preserve">Pool value reconciles</t>
  </si>
  <si>
    <t xml:space="preserve">Senior BBV &gt;= Senior O/S</t>
  </si>
  <si>
    <t xml:space="preserve">All formulas calculated</t>
  </si>
  <si>
    <t xml:space="preserve">Pending recalc.py</t>
  </si>
  <si>
    <t xml:space="preserve">Run recalc.py after save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</si>
</sst>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;\(#,##0\);\-"/>
    <numFmt numFmtId="166" formatCode="0.00"/>
    <numFmt numFmtId="167" formatCode="dd\-mmm\-yyyy"/>
    <numFmt numFmtId="168" formatCode="mm/dd/yy"/>
    <numFmt numFmtId="169" formatCode="0.0%"/>
    <numFmt numFmtId="170" formatCode="0.00%"/>
    <numFmt numFmtId="171" formatCode="0"/>
    <numFmt numFmtId="172" formatCode="#,##0"/>
    <numFmt numFmtId="173" formatCode="General"/>
    <numFmt numFmtId="174" formatCode="dd\-mmm\-yy"/>
    <numFmt numFmtId="175" formatCode="0.0"/>
  </numFmts>
  <fonts count="1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mbria"/>
      <family val="0"/>
      <charset val="1"/>
    </font>
    <font>
      <b val="true"/>
      <sz val="12"/>
      <color rgb="FF666666"/>
      <name val="Cambria"/>
      <family val="0"/>
      <charset val="1"/>
    </font>
    <font>
      <sz val="9"/>
      <color rgb="FF666666"/>
      <name val="Cambria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1"/>
      <name val="Cambria"/>
      <family val="0"/>
      <charset val="1"/>
    </font>
    <font>
      <sz val="10"/>
      <color rgb="FF0000FF"/>
      <name val="Calibri"/>
      <family val="0"/>
      <charset val="1"/>
    </font>
    <font>
      <sz val="10"/>
      <color rgb="FF000000"/>
      <name val="Calibri"/>
      <family val="0"/>
      <charset val="1"/>
    </font>
    <font>
      <b val="true"/>
      <sz val="14"/>
      <name val="Cambria"/>
      <family val="0"/>
      <charset val="1"/>
    </font>
    <font>
      <sz val="10"/>
      <color rgb="FF666666"/>
      <name val="Cambria"/>
      <family val="0"/>
      <charset val="1"/>
    </font>
    <font>
      <sz val="9"/>
      <color rgb="FFFF0000"/>
      <name val="Cambria"/>
      <family val="0"/>
      <charset val="1"/>
    </font>
    <font>
      <b val="true"/>
      <sz val="10"/>
      <color rgb="FFFFFFFF"/>
      <name val="Calibri"/>
      <family val="0"/>
      <charset val="1"/>
    </font>
    <font>
      <sz val="10"/>
      <color rgb="FF008000"/>
      <name val="Calibri"/>
      <family val="0"/>
      <charset val="1"/>
    </font>
    <font>
      <i val="true"/>
      <sz val="10"/>
      <color rgb="FF666666"/>
      <name val="Cambria"/>
      <family val="0"/>
      <charset val="1"/>
    </font>
    <font>
      <b val="true"/>
      <sz val="12"/>
      <name val="Cambria"/>
      <family val="0"/>
      <charset val="1"/>
    </font>
    <font>
      <b val="true"/>
      <sz val="11"/>
      <color rgb="FFFF0000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4F81BD"/>
        <bgColor rgb="FF3366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2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5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E1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50"/>
    <col collapsed="false" customWidth="true" hidden="false" outlineLevel="0" max="2" min="2" style="1" width="20"/>
    <col collapsed="false" customWidth="true" hidden="false" outlineLevel="0" max="3" min="3" style="1" width="25"/>
  </cols>
  <sheetData>
    <row r="1" customFormat="false" ht="19.5" hidden="false" customHeight="true" outlineLevel="0" collapsed="false">
      <c r="A1" s="2" t="s">
        <v>0</v>
      </c>
    </row>
    <row r="2" customFormat="false" ht="15" hidden="false" customHeight="true" outlineLevel="0" collapsed="false">
      <c r="A2" s="3" t="s">
        <v>1</v>
      </c>
    </row>
    <row r="3" customFormat="false" ht="15" hidden="false" customHeight="true" outlineLevel="0" collapsed="false">
      <c r="A3" s="4" t="s">
        <v>2</v>
      </c>
    </row>
    <row r="5" customFormat="false" ht="15" hidden="false" customHeight="true" outlineLevel="0" collapsed="false">
      <c r="A5" s="5" t="s">
        <v>3</v>
      </c>
      <c r="B5" s="5"/>
      <c r="C5" s="5"/>
      <c r="D5" s="5"/>
      <c r="E5" s="5"/>
    </row>
    <row r="7" customFormat="false" ht="15" hidden="false" customHeight="true" outlineLevel="0" collapsed="false">
      <c r="A7" s="6" t="s">
        <v>4</v>
      </c>
    </row>
    <row r="8" customFormat="false" ht="15" hidden="false" customHeight="true" outlineLevel="0" collapsed="false">
      <c r="A8" s="1" t="s">
        <v>5</v>
      </c>
      <c r="B8" s="7" t="n">
        <v>500000000</v>
      </c>
      <c r="C8" s="1" t="s">
        <v>6</v>
      </c>
    </row>
    <row r="9" customFormat="false" ht="15" hidden="false" customHeight="true" outlineLevel="0" collapsed="false">
      <c r="A9" s="1" t="s">
        <v>7</v>
      </c>
      <c r="B9" s="7" t="n">
        <v>715000000</v>
      </c>
      <c r="C9" s="1" t="s">
        <v>6</v>
      </c>
    </row>
    <row r="10" customFormat="false" ht="15" hidden="false" customHeight="true" outlineLevel="0" collapsed="false">
      <c r="B10" s="8"/>
    </row>
    <row r="11" customFormat="false" ht="15" hidden="false" customHeight="true" outlineLevel="0" collapsed="false">
      <c r="A11" s="1" t="s">
        <v>8</v>
      </c>
      <c r="B11" s="7" t="n">
        <v>400000000</v>
      </c>
      <c r="C11" s="1" t="s">
        <v>6</v>
      </c>
    </row>
    <row r="12" customFormat="false" ht="15" hidden="false" customHeight="true" outlineLevel="0" collapsed="false">
      <c r="A12" s="1" t="s">
        <v>9</v>
      </c>
      <c r="B12" s="7" t="n">
        <v>75000000</v>
      </c>
      <c r="C12" s="1" t="s">
        <v>6</v>
      </c>
    </row>
    <row r="13" customFormat="false" ht="15" hidden="false" customHeight="true" outlineLevel="0" collapsed="false">
      <c r="A13" s="1" t="s">
        <v>10</v>
      </c>
      <c r="B13" s="9" t="n">
        <f aca="false">B11-B12</f>
        <v>325000000</v>
      </c>
      <c r="C13" s="1" t="s">
        <v>6</v>
      </c>
    </row>
    <row r="14" customFormat="false" ht="15" hidden="false" customHeight="true" outlineLevel="0" collapsed="false">
      <c r="B14" s="8"/>
    </row>
    <row r="15" customFormat="false" ht="15" hidden="false" customHeight="true" outlineLevel="0" collapsed="false">
      <c r="A15" s="1" t="s">
        <v>11</v>
      </c>
      <c r="B15" s="7" t="n">
        <v>100000000</v>
      </c>
      <c r="C15" s="1" t="s">
        <v>12</v>
      </c>
    </row>
    <row r="16" customFormat="false" ht="15" hidden="false" customHeight="true" outlineLevel="0" collapsed="false">
      <c r="A16" s="1" t="s">
        <v>13</v>
      </c>
      <c r="B16" s="10" t="n">
        <v>1.17</v>
      </c>
    </row>
    <row r="17" customFormat="false" ht="15" hidden="false" customHeight="true" outlineLevel="0" collapsed="false">
      <c r="A17" s="1" t="s">
        <v>14</v>
      </c>
      <c r="B17" s="9" t="n">
        <v>117000000</v>
      </c>
      <c r="C17" s="1" t="s">
        <v>6</v>
      </c>
    </row>
    <row r="20" customFormat="false" ht="15" hidden="false" customHeight="true" outlineLevel="0" collapsed="false">
      <c r="A20" s="6" t="s">
        <v>15</v>
      </c>
    </row>
    <row r="21" customFormat="false" ht="15" hidden="false" customHeight="true" outlineLevel="0" collapsed="false">
      <c r="A21" s="1" t="s">
        <v>16</v>
      </c>
      <c r="B21" s="11" t="n">
        <v>45658</v>
      </c>
      <c r="C21" s="1" t="s">
        <v>17</v>
      </c>
    </row>
    <row r="22" customFormat="false" ht="15" hidden="false" customHeight="true" outlineLevel="0" collapsed="false">
      <c r="A22" s="1" t="s">
        <v>18</v>
      </c>
      <c r="B22" s="12" t="n">
        <v>24</v>
      </c>
      <c r="C22" s="1" t="s">
        <v>19</v>
      </c>
    </row>
    <row r="23" customFormat="false" ht="15" hidden="false" customHeight="true" outlineLevel="0" collapsed="false">
      <c r="A23" s="1" t="s">
        <v>20</v>
      </c>
      <c r="B23" s="12" t="s">
        <v>21</v>
      </c>
      <c r="C23" s="1" t="s">
        <v>22</v>
      </c>
    </row>
    <row r="24" customFormat="false" ht="15" hidden="false" customHeight="true" outlineLevel="0" collapsed="false">
      <c r="A24" s="1" t="s">
        <v>23</v>
      </c>
      <c r="B24" s="12" t="n">
        <v>18</v>
      </c>
      <c r="C24" s="1" t="s">
        <v>19</v>
      </c>
    </row>
    <row r="25" customFormat="false" ht="15" hidden="false" customHeight="true" outlineLevel="0" collapsed="false">
      <c r="A25" s="1" t="s">
        <v>24</v>
      </c>
      <c r="B25" s="13" t="n">
        <v>0.0175</v>
      </c>
      <c r="C25" s="1" t="s">
        <v>17</v>
      </c>
    </row>
    <row r="26" customFormat="false" ht="15" hidden="false" customHeight="true" outlineLevel="0" collapsed="false">
      <c r="A26" s="1" t="s">
        <v>25</v>
      </c>
      <c r="B26" s="12" t="s">
        <v>26</v>
      </c>
      <c r="C26" s="1" t="s">
        <v>22</v>
      </c>
    </row>
    <row r="27" customFormat="false" ht="15" hidden="false" customHeight="true" outlineLevel="0" collapsed="false">
      <c r="A27" s="1" t="s">
        <v>27</v>
      </c>
      <c r="B27" s="12" t="n">
        <v>14</v>
      </c>
      <c r="C27" s="1" t="s">
        <v>28</v>
      </c>
    </row>
    <row r="28" customFormat="false" ht="15" hidden="false" customHeight="true" outlineLevel="0" collapsed="false">
      <c r="A28" s="1" t="s">
        <v>29</v>
      </c>
      <c r="B28" s="12" t="s">
        <v>30</v>
      </c>
    </row>
    <row r="29" customFormat="false" ht="15" hidden="false" customHeight="true" outlineLevel="0" collapsed="false">
      <c r="A29" s="1" t="s">
        <v>31</v>
      </c>
      <c r="B29" s="14" t="n">
        <v>46569</v>
      </c>
    </row>
    <row r="32" customFormat="false" ht="15" hidden="false" customHeight="true" outlineLevel="0" collapsed="false">
      <c r="A32" s="6" t="s">
        <v>32</v>
      </c>
    </row>
    <row r="33" customFormat="false" ht="15" hidden="false" customHeight="true" outlineLevel="0" collapsed="false">
      <c r="A33" s="1" t="s">
        <v>33</v>
      </c>
      <c r="B33" s="15" t="n">
        <v>0.8</v>
      </c>
      <c r="C33" s="1" t="s">
        <v>34</v>
      </c>
    </row>
    <row r="34" customFormat="false" ht="15" hidden="false" customHeight="true" outlineLevel="0" collapsed="false">
      <c r="A34" s="1" t="s">
        <v>35</v>
      </c>
      <c r="B34" s="15" t="n">
        <v>0.1</v>
      </c>
      <c r="C34" s="1" t="s">
        <v>34</v>
      </c>
    </row>
    <row r="35" customFormat="false" ht="15" hidden="false" customHeight="true" outlineLevel="0" collapsed="false">
      <c r="A35" s="1" t="s">
        <v>36</v>
      </c>
      <c r="B35" s="15" t="n">
        <v>0.9</v>
      </c>
      <c r="C35" s="1" t="s">
        <v>34</v>
      </c>
    </row>
    <row r="36" customFormat="false" ht="15" hidden="false" customHeight="true" outlineLevel="0" collapsed="false">
      <c r="A36" s="1" t="s">
        <v>37</v>
      </c>
      <c r="B36" s="15" t="n">
        <v>0.2</v>
      </c>
      <c r="C36" s="1" t="s">
        <v>34</v>
      </c>
    </row>
    <row r="37" customFormat="false" ht="15" hidden="false" customHeight="true" outlineLevel="0" collapsed="false">
      <c r="A37" s="1" t="s">
        <v>38</v>
      </c>
      <c r="B37" s="15" t="n">
        <v>0.1</v>
      </c>
      <c r="C37" s="1" t="s">
        <v>34</v>
      </c>
    </row>
    <row r="38" customFormat="false" ht="15" hidden="false" customHeight="true" outlineLevel="0" collapsed="false">
      <c r="A38" s="1" t="s">
        <v>39</v>
      </c>
      <c r="B38" s="12" t="s">
        <v>21</v>
      </c>
      <c r="C38" s="1" t="s">
        <v>22</v>
      </c>
    </row>
    <row r="41" customFormat="false" ht="15" hidden="false" customHeight="true" outlineLevel="0" collapsed="false">
      <c r="A41" s="6" t="s">
        <v>40</v>
      </c>
    </row>
    <row r="42" customFormat="false" ht="15" hidden="false" customHeight="true" outlineLevel="0" collapsed="false">
      <c r="A42" s="1" t="s">
        <v>41</v>
      </c>
      <c r="B42" s="16" t="n">
        <v>0.03</v>
      </c>
      <c r="C42" s="1" t="s">
        <v>34</v>
      </c>
    </row>
    <row r="43" customFormat="false" ht="15" hidden="false" customHeight="true" outlineLevel="0" collapsed="false">
      <c r="A43" s="1" t="s">
        <v>42</v>
      </c>
      <c r="B43" s="17" t="n">
        <v>175</v>
      </c>
      <c r="C43" s="1" t="s">
        <v>43</v>
      </c>
    </row>
    <row r="44" customFormat="false" ht="15" hidden="false" customHeight="true" outlineLevel="0" collapsed="false">
      <c r="A44" s="1" t="s">
        <v>44</v>
      </c>
      <c r="B44" s="18" t="n">
        <v>0</v>
      </c>
      <c r="C44" s="1" t="s">
        <v>34</v>
      </c>
    </row>
    <row r="45" customFormat="false" ht="15" hidden="false" customHeight="true" outlineLevel="0" collapsed="false">
      <c r="A45" s="1" t="s">
        <v>45</v>
      </c>
      <c r="B45" s="17" t="n">
        <v>500</v>
      </c>
      <c r="C45" s="1" t="s">
        <v>43</v>
      </c>
    </row>
    <row r="46" customFormat="false" ht="15" hidden="false" customHeight="true" outlineLevel="0" collapsed="false">
      <c r="A46" s="1" t="s">
        <v>46</v>
      </c>
      <c r="B46" s="18" t="n">
        <v>0.0175</v>
      </c>
      <c r="C46" s="1" t="s">
        <v>34</v>
      </c>
    </row>
    <row r="47" customFormat="false" ht="15" hidden="false" customHeight="true" outlineLevel="0" collapsed="false">
      <c r="A47" s="1" t="s">
        <v>47</v>
      </c>
      <c r="B47" s="12" t="n">
        <v>0</v>
      </c>
      <c r="C47" s="1" t="s">
        <v>48</v>
      </c>
    </row>
    <row r="49" customFormat="false" ht="15" hidden="false" customHeight="true" outlineLevel="0" collapsed="false">
      <c r="A49" s="1" t="s">
        <v>49</v>
      </c>
      <c r="B49" s="12" t="s">
        <v>50</v>
      </c>
      <c r="C49" s="1" t="s">
        <v>51</v>
      </c>
    </row>
    <row r="50" customFormat="false" ht="15" hidden="false" customHeight="true" outlineLevel="0" collapsed="false">
      <c r="A50" s="1" t="s">
        <v>52</v>
      </c>
      <c r="B50" s="17" t="n">
        <v>0</v>
      </c>
      <c r="C50" s="1" t="s">
        <v>43</v>
      </c>
    </row>
    <row r="51" customFormat="false" ht="15" hidden="false" customHeight="true" outlineLevel="0" collapsed="false">
      <c r="A51" s="1" t="s">
        <v>53</v>
      </c>
      <c r="B51" s="18" t="n">
        <v>0.0475</v>
      </c>
      <c r="C51" s="1" t="s">
        <v>34</v>
      </c>
    </row>
    <row r="52" customFormat="false" ht="15" hidden="false" customHeight="true" outlineLevel="0" collapsed="false">
      <c r="A52" s="1" t="s">
        <v>54</v>
      </c>
      <c r="B52" s="12" t="s">
        <v>55</v>
      </c>
    </row>
    <row r="53" customFormat="false" ht="15" hidden="false" customHeight="true" outlineLevel="0" collapsed="false">
      <c r="B53" s="1" t="n">
        <v>0.08</v>
      </c>
    </row>
    <row r="55" customFormat="false" ht="15" hidden="false" customHeight="true" outlineLevel="0" collapsed="false">
      <c r="A55" s="6" t="s">
        <v>56</v>
      </c>
    </row>
    <row r="56" customFormat="false" ht="15" hidden="false" customHeight="true" outlineLevel="0" collapsed="false">
      <c r="A56" s="1" t="s">
        <v>57</v>
      </c>
      <c r="B56" s="12" t="s">
        <v>58</v>
      </c>
      <c r="C56" s="1" t="s">
        <v>59</v>
      </c>
    </row>
    <row r="57" customFormat="false" ht="15" hidden="false" customHeight="true" outlineLevel="0" collapsed="false">
      <c r="A57" s="1" t="s">
        <v>60</v>
      </c>
      <c r="B57" s="12" t="n">
        <v>999</v>
      </c>
      <c r="C57" s="1" t="s">
        <v>61</v>
      </c>
    </row>
    <row r="58" customFormat="false" ht="15" hidden="false" customHeight="true" outlineLevel="0" collapsed="false">
      <c r="A58" s="1" t="s">
        <v>62</v>
      </c>
      <c r="B58" s="15" t="n">
        <v>1</v>
      </c>
      <c r="C58" s="1" t="s">
        <v>63</v>
      </c>
    </row>
    <row r="59" customFormat="false" ht="15" hidden="false" customHeight="true" outlineLevel="0" collapsed="false">
      <c r="A59" s="1" t="s">
        <v>64</v>
      </c>
      <c r="B59" s="15" t="n">
        <v>0</v>
      </c>
      <c r="C59" s="1" t="s">
        <v>65</v>
      </c>
    </row>
    <row r="63" customFormat="false" ht="15" hidden="false" customHeight="true" outlineLevel="0" collapsed="false">
      <c r="A63" s="5" t="s">
        <v>66</v>
      </c>
      <c r="B63" s="5"/>
      <c r="C63" s="5"/>
      <c r="D63" s="5"/>
      <c r="E63" s="5"/>
    </row>
    <row r="65" customFormat="false" ht="15" hidden="false" customHeight="true" outlineLevel="0" collapsed="false">
      <c r="A65" s="6" t="s">
        <v>67</v>
      </c>
    </row>
    <row r="66" customFormat="false" ht="15" hidden="false" customHeight="true" outlineLevel="0" collapsed="false">
      <c r="A66" s="1" t="s">
        <v>68</v>
      </c>
      <c r="B66" s="19" t="n">
        <v>70962</v>
      </c>
      <c r="C66" s="1" t="s">
        <v>69</v>
      </c>
    </row>
    <row r="67" customFormat="false" ht="15" hidden="false" customHeight="true" outlineLevel="0" collapsed="false">
      <c r="A67" s="1" t="s">
        <v>70</v>
      </c>
      <c r="B67" s="7" t="n">
        <v>723796269</v>
      </c>
      <c r="C67" s="1" t="s">
        <v>71</v>
      </c>
    </row>
    <row r="68" customFormat="false" ht="15" hidden="false" customHeight="true" outlineLevel="0" collapsed="false">
      <c r="A68" s="1" t="s">
        <v>72</v>
      </c>
      <c r="B68" s="12" t="n">
        <v>48</v>
      </c>
      <c r="C68" s="1" t="s">
        <v>73</v>
      </c>
    </row>
    <row r="69" customFormat="false" ht="15" hidden="false" customHeight="true" outlineLevel="0" collapsed="false">
      <c r="A69" s="1" t="s">
        <v>74</v>
      </c>
      <c r="B69" s="12" t="n">
        <v>6</v>
      </c>
      <c r="C69" s="1" t="s">
        <v>75</v>
      </c>
    </row>
    <row r="70" customFormat="false" ht="15" hidden="false" customHeight="true" outlineLevel="0" collapsed="false">
      <c r="A70" s="1" t="s">
        <v>76</v>
      </c>
      <c r="B70" s="9" t="n">
        <v>10200</v>
      </c>
      <c r="C70" s="1" t="s">
        <v>71</v>
      </c>
    </row>
    <row r="71" customFormat="false" ht="15" hidden="false" customHeight="true" outlineLevel="0" collapsed="false">
      <c r="A71" s="1" t="s">
        <v>77</v>
      </c>
      <c r="B71" s="15" t="n">
        <v>0.05</v>
      </c>
      <c r="C71" s="1" t="s">
        <v>34</v>
      </c>
    </row>
    <row r="72" customFormat="false" ht="15" hidden="false" customHeight="true" outlineLevel="0" collapsed="false">
      <c r="A72" s="1" t="s">
        <v>78</v>
      </c>
      <c r="B72" s="9" t="n">
        <f aca="false">B74*B78</f>
        <v>0</v>
      </c>
      <c r="C72" s="1" t="s">
        <v>71</v>
      </c>
    </row>
    <row r="75" customFormat="false" ht="15" hidden="false" customHeight="true" outlineLevel="0" collapsed="false">
      <c r="A75" s="6" t="s">
        <v>79</v>
      </c>
    </row>
    <row r="76" customFormat="false" ht="15" hidden="false" customHeight="true" outlineLevel="0" collapsed="false">
      <c r="A76" s="1" t="s">
        <v>80</v>
      </c>
      <c r="B76" s="12" t="n">
        <v>48</v>
      </c>
      <c r="C76" s="1" t="s">
        <v>73</v>
      </c>
    </row>
    <row r="77" customFormat="false" ht="15" hidden="false" customHeight="true" outlineLevel="0" collapsed="false">
      <c r="A77" s="1" t="s">
        <v>81</v>
      </c>
      <c r="B77" s="12" t="n">
        <f aca="false">IF(B73&gt;0,B74/B73,0)</f>
        <v>0</v>
      </c>
      <c r="C77" s="1" t="s">
        <v>82</v>
      </c>
    </row>
    <row r="78" customFormat="false" ht="15" hidden="false" customHeight="true" outlineLevel="0" collapsed="false">
      <c r="A78" s="1" t="s">
        <v>83</v>
      </c>
      <c r="B78" s="18" t="n">
        <f aca="false">B83+B84</f>
        <v>0.1385</v>
      </c>
      <c r="C78" s="1" t="s">
        <v>73</v>
      </c>
    </row>
    <row r="79" customFormat="false" ht="15" hidden="false" customHeight="true" outlineLevel="0" collapsed="false">
      <c r="A79" s="1" t="s">
        <v>84</v>
      </c>
      <c r="B79" s="20" t="n">
        <f aca="false">30/B85</f>
        <v>275.229357798165</v>
      </c>
      <c r="C79" s="1" t="s">
        <v>34</v>
      </c>
    </row>
    <row r="80" customFormat="false" ht="15" hidden="false" customHeight="true" outlineLevel="0" collapsed="false">
      <c r="A80" s="1" t="s">
        <v>85</v>
      </c>
      <c r="B80" s="12" t="s">
        <v>86</v>
      </c>
      <c r="C80" s="1" t="s">
        <v>87</v>
      </c>
    </row>
    <row r="83" customFormat="false" ht="15" hidden="false" customHeight="true" outlineLevel="0" collapsed="false">
      <c r="A83" s="6" t="s">
        <v>88</v>
      </c>
    </row>
    <row r="84" customFormat="false" ht="15" hidden="false" customHeight="true" outlineLevel="0" collapsed="false">
      <c r="A84" s="1" t="s">
        <v>89</v>
      </c>
      <c r="B84" s="16" t="n">
        <v>0.1385</v>
      </c>
      <c r="C84" s="1" t="s">
        <v>34</v>
      </c>
    </row>
    <row r="85" customFormat="false" ht="15" hidden="false" customHeight="true" outlineLevel="0" collapsed="false">
      <c r="A85" s="1" t="s">
        <v>90</v>
      </c>
      <c r="B85" s="16" t="n">
        <v>0.109</v>
      </c>
      <c r="C85" s="1" t="s">
        <v>34</v>
      </c>
    </row>
    <row r="86" customFormat="false" ht="15" hidden="false" customHeight="true" outlineLevel="0" collapsed="false">
      <c r="A86" s="1" t="s">
        <v>91</v>
      </c>
      <c r="B86" s="16" t="n">
        <v>0.05</v>
      </c>
      <c r="C86" s="1" t="s">
        <v>92</v>
      </c>
    </row>
    <row r="87" customFormat="false" ht="15" hidden="false" customHeight="true" outlineLevel="0" collapsed="false">
      <c r="A87" s="1" t="s">
        <v>93</v>
      </c>
      <c r="B87" s="16" t="n">
        <v>0.03</v>
      </c>
      <c r="C87" s="1" t="s">
        <v>34</v>
      </c>
    </row>
    <row r="88" customFormat="false" ht="15" hidden="false" customHeight="true" outlineLevel="0" collapsed="false">
      <c r="A88" s="1" t="s">
        <v>94</v>
      </c>
      <c r="B88" s="12" t="s">
        <v>50</v>
      </c>
      <c r="C88" s="1" t="s">
        <v>95</v>
      </c>
    </row>
    <row r="89" customFormat="false" ht="15" hidden="false" customHeight="true" outlineLevel="0" collapsed="false">
      <c r="A89" s="1" t="s">
        <v>96</v>
      </c>
      <c r="B89" s="18" t="n">
        <f aca="false">IF(B94="Base",B91,IF(B94="Stress",B92,B93))</f>
        <v>0</v>
      </c>
      <c r="C89" s="1" t="s">
        <v>34</v>
      </c>
    </row>
    <row r="90" customFormat="false" ht="15" hidden="false" customHeight="true" outlineLevel="0" collapsed="false">
      <c r="A90" s="1" t="s">
        <v>97</v>
      </c>
      <c r="B90" s="12" t="s">
        <v>98</v>
      </c>
      <c r="C90" s="1" t="s">
        <v>99</v>
      </c>
    </row>
    <row r="93" customFormat="false" ht="15" hidden="false" customHeight="true" outlineLevel="0" collapsed="false">
      <c r="A93" s="6" t="s">
        <v>100</v>
      </c>
    </row>
    <row r="94" customFormat="false" ht="15" hidden="false" customHeight="true" outlineLevel="0" collapsed="false">
      <c r="A94" s="1" t="s">
        <v>101</v>
      </c>
      <c r="B94" s="12" t="s">
        <v>102</v>
      </c>
      <c r="C94" s="1" t="s">
        <v>103</v>
      </c>
    </row>
    <row r="95" customFormat="false" ht="15" hidden="false" customHeight="true" outlineLevel="0" collapsed="false">
      <c r="A95" s="1" t="s">
        <v>104</v>
      </c>
    </row>
    <row r="96" customFormat="false" ht="15" hidden="false" customHeight="true" outlineLevel="0" collapsed="false">
      <c r="A96" s="1" t="s">
        <v>105</v>
      </c>
      <c r="B96" s="15" t="n">
        <v>0.15</v>
      </c>
      <c r="C96" s="1" t="s">
        <v>34</v>
      </c>
    </row>
    <row r="97" customFormat="false" ht="15" hidden="false" customHeight="true" outlineLevel="0" collapsed="false">
      <c r="A97" s="1" t="s">
        <v>106</v>
      </c>
      <c r="B97" s="15" t="n">
        <v>0.18</v>
      </c>
      <c r="C97" s="1" t="s">
        <v>34</v>
      </c>
    </row>
    <row r="98" customFormat="false" ht="15" hidden="false" customHeight="true" outlineLevel="0" collapsed="false">
      <c r="A98" s="1" t="s">
        <v>107</v>
      </c>
      <c r="B98" s="15" t="n">
        <v>0.21</v>
      </c>
      <c r="C98" s="1" t="s">
        <v>34</v>
      </c>
    </row>
    <row r="99" customFormat="false" ht="15" hidden="false" customHeight="true" outlineLevel="0" collapsed="false">
      <c r="A99" s="1" t="s">
        <v>108</v>
      </c>
      <c r="B99" s="15" t="n">
        <v>0.23</v>
      </c>
      <c r="C99" s="1" t="s">
        <v>34</v>
      </c>
    </row>
    <row r="100" customFormat="false" ht="15" hidden="false" customHeight="true" outlineLevel="0" collapsed="false">
      <c r="A100" s="1" t="s">
        <v>109</v>
      </c>
      <c r="B100" s="15" t="n">
        <v>0.31</v>
      </c>
      <c r="C100" s="1" t="s">
        <v>34</v>
      </c>
    </row>
    <row r="101" customFormat="false" ht="15" hidden="false" customHeight="true" outlineLevel="0" collapsed="false">
      <c r="A101" s="1" t="s">
        <v>110</v>
      </c>
      <c r="B101" s="15" t="n">
        <v>0.4</v>
      </c>
      <c r="C101" s="1" t="s">
        <v>34</v>
      </c>
    </row>
    <row r="103" customFormat="false" ht="15" hidden="false" customHeight="true" outlineLevel="0" collapsed="false">
      <c r="A103" s="1" t="s">
        <v>111</v>
      </c>
      <c r="B103" s="20" t="n">
        <f aca="false">IF(B99="B",B101,IF(B99="BB",B102,IF(B99="BBB",B103,IF(B99="A",B104,IF(B99="AA",B105,B106)))))</f>
        <v>0</v>
      </c>
      <c r="C103" s="1" t="s">
        <v>34</v>
      </c>
    </row>
    <row r="104" customFormat="false" ht="15" hidden="false" customHeight="true" outlineLevel="0" collapsed="false">
      <c r="A104" s="1" t="s">
        <v>112</v>
      </c>
      <c r="B104" s="15" t="n">
        <v>0.05</v>
      </c>
      <c r="C104" s="1" t="s">
        <v>113</v>
      </c>
    </row>
    <row r="105" customFormat="false" ht="15" hidden="false" customHeight="true" outlineLevel="0" collapsed="false">
      <c r="A105" s="1" t="s">
        <v>114</v>
      </c>
      <c r="B105" s="20" t="n">
        <f aca="false">B109+B110</f>
        <v>0</v>
      </c>
      <c r="C105" s="1" t="s">
        <v>34</v>
      </c>
    </row>
    <row r="106" customFormat="false" ht="15" hidden="false" customHeight="true" outlineLevel="0" collapsed="false">
      <c r="A106" s="1" t="s">
        <v>115</v>
      </c>
      <c r="B106" s="20" t="n">
        <f aca="false">(1-B78)*B109+B78*B111</f>
        <v>0</v>
      </c>
      <c r="C106" s="1" t="s">
        <v>34</v>
      </c>
    </row>
    <row r="110" customFormat="false" ht="15" hidden="false" customHeight="true" outlineLevel="0" collapsed="false">
      <c r="A110" s="5" t="s">
        <v>116</v>
      </c>
      <c r="B110" s="5"/>
      <c r="C110" s="5"/>
      <c r="D110" s="5"/>
      <c r="E110" s="5"/>
    </row>
    <row r="112" customFormat="false" ht="15" hidden="false" customHeight="true" outlineLevel="0" collapsed="false">
      <c r="A112" s="6" t="s">
        <v>117</v>
      </c>
    </row>
    <row r="113" customFormat="false" ht="15" hidden="false" customHeight="true" outlineLevel="0" collapsed="false">
      <c r="A113" s="1" t="s">
        <v>118</v>
      </c>
      <c r="B113" s="15" t="n">
        <v>0.05</v>
      </c>
      <c r="C113" s="1" t="s">
        <v>34</v>
      </c>
    </row>
    <row r="114" customFormat="false" ht="15" hidden="false" customHeight="true" outlineLevel="0" collapsed="false">
      <c r="A114" s="1" t="s">
        <v>119</v>
      </c>
      <c r="B114" s="15" t="n">
        <v>0.03</v>
      </c>
      <c r="C114" s="1" t="s">
        <v>34</v>
      </c>
    </row>
    <row r="115" customFormat="false" ht="15" hidden="false" customHeight="true" outlineLevel="0" collapsed="false">
      <c r="A115" s="1" t="s">
        <v>120</v>
      </c>
      <c r="B115" s="15" t="n">
        <v>0.04</v>
      </c>
      <c r="C115" s="1" t="s">
        <v>34</v>
      </c>
    </row>
    <row r="116" customFormat="false" ht="15" hidden="false" customHeight="true" outlineLevel="0" collapsed="false">
      <c r="A116" s="1" t="s">
        <v>121</v>
      </c>
      <c r="B116" s="12" t="n">
        <v>5</v>
      </c>
      <c r="C116" s="1" t="s">
        <v>122</v>
      </c>
    </row>
    <row r="119" customFormat="false" ht="15" hidden="false" customHeight="true" outlineLevel="0" collapsed="false">
      <c r="A119" s="6" t="s">
        <v>123</v>
      </c>
    </row>
    <row r="120" customFormat="false" ht="15" hidden="false" customHeight="true" outlineLevel="0" collapsed="false">
      <c r="A120" s="1" t="s">
        <v>124</v>
      </c>
      <c r="B120" s="15" t="n">
        <v>0.05</v>
      </c>
      <c r="C120" s="1" t="s">
        <v>34</v>
      </c>
    </row>
    <row r="121" customFormat="false" ht="15" hidden="false" customHeight="true" outlineLevel="0" collapsed="false">
      <c r="A121" s="1" t="s">
        <v>125</v>
      </c>
      <c r="B121" s="12" t="n">
        <v>70</v>
      </c>
      <c r="C121" s="1" t="s">
        <v>73</v>
      </c>
    </row>
    <row r="122" customFormat="false" ht="15" hidden="false" customHeight="true" outlineLevel="0" collapsed="false">
      <c r="A122" s="1" t="s">
        <v>126</v>
      </c>
      <c r="B122" s="15" t="n">
        <v>0.2</v>
      </c>
      <c r="C122" s="1" t="s">
        <v>34</v>
      </c>
    </row>
    <row r="123" customFormat="false" ht="15" hidden="false" customHeight="true" outlineLevel="0" collapsed="false">
      <c r="A123" s="1" t="s">
        <v>127</v>
      </c>
      <c r="B123" s="15" t="n">
        <v>0.65</v>
      </c>
      <c r="C123" s="1" t="s">
        <v>34</v>
      </c>
    </row>
    <row r="124" customFormat="false" ht="15" hidden="false" customHeight="true" outlineLevel="0" collapsed="false">
      <c r="A124" s="1" t="s">
        <v>128</v>
      </c>
      <c r="B124" s="12" t="n">
        <v>9</v>
      </c>
      <c r="C124" s="1" t="s">
        <v>75</v>
      </c>
    </row>
    <row r="125" customFormat="false" ht="15" hidden="false" customHeight="true" outlineLevel="0" collapsed="false">
      <c r="A125" s="1" t="s">
        <v>129</v>
      </c>
      <c r="B125" s="15" t="n">
        <v>0.13</v>
      </c>
      <c r="C125" s="1" t="s">
        <v>34</v>
      </c>
    </row>
    <row r="126" customFormat="false" ht="15" hidden="false" customHeight="true" outlineLevel="0" collapsed="false">
      <c r="A126" s="1" t="s">
        <v>130</v>
      </c>
      <c r="B126" s="15" t="n">
        <v>0.7</v>
      </c>
      <c r="C126" s="1" t="s">
        <v>34</v>
      </c>
    </row>
    <row r="127" customFormat="false" ht="15" hidden="false" customHeight="true" outlineLevel="0" collapsed="false">
      <c r="A127" s="1" t="s">
        <v>131</v>
      </c>
      <c r="B127" s="15" t="n">
        <v>0.2</v>
      </c>
      <c r="C127" s="1" t="s">
        <v>34</v>
      </c>
    </row>
    <row r="128" customFormat="false" ht="15" hidden="false" customHeight="true" outlineLevel="0" collapsed="false">
      <c r="A128" s="1" t="s">
        <v>132</v>
      </c>
      <c r="B128" s="15" t="n">
        <v>0.1</v>
      </c>
      <c r="C128" s="1" t="s">
        <v>34</v>
      </c>
    </row>
    <row r="129" customFormat="false" ht="15" hidden="false" customHeight="true" outlineLevel="0" collapsed="false">
      <c r="A129" s="1" t="s">
        <v>133</v>
      </c>
      <c r="B129" s="15" t="n">
        <v>0.5</v>
      </c>
      <c r="C129" s="1" t="s">
        <v>34</v>
      </c>
    </row>
    <row r="130" customFormat="false" ht="15" hidden="false" customHeight="true" outlineLevel="0" collapsed="false">
      <c r="A130" s="1" t="s">
        <v>134</v>
      </c>
      <c r="B130" s="12" t="n">
        <v>6</v>
      </c>
      <c r="C130" s="1" t="s">
        <v>69</v>
      </c>
    </row>
    <row r="131" customFormat="false" ht="15" hidden="false" customHeight="true" outlineLevel="0" collapsed="false">
      <c r="A131" s="1" t="s">
        <v>135</v>
      </c>
      <c r="B131" s="15" t="n">
        <v>0.05</v>
      </c>
      <c r="C131" s="1" t="s">
        <v>34</v>
      </c>
    </row>
    <row r="132" customFormat="false" ht="15" hidden="false" customHeight="true" outlineLevel="0" collapsed="false">
      <c r="A132" s="1" t="s">
        <v>136</v>
      </c>
      <c r="B132" s="15" t="n">
        <v>0.05</v>
      </c>
      <c r="C132" s="1" t="s">
        <v>34</v>
      </c>
    </row>
    <row r="133" customFormat="false" ht="15" hidden="false" customHeight="true" outlineLevel="0" collapsed="false">
      <c r="A133" s="1" t="s">
        <v>137</v>
      </c>
      <c r="B133" s="15" t="n">
        <v>0.06</v>
      </c>
      <c r="C133" s="1" t="s">
        <v>34</v>
      </c>
    </row>
    <row r="134" customFormat="false" ht="15" hidden="false" customHeight="true" outlineLevel="0" collapsed="false">
      <c r="A134" s="1" t="s">
        <v>138</v>
      </c>
      <c r="B134" s="15" t="n">
        <v>0.1</v>
      </c>
      <c r="C134" s="1" t="s">
        <v>34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35"/>
    <col collapsed="false" customWidth="true" hidden="false" outlineLevel="0" max="4" min="3" style="1" width="18"/>
  </cols>
  <sheetData>
    <row r="1" customFormat="false" ht="17.25" hidden="false" customHeight="true" outlineLevel="0" collapsed="false">
      <c r="A1" s="21" t="s">
        <v>238</v>
      </c>
    </row>
    <row r="3" customFormat="false" ht="15" hidden="false" customHeight="true" outlineLevel="0" collapsed="false">
      <c r="A3" s="1" t="s">
        <v>223</v>
      </c>
      <c r="B3" s="26" t="n">
        <f aca="false">'Collections &amp; Sales'!B11</f>
        <v>0</v>
      </c>
    </row>
    <row r="5" customFormat="false" ht="15" hidden="false" customHeight="true" outlineLevel="0" collapsed="false">
      <c r="A5" s="29" t="s">
        <v>224</v>
      </c>
      <c r="B5" s="29" t="s">
        <v>225</v>
      </c>
      <c r="C5" s="29" t="s">
        <v>226</v>
      </c>
      <c r="D5" s="29" t="s">
        <v>227</v>
      </c>
    </row>
    <row r="6" customFormat="false" ht="15" hidden="false" customHeight="true" outlineLevel="0" collapsed="false">
      <c r="A6" s="1" t="s">
        <v>228</v>
      </c>
      <c r="B6" s="1" t="s">
        <v>229</v>
      </c>
      <c r="C6" s="9" t="n">
        <v>50000</v>
      </c>
      <c r="D6" s="9" t="n">
        <f aca="false">B3-C6</f>
        <v>-50000</v>
      </c>
    </row>
    <row r="7" customFormat="false" ht="15" hidden="false" customHeight="true" outlineLevel="0" collapsed="false">
      <c r="A7" s="1" t="s">
        <v>230</v>
      </c>
      <c r="B7" s="1" t="s">
        <v>231</v>
      </c>
      <c r="C7" s="26" t="n">
        <v>7000000</v>
      </c>
      <c r="D7" s="9" t="n">
        <f aca="false">B3-C7</f>
        <v>-7000000</v>
      </c>
    </row>
    <row r="8" customFormat="false" ht="15" hidden="false" customHeight="true" outlineLevel="0" collapsed="false">
      <c r="A8" s="1" t="s">
        <v>232</v>
      </c>
      <c r="B8" s="1" t="s">
        <v>233</v>
      </c>
      <c r="C8" s="26" t="n">
        <v>2000000</v>
      </c>
      <c r="D8" s="9" t="n">
        <f aca="false">D7-C8</f>
        <v>-9000000</v>
      </c>
    </row>
    <row r="9" customFormat="false" ht="15" hidden="false" customHeight="true" outlineLevel="0" collapsed="false">
      <c r="A9" s="1" t="s">
        <v>234</v>
      </c>
      <c r="B9" s="1" t="s">
        <v>235</v>
      </c>
      <c r="C9" s="26" t="n">
        <v>4000000</v>
      </c>
      <c r="D9" s="9" t="n">
        <f aca="false">D8-C9</f>
        <v>-13000000</v>
      </c>
    </row>
    <row r="10" customFormat="false" ht="15" hidden="false" customHeight="true" outlineLevel="0" collapsed="false">
      <c r="A10" s="1" t="s">
        <v>236</v>
      </c>
      <c r="B10" s="1" t="s">
        <v>239</v>
      </c>
      <c r="C10" s="26" t="n">
        <f aca="false">'Control Panel'!B11</f>
        <v>400000000</v>
      </c>
      <c r="D10" s="9" t="n">
        <f aca="false">D9-C10</f>
        <v>-413000000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7" min="1" style="1" width="15"/>
  </cols>
  <sheetData>
    <row r="1" customFormat="false" ht="17.25" hidden="false" customHeight="true" outlineLevel="0" collapsed="false">
      <c r="A1" s="21" t="s">
        <v>240</v>
      </c>
    </row>
    <row r="3" customFormat="false" ht="15" hidden="false" customHeight="true" outlineLevel="0" collapsed="false">
      <c r="A3" s="29" t="s">
        <v>241</v>
      </c>
      <c r="B3" s="29" t="s">
        <v>242</v>
      </c>
      <c r="C3" s="29" t="s">
        <v>243</v>
      </c>
      <c r="D3" s="29" t="s">
        <v>244</v>
      </c>
      <c r="E3" s="29" t="s">
        <v>245</v>
      </c>
      <c r="F3" s="29" t="s">
        <v>197</v>
      </c>
      <c r="G3" s="29" t="s">
        <v>202</v>
      </c>
    </row>
    <row r="4" customFormat="false" ht="15" hidden="false" customHeight="true" outlineLevel="0" collapsed="false">
      <c r="A4" s="37" t="n">
        <v>45658</v>
      </c>
      <c r="B4" s="26" t="n">
        <f aca="false">'Control Panel'!B11</f>
        <v>400000000</v>
      </c>
      <c r="C4" s="26" t="n">
        <f aca="false">'Control Panel'!B12</f>
        <v>75000000</v>
      </c>
      <c r="D4" s="26" t="n">
        <f aca="false">'Control Panel'!B13</f>
        <v>325000000</v>
      </c>
      <c r="E4" s="9" t="n">
        <f aca="false">B4+C4+D4</f>
        <v>800000000</v>
      </c>
      <c r="F4" s="26" t="n">
        <f aca="false">'Borrowing Base - Daily'!B5</f>
        <v>708234575.85</v>
      </c>
      <c r="G4" s="20" t="n">
        <f aca="false">(F4-B4)/F4</f>
        <v>0.435215374058894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5" min="1" style="1" width="25"/>
  </cols>
  <sheetData>
    <row r="1" customFormat="false" ht="17.25" hidden="false" customHeight="true" outlineLevel="0" collapsed="false">
      <c r="A1" s="21" t="s">
        <v>246</v>
      </c>
    </row>
    <row r="3" customFormat="false" ht="15" hidden="false" customHeight="true" outlineLevel="0" collapsed="false">
      <c r="A3" s="29" t="s">
        <v>247</v>
      </c>
      <c r="B3" s="29" t="s">
        <v>248</v>
      </c>
      <c r="C3" s="29" t="s">
        <v>249</v>
      </c>
      <c r="D3" s="29" t="s">
        <v>250</v>
      </c>
      <c r="E3" s="29" t="s">
        <v>251</v>
      </c>
    </row>
    <row r="4" customFormat="false" ht="15" hidden="false" customHeight="true" outlineLevel="0" collapsed="false">
      <c r="A4" s="1" t="s">
        <v>220</v>
      </c>
      <c r="B4" s="27" t="n">
        <f aca="false">'Control Panel'!B116</f>
        <v>5</v>
      </c>
      <c r="C4" s="27" t="str">
        <f aca="false">'Control Panel'!B90</f>
        <v>Stable</v>
      </c>
      <c r="D4" s="27" t="n">
        <f aca="false">'Control Panel'!B95</f>
        <v>0</v>
      </c>
      <c r="E4" s="13" t="str">
        <f aca="false">IF(D4&lt;B4,"⚠ BREACH","✓ OK")</f>
        <v>⚠ BREACH</v>
      </c>
    </row>
    <row r="5" customFormat="false" ht="15" hidden="false" customHeight="true" outlineLevel="0" collapsed="false">
      <c r="A5" s="1" t="s">
        <v>252</v>
      </c>
      <c r="B5" s="27" t="n">
        <f aca="false">'Control Panel'!B117</f>
        <v>0</v>
      </c>
      <c r="C5" s="38" t="n">
        <v>0.001</v>
      </c>
      <c r="D5" s="38" t="n">
        <v>0.001</v>
      </c>
      <c r="E5" s="13" t="str">
        <f aca="false">IF(D5&gt;B5,"⚠ BREACH","✓ OK")</f>
        <v>⚠ BREACH</v>
      </c>
    </row>
    <row r="6" customFormat="false" ht="15" hidden="false" customHeight="true" outlineLevel="0" collapsed="false">
      <c r="A6" s="1" t="s">
        <v>253</v>
      </c>
      <c r="B6" s="27" t="n">
        <f aca="false">'Control Panel'!B118</f>
        <v>0</v>
      </c>
      <c r="C6" s="38" t="n">
        <v>0.01</v>
      </c>
      <c r="D6" s="38" t="n">
        <v>0.01</v>
      </c>
      <c r="E6" s="13" t="str">
        <f aca="false">IF(D6&gt;B6,"⚠ BREACH","✓ OK")</f>
        <v>⚠ BREACH</v>
      </c>
    </row>
    <row r="7" customFormat="false" ht="15" hidden="false" customHeight="true" outlineLevel="0" collapsed="false">
      <c r="A7" s="1" t="s">
        <v>254</v>
      </c>
      <c r="B7" s="39" t="s">
        <v>255</v>
      </c>
      <c r="C7" s="31" t="str">
        <f aca="false">IF('Borrowing Base - Settlement'!B6&gt;0,"BREACH","OK")</f>
        <v>BREACH</v>
      </c>
      <c r="D7" s="39" t="s">
        <v>256</v>
      </c>
      <c r="E7" s="13" t="str">
        <f aca="false">C7</f>
        <v>BREACH</v>
      </c>
    </row>
    <row r="10" customFormat="false" ht="15" hidden="false" customHeight="true" outlineLevel="0" collapsed="false">
      <c r="A10" s="6" t="s">
        <v>257</v>
      </c>
      <c r="B10" s="40" t="str">
        <f aca="false">IF(COUNTIF(E4:E7,"⚠ BREACH")&gt;0,"⚠⚠⚠ YES - AMORTISATION COMMENCED","✓ NO - REVOLVING")</f>
        <v>⚠⚠⚠ YES - AMORTISATION COMMENCED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20"/>
  </cols>
  <sheetData>
    <row r="1" customFormat="false" ht="17.25" hidden="false" customHeight="true" outlineLevel="0" collapsed="false">
      <c r="A1" s="21" t="s">
        <v>258</v>
      </c>
    </row>
    <row r="3" customFormat="false" ht="15" hidden="false" customHeight="true" outlineLevel="0" collapsed="false">
      <c r="A3" s="35" t="s">
        <v>259</v>
      </c>
    </row>
    <row r="5" customFormat="false" ht="15" hidden="false" customHeight="true" outlineLevel="0" collapsed="false">
      <c r="A5" s="13" t="s">
        <v>197</v>
      </c>
      <c r="B5" s="26" t="n">
        <f aca="false">'Borrowing Base - Daily'!B5</f>
        <v>708234575.85</v>
      </c>
    </row>
    <row r="6" customFormat="false" ht="15" hidden="false" customHeight="true" outlineLevel="0" collapsed="false">
      <c r="A6" s="13" t="s">
        <v>260</v>
      </c>
      <c r="B6" s="26" t="n">
        <f aca="false">'Note Balances'!B4</f>
        <v>400000000</v>
      </c>
    </row>
    <row r="7" customFormat="false" ht="15" hidden="false" customHeight="true" outlineLevel="0" collapsed="false">
      <c r="A7" s="13" t="s">
        <v>202</v>
      </c>
      <c r="B7" s="27" t="n">
        <f aca="false">'Note Balances'!G4</f>
        <v>0.435215374058894</v>
      </c>
    </row>
    <row r="8" customFormat="false" ht="15" hidden="false" customHeight="true" outlineLevel="0" collapsed="false">
      <c r="A8" s="13" t="s">
        <v>261</v>
      </c>
      <c r="B8" s="26" t="n">
        <f aca="false">'Note Balances'!F4-'Note Balances'!B4</f>
        <v>308234575.85</v>
      </c>
    </row>
    <row r="9" customFormat="false" ht="15" hidden="false" customHeight="true" outlineLevel="0" collapsed="false">
      <c r="A9" s="13" t="s">
        <v>262</v>
      </c>
      <c r="B9" s="26" t="n">
        <f aca="false">'Borrowing Base - Settlement'!B6-'Note Balances'!B4</f>
        <v>0</v>
      </c>
    </row>
    <row r="10" customFormat="false" ht="15" hidden="false" customHeight="true" outlineLevel="0" collapsed="false">
      <c r="B10" s="13"/>
    </row>
    <row r="11" customFormat="false" ht="15" hidden="false" customHeight="true" outlineLevel="0" collapsed="false">
      <c r="A11" s="13" t="s">
        <v>263</v>
      </c>
      <c r="B11" s="27" t="str">
        <f aca="false">'Control Panel'!B90</f>
        <v>Stable</v>
      </c>
    </row>
    <row r="12" customFormat="false" ht="15" hidden="false" customHeight="true" outlineLevel="0" collapsed="false">
      <c r="A12" s="13" t="s">
        <v>193</v>
      </c>
      <c r="B12" s="36" t="n">
        <f aca="false">'Eligibility &amp; Concentration'!B8</f>
        <v>63.9129729164592</v>
      </c>
    </row>
    <row r="13" customFormat="false" ht="15" hidden="false" customHeight="true" outlineLevel="0" collapsed="false">
      <c r="A13" s="13" t="s">
        <v>264</v>
      </c>
      <c r="B13" s="27" t="n">
        <v>5000000</v>
      </c>
    </row>
    <row r="14" customFormat="false" ht="15" hidden="false" customHeight="true" outlineLevel="0" collapsed="false">
      <c r="B14" s="13"/>
    </row>
    <row r="15" customFormat="false" ht="15" hidden="false" customHeight="true" outlineLevel="0" collapsed="false">
      <c r="A15" s="13" t="s">
        <v>265</v>
      </c>
      <c r="B15" s="26" t="n">
        <f aca="false">Reserves!B4</f>
        <v>5000000</v>
      </c>
    </row>
    <row r="16" customFormat="false" ht="15" hidden="false" customHeight="true" outlineLevel="0" collapsed="false">
      <c r="A16" s="13" t="s">
        <v>266</v>
      </c>
      <c r="B16" s="26" t="n">
        <f aca="false">'Collections &amp; Sales'!B11</f>
        <v>0</v>
      </c>
    </row>
    <row r="17" customFormat="false" ht="15" hidden="false" customHeight="true" outlineLevel="0" collapsed="false">
      <c r="B17" s="13"/>
    </row>
    <row r="18" customFormat="false" ht="15" hidden="false" customHeight="true" outlineLevel="0" collapsed="false">
      <c r="A18" s="6" t="s">
        <v>267</v>
      </c>
      <c r="B18" s="31" t="n">
        <f aca="false">'Triggers &amp; Events'!B9</f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5" min="1" style="1" width="20"/>
  </cols>
  <sheetData>
    <row r="1" customFormat="false" ht="17.25" hidden="false" customHeight="true" outlineLevel="0" collapsed="false">
      <c r="A1" s="21" t="s">
        <v>268</v>
      </c>
    </row>
    <row r="3" customFormat="false" ht="15" hidden="false" customHeight="true" outlineLevel="0" collapsed="false">
      <c r="A3" s="35" t="s">
        <v>269</v>
      </c>
    </row>
    <row r="5" customFormat="false" ht="15" hidden="false" customHeight="true" outlineLevel="0" collapsed="false">
      <c r="A5" s="29" t="s">
        <v>270</v>
      </c>
      <c r="B5" s="29" t="s">
        <v>271</v>
      </c>
      <c r="C5" s="29" t="s">
        <v>272</v>
      </c>
      <c r="D5" s="29" t="s">
        <v>273</v>
      </c>
      <c r="E5" s="29" t="s">
        <v>274</v>
      </c>
    </row>
    <row r="6" customFormat="false" ht="15" hidden="false" customHeight="true" outlineLevel="0" collapsed="false">
      <c r="A6" s="13" t="s">
        <v>275</v>
      </c>
      <c r="B6" s="38" t="n">
        <v>0.109</v>
      </c>
      <c r="C6" s="38" t="n">
        <v>0.23</v>
      </c>
      <c r="D6" s="41" t="n">
        <v>48</v>
      </c>
      <c r="E6" s="41" t="n">
        <v>999</v>
      </c>
    </row>
    <row r="7" customFormat="false" ht="15" hidden="false" customHeight="true" outlineLevel="0" collapsed="false">
      <c r="A7" s="13" t="s">
        <v>276</v>
      </c>
      <c r="B7" s="38" t="n">
        <v>0.07</v>
      </c>
      <c r="C7" s="38" t="n">
        <v>0.31</v>
      </c>
      <c r="D7" s="41" t="n">
        <v>60</v>
      </c>
      <c r="E7" s="41" t="n">
        <v>12</v>
      </c>
    </row>
    <row r="8" customFormat="false" ht="15" hidden="false" customHeight="true" outlineLevel="0" collapsed="false">
      <c r="A8" s="13" t="s">
        <v>277</v>
      </c>
      <c r="B8" s="38" t="n">
        <v>0.05</v>
      </c>
      <c r="C8" s="38" t="n">
        <v>0.4</v>
      </c>
      <c r="D8" s="41" t="n">
        <v>90</v>
      </c>
      <c r="E8" s="41" t="n">
        <v>6</v>
      </c>
    </row>
    <row r="11" customFormat="false" ht="15" hidden="false" customHeight="true" outlineLevel="0" collapsed="false">
      <c r="A11" s="35" t="s">
        <v>278</v>
      </c>
    </row>
    <row r="13" customFormat="false" ht="15" hidden="false" customHeight="true" outlineLevel="0" collapsed="false">
      <c r="A13" s="29" t="s">
        <v>270</v>
      </c>
      <c r="B13" s="29" t="s">
        <v>202</v>
      </c>
      <c r="C13" s="29" t="s">
        <v>279</v>
      </c>
      <c r="D13" s="29" t="s">
        <v>280</v>
      </c>
      <c r="E13" s="29" t="s">
        <v>281</v>
      </c>
    </row>
    <row r="14" customFormat="false" ht="15" hidden="false" customHeight="true" outlineLevel="0" collapsed="false">
      <c r="A14" s="1" t="s">
        <v>275</v>
      </c>
      <c r="B14" s="33" t="n">
        <f aca="false">'Note Balances'!G4</f>
        <v>0.435215374058894</v>
      </c>
      <c r="C14" s="42" t="n">
        <v>0</v>
      </c>
      <c r="D14" s="43" t="n">
        <v>15.5</v>
      </c>
      <c r="E14" s="13" t="str">
        <f aca="false">IF(B14&gt;0.2,"Strong",IF(B14&gt;0.15,"Adequate","Weak"))</f>
        <v>Strong</v>
      </c>
    </row>
    <row r="15" customFormat="false" ht="15" hidden="false" customHeight="true" outlineLevel="0" collapsed="false">
      <c r="A15" s="1" t="s">
        <v>276</v>
      </c>
      <c r="B15" s="33" t="n">
        <f aca="false">'Note Balances'!G4</f>
        <v>0.435215374058894</v>
      </c>
      <c r="C15" s="42" t="n">
        <v>0</v>
      </c>
      <c r="D15" s="43" t="n">
        <v>15.5</v>
      </c>
      <c r="E15" s="13" t="str">
        <f aca="false">IF(B15&gt;0.2,"Strong",IF(B15&gt;0.15,"Adequate","Weak"))</f>
        <v>Strong</v>
      </c>
    </row>
    <row r="16" customFormat="false" ht="15" hidden="false" customHeight="true" outlineLevel="0" collapsed="false">
      <c r="A16" s="1" t="s">
        <v>277</v>
      </c>
      <c r="B16" s="33" t="n">
        <f aca="false">'Note Balances'!G4</f>
        <v>0.435215374058894</v>
      </c>
      <c r="C16" s="42" t="n">
        <v>0</v>
      </c>
      <c r="D16" s="43" t="n">
        <v>15.5</v>
      </c>
      <c r="E16" s="13" t="str">
        <f aca="false">IF(B16&gt;0.2,"Strong",IF(B16&gt;0.15,"Adequate","Weak"))</f>
        <v>Strong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35"/>
    <col collapsed="false" customWidth="true" hidden="false" outlineLevel="0" max="2" min="2" style="1" width="20"/>
    <col collapsed="false" customWidth="true" hidden="false" outlineLevel="0" max="3" min="3" style="1" width="30"/>
  </cols>
  <sheetData>
    <row r="1" customFormat="false" ht="17.25" hidden="false" customHeight="true" outlineLevel="0" collapsed="false">
      <c r="A1" s="21" t="s">
        <v>282</v>
      </c>
    </row>
    <row r="2" customFormat="false" ht="15" hidden="false" customHeight="true" outlineLevel="0" collapsed="false">
      <c r="A2" s="22" t="s">
        <v>283</v>
      </c>
    </row>
    <row r="4" customFormat="false" ht="15" hidden="false" customHeight="true" outlineLevel="0" collapsed="false">
      <c r="A4" s="29" t="s">
        <v>284</v>
      </c>
      <c r="B4" s="29" t="s">
        <v>251</v>
      </c>
      <c r="C4" s="29" t="s">
        <v>285</v>
      </c>
    </row>
    <row r="5" customFormat="false" ht="15" hidden="false" customHeight="true" outlineLevel="0" collapsed="false">
      <c r="A5" s="1" t="s">
        <v>286</v>
      </c>
      <c r="B5" s="31" t="str">
        <f aca="false">IF('Note Balances'!G4&gt;=0.2,"✓ OK","❌ ERROR")</f>
        <v>✓ OK</v>
      </c>
      <c r="C5" s="33" t="n">
        <f aca="false">'Note Balances'!G4</f>
        <v>0.435215374058894</v>
      </c>
    </row>
    <row r="6" customFormat="false" ht="15" hidden="false" customHeight="true" outlineLevel="0" collapsed="false">
      <c r="A6" s="1" t="s">
        <v>287</v>
      </c>
      <c r="B6" s="31" t="str">
        <f aca="false">IF(ABS('Vehicle Pool'!F164-'Eligibility &amp; Concentration'!B7)&lt;100000,"✓ OK","❌ ERROR")</f>
        <v>❌ ERROR</v>
      </c>
      <c r="C6" s="31" t="n">
        <f aca="false">'Vehicle Pool'!F164-'Eligibility &amp; Concentration'!B7</f>
        <v>3588570</v>
      </c>
    </row>
    <row r="7" customFormat="false" ht="15" hidden="false" customHeight="true" outlineLevel="0" collapsed="false">
      <c r="A7" s="1" t="s">
        <v>288</v>
      </c>
      <c r="B7" s="31" t="str">
        <f aca="false">IF('Borrowing Base - Settlement'!B6&gt;='Note Balances'!B4,"✓ OK","⚠ BREACH")</f>
        <v>✓ OK</v>
      </c>
      <c r="C7" s="31" t="n">
        <f aca="false">'Borrowing Base - Settlement'!B6-'Note Balances'!B4</f>
        <v>0</v>
      </c>
    </row>
    <row r="8" customFormat="false" ht="15" hidden="false" customHeight="true" outlineLevel="0" collapsed="false">
      <c r="A8" s="1" t="s">
        <v>289</v>
      </c>
      <c r="B8" s="13" t="s">
        <v>290</v>
      </c>
      <c r="C8" s="13" t="s">
        <v>291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"/>
    <col collapsed="false" customWidth="true" hidden="false" outlineLevel="0" max="3" min="2" style="1" width="12"/>
    <col collapsed="false" customWidth="true" hidden="false" outlineLevel="0" max="4" min="4" style="1" width="10"/>
    <col collapsed="false" customWidth="true" hidden="false" outlineLevel="0" max="5" min="5" style="1" width="12"/>
    <col collapsed="false" customWidth="true" hidden="false" outlineLevel="0" max="7" min="6" style="1" width="15"/>
    <col collapsed="false" customWidth="true" hidden="false" outlineLevel="0" max="9" min="8" style="1" width="12"/>
    <col collapsed="false" customWidth="true" hidden="false" outlineLevel="0" max="10" min="10" style="1" width="10"/>
    <col collapsed="false" customWidth="true" hidden="false" outlineLevel="0" max="13" min="11" style="1" width="12"/>
    <col collapsed="false" customWidth="true" hidden="false" outlineLevel="0" max="15" min="14" style="1" width="15"/>
    <col collapsed="false" customWidth="true" hidden="false" outlineLevel="0" max="16" min="16" style="1" width="12"/>
    <col collapsed="false" customWidth="true" hidden="false" outlineLevel="0" max="18" min="17" style="1" width="15"/>
    <col collapsed="false" customWidth="true" hidden="false" outlineLevel="0" max="19" min="19" style="1" width="12"/>
    <col collapsed="false" customWidth="true" hidden="false" outlineLevel="0" max="21" min="20" style="1" width="15"/>
  </cols>
  <sheetData>
    <row r="1" customFormat="false" ht="17.25" hidden="false" customHeight="true" outlineLevel="0" collapsed="false">
      <c r="A1" s="21" t="s">
        <v>139</v>
      </c>
    </row>
    <row r="2" customFormat="false" ht="15" hidden="false" customHeight="true" outlineLevel="0" collapsed="false">
      <c r="A2" s="22" t="s">
        <v>140</v>
      </c>
    </row>
    <row r="3" customFormat="false" ht="15" hidden="false" customHeight="true" outlineLevel="0" collapsed="false">
      <c r="A3" s="23" t="s">
        <v>141</v>
      </c>
    </row>
    <row r="5" customFormat="false" ht="23.25" hidden="false" customHeight="true" outlineLevel="0" collapsed="false">
      <c r="A5" s="24" t="s">
        <v>142</v>
      </c>
      <c r="B5" s="24" t="s">
        <v>143</v>
      </c>
      <c r="C5" s="24" t="s">
        <v>144</v>
      </c>
      <c r="D5" s="24" t="s">
        <v>145</v>
      </c>
      <c r="E5" s="24" t="s">
        <v>146</v>
      </c>
      <c r="F5" s="24" t="s">
        <v>147</v>
      </c>
      <c r="G5" s="24" t="s">
        <v>148</v>
      </c>
      <c r="H5" s="24" t="s">
        <v>149</v>
      </c>
      <c r="I5" s="24" t="s">
        <v>150</v>
      </c>
      <c r="J5" s="24" t="s">
        <v>151</v>
      </c>
      <c r="K5" s="24" t="s">
        <v>152</v>
      </c>
      <c r="L5" s="24" t="s">
        <v>153</v>
      </c>
      <c r="M5" s="24" t="s">
        <v>154</v>
      </c>
      <c r="N5" s="24" t="s">
        <v>155</v>
      </c>
      <c r="O5" s="24" t="s">
        <v>156</v>
      </c>
      <c r="P5" s="24" t="s">
        <v>157</v>
      </c>
      <c r="Q5" s="24" t="s">
        <v>158</v>
      </c>
      <c r="R5" s="24" t="s">
        <v>159</v>
      </c>
      <c r="S5" s="24" t="s">
        <v>160</v>
      </c>
      <c r="T5" s="24" t="s">
        <v>161</v>
      </c>
      <c r="U5" s="24" t="s">
        <v>162</v>
      </c>
    </row>
    <row r="6" customFormat="false" ht="15" hidden="false" customHeight="true" outlineLevel="0" collapsed="false">
      <c r="A6" s="13" t="n">
        <v>1</v>
      </c>
      <c r="B6" s="13" t="s">
        <v>163</v>
      </c>
      <c r="C6" s="13" t="s">
        <v>164</v>
      </c>
      <c r="D6" s="13" t="s">
        <v>165</v>
      </c>
      <c r="E6" s="25" t="n">
        <v>8879</v>
      </c>
      <c r="F6" s="9" t="n">
        <v>90565008</v>
      </c>
      <c r="G6" s="9" t="n">
        <v>10199.9108007659</v>
      </c>
      <c r="H6" s="13" t="n">
        <v>6</v>
      </c>
      <c r="I6" s="25" t="n">
        <v>170000</v>
      </c>
      <c r="J6" s="13" t="n">
        <v>35</v>
      </c>
      <c r="K6" s="13" t="s">
        <v>166</v>
      </c>
      <c r="L6" s="13" t="s">
        <v>26</v>
      </c>
      <c r="M6" s="13" t="s">
        <v>21</v>
      </c>
      <c r="N6" s="13" t="s">
        <v>21</v>
      </c>
      <c r="O6" s="26" t="n">
        <f aca="false">G6*(1+P6)</f>
        <v>10199.9108007659</v>
      </c>
      <c r="P6" s="27" t="n">
        <f aca="false">'Control Panel'!$B$95</f>
        <v>0</v>
      </c>
      <c r="Q6" s="9" t="n">
        <v>1811300.16</v>
      </c>
      <c r="R6" s="26" t="n">
        <f aca="false">IF(L6="Yes",F6,0)</f>
        <v>90565008</v>
      </c>
      <c r="S6" s="27" t="n">
        <f aca="false">'Control Panel'!$B$112+0</f>
        <v>0</v>
      </c>
      <c r="T6" s="26" t="n">
        <f aca="false">R6*S6</f>
        <v>0</v>
      </c>
      <c r="U6" s="26" t="n">
        <f aca="false">R6-T6</f>
        <v>90565008</v>
      </c>
    </row>
    <row r="7" customFormat="false" ht="15" hidden="false" customHeight="true" outlineLevel="0" collapsed="false">
      <c r="A7" s="13" t="n">
        <v>2</v>
      </c>
      <c r="B7" s="13" t="s">
        <v>163</v>
      </c>
      <c r="C7" s="13" t="s">
        <v>164</v>
      </c>
      <c r="D7" s="13" t="s">
        <v>167</v>
      </c>
      <c r="E7" s="25" t="n">
        <v>6780</v>
      </c>
      <c r="F7" s="9" t="n">
        <v>69158733</v>
      </c>
      <c r="G7" s="9" t="n">
        <v>10200.4030973451</v>
      </c>
      <c r="H7" s="13" t="n">
        <v>6</v>
      </c>
      <c r="I7" s="25" t="n">
        <v>170000</v>
      </c>
      <c r="J7" s="13" t="n">
        <v>35</v>
      </c>
      <c r="K7" s="13" t="s">
        <v>166</v>
      </c>
      <c r="L7" s="13" t="s">
        <v>26</v>
      </c>
      <c r="M7" s="13" t="s">
        <v>21</v>
      </c>
      <c r="N7" s="13" t="s">
        <v>21</v>
      </c>
      <c r="O7" s="26" t="n">
        <f aca="false">G7*(1+P7)</f>
        <v>10200.4030973451</v>
      </c>
      <c r="P7" s="27" t="n">
        <f aca="false">'Control Panel'!$B$95</f>
        <v>0</v>
      </c>
      <c r="Q7" s="9" t="n">
        <v>1383174.66</v>
      </c>
      <c r="R7" s="26" t="n">
        <f aca="false">IF(L7="Yes",F7,0)</f>
        <v>69158733</v>
      </c>
      <c r="S7" s="27" t="n">
        <f aca="false">'Control Panel'!$B$112+0</f>
        <v>0</v>
      </c>
      <c r="T7" s="26" t="n">
        <f aca="false">R7*S7</f>
        <v>0</v>
      </c>
      <c r="U7" s="26" t="n">
        <f aca="false">R7-T7</f>
        <v>69158733</v>
      </c>
    </row>
    <row r="8" customFormat="false" ht="15" hidden="false" customHeight="true" outlineLevel="0" collapsed="false">
      <c r="A8" s="13" t="n">
        <v>3</v>
      </c>
      <c r="B8" s="13" t="s">
        <v>163</v>
      </c>
      <c r="C8" s="13" t="s">
        <v>164</v>
      </c>
      <c r="D8" s="13" t="s">
        <v>168</v>
      </c>
      <c r="E8" s="25" t="n">
        <v>484</v>
      </c>
      <c r="F8" s="9" t="n">
        <v>4939909</v>
      </c>
      <c r="G8" s="9" t="n">
        <v>10206.423553719</v>
      </c>
      <c r="H8" s="13" t="n">
        <v>6</v>
      </c>
      <c r="I8" s="25" t="n">
        <v>170000</v>
      </c>
      <c r="J8" s="13" t="n">
        <v>35</v>
      </c>
      <c r="K8" s="13" t="s">
        <v>166</v>
      </c>
      <c r="L8" s="13" t="s">
        <v>26</v>
      </c>
      <c r="M8" s="13" t="s">
        <v>21</v>
      </c>
      <c r="N8" s="13" t="s">
        <v>21</v>
      </c>
      <c r="O8" s="26" t="n">
        <f aca="false">G8*(1+P8)</f>
        <v>10206.423553719</v>
      </c>
      <c r="P8" s="27" t="n">
        <f aca="false">'Control Panel'!$B$95</f>
        <v>0</v>
      </c>
      <c r="Q8" s="9" t="n">
        <v>98798.18</v>
      </c>
      <c r="R8" s="26" t="n">
        <f aca="false">IF(L8="Yes",F8,0)</f>
        <v>4939909</v>
      </c>
      <c r="S8" s="27" t="n">
        <f aca="false">'Control Panel'!$B$112+0</f>
        <v>0</v>
      </c>
      <c r="T8" s="26" t="n">
        <f aca="false">R8*S8</f>
        <v>0</v>
      </c>
      <c r="U8" s="26" t="n">
        <f aca="false">R8-T8</f>
        <v>4939909</v>
      </c>
    </row>
    <row r="9" customFormat="false" ht="15" hidden="false" customHeight="true" outlineLevel="0" collapsed="false">
      <c r="A9" s="13" t="n">
        <v>4</v>
      </c>
      <c r="B9" s="13" t="s">
        <v>163</v>
      </c>
      <c r="C9" s="13" t="s">
        <v>169</v>
      </c>
      <c r="D9" s="13" t="s">
        <v>165</v>
      </c>
      <c r="E9" s="25" t="n">
        <v>3805</v>
      </c>
      <c r="F9" s="9" t="n">
        <v>38813574</v>
      </c>
      <c r="G9" s="9" t="n">
        <v>10200.676478318</v>
      </c>
      <c r="H9" s="13" t="n">
        <v>6</v>
      </c>
      <c r="I9" s="25" t="n">
        <v>170000</v>
      </c>
      <c r="J9" s="13" t="n">
        <v>35</v>
      </c>
      <c r="K9" s="13" t="s">
        <v>170</v>
      </c>
      <c r="L9" s="13" t="s">
        <v>26</v>
      </c>
      <c r="M9" s="13" t="s">
        <v>21</v>
      </c>
      <c r="N9" s="13" t="s">
        <v>21</v>
      </c>
      <c r="O9" s="26" t="n">
        <f aca="false">G9*(1+P9)</f>
        <v>10200.676478318</v>
      </c>
      <c r="P9" s="27" t="n">
        <f aca="false">'Control Panel'!$B$95</f>
        <v>0</v>
      </c>
      <c r="Q9" s="9" t="n">
        <v>776271.48</v>
      </c>
      <c r="R9" s="26" t="n">
        <f aca="false">IF(L9="Yes",F9,0)</f>
        <v>38813574</v>
      </c>
      <c r="S9" s="27" t="n">
        <f aca="false">'Control Panel'!$B$112+0</f>
        <v>0</v>
      </c>
      <c r="T9" s="26" t="n">
        <f aca="false">R9*S9</f>
        <v>0</v>
      </c>
      <c r="U9" s="26" t="n">
        <f aca="false">R9-T9</f>
        <v>38813574</v>
      </c>
    </row>
    <row r="10" customFormat="false" ht="15" hidden="false" customHeight="true" outlineLevel="0" collapsed="false">
      <c r="A10" s="13" t="n">
        <v>5</v>
      </c>
      <c r="B10" s="13" t="s">
        <v>163</v>
      </c>
      <c r="C10" s="13" t="s">
        <v>169</v>
      </c>
      <c r="D10" s="13" t="s">
        <v>167</v>
      </c>
      <c r="E10" s="25" t="n">
        <v>2905</v>
      </c>
      <c r="F10" s="9" t="n">
        <v>29639457</v>
      </c>
      <c r="G10" s="9" t="n">
        <v>10202.9111876076</v>
      </c>
      <c r="H10" s="13" t="n">
        <v>6</v>
      </c>
      <c r="I10" s="25" t="n">
        <v>170000</v>
      </c>
      <c r="J10" s="13" t="n">
        <v>35</v>
      </c>
      <c r="K10" s="13" t="s">
        <v>170</v>
      </c>
      <c r="L10" s="13" t="s">
        <v>26</v>
      </c>
      <c r="M10" s="13" t="s">
        <v>21</v>
      </c>
      <c r="N10" s="13" t="s">
        <v>21</v>
      </c>
      <c r="O10" s="26" t="n">
        <f aca="false">G10*(1+P10)</f>
        <v>10202.9111876076</v>
      </c>
      <c r="P10" s="27" t="n">
        <f aca="false">'Control Panel'!$B$95</f>
        <v>0</v>
      </c>
      <c r="Q10" s="9" t="n">
        <v>592789.14</v>
      </c>
      <c r="R10" s="26" t="n">
        <f aca="false">IF(L10="Yes",F10,0)</f>
        <v>29639457</v>
      </c>
      <c r="S10" s="27" t="n">
        <f aca="false">'Control Panel'!$B$112+0</f>
        <v>0</v>
      </c>
      <c r="T10" s="26" t="n">
        <f aca="false">R10*S10</f>
        <v>0</v>
      </c>
      <c r="U10" s="26" t="n">
        <f aca="false">R10-T10</f>
        <v>29639457</v>
      </c>
    </row>
    <row r="11" customFormat="false" ht="15" hidden="false" customHeight="true" outlineLevel="0" collapsed="false">
      <c r="A11" s="13" t="n">
        <v>6</v>
      </c>
      <c r="B11" s="13" t="s">
        <v>163</v>
      </c>
      <c r="C11" s="13" t="s">
        <v>169</v>
      </c>
      <c r="D11" s="13" t="s">
        <v>168</v>
      </c>
      <c r="E11" s="25" t="n">
        <v>207</v>
      </c>
      <c r="F11" s="9" t="n">
        <v>2117104</v>
      </c>
      <c r="G11" s="9" t="n">
        <v>10227.5555555556</v>
      </c>
      <c r="H11" s="13" t="n">
        <v>6</v>
      </c>
      <c r="I11" s="25" t="n">
        <v>170000</v>
      </c>
      <c r="J11" s="13" t="n">
        <v>35</v>
      </c>
      <c r="K11" s="13" t="s">
        <v>170</v>
      </c>
      <c r="L11" s="13" t="s">
        <v>26</v>
      </c>
      <c r="M11" s="13" t="s">
        <v>21</v>
      </c>
      <c r="N11" s="13" t="s">
        <v>21</v>
      </c>
      <c r="O11" s="26" t="n">
        <f aca="false">G11*(1+P11)</f>
        <v>10227.5555555556</v>
      </c>
      <c r="P11" s="27" t="n">
        <f aca="false">'Control Panel'!$B$95</f>
        <v>0</v>
      </c>
      <c r="Q11" s="9" t="n">
        <v>42342.08</v>
      </c>
      <c r="R11" s="26" t="n">
        <f aca="false">IF(L11="Yes",F11,0)</f>
        <v>2117104</v>
      </c>
      <c r="S11" s="27" t="n">
        <f aca="false">'Control Panel'!$B$112+0</f>
        <v>0</v>
      </c>
      <c r="T11" s="26" t="n">
        <f aca="false">R11*S11</f>
        <v>0</v>
      </c>
      <c r="U11" s="26" t="n">
        <f aca="false">R11-T11</f>
        <v>2117104</v>
      </c>
    </row>
    <row r="12" customFormat="false" ht="15" hidden="false" customHeight="true" outlineLevel="0" collapsed="false">
      <c r="A12" s="13" t="n">
        <v>7</v>
      </c>
      <c r="B12" s="13" t="s">
        <v>163</v>
      </c>
      <c r="C12" s="13" t="s">
        <v>171</v>
      </c>
      <c r="D12" s="13" t="s">
        <v>165</v>
      </c>
      <c r="E12" s="25" t="n">
        <v>3044</v>
      </c>
      <c r="F12" s="9" t="n">
        <v>31050859</v>
      </c>
      <c r="G12" s="9" t="n">
        <v>10200.676412615</v>
      </c>
      <c r="H12" s="13" t="n">
        <v>6</v>
      </c>
      <c r="I12" s="25" t="n">
        <v>170000</v>
      </c>
      <c r="J12" s="13" t="n">
        <v>35</v>
      </c>
      <c r="K12" s="13" t="s">
        <v>170</v>
      </c>
      <c r="L12" s="13" t="s">
        <v>26</v>
      </c>
      <c r="M12" s="13" t="s">
        <v>21</v>
      </c>
      <c r="N12" s="13" t="s">
        <v>21</v>
      </c>
      <c r="O12" s="26" t="n">
        <f aca="false">G12*(1+P12)</f>
        <v>10200.676412615</v>
      </c>
      <c r="P12" s="27" t="n">
        <f aca="false">'Control Panel'!$B$95</f>
        <v>0</v>
      </c>
      <c r="Q12" s="9" t="n">
        <v>621017.18</v>
      </c>
      <c r="R12" s="26" t="n">
        <f aca="false">IF(L12="Yes",F12,0)</f>
        <v>31050859</v>
      </c>
      <c r="S12" s="27" t="n">
        <f aca="false">'Control Panel'!$B$112+0</f>
        <v>0</v>
      </c>
      <c r="T12" s="26" t="n">
        <f aca="false">R12*S12</f>
        <v>0</v>
      </c>
      <c r="U12" s="26" t="n">
        <f aca="false">R12-T12</f>
        <v>31050859</v>
      </c>
    </row>
    <row r="13" customFormat="false" ht="15" hidden="false" customHeight="true" outlineLevel="0" collapsed="false">
      <c r="A13" s="13" t="n">
        <v>8</v>
      </c>
      <c r="B13" s="13" t="s">
        <v>163</v>
      </c>
      <c r="C13" s="13" t="s">
        <v>171</v>
      </c>
      <c r="D13" s="13" t="s">
        <v>167</v>
      </c>
      <c r="E13" s="25" t="n">
        <v>2324</v>
      </c>
      <c r="F13" s="9" t="n">
        <v>23711565</v>
      </c>
      <c r="G13" s="9" t="n">
        <v>10202.910929432</v>
      </c>
      <c r="H13" s="13" t="n">
        <v>6</v>
      </c>
      <c r="I13" s="25" t="n">
        <v>170000</v>
      </c>
      <c r="J13" s="13" t="n">
        <v>35</v>
      </c>
      <c r="K13" s="13" t="s">
        <v>170</v>
      </c>
      <c r="L13" s="13" t="s">
        <v>26</v>
      </c>
      <c r="M13" s="13" t="s">
        <v>21</v>
      </c>
      <c r="N13" s="13" t="s">
        <v>21</v>
      </c>
      <c r="O13" s="26" t="n">
        <f aca="false">G13*(1+P13)</f>
        <v>10202.910929432</v>
      </c>
      <c r="P13" s="27" t="n">
        <f aca="false">'Control Panel'!$B$95</f>
        <v>0</v>
      </c>
      <c r="Q13" s="9" t="n">
        <v>474231.3</v>
      </c>
      <c r="R13" s="26" t="n">
        <f aca="false">IF(L13="Yes",F13,0)</f>
        <v>23711565</v>
      </c>
      <c r="S13" s="27" t="n">
        <f aca="false">'Control Panel'!$B$112+0</f>
        <v>0</v>
      </c>
      <c r="T13" s="26" t="n">
        <f aca="false">R13*S13</f>
        <v>0</v>
      </c>
      <c r="U13" s="26" t="n">
        <f aca="false">R13-T13</f>
        <v>23711565</v>
      </c>
    </row>
    <row r="14" customFormat="false" ht="15" hidden="false" customHeight="true" outlineLevel="0" collapsed="false">
      <c r="A14" s="13" t="n">
        <v>9</v>
      </c>
      <c r="B14" s="13" t="s">
        <v>163</v>
      </c>
      <c r="C14" s="13" t="s">
        <v>171</v>
      </c>
      <c r="D14" s="13" t="s">
        <v>168</v>
      </c>
      <c r="E14" s="25" t="n">
        <v>166</v>
      </c>
      <c r="F14" s="9" t="n">
        <v>1693683</v>
      </c>
      <c r="G14" s="9" t="n">
        <v>10202.9096385542</v>
      </c>
      <c r="H14" s="13" t="n">
        <v>6</v>
      </c>
      <c r="I14" s="25" t="n">
        <v>170000</v>
      </c>
      <c r="J14" s="13" t="n">
        <v>35</v>
      </c>
      <c r="K14" s="13" t="s">
        <v>170</v>
      </c>
      <c r="L14" s="13" t="s">
        <v>26</v>
      </c>
      <c r="M14" s="13" t="s">
        <v>21</v>
      </c>
      <c r="N14" s="13" t="s">
        <v>21</v>
      </c>
      <c r="O14" s="26" t="n">
        <f aca="false">G14*(1+P14)</f>
        <v>10202.9096385542</v>
      </c>
      <c r="P14" s="27" t="n">
        <f aca="false">'Control Panel'!$B$95</f>
        <v>0</v>
      </c>
      <c r="Q14" s="9" t="n">
        <v>33873.66</v>
      </c>
      <c r="R14" s="26" t="n">
        <f aca="false">IF(L14="Yes",F14,0)</f>
        <v>1693683</v>
      </c>
      <c r="S14" s="27" t="n">
        <f aca="false">'Control Panel'!$B$112+0</f>
        <v>0</v>
      </c>
      <c r="T14" s="26" t="n">
        <f aca="false">R14*S14</f>
        <v>0</v>
      </c>
      <c r="U14" s="26" t="n">
        <f aca="false">R14-T14</f>
        <v>1693683</v>
      </c>
    </row>
    <row r="15" customFormat="false" ht="15" hidden="false" customHeight="true" outlineLevel="0" collapsed="false">
      <c r="A15" s="13" t="n">
        <v>10</v>
      </c>
      <c r="B15" s="13" t="s">
        <v>163</v>
      </c>
      <c r="C15" s="13" t="s">
        <v>172</v>
      </c>
      <c r="D15" s="13" t="s">
        <v>165</v>
      </c>
      <c r="E15" s="25" t="n">
        <v>2536</v>
      </c>
      <c r="F15" s="9" t="n">
        <v>25875716</v>
      </c>
      <c r="G15" s="9" t="n">
        <v>10203.358044164</v>
      </c>
      <c r="H15" s="13" t="n">
        <v>6</v>
      </c>
      <c r="I15" s="25" t="n">
        <v>170000</v>
      </c>
      <c r="J15" s="13" t="n">
        <v>35</v>
      </c>
      <c r="K15" s="13" t="s">
        <v>170</v>
      </c>
      <c r="L15" s="13" t="s">
        <v>26</v>
      </c>
      <c r="M15" s="13" t="s">
        <v>21</v>
      </c>
      <c r="N15" s="13" t="s">
        <v>21</v>
      </c>
      <c r="O15" s="26" t="n">
        <f aca="false">G15*(1+P15)</f>
        <v>10203.358044164</v>
      </c>
      <c r="P15" s="27" t="n">
        <f aca="false">'Control Panel'!$B$95</f>
        <v>0</v>
      </c>
      <c r="Q15" s="9" t="n">
        <v>517514.32</v>
      </c>
      <c r="R15" s="26" t="n">
        <f aca="false">IF(L15="Yes",F15,0)</f>
        <v>25875716</v>
      </c>
      <c r="S15" s="27" t="n">
        <f aca="false">'Control Panel'!$B$112+0</f>
        <v>0</v>
      </c>
      <c r="T15" s="26" t="n">
        <f aca="false">R15*S15</f>
        <v>0</v>
      </c>
      <c r="U15" s="26" t="n">
        <f aca="false">R15-T15</f>
        <v>25875716</v>
      </c>
    </row>
    <row r="16" customFormat="false" ht="15" hidden="false" customHeight="true" outlineLevel="0" collapsed="false">
      <c r="A16" s="13" t="n">
        <v>11</v>
      </c>
      <c r="B16" s="13" t="s">
        <v>163</v>
      </c>
      <c r="C16" s="13" t="s">
        <v>172</v>
      </c>
      <c r="D16" s="13" t="s">
        <v>167</v>
      </c>
      <c r="E16" s="25" t="n">
        <v>1937</v>
      </c>
      <c r="F16" s="9" t="n">
        <v>19759638</v>
      </c>
      <c r="G16" s="9" t="n">
        <v>10201.1553949406</v>
      </c>
      <c r="H16" s="13" t="n">
        <v>6</v>
      </c>
      <c r="I16" s="25" t="n">
        <v>170000</v>
      </c>
      <c r="J16" s="13" t="n">
        <v>35</v>
      </c>
      <c r="K16" s="13" t="s">
        <v>170</v>
      </c>
      <c r="L16" s="13" t="s">
        <v>26</v>
      </c>
      <c r="M16" s="13" t="s">
        <v>21</v>
      </c>
      <c r="N16" s="13" t="s">
        <v>21</v>
      </c>
      <c r="O16" s="26" t="n">
        <f aca="false">G16*(1+P16)</f>
        <v>10201.1553949406</v>
      </c>
      <c r="P16" s="27" t="n">
        <f aca="false">'Control Panel'!$B$95</f>
        <v>0</v>
      </c>
      <c r="Q16" s="9" t="n">
        <v>395192.76</v>
      </c>
      <c r="R16" s="26" t="n">
        <f aca="false">IF(L16="Yes",F16,0)</f>
        <v>19759638</v>
      </c>
      <c r="S16" s="27" t="n">
        <f aca="false">'Control Panel'!$B$112+0</f>
        <v>0</v>
      </c>
      <c r="T16" s="26" t="n">
        <f aca="false">R16*S16</f>
        <v>0</v>
      </c>
      <c r="U16" s="26" t="n">
        <f aca="false">R16-T16</f>
        <v>19759638</v>
      </c>
    </row>
    <row r="17" customFormat="false" ht="15" hidden="false" customHeight="true" outlineLevel="0" collapsed="false">
      <c r="A17" s="13" t="n">
        <v>12</v>
      </c>
      <c r="B17" s="13" t="s">
        <v>163</v>
      </c>
      <c r="C17" s="13" t="s">
        <v>172</v>
      </c>
      <c r="D17" s="13" t="s">
        <v>168</v>
      </c>
      <c r="E17" s="25" t="n">
        <v>138</v>
      </c>
      <c r="F17" s="9" t="n">
        <v>1411402</v>
      </c>
      <c r="G17" s="9" t="n">
        <v>10227.5507246377</v>
      </c>
      <c r="H17" s="13" t="n">
        <v>6</v>
      </c>
      <c r="I17" s="25" t="n">
        <v>170000</v>
      </c>
      <c r="J17" s="13" t="n">
        <v>35</v>
      </c>
      <c r="K17" s="13" t="s">
        <v>170</v>
      </c>
      <c r="L17" s="13" t="s">
        <v>26</v>
      </c>
      <c r="M17" s="13" t="s">
        <v>21</v>
      </c>
      <c r="N17" s="13" t="s">
        <v>21</v>
      </c>
      <c r="O17" s="26" t="n">
        <f aca="false">G17*(1+P17)</f>
        <v>10227.5507246377</v>
      </c>
      <c r="P17" s="27" t="n">
        <f aca="false">'Control Panel'!$B$95</f>
        <v>0</v>
      </c>
      <c r="Q17" s="9" t="n">
        <v>28228.04</v>
      </c>
      <c r="R17" s="26" t="n">
        <f aca="false">IF(L17="Yes",F17,0)</f>
        <v>1411402</v>
      </c>
      <c r="S17" s="27" t="n">
        <f aca="false">'Control Panel'!$B$112+0</f>
        <v>0</v>
      </c>
      <c r="T17" s="26" t="n">
        <f aca="false">R17*S17</f>
        <v>0</v>
      </c>
      <c r="U17" s="26" t="n">
        <f aca="false">R17-T17</f>
        <v>1411402</v>
      </c>
    </row>
    <row r="18" customFormat="false" ht="15" hidden="false" customHeight="true" outlineLevel="0" collapsed="false">
      <c r="A18" s="13" t="n">
        <v>13</v>
      </c>
      <c r="B18" s="13" t="s">
        <v>163</v>
      </c>
      <c r="C18" s="13" t="s">
        <v>173</v>
      </c>
      <c r="D18" s="13" t="s">
        <v>165</v>
      </c>
      <c r="E18" s="25" t="n">
        <v>2029</v>
      </c>
      <c r="F18" s="9" t="n">
        <v>20700573</v>
      </c>
      <c r="G18" s="9" t="n">
        <v>10202.3523903401</v>
      </c>
      <c r="H18" s="13" t="n">
        <v>6</v>
      </c>
      <c r="I18" s="25" t="n">
        <v>170000</v>
      </c>
      <c r="J18" s="13" t="n">
        <v>35</v>
      </c>
      <c r="K18" s="13" t="s">
        <v>170</v>
      </c>
      <c r="L18" s="13" t="s">
        <v>26</v>
      </c>
      <c r="M18" s="13" t="s">
        <v>21</v>
      </c>
      <c r="N18" s="13" t="s">
        <v>21</v>
      </c>
      <c r="O18" s="26" t="n">
        <f aca="false">G18*(1+P18)</f>
        <v>10202.3523903401</v>
      </c>
      <c r="P18" s="27" t="n">
        <f aca="false">'Control Panel'!$B$95</f>
        <v>0</v>
      </c>
      <c r="Q18" s="9" t="n">
        <v>414011.46</v>
      </c>
      <c r="R18" s="26" t="n">
        <f aca="false">IF(L18="Yes",F18,0)</f>
        <v>20700573</v>
      </c>
      <c r="S18" s="27" t="n">
        <f aca="false">'Control Panel'!$B$112+0</f>
        <v>0</v>
      </c>
      <c r="T18" s="26" t="n">
        <f aca="false">R18*S18</f>
        <v>0</v>
      </c>
      <c r="U18" s="26" t="n">
        <f aca="false">R18-T18</f>
        <v>20700573</v>
      </c>
    </row>
    <row r="19" customFormat="false" ht="15" hidden="false" customHeight="true" outlineLevel="0" collapsed="false">
      <c r="A19" s="13" t="n">
        <v>14</v>
      </c>
      <c r="B19" s="13" t="s">
        <v>163</v>
      </c>
      <c r="C19" s="13" t="s">
        <v>173</v>
      </c>
      <c r="D19" s="13" t="s">
        <v>167</v>
      </c>
      <c r="E19" s="25" t="n">
        <v>1549</v>
      </c>
      <c r="F19" s="9" t="n">
        <v>15807710</v>
      </c>
      <c r="G19" s="9" t="n">
        <v>10205.1065203357</v>
      </c>
      <c r="H19" s="13" t="n">
        <v>6</v>
      </c>
      <c r="I19" s="25" t="n">
        <v>170000</v>
      </c>
      <c r="J19" s="13" t="n">
        <v>35</v>
      </c>
      <c r="K19" s="13" t="s">
        <v>170</v>
      </c>
      <c r="L19" s="13" t="s">
        <v>26</v>
      </c>
      <c r="M19" s="13" t="s">
        <v>21</v>
      </c>
      <c r="N19" s="13" t="s">
        <v>21</v>
      </c>
      <c r="O19" s="26" t="n">
        <f aca="false">G19*(1+P19)</f>
        <v>10205.1065203357</v>
      </c>
      <c r="P19" s="27" t="n">
        <f aca="false">'Control Panel'!$B$95</f>
        <v>0</v>
      </c>
      <c r="Q19" s="9" t="n">
        <v>316154.2</v>
      </c>
      <c r="R19" s="26" t="n">
        <f aca="false">IF(L19="Yes",F19,0)</f>
        <v>15807710</v>
      </c>
      <c r="S19" s="27" t="n">
        <f aca="false">'Control Panel'!$B$112+0</f>
        <v>0</v>
      </c>
      <c r="T19" s="26" t="n">
        <f aca="false">R19*S19</f>
        <v>0</v>
      </c>
      <c r="U19" s="26" t="n">
        <f aca="false">R19-T19</f>
        <v>15807710</v>
      </c>
    </row>
    <row r="20" customFormat="false" ht="15" hidden="false" customHeight="true" outlineLevel="0" collapsed="false">
      <c r="A20" s="13" t="n">
        <v>15</v>
      </c>
      <c r="B20" s="13" t="s">
        <v>163</v>
      </c>
      <c r="C20" s="13" t="s">
        <v>173</v>
      </c>
      <c r="D20" s="13" t="s">
        <v>168</v>
      </c>
      <c r="E20" s="25" t="n">
        <v>110</v>
      </c>
      <c r="F20" s="9" t="n">
        <v>1129122</v>
      </c>
      <c r="G20" s="9" t="n">
        <v>10264.7454545455</v>
      </c>
      <c r="H20" s="13" t="n">
        <v>6</v>
      </c>
      <c r="I20" s="25" t="n">
        <v>170000</v>
      </c>
      <c r="J20" s="13" t="n">
        <v>35</v>
      </c>
      <c r="K20" s="13" t="s">
        <v>170</v>
      </c>
      <c r="L20" s="13" t="s">
        <v>26</v>
      </c>
      <c r="M20" s="13" t="s">
        <v>21</v>
      </c>
      <c r="N20" s="13" t="s">
        <v>21</v>
      </c>
      <c r="O20" s="26" t="n">
        <f aca="false">G20*(1+P20)</f>
        <v>10264.7454545455</v>
      </c>
      <c r="P20" s="27" t="n">
        <f aca="false">'Control Panel'!$B$95</f>
        <v>0</v>
      </c>
      <c r="Q20" s="9" t="n">
        <v>22582.44</v>
      </c>
      <c r="R20" s="26" t="n">
        <f aca="false">IF(L20="Yes",F20,0)</f>
        <v>1129122</v>
      </c>
      <c r="S20" s="27" t="n">
        <f aca="false">'Control Panel'!$B$112+0</f>
        <v>0</v>
      </c>
      <c r="T20" s="26" t="n">
        <f aca="false">R20*S20</f>
        <v>0</v>
      </c>
      <c r="U20" s="26" t="n">
        <f aca="false">R20-T20</f>
        <v>1129122</v>
      </c>
    </row>
    <row r="21" customFormat="false" ht="15" hidden="false" customHeight="true" outlineLevel="0" collapsed="false">
      <c r="A21" s="13" t="n">
        <v>16</v>
      </c>
      <c r="B21" s="13" t="s">
        <v>163</v>
      </c>
      <c r="C21" s="13" t="s">
        <v>174</v>
      </c>
      <c r="D21" s="13" t="s">
        <v>165</v>
      </c>
      <c r="E21" s="25" t="n">
        <v>1775</v>
      </c>
      <c r="F21" s="9" t="n">
        <v>18113001</v>
      </c>
      <c r="G21" s="9" t="n">
        <v>10204.5076056338</v>
      </c>
      <c r="H21" s="13" t="n">
        <v>6</v>
      </c>
      <c r="I21" s="25" t="n">
        <v>170000</v>
      </c>
      <c r="J21" s="13" t="n">
        <v>35</v>
      </c>
      <c r="K21" s="13" t="s">
        <v>170</v>
      </c>
      <c r="L21" s="13" t="s">
        <v>26</v>
      </c>
      <c r="M21" s="13" t="s">
        <v>21</v>
      </c>
      <c r="N21" s="13" t="s">
        <v>21</v>
      </c>
      <c r="O21" s="26" t="n">
        <f aca="false">G21*(1+P21)</f>
        <v>10204.5076056338</v>
      </c>
      <c r="P21" s="27" t="n">
        <f aca="false">'Control Panel'!$B$95</f>
        <v>0</v>
      </c>
      <c r="Q21" s="9" t="n">
        <v>362260.02</v>
      </c>
      <c r="R21" s="26" t="n">
        <f aca="false">IF(L21="Yes",F21,0)</f>
        <v>18113001</v>
      </c>
      <c r="S21" s="27" t="n">
        <f aca="false">'Control Panel'!$B$112+0</f>
        <v>0</v>
      </c>
      <c r="T21" s="26" t="n">
        <f aca="false">R21*S21</f>
        <v>0</v>
      </c>
      <c r="U21" s="26" t="n">
        <f aca="false">R21-T21</f>
        <v>18113001</v>
      </c>
    </row>
    <row r="22" customFormat="false" ht="15" hidden="false" customHeight="true" outlineLevel="0" collapsed="false">
      <c r="A22" s="13" t="n">
        <v>17</v>
      </c>
      <c r="B22" s="13" t="s">
        <v>163</v>
      </c>
      <c r="C22" s="13" t="s">
        <v>174</v>
      </c>
      <c r="D22" s="13" t="s">
        <v>167</v>
      </c>
      <c r="E22" s="25" t="n">
        <v>1356</v>
      </c>
      <c r="F22" s="9" t="n">
        <v>13831746</v>
      </c>
      <c r="G22" s="9" t="n">
        <v>10200.4026548673</v>
      </c>
      <c r="H22" s="13" t="n">
        <v>6</v>
      </c>
      <c r="I22" s="25" t="n">
        <v>170000</v>
      </c>
      <c r="J22" s="13" t="n">
        <v>35</v>
      </c>
      <c r="K22" s="13" t="s">
        <v>170</v>
      </c>
      <c r="L22" s="13" t="s">
        <v>26</v>
      </c>
      <c r="M22" s="13" t="s">
        <v>21</v>
      </c>
      <c r="N22" s="13" t="s">
        <v>21</v>
      </c>
      <c r="O22" s="26" t="n">
        <f aca="false">G22*(1+P22)</f>
        <v>10200.4026548673</v>
      </c>
      <c r="P22" s="27" t="n">
        <f aca="false">'Control Panel'!$B$95</f>
        <v>0</v>
      </c>
      <c r="Q22" s="9" t="n">
        <v>276634.92</v>
      </c>
      <c r="R22" s="26" t="n">
        <f aca="false">IF(L22="Yes",F22,0)</f>
        <v>13831746</v>
      </c>
      <c r="S22" s="27" t="n">
        <f aca="false">'Control Panel'!$B$112+0</f>
        <v>0</v>
      </c>
      <c r="T22" s="26" t="n">
        <f aca="false">R22*S22</f>
        <v>0</v>
      </c>
      <c r="U22" s="26" t="n">
        <f aca="false">R22-T22</f>
        <v>13831746</v>
      </c>
    </row>
    <row r="23" customFormat="false" ht="15" hidden="false" customHeight="true" outlineLevel="0" collapsed="false">
      <c r="A23" s="13" t="n">
        <v>18</v>
      </c>
      <c r="B23" s="13" t="s">
        <v>163</v>
      </c>
      <c r="C23" s="13" t="s">
        <v>174</v>
      </c>
      <c r="D23" s="13" t="s">
        <v>168</v>
      </c>
      <c r="E23" s="25" t="n">
        <v>96</v>
      </c>
      <c r="F23" s="9" t="n">
        <v>987981</v>
      </c>
      <c r="G23" s="9" t="n">
        <v>10291.46875</v>
      </c>
      <c r="H23" s="13" t="n">
        <v>6</v>
      </c>
      <c r="I23" s="25" t="n">
        <v>170000</v>
      </c>
      <c r="J23" s="13" t="n">
        <v>35</v>
      </c>
      <c r="K23" s="13" t="s">
        <v>170</v>
      </c>
      <c r="L23" s="13" t="s">
        <v>26</v>
      </c>
      <c r="M23" s="13" t="s">
        <v>21</v>
      </c>
      <c r="N23" s="13" t="s">
        <v>21</v>
      </c>
      <c r="O23" s="26" t="n">
        <f aca="false">G23*(1+P23)</f>
        <v>10291.46875</v>
      </c>
      <c r="P23" s="27" t="n">
        <f aca="false">'Control Panel'!$B$95</f>
        <v>0</v>
      </c>
      <c r="Q23" s="9" t="n">
        <v>19759.62</v>
      </c>
      <c r="R23" s="26" t="n">
        <f aca="false">IF(L23="Yes",F23,0)</f>
        <v>987981</v>
      </c>
      <c r="S23" s="27" t="n">
        <f aca="false">'Control Panel'!$B$112+0</f>
        <v>0</v>
      </c>
      <c r="T23" s="26" t="n">
        <f aca="false">R23*S23</f>
        <v>0</v>
      </c>
      <c r="U23" s="26" t="n">
        <f aca="false">R23-T23</f>
        <v>987981</v>
      </c>
    </row>
    <row r="24" customFormat="false" ht="15" hidden="false" customHeight="true" outlineLevel="0" collapsed="false">
      <c r="A24" s="13" t="n">
        <v>19</v>
      </c>
      <c r="B24" s="13" t="s">
        <v>163</v>
      </c>
      <c r="C24" s="13" t="s">
        <v>175</v>
      </c>
      <c r="D24" s="13" t="s">
        <v>165</v>
      </c>
      <c r="E24" s="25" t="n">
        <v>1522</v>
      </c>
      <c r="F24" s="9" t="n">
        <v>15525429</v>
      </c>
      <c r="G24" s="9" t="n">
        <v>10200.6760840999</v>
      </c>
      <c r="H24" s="13" t="n">
        <v>6</v>
      </c>
      <c r="I24" s="25" t="n">
        <v>170000</v>
      </c>
      <c r="J24" s="13" t="n">
        <v>35</v>
      </c>
      <c r="K24" s="13" t="s">
        <v>170</v>
      </c>
      <c r="L24" s="13" t="s">
        <v>26</v>
      </c>
      <c r="M24" s="13" t="s">
        <v>21</v>
      </c>
      <c r="N24" s="13" t="s">
        <v>21</v>
      </c>
      <c r="O24" s="26" t="n">
        <f aca="false">G24*(1+P24)</f>
        <v>10200.6760840999</v>
      </c>
      <c r="P24" s="27" t="n">
        <f aca="false">'Control Panel'!$B$95</f>
        <v>0</v>
      </c>
      <c r="Q24" s="9" t="n">
        <v>310508.58</v>
      </c>
      <c r="R24" s="26" t="n">
        <f aca="false">IF(L24="Yes",F24,0)</f>
        <v>15525429</v>
      </c>
      <c r="S24" s="27" t="n">
        <f aca="false">'Control Panel'!$B$112+0</f>
        <v>0</v>
      </c>
      <c r="T24" s="26" t="n">
        <f aca="false">R24*S24</f>
        <v>0</v>
      </c>
      <c r="U24" s="26" t="n">
        <f aca="false">R24-T24</f>
        <v>15525429</v>
      </c>
    </row>
    <row r="25" customFormat="false" ht="15" hidden="false" customHeight="true" outlineLevel="0" collapsed="false">
      <c r="A25" s="13" t="n">
        <v>20</v>
      </c>
      <c r="B25" s="13" t="s">
        <v>163</v>
      </c>
      <c r="C25" s="13" t="s">
        <v>175</v>
      </c>
      <c r="D25" s="13" t="s">
        <v>167</v>
      </c>
      <c r="E25" s="25" t="n">
        <v>1162</v>
      </c>
      <c r="F25" s="9" t="n">
        <v>11855782</v>
      </c>
      <c r="G25" s="9" t="n">
        <v>10202.9104991394</v>
      </c>
      <c r="H25" s="13" t="n">
        <v>6</v>
      </c>
      <c r="I25" s="25" t="n">
        <v>170000</v>
      </c>
      <c r="J25" s="13" t="n">
        <v>35</v>
      </c>
      <c r="K25" s="13" t="s">
        <v>170</v>
      </c>
      <c r="L25" s="13" t="s">
        <v>26</v>
      </c>
      <c r="M25" s="13" t="s">
        <v>21</v>
      </c>
      <c r="N25" s="13" t="s">
        <v>21</v>
      </c>
      <c r="O25" s="26" t="n">
        <f aca="false">G25*(1+P25)</f>
        <v>10202.9104991394</v>
      </c>
      <c r="P25" s="27" t="n">
        <f aca="false">'Control Panel'!$B$95</f>
        <v>0</v>
      </c>
      <c r="Q25" s="9" t="n">
        <v>237115.64</v>
      </c>
      <c r="R25" s="26" t="n">
        <f aca="false">IF(L25="Yes",F25,0)</f>
        <v>11855782</v>
      </c>
      <c r="S25" s="27" t="n">
        <f aca="false">'Control Panel'!$B$112+0</f>
        <v>0</v>
      </c>
      <c r="T25" s="26" t="n">
        <f aca="false">R25*S25</f>
        <v>0</v>
      </c>
      <c r="U25" s="26" t="n">
        <f aca="false">R25-T25</f>
        <v>11855782</v>
      </c>
    </row>
    <row r="26" customFormat="false" ht="15" hidden="false" customHeight="true" outlineLevel="0" collapsed="false">
      <c r="A26" s="13" t="n">
        <v>21</v>
      </c>
      <c r="B26" s="13" t="s">
        <v>163</v>
      </c>
      <c r="C26" s="13" t="s">
        <v>175</v>
      </c>
      <c r="D26" s="13" t="s">
        <v>168</v>
      </c>
      <c r="E26" s="25" t="n">
        <v>83</v>
      </c>
      <c r="F26" s="9" t="n">
        <v>846841</v>
      </c>
      <c r="G26" s="9" t="n">
        <v>10202.9036144578</v>
      </c>
      <c r="H26" s="13" t="n">
        <v>6</v>
      </c>
      <c r="I26" s="25" t="n">
        <v>170000</v>
      </c>
      <c r="J26" s="13" t="n">
        <v>35</v>
      </c>
      <c r="K26" s="13" t="s">
        <v>170</v>
      </c>
      <c r="L26" s="13" t="s">
        <v>26</v>
      </c>
      <c r="M26" s="13" t="s">
        <v>21</v>
      </c>
      <c r="N26" s="13" t="s">
        <v>21</v>
      </c>
      <c r="O26" s="26" t="n">
        <f aca="false">G26*(1+P26)</f>
        <v>10202.9036144578</v>
      </c>
      <c r="P26" s="27" t="n">
        <f aca="false">'Control Panel'!$B$95</f>
        <v>0</v>
      </c>
      <c r="Q26" s="9" t="n">
        <v>16936.82</v>
      </c>
      <c r="R26" s="26" t="n">
        <f aca="false">IF(L26="Yes",F26,0)</f>
        <v>846841</v>
      </c>
      <c r="S26" s="27" t="n">
        <f aca="false">'Control Panel'!$B$112+0</f>
        <v>0</v>
      </c>
      <c r="T26" s="26" t="n">
        <f aca="false">R26*S26</f>
        <v>0</v>
      </c>
      <c r="U26" s="26" t="n">
        <f aca="false">R26-T26</f>
        <v>846841</v>
      </c>
    </row>
    <row r="27" customFormat="false" ht="15" hidden="false" customHeight="true" outlineLevel="0" collapsed="false">
      <c r="A27" s="13" t="n">
        <v>22</v>
      </c>
      <c r="B27" s="13" t="s">
        <v>163</v>
      </c>
      <c r="C27" s="13" t="s">
        <v>176</v>
      </c>
      <c r="D27" s="13" t="s">
        <v>165</v>
      </c>
      <c r="E27" s="25" t="n">
        <v>1014</v>
      </c>
      <c r="F27" s="9" t="n">
        <v>10350286</v>
      </c>
      <c r="G27" s="9" t="n">
        <v>10207.382642998</v>
      </c>
      <c r="H27" s="13" t="n">
        <v>6</v>
      </c>
      <c r="I27" s="25" t="n">
        <v>170000</v>
      </c>
      <c r="J27" s="13" t="n">
        <v>35</v>
      </c>
      <c r="K27" s="13" t="s">
        <v>170</v>
      </c>
      <c r="L27" s="13" t="s">
        <v>26</v>
      </c>
      <c r="M27" s="13" t="s">
        <v>21</v>
      </c>
      <c r="N27" s="13" t="s">
        <v>21</v>
      </c>
      <c r="O27" s="26" t="n">
        <f aca="false">G27*(1+P27)</f>
        <v>10207.382642998</v>
      </c>
      <c r="P27" s="27" t="n">
        <f aca="false">'Control Panel'!$B$95</f>
        <v>0</v>
      </c>
      <c r="Q27" s="9" t="n">
        <v>207005.72</v>
      </c>
      <c r="R27" s="26" t="n">
        <f aca="false">IF(L27="Yes",F27,0)</f>
        <v>10350286</v>
      </c>
      <c r="S27" s="27" t="n">
        <f aca="false">'Control Panel'!$B$112+0</f>
        <v>0</v>
      </c>
      <c r="T27" s="26" t="n">
        <f aca="false">R27*S27</f>
        <v>0</v>
      </c>
      <c r="U27" s="26" t="n">
        <f aca="false">R27-T27</f>
        <v>10350286</v>
      </c>
    </row>
    <row r="28" customFormat="false" ht="15" hidden="false" customHeight="true" outlineLevel="0" collapsed="false">
      <c r="A28" s="13" t="n">
        <v>23</v>
      </c>
      <c r="B28" s="13" t="s">
        <v>163</v>
      </c>
      <c r="C28" s="13" t="s">
        <v>176</v>
      </c>
      <c r="D28" s="13" t="s">
        <v>167</v>
      </c>
      <c r="E28" s="25" t="n">
        <v>774</v>
      </c>
      <c r="F28" s="9" t="n">
        <v>7903855</v>
      </c>
      <c r="G28" s="9" t="n">
        <v>10211.6989664083</v>
      </c>
      <c r="H28" s="13" t="n">
        <v>6</v>
      </c>
      <c r="I28" s="25" t="n">
        <v>170000</v>
      </c>
      <c r="J28" s="13" t="n">
        <v>35</v>
      </c>
      <c r="K28" s="13" t="s">
        <v>170</v>
      </c>
      <c r="L28" s="13" t="s">
        <v>26</v>
      </c>
      <c r="M28" s="13" t="s">
        <v>21</v>
      </c>
      <c r="N28" s="13" t="s">
        <v>21</v>
      </c>
      <c r="O28" s="26" t="n">
        <f aca="false">G28*(1+P28)</f>
        <v>10211.6989664083</v>
      </c>
      <c r="P28" s="27" t="n">
        <f aca="false">'Control Panel'!$B$95</f>
        <v>0</v>
      </c>
      <c r="Q28" s="9" t="n">
        <v>158077.1</v>
      </c>
      <c r="R28" s="26" t="n">
        <f aca="false">IF(L28="Yes",F28,0)</f>
        <v>7903855</v>
      </c>
      <c r="S28" s="27" t="n">
        <f aca="false">'Control Panel'!$B$112+0</f>
        <v>0</v>
      </c>
      <c r="T28" s="26" t="n">
        <f aca="false">R28*S28</f>
        <v>0</v>
      </c>
      <c r="U28" s="26" t="n">
        <f aca="false">R28-T28</f>
        <v>7903855</v>
      </c>
    </row>
    <row r="29" customFormat="false" ht="15" hidden="false" customHeight="true" outlineLevel="0" collapsed="false">
      <c r="A29" s="13" t="n">
        <v>24</v>
      </c>
      <c r="B29" s="13" t="s">
        <v>163</v>
      </c>
      <c r="C29" s="13" t="s">
        <v>176</v>
      </c>
      <c r="D29" s="13" t="s">
        <v>168</v>
      </c>
      <c r="E29" s="25" t="n">
        <v>55</v>
      </c>
      <c r="F29" s="9" t="n">
        <v>564561</v>
      </c>
      <c r="G29" s="9" t="n">
        <v>10264.7454545455</v>
      </c>
      <c r="H29" s="13" t="n">
        <v>6</v>
      </c>
      <c r="I29" s="25" t="n">
        <v>170000</v>
      </c>
      <c r="J29" s="13" t="n">
        <v>35</v>
      </c>
      <c r="K29" s="13" t="s">
        <v>170</v>
      </c>
      <c r="L29" s="13" t="s">
        <v>26</v>
      </c>
      <c r="M29" s="13" t="s">
        <v>21</v>
      </c>
      <c r="N29" s="13" t="s">
        <v>21</v>
      </c>
      <c r="O29" s="26" t="n">
        <f aca="false">G29*(1+P29)</f>
        <v>10264.7454545455</v>
      </c>
      <c r="P29" s="27" t="n">
        <f aca="false">'Control Panel'!$B$95</f>
        <v>0</v>
      </c>
      <c r="Q29" s="9" t="n">
        <v>11291.22</v>
      </c>
      <c r="R29" s="26" t="n">
        <f aca="false">IF(L29="Yes",F29,0)</f>
        <v>564561</v>
      </c>
      <c r="S29" s="27" t="n">
        <f aca="false">'Control Panel'!$B$112+0</f>
        <v>0</v>
      </c>
      <c r="T29" s="26" t="n">
        <f aca="false">R29*S29</f>
        <v>0</v>
      </c>
      <c r="U29" s="26" t="n">
        <f aca="false">R29-T29</f>
        <v>564561</v>
      </c>
    </row>
    <row r="30" customFormat="false" ht="15" hidden="false" customHeight="true" outlineLevel="0" collapsed="false">
      <c r="A30" s="13" t="n">
        <v>25</v>
      </c>
      <c r="B30" s="13" t="s">
        <v>163</v>
      </c>
      <c r="C30" s="13" t="s">
        <v>177</v>
      </c>
      <c r="D30" s="13" t="s">
        <v>165</v>
      </c>
      <c r="E30" s="25" t="n">
        <v>761</v>
      </c>
      <c r="F30" s="9" t="n">
        <v>7762714</v>
      </c>
      <c r="G30" s="9" t="n">
        <v>10200.6754270697</v>
      </c>
      <c r="H30" s="13" t="n">
        <v>6</v>
      </c>
      <c r="I30" s="25" t="n">
        <v>170000</v>
      </c>
      <c r="J30" s="13" t="n">
        <v>35</v>
      </c>
      <c r="K30" s="13" t="s">
        <v>170</v>
      </c>
      <c r="L30" s="13" t="s">
        <v>26</v>
      </c>
      <c r="M30" s="13" t="s">
        <v>21</v>
      </c>
      <c r="N30" s="13" t="s">
        <v>21</v>
      </c>
      <c r="O30" s="26" t="n">
        <f aca="false">G30*(1+P30)</f>
        <v>10200.6754270697</v>
      </c>
      <c r="P30" s="27" t="n">
        <f aca="false">'Control Panel'!$B$95</f>
        <v>0</v>
      </c>
      <c r="Q30" s="9" t="n">
        <v>155254.28</v>
      </c>
      <c r="R30" s="26" t="n">
        <f aca="false">IF(L30="Yes",F30,0)</f>
        <v>7762714</v>
      </c>
      <c r="S30" s="27" t="n">
        <f aca="false">'Control Panel'!$B$112+0</f>
        <v>0</v>
      </c>
      <c r="T30" s="26" t="n">
        <f aca="false">R30*S30</f>
        <v>0</v>
      </c>
      <c r="U30" s="26" t="n">
        <f aca="false">R30-T30</f>
        <v>7762714</v>
      </c>
    </row>
    <row r="31" customFormat="false" ht="15" hidden="false" customHeight="true" outlineLevel="0" collapsed="false">
      <c r="A31" s="13" t="n">
        <v>26</v>
      </c>
      <c r="B31" s="13" t="s">
        <v>163</v>
      </c>
      <c r="C31" s="13" t="s">
        <v>177</v>
      </c>
      <c r="D31" s="13" t="s">
        <v>167</v>
      </c>
      <c r="E31" s="25" t="n">
        <v>581</v>
      </c>
      <c r="F31" s="9" t="n">
        <v>5927891</v>
      </c>
      <c r="G31" s="9" t="n">
        <v>10202.9104991394</v>
      </c>
      <c r="H31" s="13" t="n">
        <v>6</v>
      </c>
      <c r="I31" s="25" t="n">
        <v>170000</v>
      </c>
      <c r="J31" s="13" t="n">
        <v>35</v>
      </c>
      <c r="K31" s="13" t="s">
        <v>170</v>
      </c>
      <c r="L31" s="13" t="s">
        <v>26</v>
      </c>
      <c r="M31" s="13" t="s">
        <v>21</v>
      </c>
      <c r="N31" s="13" t="s">
        <v>21</v>
      </c>
      <c r="O31" s="26" t="n">
        <f aca="false">G31*(1+P31)</f>
        <v>10202.9104991394</v>
      </c>
      <c r="P31" s="27" t="n">
        <f aca="false">'Control Panel'!$B$95</f>
        <v>0</v>
      </c>
      <c r="Q31" s="9" t="n">
        <v>118557.82</v>
      </c>
      <c r="R31" s="26" t="n">
        <f aca="false">IF(L31="Yes",F31,0)</f>
        <v>5927891</v>
      </c>
      <c r="S31" s="27" t="n">
        <f aca="false">'Control Panel'!$B$112+0</f>
        <v>0</v>
      </c>
      <c r="T31" s="26" t="n">
        <f aca="false">R31*S31</f>
        <v>0</v>
      </c>
      <c r="U31" s="26" t="n">
        <f aca="false">R31-T31</f>
        <v>5927891</v>
      </c>
    </row>
    <row r="32" customFormat="false" ht="15" hidden="false" customHeight="true" outlineLevel="0" collapsed="false">
      <c r="A32" s="13" t="n">
        <v>27</v>
      </c>
      <c r="B32" s="13" t="s">
        <v>163</v>
      </c>
      <c r="C32" s="13" t="s">
        <v>177</v>
      </c>
      <c r="D32" s="13" t="s">
        <v>168</v>
      </c>
      <c r="E32" s="25" t="n">
        <v>41</v>
      </c>
      <c r="F32" s="9" t="n">
        <v>423420</v>
      </c>
      <c r="G32" s="9" t="n">
        <v>10327.3170731707</v>
      </c>
      <c r="H32" s="13" t="n">
        <v>6</v>
      </c>
      <c r="I32" s="25" t="n">
        <v>170000</v>
      </c>
      <c r="J32" s="13" t="n">
        <v>35</v>
      </c>
      <c r="K32" s="13" t="s">
        <v>170</v>
      </c>
      <c r="L32" s="13" t="s">
        <v>26</v>
      </c>
      <c r="M32" s="13" t="s">
        <v>21</v>
      </c>
      <c r="N32" s="13" t="s">
        <v>21</v>
      </c>
      <c r="O32" s="26" t="n">
        <f aca="false">G32*(1+P32)</f>
        <v>10327.3170731707</v>
      </c>
      <c r="P32" s="27" t="n">
        <f aca="false">'Control Panel'!$B$95</f>
        <v>0</v>
      </c>
      <c r="Q32" s="9" t="n">
        <v>8468.4</v>
      </c>
      <c r="R32" s="26" t="n">
        <f aca="false">IF(L32="Yes",F32,0)</f>
        <v>423420</v>
      </c>
      <c r="S32" s="27" t="n">
        <f aca="false">'Control Panel'!$B$112+0</f>
        <v>0</v>
      </c>
      <c r="T32" s="26" t="n">
        <f aca="false">R32*S32</f>
        <v>0</v>
      </c>
      <c r="U32" s="26" t="n">
        <f aca="false">R32-T32</f>
        <v>423420</v>
      </c>
    </row>
    <row r="33" customFormat="false" ht="15" hidden="false" customHeight="true" outlineLevel="0" collapsed="false">
      <c r="A33" s="13" t="n">
        <v>28</v>
      </c>
      <c r="B33" s="13" t="s">
        <v>178</v>
      </c>
      <c r="C33" s="13" t="s">
        <v>164</v>
      </c>
      <c r="D33" s="13" t="s">
        <v>165</v>
      </c>
      <c r="E33" s="25" t="n">
        <v>2049</v>
      </c>
      <c r="F33" s="9" t="n">
        <v>20899617</v>
      </c>
      <c r="G33" s="9" t="n">
        <v>10199.9106881406</v>
      </c>
      <c r="H33" s="13" t="n">
        <v>6.5</v>
      </c>
      <c r="I33" s="25" t="n">
        <v>177500</v>
      </c>
      <c r="J33" s="13" t="n">
        <v>80</v>
      </c>
      <c r="K33" s="13" t="s">
        <v>166</v>
      </c>
      <c r="L33" s="13" t="s">
        <v>26</v>
      </c>
      <c r="M33" s="13" t="s">
        <v>21</v>
      </c>
      <c r="N33" s="13" t="s">
        <v>21</v>
      </c>
      <c r="O33" s="26" t="n">
        <f aca="false">G33*(1+P33)</f>
        <v>10199.9106881406</v>
      </c>
      <c r="P33" s="27" t="n">
        <f aca="false">'Control Panel'!$B$95</f>
        <v>0</v>
      </c>
      <c r="Q33" s="9" t="n">
        <v>417992.34</v>
      </c>
      <c r="R33" s="26" t="n">
        <f aca="false">IF(L33="Yes",F33,0)</f>
        <v>20899617</v>
      </c>
      <c r="S33" s="27" t="n">
        <f aca="false">'Control Panel'!$B$112+0.02</f>
        <v>0.02</v>
      </c>
      <c r="T33" s="26" t="n">
        <f aca="false">R33*S33</f>
        <v>417992.34</v>
      </c>
      <c r="U33" s="26" t="n">
        <f aca="false">R33-T33</f>
        <v>20481624.66</v>
      </c>
    </row>
    <row r="34" customFormat="false" ht="15" hidden="false" customHeight="true" outlineLevel="0" collapsed="false">
      <c r="A34" s="13" t="n">
        <v>29</v>
      </c>
      <c r="B34" s="13" t="s">
        <v>178</v>
      </c>
      <c r="C34" s="13" t="s">
        <v>164</v>
      </c>
      <c r="D34" s="13" t="s">
        <v>167</v>
      </c>
      <c r="E34" s="25" t="n">
        <v>1564</v>
      </c>
      <c r="F34" s="9" t="n">
        <v>15959707</v>
      </c>
      <c r="G34" s="9" t="n">
        <v>10204.4162404092</v>
      </c>
      <c r="H34" s="13" t="n">
        <v>6.5</v>
      </c>
      <c r="I34" s="25" t="n">
        <v>177500</v>
      </c>
      <c r="J34" s="13" t="n">
        <v>80</v>
      </c>
      <c r="K34" s="13" t="s">
        <v>166</v>
      </c>
      <c r="L34" s="13" t="s">
        <v>26</v>
      </c>
      <c r="M34" s="13" t="s">
        <v>21</v>
      </c>
      <c r="N34" s="13" t="s">
        <v>21</v>
      </c>
      <c r="O34" s="26" t="n">
        <f aca="false">G34*(1+P34)</f>
        <v>10204.4162404092</v>
      </c>
      <c r="P34" s="27" t="n">
        <f aca="false">'Control Panel'!$B$95</f>
        <v>0</v>
      </c>
      <c r="Q34" s="9" t="n">
        <v>319194.14</v>
      </c>
      <c r="R34" s="26" t="n">
        <f aca="false">IF(L34="Yes",F34,0)</f>
        <v>15959707</v>
      </c>
      <c r="S34" s="27" t="n">
        <f aca="false">'Control Panel'!$B$112+0.02</f>
        <v>0.02</v>
      </c>
      <c r="T34" s="26" t="n">
        <f aca="false">R34*S34</f>
        <v>319194.14</v>
      </c>
      <c r="U34" s="26" t="n">
        <f aca="false">R34-T34</f>
        <v>15640512.86</v>
      </c>
    </row>
    <row r="35" customFormat="false" ht="15" hidden="false" customHeight="true" outlineLevel="0" collapsed="false">
      <c r="A35" s="13" t="n">
        <v>30</v>
      </c>
      <c r="B35" s="13" t="s">
        <v>178</v>
      </c>
      <c r="C35" s="13" t="s">
        <v>164</v>
      </c>
      <c r="D35" s="13" t="s">
        <v>168</v>
      </c>
      <c r="E35" s="25" t="n">
        <v>111</v>
      </c>
      <c r="F35" s="9" t="n">
        <v>1139979</v>
      </c>
      <c r="G35" s="9" t="n">
        <v>10270.0810810811</v>
      </c>
      <c r="H35" s="13" t="n">
        <v>6.5</v>
      </c>
      <c r="I35" s="25" t="n">
        <v>177500</v>
      </c>
      <c r="J35" s="13" t="n">
        <v>80</v>
      </c>
      <c r="K35" s="13" t="s">
        <v>166</v>
      </c>
      <c r="L35" s="13" t="s">
        <v>26</v>
      </c>
      <c r="M35" s="13" t="s">
        <v>21</v>
      </c>
      <c r="N35" s="13" t="s">
        <v>21</v>
      </c>
      <c r="O35" s="26" t="n">
        <f aca="false">G35*(1+P35)</f>
        <v>10270.0810810811</v>
      </c>
      <c r="P35" s="27" t="n">
        <f aca="false">'Control Panel'!$B$95</f>
        <v>0</v>
      </c>
      <c r="Q35" s="9" t="n">
        <v>22799.58</v>
      </c>
      <c r="R35" s="26" t="n">
        <f aca="false">IF(L35="Yes",F35,0)</f>
        <v>1139979</v>
      </c>
      <c r="S35" s="27" t="n">
        <f aca="false">'Control Panel'!$B$112+0.02</f>
        <v>0.02</v>
      </c>
      <c r="T35" s="26" t="n">
        <f aca="false">R35*S35</f>
        <v>22799.58</v>
      </c>
      <c r="U35" s="26" t="n">
        <f aca="false">R35-T35</f>
        <v>1117179.42</v>
      </c>
    </row>
    <row r="36" customFormat="false" ht="15" hidden="false" customHeight="true" outlineLevel="0" collapsed="false">
      <c r="A36" s="13" t="n">
        <v>31</v>
      </c>
      <c r="B36" s="13" t="s">
        <v>178</v>
      </c>
      <c r="C36" s="13" t="s">
        <v>169</v>
      </c>
      <c r="D36" s="13" t="s">
        <v>165</v>
      </c>
      <c r="E36" s="25" t="n">
        <v>878</v>
      </c>
      <c r="F36" s="9" t="n">
        <v>8956978</v>
      </c>
      <c r="G36" s="9" t="n">
        <v>10201.569476082</v>
      </c>
      <c r="H36" s="13" t="n">
        <v>6.5</v>
      </c>
      <c r="I36" s="25" t="n">
        <v>177500</v>
      </c>
      <c r="J36" s="13" t="n">
        <v>80</v>
      </c>
      <c r="K36" s="13" t="s">
        <v>170</v>
      </c>
      <c r="L36" s="13" t="s">
        <v>26</v>
      </c>
      <c r="M36" s="13" t="s">
        <v>21</v>
      </c>
      <c r="N36" s="13" t="s">
        <v>21</v>
      </c>
      <c r="O36" s="26" t="n">
        <f aca="false">G36*(1+P36)</f>
        <v>10201.569476082</v>
      </c>
      <c r="P36" s="27" t="n">
        <f aca="false">'Control Panel'!$B$95</f>
        <v>0</v>
      </c>
      <c r="Q36" s="9" t="n">
        <v>179139.56</v>
      </c>
      <c r="R36" s="26" t="n">
        <f aca="false">IF(L36="Yes",F36,0)</f>
        <v>8956978</v>
      </c>
      <c r="S36" s="27" t="n">
        <f aca="false">'Control Panel'!$B$112+0.02</f>
        <v>0.02</v>
      </c>
      <c r="T36" s="26" t="n">
        <f aca="false">R36*S36</f>
        <v>179139.56</v>
      </c>
      <c r="U36" s="26" t="n">
        <f aca="false">R36-T36</f>
        <v>8777838.44</v>
      </c>
    </row>
    <row r="37" customFormat="false" ht="15" hidden="false" customHeight="true" outlineLevel="0" collapsed="false">
      <c r="A37" s="13" t="n">
        <v>32</v>
      </c>
      <c r="B37" s="13" t="s">
        <v>178</v>
      </c>
      <c r="C37" s="13" t="s">
        <v>169</v>
      </c>
      <c r="D37" s="13" t="s">
        <v>167</v>
      </c>
      <c r="E37" s="25" t="n">
        <v>670</v>
      </c>
      <c r="F37" s="9" t="n">
        <v>6839874</v>
      </c>
      <c r="G37" s="9" t="n">
        <v>10208.7671641791</v>
      </c>
      <c r="H37" s="13" t="n">
        <v>6.5</v>
      </c>
      <c r="I37" s="25" t="n">
        <v>177500</v>
      </c>
      <c r="J37" s="13" t="n">
        <v>80</v>
      </c>
      <c r="K37" s="13" t="s">
        <v>170</v>
      </c>
      <c r="L37" s="13" t="s">
        <v>26</v>
      </c>
      <c r="M37" s="13" t="s">
        <v>21</v>
      </c>
      <c r="N37" s="13" t="s">
        <v>21</v>
      </c>
      <c r="O37" s="26" t="n">
        <f aca="false">G37*(1+P37)</f>
        <v>10208.7671641791</v>
      </c>
      <c r="P37" s="27" t="n">
        <f aca="false">'Control Panel'!$B$95</f>
        <v>0</v>
      </c>
      <c r="Q37" s="9" t="n">
        <v>136797.48</v>
      </c>
      <c r="R37" s="26" t="n">
        <f aca="false">IF(L37="Yes",F37,0)</f>
        <v>6839874</v>
      </c>
      <c r="S37" s="27" t="n">
        <f aca="false">'Control Panel'!$B$112+0.02</f>
        <v>0.02</v>
      </c>
      <c r="T37" s="26" t="n">
        <f aca="false">R37*S37</f>
        <v>136797.48</v>
      </c>
      <c r="U37" s="26" t="n">
        <f aca="false">R37-T37</f>
        <v>6703076.52</v>
      </c>
    </row>
    <row r="38" customFormat="false" ht="15" hidden="false" customHeight="true" outlineLevel="0" collapsed="false">
      <c r="A38" s="13" t="n">
        <v>33</v>
      </c>
      <c r="B38" s="13" t="s">
        <v>178</v>
      </c>
      <c r="C38" s="13" t="s">
        <v>169</v>
      </c>
      <c r="D38" s="13" t="s">
        <v>168</v>
      </c>
      <c r="E38" s="25" t="n">
        <v>47</v>
      </c>
      <c r="F38" s="9" t="n">
        <v>488562</v>
      </c>
      <c r="G38" s="9" t="n">
        <v>10394.9361702128</v>
      </c>
      <c r="H38" s="13" t="n">
        <v>6.5</v>
      </c>
      <c r="I38" s="25" t="n">
        <v>177500</v>
      </c>
      <c r="J38" s="13" t="n">
        <v>80</v>
      </c>
      <c r="K38" s="13" t="s">
        <v>170</v>
      </c>
      <c r="L38" s="13" t="s">
        <v>26</v>
      </c>
      <c r="M38" s="13" t="s">
        <v>21</v>
      </c>
      <c r="N38" s="13" t="s">
        <v>21</v>
      </c>
      <c r="O38" s="26" t="n">
        <f aca="false">G38*(1+P38)</f>
        <v>10394.9361702128</v>
      </c>
      <c r="P38" s="27" t="n">
        <f aca="false">'Control Panel'!$B$95</f>
        <v>0</v>
      </c>
      <c r="Q38" s="9" t="n">
        <v>9771.24</v>
      </c>
      <c r="R38" s="26" t="n">
        <f aca="false">IF(L38="Yes",F38,0)</f>
        <v>488562</v>
      </c>
      <c r="S38" s="27" t="n">
        <f aca="false">'Control Panel'!$B$112+0.02</f>
        <v>0.02</v>
      </c>
      <c r="T38" s="26" t="n">
        <f aca="false">R38*S38</f>
        <v>9771.24</v>
      </c>
      <c r="U38" s="26" t="n">
        <f aca="false">R38-T38</f>
        <v>478790.76</v>
      </c>
    </row>
    <row r="39" customFormat="false" ht="15" hidden="false" customHeight="true" outlineLevel="0" collapsed="false">
      <c r="A39" s="13" t="n">
        <v>34</v>
      </c>
      <c r="B39" s="13" t="s">
        <v>178</v>
      </c>
      <c r="C39" s="13" t="s">
        <v>171</v>
      </c>
      <c r="D39" s="13" t="s">
        <v>165</v>
      </c>
      <c r="E39" s="25" t="n">
        <v>702</v>
      </c>
      <c r="F39" s="9" t="n">
        <v>7165583</v>
      </c>
      <c r="G39" s="9" t="n">
        <v>10207.3831908832</v>
      </c>
      <c r="H39" s="13" t="n">
        <v>6.5</v>
      </c>
      <c r="I39" s="25" t="n">
        <v>177500</v>
      </c>
      <c r="J39" s="13" t="n">
        <v>80</v>
      </c>
      <c r="K39" s="13" t="s">
        <v>170</v>
      </c>
      <c r="L39" s="13" t="s">
        <v>26</v>
      </c>
      <c r="M39" s="13" t="s">
        <v>21</v>
      </c>
      <c r="N39" s="13" t="s">
        <v>21</v>
      </c>
      <c r="O39" s="26" t="n">
        <f aca="false">G39*(1+P39)</f>
        <v>10207.3831908832</v>
      </c>
      <c r="P39" s="27" t="n">
        <f aca="false">'Control Panel'!$B$95</f>
        <v>0</v>
      </c>
      <c r="Q39" s="9" t="n">
        <v>143311.66</v>
      </c>
      <c r="R39" s="26" t="n">
        <f aca="false">IF(L39="Yes",F39,0)</f>
        <v>7165583</v>
      </c>
      <c r="S39" s="27" t="n">
        <f aca="false">'Control Panel'!$B$112+0.02</f>
        <v>0.02</v>
      </c>
      <c r="T39" s="26" t="n">
        <f aca="false">R39*S39</f>
        <v>143311.66</v>
      </c>
      <c r="U39" s="26" t="n">
        <f aca="false">R39-T39</f>
        <v>7022271.34</v>
      </c>
    </row>
    <row r="40" customFormat="false" ht="15" hidden="false" customHeight="true" outlineLevel="0" collapsed="false">
      <c r="A40" s="13" t="n">
        <v>35</v>
      </c>
      <c r="B40" s="13" t="s">
        <v>178</v>
      </c>
      <c r="C40" s="13" t="s">
        <v>171</v>
      </c>
      <c r="D40" s="13" t="s">
        <v>167</v>
      </c>
      <c r="E40" s="25" t="n">
        <v>536</v>
      </c>
      <c r="F40" s="9" t="n">
        <v>5471899</v>
      </c>
      <c r="G40" s="9" t="n">
        <v>10208.7667910448</v>
      </c>
      <c r="H40" s="13" t="n">
        <v>6.5</v>
      </c>
      <c r="I40" s="25" t="n">
        <v>177500</v>
      </c>
      <c r="J40" s="13" t="n">
        <v>80</v>
      </c>
      <c r="K40" s="13" t="s">
        <v>170</v>
      </c>
      <c r="L40" s="13" t="s">
        <v>26</v>
      </c>
      <c r="M40" s="13" t="s">
        <v>21</v>
      </c>
      <c r="N40" s="13" t="s">
        <v>21</v>
      </c>
      <c r="O40" s="26" t="n">
        <f aca="false">G40*(1+P40)</f>
        <v>10208.7667910448</v>
      </c>
      <c r="P40" s="27" t="n">
        <f aca="false">'Control Panel'!$B$95</f>
        <v>0</v>
      </c>
      <c r="Q40" s="9" t="n">
        <v>109437.98</v>
      </c>
      <c r="R40" s="26" t="n">
        <f aca="false">IF(L40="Yes",F40,0)</f>
        <v>5471899</v>
      </c>
      <c r="S40" s="27" t="n">
        <f aca="false">'Control Panel'!$B$112+0.02</f>
        <v>0.02</v>
      </c>
      <c r="T40" s="26" t="n">
        <f aca="false">R40*S40</f>
        <v>109437.98</v>
      </c>
      <c r="U40" s="26" t="n">
        <f aca="false">R40-T40</f>
        <v>5362461.02</v>
      </c>
    </row>
    <row r="41" customFormat="false" ht="15" hidden="false" customHeight="true" outlineLevel="0" collapsed="false">
      <c r="A41" s="13" t="n">
        <v>36</v>
      </c>
      <c r="B41" s="13" t="s">
        <v>178</v>
      </c>
      <c r="C41" s="13" t="s">
        <v>171</v>
      </c>
      <c r="D41" s="13" t="s">
        <v>168</v>
      </c>
      <c r="E41" s="25" t="n">
        <v>38</v>
      </c>
      <c r="F41" s="9" t="n">
        <v>390849</v>
      </c>
      <c r="G41" s="9" t="n">
        <v>10285.5</v>
      </c>
      <c r="H41" s="13" t="n">
        <v>6.5</v>
      </c>
      <c r="I41" s="25" t="n">
        <v>177500</v>
      </c>
      <c r="J41" s="13" t="n">
        <v>80</v>
      </c>
      <c r="K41" s="13" t="s">
        <v>170</v>
      </c>
      <c r="L41" s="13" t="s">
        <v>26</v>
      </c>
      <c r="M41" s="13" t="s">
        <v>21</v>
      </c>
      <c r="N41" s="13" t="s">
        <v>21</v>
      </c>
      <c r="O41" s="26" t="n">
        <f aca="false">G41*(1+P41)</f>
        <v>10285.5</v>
      </c>
      <c r="P41" s="27" t="n">
        <f aca="false">'Control Panel'!$B$95</f>
        <v>0</v>
      </c>
      <c r="Q41" s="9" t="n">
        <v>7816.98</v>
      </c>
      <c r="R41" s="26" t="n">
        <f aca="false">IF(L41="Yes",F41,0)</f>
        <v>390849</v>
      </c>
      <c r="S41" s="27" t="n">
        <f aca="false">'Control Panel'!$B$112+0.02</f>
        <v>0.02</v>
      </c>
      <c r="T41" s="26" t="n">
        <f aca="false">R41*S41</f>
        <v>7816.98</v>
      </c>
      <c r="U41" s="26" t="n">
        <f aca="false">R41-T41</f>
        <v>383032.02</v>
      </c>
    </row>
    <row r="42" customFormat="false" ht="15" hidden="false" customHeight="true" outlineLevel="0" collapsed="false">
      <c r="A42" s="13" t="n">
        <v>37</v>
      </c>
      <c r="B42" s="13" t="s">
        <v>178</v>
      </c>
      <c r="C42" s="13" t="s">
        <v>172</v>
      </c>
      <c r="D42" s="13" t="s">
        <v>165</v>
      </c>
      <c r="E42" s="25" t="n">
        <v>585</v>
      </c>
      <c r="F42" s="9" t="n">
        <v>5971319</v>
      </c>
      <c r="G42" s="9" t="n">
        <v>10207.3829059829</v>
      </c>
      <c r="H42" s="13" t="n">
        <v>6.5</v>
      </c>
      <c r="I42" s="25" t="n">
        <v>177500</v>
      </c>
      <c r="J42" s="13" t="n">
        <v>80</v>
      </c>
      <c r="K42" s="13" t="s">
        <v>170</v>
      </c>
      <c r="L42" s="13" t="s">
        <v>26</v>
      </c>
      <c r="M42" s="13" t="s">
        <v>21</v>
      </c>
      <c r="N42" s="13" t="s">
        <v>21</v>
      </c>
      <c r="O42" s="26" t="n">
        <f aca="false">G42*(1+P42)</f>
        <v>10207.3829059829</v>
      </c>
      <c r="P42" s="27" t="n">
        <f aca="false">'Control Panel'!$B$95</f>
        <v>0</v>
      </c>
      <c r="Q42" s="9" t="n">
        <v>119426.38</v>
      </c>
      <c r="R42" s="26" t="n">
        <f aca="false">IF(L42="Yes",F42,0)</f>
        <v>5971319</v>
      </c>
      <c r="S42" s="27" t="n">
        <f aca="false">'Control Panel'!$B$112+0.02</f>
        <v>0.02</v>
      </c>
      <c r="T42" s="26" t="n">
        <f aca="false">R42*S42</f>
        <v>119426.38</v>
      </c>
      <c r="U42" s="26" t="n">
        <f aca="false">R42-T42</f>
        <v>5851892.62</v>
      </c>
    </row>
    <row r="43" customFormat="false" ht="15" hidden="false" customHeight="true" outlineLevel="0" collapsed="false">
      <c r="A43" s="13" t="n">
        <v>38</v>
      </c>
      <c r="B43" s="13" t="s">
        <v>178</v>
      </c>
      <c r="C43" s="13" t="s">
        <v>172</v>
      </c>
      <c r="D43" s="13" t="s">
        <v>167</v>
      </c>
      <c r="E43" s="25" t="n">
        <v>447</v>
      </c>
      <c r="F43" s="9" t="n">
        <v>4559916</v>
      </c>
      <c r="G43" s="9" t="n">
        <v>10201.1543624161</v>
      </c>
      <c r="H43" s="13" t="n">
        <v>6.5</v>
      </c>
      <c r="I43" s="25" t="n">
        <v>177500</v>
      </c>
      <c r="J43" s="13" t="n">
        <v>80</v>
      </c>
      <c r="K43" s="13" t="s">
        <v>170</v>
      </c>
      <c r="L43" s="13" t="s">
        <v>26</v>
      </c>
      <c r="M43" s="13" t="s">
        <v>21</v>
      </c>
      <c r="N43" s="13" t="s">
        <v>21</v>
      </c>
      <c r="O43" s="26" t="n">
        <f aca="false">G43*(1+P43)</f>
        <v>10201.1543624161</v>
      </c>
      <c r="P43" s="27" t="n">
        <f aca="false">'Control Panel'!$B$95</f>
        <v>0</v>
      </c>
      <c r="Q43" s="9" t="n">
        <v>91198.32</v>
      </c>
      <c r="R43" s="26" t="n">
        <f aca="false">IF(L43="Yes",F43,0)</f>
        <v>4559916</v>
      </c>
      <c r="S43" s="27" t="n">
        <f aca="false">'Control Panel'!$B$112+0.02</f>
        <v>0.02</v>
      </c>
      <c r="T43" s="26" t="n">
        <f aca="false">R43*S43</f>
        <v>91198.32</v>
      </c>
      <c r="U43" s="26" t="n">
        <f aca="false">R43-T43</f>
        <v>4468717.68</v>
      </c>
    </row>
    <row r="44" customFormat="false" ht="15" hidden="false" customHeight="true" outlineLevel="0" collapsed="false">
      <c r="A44" s="13" t="n">
        <v>39</v>
      </c>
      <c r="B44" s="13" t="s">
        <v>178</v>
      </c>
      <c r="C44" s="13" t="s">
        <v>172</v>
      </c>
      <c r="D44" s="13" t="s">
        <v>168</v>
      </c>
      <c r="E44" s="25" t="n">
        <v>31</v>
      </c>
      <c r="F44" s="9" t="n">
        <v>325708</v>
      </c>
      <c r="G44" s="9" t="n">
        <v>10506.7096774194</v>
      </c>
      <c r="H44" s="13" t="n">
        <v>6.5</v>
      </c>
      <c r="I44" s="25" t="n">
        <v>177500</v>
      </c>
      <c r="J44" s="13" t="n">
        <v>80</v>
      </c>
      <c r="K44" s="13" t="s">
        <v>170</v>
      </c>
      <c r="L44" s="13" t="s">
        <v>26</v>
      </c>
      <c r="M44" s="13" t="s">
        <v>21</v>
      </c>
      <c r="N44" s="13" t="s">
        <v>21</v>
      </c>
      <c r="O44" s="26" t="n">
        <f aca="false">G44*(1+P44)</f>
        <v>10506.7096774194</v>
      </c>
      <c r="P44" s="27" t="n">
        <f aca="false">'Control Panel'!$B$95</f>
        <v>0</v>
      </c>
      <c r="Q44" s="9" t="n">
        <v>6514.16</v>
      </c>
      <c r="R44" s="26" t="n">
        <f aca="false">IF(L44="Yes",F44,0)</f>
        <v>325708</v>
      </c>
      <c r="S44" s="27" t="n">
        <f aca="false">'Control Panel'!$B$112+0.02</f>
        <v>0.02</v>
      </c>
      <c r="T44" s="26" t="n">
        <f aca="false">R44*S44</f>
        <v>6514.16</v>
      </c>
      <c r="U44" s="26" t="n">
        <f aca="false">R44-T44</f>
        <v>319193.84</v>
      </c>
    </row>
    <row r="45" customFormat="false" ht="15" hidden="false" customHeight="true" outlineLevel="0" collapsed="false">
      <c r="A45" s="13" t="n">
        <v>40</v>
      </c>
      <c r="B45" s="13" t="s">
        <v>178</v>
      </c>
      <c r="C45" s="13" t="s">
        <v>173</v>
      </c>
      <c r="D45" s="13" t="s">
        <v>165</v>
      </c>
      <c r="E45" s="25" t="n">
        <v>468</v>
      </c>
      <c r="F45" s="9" t="n">
        <v>4777055</v>
      </c>
      <c r="G45" s="9" t="n">
        <v>10207.3824786325</v>
      </c>
      <c r="H45" s="13" t="n">
        <v>6.5</v>
      </c>
      <c r="I45" s="25" t="n">
        <v>177500</v>
      </c>
      <c r="J45" s="13" t="n">
        <v>80</v>
      </c>
      <c r="K45" s="13" t="s">
        <v>170</v>
      </c>
      <c r="L45" s="13" t="s">
        <v>26</v>
      </c>
      <c r="M45" s="13" t="s">
        <v>21</v>
      </c>
      <c r="N45" s="13" t="s">
        <v>21</v>
      </c>
      <c r="O45" s="26" t="n">
        <f aca="false">G45*(1+P45)</f>
        <v>10207.3824786325</v>
      </c>
      <c r="P45" s="27" t="n">
        <f aca="false">'Control Panel'!$B$95</f>
        <v>0</v>
      </c>
      <c r="Q45" s="9" t="n">
        <v>95541.1</v>
      </c>
      <c r="R45" s="26" t="n">
        <f aca="false">IF(L45="Yes",F45,0)</f>
        <v>4777055</v>
      </c>
      <c r="S45" s="27" t="n">
        <f aca="false">'Control Panel'!$B$112+0.02</f>
        <v>0.02</v>
      </c>
      <c r="T45" s="26" t="n">
        <f aca="false">R45*S45</f>
        <v>95541.1</v>
      </c>
      <c r="U45" s="26" t="n">
        <f aca="false">R45-T45</f>
        <v>4681513.9</v>
      </c>
    </row>
    <row r="46" customFormat="false" ht="15" hidden="false" customHeight="true" outlineLevel="0" collapsed="false">
      <c r="A46" s="13" t="n">
        <v>41</v>
      </c>
      <c r="B46" s="13" t="s">
        <v>178</v>
      </c>
      <c r="C46" s="13" t="s">
        <v>173</v>
      </c>
      <c r="D46" s="13" t="s">
        <v>167</v>
      </c>
      <c r="E46" s="25" t="n">
        <v>357</v>
      </c>
      <c r="F46" s="9" t="n">
        <v>3647933</v>
      </c>
      <c r="G46" s="9" t="n">
        <v>10218.299719888</v>
      </c>
      <c r="H46" s="13" t="n">
        <v>6.5</v>
      </c>
      <c r="I46" s="25" t="n">
        <v>177500</v>
      </c>
      <c r="J46" s="13" t="n">
        <v>80</v>
      </c>
      <c r="K46" s="13" t="s">
        <v>170</v>
      </c>
      <c r="L46" s="13" t="s">
        <v>26</v>
      </c>
      <c r="M46" s="13" t="s">
        <v>21</v>
      </c>
      <c r="N46" s="13" t="s">
        <v>21</v>
      </c>
      <c r="O46" s="26" t="n">
        <f aca="false">G46*(1+P46)</f>
        <v>10218.299719888</v>
      </c>
      <c r="P46" s="27" t="n">
        <f aca="false">'Control Panel'!$B$95</f>
        <v>0</v>
      </c>
      <c r="Q46" s="9" t="n">
        <v>72958.66</v>
      </c>
      <c r="R46" s="26" t="n">
        <f aca="false">IF(L46="Yes",F46,0)</f>
        <v>3647933</v>
      </c>
      <c r="S46" s="27" t="n">
        <f aca="false">'Control Panel'!$B$112+0.02</f>
        <v>0.02</v>
      </c>
      <c r="T46" s="26" t="n">
        <f aca="false">R46*S46</f>
        <v>72958.66</v>
      </c>
      <c r="U46" s="26" t="n">
        <f aca="false">R46-T46</f>
        <v>3574974.34</v>
      </c>
    </row>
    <row r="47" customFormat="false" ht="15" hidden="false" customHeight="true" outlineLevel="0" collapsed="false">
      <c r="A47" s="13" t="n">
        <v>42</v>
      </c>
      <c r="B47" s="13" t="s">
        <v>178</v>
      </c>
      <c r="C47" s="13" t="s">
        <v>173</v>
      </c>
      <c r="D47" s="13" t="s">
        <v>168</v>
      </c>
      <c r="E47" s="25" t="n">
        <v>25</v>
      </c>
      <c r="F47" s="9" t="n">
        <v>260566</v>
      </c>
      <c r="G47" s="9" t="n">
        <v>10422.64</v>
      </c>
      <c r="H47" s="13" t="n">
        <v>6.5</v>
      </c>
      <c r="I47" s="25" t="n">
        <v>177500</v>
      </c>
      <c r="J47" s="13" t="n">
        <v>80</v>
      </c>
      <c r="K47" s="13" t="s">
        <v>170</v>
      </c>
      <c r="L47" s="13" t="s">
        <v>26</v>
      </c>
      <c r="M47" s="13" t="s">
        <v>21</v>
      </c>
      <c r="N47" s="13" t="s">
        <v>21</v>
      </c>
      <c r="O47" s="26" t="n">
        <f aca="false">G47*(1+P47)</f>
        <v>10422.64</v>
      </c>
      <c r="P47" s="27" t="n">
        <f aca="false">'Control Panel'!$B$95</f>
        <v>0</v>
      </c>
      <c r="Q47" s="9" t="n">
        <v>5211.32</v>
      </c>
      <c r="R47" s="26" t="n">
        <f aca="false">IF(L47="Yes",F47,0)</f>
        <v>260566</v>
      </c>
      <c r="S47" s="27" t="n">
        <f aca="false">'Control Panel'!$B$112+0.02</f>
        <v>0.02</v>
      </c>
      <c r="T47" s="26" t="n">
        <f aca="false">R47*S47</f>
        <v>5211.32</v>
      </c>
      <c r="U47" s="26" t="n">
        <f aca="false">R47-T47</f>
        <v>255354.68</v>
      </c>
    </row>
    <row r="48" customFormat="false" ht="15" hidden="false" customHeight="true" outlineLevel="0" collapsed="false">
      <c r="A48" s="13" t="n">
        <v>43</v>
      </c>
      <c r="B48" s="13" t="s">
        <v>178</v>
      </c>
      <c r="C48" s="13" t="s">
        <v>174</v>
      </c>
      <c r="D48" s="13" t="s">
        <v>165</v>
      </c>
      <c r="E48" s="25" t="n">
        <v>409</v>
      </c>
      <c r="F48" s="9" t="n">
        <v>4179923</v>
      </c>
      <c r="G48" s="9" t="n">
        <v>10219.8606356968</v>
      </c>
      <c r="H48" s="13" t="n">
        <v>6.5</v>
      </c>
      <c r="I48" s="25" t="n">
        <v>177500</v>
      </c>
      <c r="J48" s="13" t="n">
        <v>80</v>
      </c>
      <c r="K48" s="13" t="s">
        <v>170</v>
      </c>
      <c r="L48" s="13" t="s">
        <v>26</v>
      </c>
      <c r="M48" s="13" t="s">
        <v>21</v>
      </c>
      <c r="N48" s="13" t="s">
        <v>21</v>
      </c>
      <c r="O48" s="26" t="n">
        <f aca="false">G48*(1+P48)</f>
        <v>10219.8606356968</v>
      </c>
      <c r="P48" s="27" t="n">
        <f aca="false">'Control Panel'!$B$95</f>
        <v>0</v>
      </c>
      <c r="Q48" s="9" t="n">
        <v>83598.46</v>
      </c>
      <c r="R48" s="26" t="n">
        <f aca="false">IF(L48="Yes",F48,0)</f>
        <v>4179923</v>
      </c>
      <c r="S48" s="27" t="n">
        <f aca="false">'Control Panel'!$B$112+0.02</f>
        <v>0.02</v>
      </c>
      <c r="T48" s="26" t="n">
        <f aca="false">R48*S48</f>
        <v>83598.46</v>
      </c>
      <c r="U48" s="26" t="n">
        <f aca="false">R48-T48</f>
        <v>4096324.54</v>
      </c>
    </row>
    <row r="49" customFormat="false" ht="15" hidden="false" customHeight="true" outlineLevel="0" collapsed="false">
      <c r="A49" s="13" t="n">
        <v>44</v>
      </c>
      <c r="B49" s="13" t="s">
        <v>178</v>
      </c>
      <c r="C49" s="13" t="s">
        <v>174</v>
      </c>
      <c r="D49" s="13" t="s">
        <v>167</v>
      </c>
      <c r="E49" s="25" t="n">
        <v>312</v>
      </c>
      <c r="F49" s="9" t="n">
        <v>3191941</v>
      </c>
      <c r="G49" s="9" t="n">
        <v>10230.5801282051</v>
      </c>
      <c r="H49" s="13" t="n">
        <v>6.5</v>
      </c>
      <c r="I49" s="25" t="n">
        <v>177500</v>
      </c>
      <c r="J49" s="13" t="n">
        <v>80</v>
      </c>
      <c r="K49" s="13" t="s">
        <v>170</v>
      </c>
      <c r="L49" s="13" t="s">
        <v>26</v>
      </c>
      <c r="M49" s="13" t="s">
        <v>21</v>
      </c>
      <c r="N49" s="13" t="s">
        <v>21</v>
      </c>
      <c r="O49" s="26" t="n">
        <f aca="false">G49*(1+P49)</f>
        <v>10230.5801282051</v>
      </c>
      <c r="P49" s="27" t="n">
        <f aca="false">'Control Panel'!$B$95</f>
        <v>0</v>
      </c>
      <c r="Q49" s="9" t="n">
        <v>63838.82</v>
      </c>
      <c r="R49" s="26" t="n">
        <f aca="false">IF(L49="Yes",F49,0)</f>
        <v>3191941</v>
      </c>
      <c r="S49" s="27" t="n">
        <f aca="false">'Control Panel'!$B$112+0.02</f>
        <v>0.02</v>
      </c>
      <c r="T49" s="26" t="n">
        <f aca="false">R49*S49</f>
        <v>63838.82</v>
      </c>
      <c r="U49" s="26" t="n">
        <f aca="false">R49-T49</f>
        <v>3128102.18</v>
      </c>
    </row>
    <row r="50" customFormat="false" ht="15" hidden="false" customHeight="true" outlineLevel="0" collapsed="false">
      <c r="A50" s="13" t="n">
        <v>45</v>
      </c>
      <c r="B50" s="13" t="s">
        <v>178</v>
      </c>
      <c r="C50" s="13" t="s">
        <v>174</v>
      </c>
      <c r="D50" s="13" t="s">
        <v>168</v>
      </c>
      <c r="E50" s="25" t="n">
        <v>22</v>
      </c>
      <c r="F50" s="9" t="n">
        <v>227995</v>
      </c>
      <c r="G50" s="9" t="n">
        <v>10363.4090909091</v>
      </c>
      <c r="H50" s="13" t="n">
        <v>6.5</v>
      </c>
      <c r="I50" s="25" t="n">
        <v>177500</v>
      </c>
      <c r="J50" s="13" t="n">
        <v>80</v>
      </c>
      <c r="K50" s="13" t="s">
        <v>170</v>
      </c>
      <c r="L50" s="13" t="s">
        <v>26</v>
      </c>
      <c r="M50" s="13" t="s">
        <v>21</v>
      </c>
      <c r="N50" s="13" t="s">
        <v>21</v>
      </c>
      <c r="O50" s="26" t="n">
        <f aca="false">G50*(1+P50)</f>
        <v>10363.4090909091</v>
      </c>
      <c r="P50" s="27" t="n">
        <f aca="false">'Control Panel'!$B$95</f>
        <v>0</v>
      </c>
      <c r="Q50" s="9" t="n">
        <v>4559.9</v>
      </c>
      <c r="R50" s="26" t="n">
        <f aca="false">IF(L50="Yes",F50,0)</f>
        <v>227995</v>
      </c>
      <c r="S50" s="27" t="n">
        <f aca="false">'Control Panel'!$B$112+0.02</f>
        <v>0.02</v>
      </c>
      <c r="T50" s="26" t="n">
        <f aca="false">R50*S50</f>
        <v>4559.9</v>
      </c>
      <c r="U50" s="26" t="n">
        <f aca="false">R50-T50</f>
        <v>223435.1</v>
      </c>
    </row>
    <row r="51" customFormat="false" ht="15" hidden="false" customHeight="true" outlineLevel="0" collapsed="false">
      <c r="A51" s="13" t="n">
        <v>46</v>
      </c>
      <c r="B51" s="13" t="s">
        <v>178</v>
      </c>
      <c r="C51" s="13" t="s">
        <v>175</v>
      </c>
      <c r="D51" s="13" t="s">
        <v>165</v>
      </c>
      <c r="E51" s="25" t="n">
        <v>351</v>
      </c>
      <c r="F51" s="9" t="n">
        <v>3582791</v>
      </c>
      <c r="G51" s="9" t="n">
        <v>10207.3817663818</v>
      </c>
      <c r="H51" s="13" t="n">
        <v>6.5</v>
      </c>
      <c r="I51" s="25" t="n">
        <v>177500</v>
      </c>
      <c r="J51" s="13" t="n">
        <v>80</v>
      </c>
      <c r="K51" s="13" t="s">
        <v>170</v>
      </c>
      <c r="L51" s="13" t="s">
        <v>26</v>
      </c>
      <c r="M51" s="13" t="s">
        <v>21</v>
      </c>
      <c r="N51" s="13" t="s">
        <v>21</v>
      </c>
      <c r="O51" s="26" t="n">
        <f aca="false">G51*(1+P51)</f>
        <v>10207.3817663818</v>
      </c>
      <c r="P51" s="27" t="n">
        <f aca="false">'Control Panel'!$B$95</f>
        <v>0</v>
      </c>
      <c r="Q51" s="9" t="n">
        <v>71655.82</v>
      </c>
      <c r="R51" s="26" t="n">
        <f aca="false">IF(L51="Yes",F51,0)</f>
        <v>3582791</v>
      </c>
      <c r="S51" s="27" t="n">
        <f aca="false">'Control Panel'!$B$112+0.02</f>
        <v>0.02</v>
      </c>
      <c r="T51" s="26" t="n">
        <f aca="false">R51*S51</f>
        <v>71655.82</v>
      </c>
      <c r="U51" s="26" t="n">
        <f aca="false">R51-T51</f>
        <v>3511135.18</v>
      </c>
    </row>
    <row r="52" customFormat="false" ht="15" hidden="false" customHeight="true" outlineLevel="0" collapsed="false">
      <c r="A52" s="13" t="n">
        <v>47</v>
      </c>
      <c r="B52" s="13" t="s">
        <v>178</v>
      </c>
      <c r="C52" s="13" t="s">
        <v>175</v>
      </c>
      <c r="D52" s="13" t="s">
        <v>167</v>
      </c>
      <c r="E52" s="25" t="n">
        <v>268</v>
      </c>
      <c r="F52" s="9" t="n">
        <v>2735949</v>
      </c>
      <c r="G52" s="9" t="n">
        <v>10208.7649253731</v>
      </c>
      <c r="H52" s="13" t="n">
        <v>6.5</v>
      </c>
      <c r="I52" s="25" t="n">
        <v>177500</v>
      </c>
      <c r="J52" s="13" t="n">
        <v>80</v>
      </c>
      <c r="K52" s="13" t="s">
        <v>170</v>
      </c>
      <c r="L52" s="13" t="s">
        <v>26</v>
      </c>
      <c r="M52" s="13" t="s">
        <v>21</v>
      </c>
      <c r="N52" s="13" t="s">
        <v>21</v>
      </c>
      <c r="O52" s="26" t="n">
        <f aca="false">G52*(1+P52)</f>
        <v>10208.7649253731</v>
      </c>
      <c r="P52" s="27" t="n">
        <f aca="false">'Control Panel'!$B$95</f>
        <v>0</v>
      </c>
      <c r="Q52" s="9" t="n">
        <v>54718.98</v>
      </c>
      <c r="R52" s="26" t="n">
        <f aca="false">IF(L52="Yes",F52,0)</f>
        <v>2735949</v>
      </c>
      <c r="S52" s="27" t="n">
        <f aca="false">'Control Panel'!$B$112+0.02</f>
        <v>0.02</v>
      </c>
      <c r="T52" s="26" t="n">
        <f aca="false">R52*S52</f>
        <v>54718.98</v>
      </c>
      <c r="U52" s="26" t="n">
        <f aca="false">R52-T52</f>
        <v>2681230.02</v>
      </c>
    </row>
    <row r="53" customFormat="false" ht="15" hidden="false" customHeight="true" outlineLevel="0" collapsed="false">
      <c r="A53" s="13" t="n">
        <v>48</v>
      </c>
      <c r="B53" s="13" t="s">
        <v>178</v>
      </c>
      <c r="C53" s="13" t="s">
        <v>175</v>
      </c>
      <c r="D53" s="13" t="s">
        <v>168</v>
      </c>
      <c r="E53" s="25" t="n">
        <v>19</v>
      </c>
      <c r="F53" s="9" t="n">
        <v>195424</v>
      </c>
      <c r="G53" s="9" t="n">
        <v>10285.4736842105</v>
      </c>
      <c r="H53" s="13" t="n">
        <v>6.5</v>
      </c>
      <c r="I53" s="25" t="n">
        <v>177500</v>
      </c>
      <c r="J53" s="13" t="n">
        <v>80</v>
      </c>
      <c r="K53" s="13" t="s">
        <v>170</v>
      </c>
      <c r="L53" s="13" t="s">
        <v>26</v>
      </c>
      <c r="M53" s="13" t="s">
        <v>21</v>
      </c>
      <c r="N53" s="13" t="s">
        <v>21</v>
      </c>
      <c r="O53" s="26" t="n">
        <f aca="false">G53*(1+P53)</f>
        <v>10285.4736842105</v>
      </c>
      <c r="P53" s="27" t="n">
        <f aca="false">'Control Panel'!$B$95</f>
        <v>0</v>
      </c>
      <c r="Q53" s="9" t="n">
        <v>3908.48</v>
      </c>
      <c r="R53" s="26" t="n">
        <f aca="false">IF(L53="Yes",F53,0)</f>
        <v>195424</v>
      </c>
      <c r="S53" s="27" t="n">
        <f aca="false">'Control Panel'!$B$112+0.02</f>
        <v>0.02</v>
      </c>
      <c r="T53" s="26" t="n">
        <f aca="false">R53*S53</f>
        <v>3908.48</v>
      </c>
      <c r="U53" s="26" t="n">
        <f aca="false">R53-T53</f>
        <v>191515.52</v>
      </c>
    </row>
    <row r="54" customFormat="false" ht="15" hidden="false" customHeight="true" outlineLevel="0" collapsed="false">
      <c r="A54" s="13" t="n">
        <v>49</v>
      </c>
      <c r="B54" s="13" t="s">
        <v>178</v>
      </c>
      <c r="C54" s="13" t="s">
        <v>176</v>
      </c>
      <c r="D54" s="13" t="s">
        <v>165</v>
      </c>
      <c r="E54" s="25" t="n">
        <v>234</v>
      </c>
      <c r="F54" s="9" t="n">
        <v>2388527</v>
      </c>
      <c r="G54" s="9" t="n">
        <v>10207.3803418803</v>
      </c>
      <c r="H54" s="13" t="n">
        <v>6.5</v>
      </c>
      <c r="I54" s="25" t="n">
        <v>177500</v>
      </c>
      <c r="J54" s="13" t="n">
        <v>80</v>
      </c>
      <c r="K54" s="13" t="s">
        <v>170</v>
      </c>
      <c r="L54" s="13" t="s">
        <v>26</v>
      </c>
      <c r="M54" s="13" t="s">
        <v>21</v>
      </c>
      <c r="N54" s="13" t="s">
        <v>21</v>
      </c>
      <c r="O54" s="26" t="n">
        <f aca="false">G54*(1+P54)</f>
        <v>10207.3803418803</v>
      </c>
      <c r="P54" s="27" t="n">
        <f aca="false">'Control Panel'!$B$95</f>
        <v>0</v>
      </c>
      <c r="Q54" s="9" t="n">
        <v>47770.54</v>
      </c>
      <c r="R54" s="26" t="n">
        <f aca="false">IF(L54="Yes",F54,0)</f>
        <v>2388527</v>
      </c>
      <c r="S54" s="27" t="n">
        <f aca="false">'Control Panel'!$B$112+0.02</f>
        <v>0.02</v>
      </c>
      <c r="T54" s="26" t="n">
        <f aca="false">R54*S54</f>
        <v>47770.54</v>
      </c>
      <c r="U54" s="26" t="n">
        <f aca="false">R54-T54</f>
        <v>2340756.46</v>
      </c>
    </row>
    <row r="55" customFormat="false" ht="15" hidden="false" customHeight="true" outlineLevel="0" collapsed="false">
      <c r="A55" s="13" t="n">
        <v>50</v>
      </c>
      <c r="B55" s="13" t="s">
        <v>178</v>
      </c>
      <c r="C55" s="13" t="s">
        <v>176</v>
      </c>
      <c r="D55" s="13" t="s">
        <v>167</v>
      </c>
      <c r="E55" s="25" t="n">
        <v>178</v>
      </c>
      <c r="F55" s="9" t="n">
        <v>1823966</v>
      </c>
      <c r="G55" s="9" t="n">
        <v>10247</v>
      </c>
      <c r="H55" s="13" t="n">
        <v>6.5</v>
      </c>
      <c r="I55" s="25" t="n">
        <v>177500</v>
      </c>
      <c r="J55" s="13" t="n">
        <v>80</v>
      </c>
      <c r="K55" s="13" t="s">
        <v>170</v>
      </c>
      <c r="L55" s="13" t="s">
        <v>26</v>
      </c>
      <c r="M55" s="13" t="s">
        <v>21</v>
      </c>
      <c r="N55" s="13" t="s">
        <v>21</v>
      </c>
      <c r="O55" s="26" t="n">
        <f aca="false">G55*(1+P55)</f>
        <v>10247</v>
      </c>
      <c r="P55" s="27" t="n">
        <f aca="false">'Control Panel'!$B$95</f>
        <v>0</v>
      </c>
      <c r="Q55" s="9" t="n">
        <v>36479.32</v>
      </c>
      <c r="R55" s="26" t="n">
        <f aca="false">IF(L55="Yes",F55,0)</f>
        <v>1823966</v>
      </c>
      <c r="S55" s="27" t="n">
        <f aca="false">'Control Panel'!$B$112+0.02</f>
        <v>0.02</v>
      </c>
      <c r="T55" s="26" t="n">
        <f aca="false">R55*S55</f>
        <v>36479.32</v>
      </c>
      <c r="U55" s="26" t="n">
        <f aca="false">R55-T55</f>
        <v>1787486.68</v>
      </c>
    </row>
    <row r="56" customFormat="false" ht="15" hidden="false" customHeight="true" outlineLevel="0" collapsed="false">
      <c r="A56" s="13" t="n">
        <v>51</v>
      </c>
      <c r="B56" s="13" t="s">
        <v>178</v>
      </c>
      <c r="C56" s="13" t="s">
        <v>176</v>
      </c>
      <c r="D56" s="13" t="s">
        <v>168</v>
      </c>
      <c r="E56" s="25" t="n">
        <v>12</v>
      </c>
      <c r="F56" s="9" t="n">
        <v>130283</v>
      </c>
      <c r="G56" s="9" t="n">
        <v>10856.9166666667</v>
      </c>
      <c r="H56" s="13" t="n">
        <v>6.5</v>
      </c>
      <c r="I56" s="25" t="n">
        <v>177500</v>
      </c>
      <c r="J56" s="13" t="n">
        <v>80</v>
      </c>
      <c r="K56" s="13" t="s">
        <v>170</v>
      </c>
      <c r="L56" s="13" t="s">
        <v>26</v>
      </c>
      <c r="M56" s="13" t="s">
        <v>21</v>
      </c>
      <c r="N56" s="13" t="s">
        <v>21</v>
      </c>
      <c r="O56" s="26" t="n">
        <f aca="false">G56*(1+P56)</f>
        <v>10856.9166666667</v>
      </c>
      <c r="P56" s="27" t="n">
        <f aca="false">'Control Panel'!$B$95</f>
        <v>0</v>
      </c>
      <c r="Q56" s="9" t="n">
        <v>2605.66</v>
      </c>
      <c r="R56" s="26" t="n">
        <f aca="false">IF(L56="Yes",F56,0)</f>
        <v>130283</v>
      </c>
      <c r="S56" s="27" t="n">
        <f aca="false">'Control Panel'!$B$112+0.02</f>
        <v>0.02</v>
      </c>
      <c r="T56" s="26" t="n">
        <f aca="false">R56*S56</f>
        <v>2605.66</v>
      </c>
      <c r="U56" s="26" t="n">
        <f aca="false">R56-T56</f>
        <v>127677.34</v>
      </c>
    </row>
    <row r="57" customFormat="false" ht="15" hidden="false" customHeight="true" outlineLevel="0" collapsed="false">
      <c r="A57" s="13" t="n">
        <v>52</v>
      </c>
      <c r="B57" s="13" t="s">
        <v>178</v>
      </c>
      <c r="C57" s="13" t="s">
        <v>177</v>
      </c>
      <c r="D57" s="13" t="s">
        <v>165</v>
      </c>
      <c r="E57" s="25" t="n">
        <v>175</v>
      </c>
      <c r="F57" s="9" t="n">
        <v>1791395</v>
      </c>
      <c r="G57" s="9" t="n">
        <v>10236.5428571429</v>
      </c>
      <c r="H57" s="13" t="n">
        <v>6.5</v>
      </c>
      <c r="I57" s="25" t="n">
        <v>177500</v>
      </c>
      <c r="J57" s="13" t="n">
        <v>80</v>
      </c>
      <c r="K57" s="13" t="s">
        <v>170</v>
      </c>
      <c r="L57" s="13" t="s">
        <v>26</v>
      </c>
      <c r="M57" s="13" t="s">
        <v>21</v>
      </c>
      <c r="N57" s="13" t="s">
        <v>21</v>
      </c>
      <c r="O57" s="26" t="n">
        <f aca="false">G57*(1+P57)</f>
        <v>10236.5428571429</v>
      </c>
      <c r="P57" s="27" t="n">
        <f aca="false">'Control Panel'!$B$95</f>
        <v>0</v>
      </c>
      <c r="Q57" s="9" t="n">
        <v>35827.9</v>
      </c>
      <c r="R57" s="26" t="n">
        <f aca="false">IF(L57="Yes",F57,0)</f>
        <v>1791395</v>
      </c>
      <c r="S57" s="27" t="n">
        <f aca="false">'Control Panel'!$B$112+0.02</f>
        <v>0.02</v>
      </c>
      <c r="T57" s="26" t="n">
        <f aca="false">R57*S57</f>
        <v>35827.9</v>
      </c>
      <c r="U57" s="26" t="n">
        <f aca="false">R57-T57</f>
        <v>1755567.1</v>
      </c>
    </row>
    <row r="58" customFormat="false" ht="15" hidden="false" customHeight="true" outlineLevel="0" collapsed="false">
      <c r="A58" s="13" t="n">
        <v>53</v>
      </c>
      <c r="B58" s="13" t="s">
        <v>178</v>
      </c>
      <c r="C58" s="13" t="s">
        <v>177</v>
      </c>
      <c r="D58" s="13" t="s">
        <v>167</v>
      </c>
      <c r="E58" s="25" t="n">
        <v>134</v>
      </c>
      <c r="F58" s="9" t="n">
        <v>1367974</v>
      </c>
      <c r="G58" s="9" t="n">
        <v>10208.7611940299</v>
      </c>
      <c r="H58" s="13" t="n">
        <v>6.5</v>
      </c>
      <c r="I58" s="25" t="n">
        <v>177500</v>
      </c>
      <c r="J58" s="13" t="n">
        <v>80</v>
      </c>
      <c r="K58" s="13" t="s">
        <v>170</v>
      </c>
      <c r="L58" s="13" t="s">
        <v>26</v>
      </c>
      <c r="M58" s="13" t="s">
        <v>21</v>
      </c>
      <c r="N58" s="13" t="s">
        <v>21</v>
      </c>
      <c r="O58" s="26" t="n">
        <f aca="false">G58*(1+P58)</f>
        <v>10208.7611940299</v>
      </c>
      <c r="P58" s="27" t="n">
        <f aca="false">'Control Panel'!$B$95</f>
        <v>0</v>
      </c>
      <c r="Q58" s="9" t="n">
        <v>27359.48</v>
      </c>
      <c r="R58" s="26" t="n">
        <f aca="false">IF(L58="Yes",F58,0)</f>
        <v>1367974</v>
      </c>
      <c r="S58" s="27" t="n">
        <f aca="false">'Control Panel'!$B$112+0.02</f>
        <v>0.02</v>
      </c>
      <c r="T58" s="26" t="n">
        <f aca="false">R58*S58</f>
        <v>27359.48</v>
      </c>
      <c r="U58" s="26" t="n">
        <f aca="false">R58-T58</f>
        <v>1340614.52</v>
      </c>
    </row>
    <row r="59" customFormat="false" ht="15" hidden="false" customHeight="true" outlineLevel="0" collapsed="false">
      <c r="A59" s="13" t="n">
        <v>54</v>
      </c>
      <c r="B59" s="13" t="s">
        <v>178</v>
      </c>
      <c r="C59" s="13" t="s">
        <v>177</v>
      </c>
      <c r="D59" s="13" t="s">
        <v>168</v>
      </c>
      <c r="E59" s="25" t="n">
        <v>9</v>
      </c>
      <c r="F59" s="9" t="n">
        <v>97712</v>
      </c>
      <c r="G59" s="9" t="n">
        <v>10856.8888888889</v>
      </c>
      <c r="H59" s="13" t="n">
        <v>6.5</v>
      </c>
      <c r="I59" s="25" t="n">
        <v>177500</v>
      </c>
      <c r="J59" s="13" t="n">
        <v>80</v>
      </c>
      <c r="K59" s="13" t="s">
        <v>170</v>
      </c>
      <c r="L59" s="13" t="s">
        <v>26</v>
      </c>
      <c r="M59" s="13" t="s">
        <v>21</v>
      </c>
      <c r="N59" s="13" t="s">
        <v>21</v>
      </c>
      <c r="O59" s="26" t="n">
        <f aca="false">G59*(1+P59)</f>
        <v>10856.8888888889</v>
      </c>
      <c r="P59" s="27" t="n">
        <f aca="false">'Control Panel'!$B$95</f>
        <v>0</v>
      </c>
      <c r="Q59" s="9" t="n">
        <v>1954.24</v>
      </c>
      <c r="R59" s="26" t="n">
        <f aca="false">IF(L59="Yes",F59,0)</f>
        <v>97712</v>
      </c>
      <c r="S59" s="27" t="n">
        <f aca="false">'Control Panel'!$B$112+0.02</f>
        <v>0.02</v>
      </c>
      <c r="T59" s="26" t="n">
        <f aca="false">R59*S59</f>
        <v>1954.24</v>
      </c>
      <c r="U59" s="26" t="n">
        <f aca="false">R59-T59</f>
        <v>95757.76</v>
      </c>
    </row>
    <row r="60" customFormat="false" ht="15" hidden="false" customHeight="true" outlineLevel="0" collapsed="false">
      <c r="A60" s="13" t="n">
        <v>55</v>
      </c>
      <c r="B60" s="13" t="s">
        <v>179</v>
      </c>
      <c r="C60" s="13" t="s">
        <v>164</v>
      </c>
      <c r="D60" s="13" t="s">
        <v>165</v>
      </c>
      <c r="E60" s="25" t="n">
        <v>1639</v>
      </c>
      <c r="F60" s="9" t="n">
        <v>16719693</v>
      </c>
      <c r="G60" s="9" t="n">
        <v>10201.1549725442</v>
      </c>
      <c r="H60" s="13" t="n">
        <v>7</v>
      </c>
      <c r="I60" s="25" t="n">
        <v>185000</v>
      </c>
      <c r="J60" s="13" t="n">
        <v>115</v>
      </c>
      <c r="K60" s="13" t="s">
        <v>166</v>
      </c>
      <c r="L60" s="13" t="s">
        <v>26</v>
      </c>
      <c r="M60" s="13" t="s">
        <v>21</v>
      </c>
      <c r="N60" s="13" t="s">
        <v>21</v>
      </c>
      <c r="O60" s="26" t="n">
        <f aca="false">G60*(1+P60)</f>
        <v>10201.1549725442</v>
      </c>
      <c r="P60" s="27" t="n">
        <f aca="false">'Control Panel'!$B$95</f>
        <v>0</v>
      </c>
      <c r="Q60" s="9" t="n">
        <v>334393.86</v>
      </c>
      <c r="R60" s="26" t="n">
        <f aca="false">IF(L60="Yes",F60,0)</f>
        <v>16719693</v>
      </c>
      <c r="S60" s="27" t="n">
        <f aca="false">'Control Panel'!$B$112+0.05</f>
        <v>0.05</v>
      </c>
      <c r="T60" s="26" t="n">
        <f aca="false">R60*S60</f>
        <v>835984.65</v>
      </c>
      <c r="U60" s="26" t="n">
        <f aca="false">R60-T60</f>
        <v>15883708.35</v>
      </c>
    </row>
    <row r="61" customFormat="false" ht="15" hidden="false" customHeight="true" outlineLevel="0" collapsed="false">
      <c r="A61" s="13" t="n">
        <v>56</v>
      </c>
      <c r="B61" s="13" t="s">
        <v>179</v>
      </c>
      <c r="C61" s="13" t="s">
        <v>164</v>
      </c>
      <c r="D61" s="13" t="s">
        <v>167</v>
      </c>
      <c r="E61" s="25" t="n">
        <v>1251</v>
      </c>
      <c r="F61" s="9" t="n">
        <v>12767766</v>
      </c>
      <c r="G61" s="9" t="n">
        <v>10206.0479616307</v>
      </c>
      <c r="H61" s="13" t="n">
        <v>7</v>
      </c>
      <c r="I61" s="25" t="n">
        <v>185000</v>
      </c>
      <c r="J61" s="13" t="n">
        <v>115</v>
      </c>
      <c r="K61" s="13" t="s">
        <v>166</v>
      </c>
      <c r="L61" s="13" t="s">
        <v>26</v>
      </c>
      <c r="M61" s="13" t="s">
        <v>21</v>
      </c>
      <c r="N61" s="13" t="s">
        <v>21</v>
      </c>
      <c r="O61" s="26" t="n">
        <f aca="false">G61*(1+P61)</f>
        <v>10206.0479616307</v>
      </c>
      <c r="P61" s="27" t="n">
        <f aca="false">'Control Panel'!$B$95</f>
        <v>0</v>
      </c>
      <c r="Q61" s="9" t="n">
        <v>255355.32</v>
      </c>
      <c r="R61" s="26" t="n">
        <f aca="false">IF(L61="Yes",F61,0)</f>
        <v>12767766</v>
      </c>
      <c r="S61" s="27" t="n">
        <f aca="false">'Control Panel'!$B$112+0.05</f>
        <v>0.05</v>
      </c>
      <c r="T61" s="26" t="n">
        <f aca="false">R61*S61</f>
        <v>638388.3</v>
      </c>
      <c r="U61" s="26" t="n">
        <f aca="false">R61-T61</f>
        <v>12129377.7</v>
      </c>
    </row>
    <row r="62" customFormat="false" ht="15" hidden="false" customHeight="true" outlineLevel="0" collapsed="false">
      <c r="A62" s="13" t="n">
        <v>57</v>
      </c>
      <c r="B62" s="13" t="s">
        <v>179</v>
      </c>
      <c r="C62" s="13" t="s">
        <v>164</v>
      </c>
      <c r="D62" s="13" t="s">
        <v>168</v>
      </c>
      <c r="E62" s="25" t="n">
        <v>89</v>
      </c>
      <c r="F62" s="9" t="n">
        <v>911983</v>
      </c>
      <c r="G62" s="9" t="n">
        <v>10247</v>
      </c>
      <c r="H62" s="13" t="n">
        <v>7</v>
      </c>
      <c r="I62" s="25" t="n">
        <v>185000</v>
      </c>
      <c r="J62" s="13" t="n">
        <v>115</v>
      </c>
      <c r="K62" s="13" t="s">
        <v>166</v>
      </c>
      <c r="L62" s="13" t="s">
        <v>26</v>
      </c>
      <c r="M62" s="13" t="s">
        <v>21</v>
      </c>
      <c r="N62" s="13" t="s">
        <v>21</v>
      </c>
      <c r="O62" s="26" t="n">
        <f aca="false">G62*(1+P62)</f>
        <v>10247</v>
      </c>
      <c r="P62" s="27" t="n">
        <f aca="false">'Control Panel'!$B$95</f>
        <v>0</v>
      </c>
      <c r="Q62" s="9" t="n">
        <v>18239.66</v>
      </c>
      <c r="R62" s="26" t="n">
        <f aca="false">IF(L62="Yes",F62,0)</f>
        <v>911983</v>
      </c>
      <c r="S62" s="27" t="n">
        <f aca="false">'Control Panel'!$B$112+0.05</f>
        <v>0.05</v>
      </c>
      <c r="T62" s="26" t="n">
        <f aca="false">R62*S62</f>
        <v>45599.15</v>
      </c>
      <c r="U62" s="26" t="n">
        <f aca="false">R62-T62</f>
        <v>866383.85</v>
      </c>
    </row>
    <row r="63" customFormat="false" ht="15" hidden="false" customHeight="true" outlineLevel="0" collapsed="false">
      <c r="A63" s="13" t="n">
        <v>58</v>
      </c>
      <c r="B63" s="13" t="s">
        <v>179</v>
      </c>
      <c r="C63" s="13" t="s">
        <v>169</v>
      </c>
      <c r="D63" s="13" t="s">
        <v>165</v>
      </c>
      <c r="E63" s="25" t="n">
        <v>702</v>
      </c>
      <c r="F63" s="9" t="n">
        <v>7165583</v>
      </c>
      <c r="G63" s="9" t="n">
        <v>10207.3831908832</v>
      </c>
      <c r="H63" s="13" t="n">
        <v>7</v>
      </c>
      <c r="I63" s="25" t="n">
        <v>185000</v>
      </c>
      <c r="J63" s="13" t="n">
        <v>115</v>
      </c>
      <c r="K63" s="13" t="s">
        <v>170</v>
      </c>
      <c r="L63" s="13" t="s">
        <v>26</v>
      </c>
      <c r="M63" s="13" t="s">
        <v>21</v>
      </c>
      <c r="N63" s="13" t="s">
        <v>21</v>
      </c>
      <c r="O63" s="26" t="n">
        <f aca="false">G63*(1+P63)</f>
        <v>10207.3831908832</v>
      </c>
      <c r="P63" s="27" t="n">
        <f aca="false">'Control Panel'!$B$95</f>
        <v>0</v>
      </c>
      <c r="Q63" s="9" t="n">
        <v>143311.66</v>
      </c>
      <c r="R63" s="26" t="n">
        <f aca="false">IF(L63="Yes",F63,0)</f>
        <v>7165583</v>
      </c>
      <c r="S63" s="27" t="n">
        <f aca="false">'Control Panel'!$B$112+0.05</f>
        <v>0.05</v>
      </c>
      <c r="T63" s="26" t="n">
        <f aca="false">R63*S63</f>
        <v>358279.15</v>
      </c>
      <c r="U63" s="26" t="n">
        <f aca="false">R63-T63</f>
        <v>6807303.85</v>
      </c>
    </row>
    <row r="64" customFormat="false" ht="15" hidden="false" customHeight="true" outlineLevel="0" collapsed="false">
      <c r="A64" s="13" t="n">
        <v>59</v>
      </c>
      <c r="B64" s="13" t="s">
        <v>179</v>
      </c>
      <c r="C64" s="13" t="s">
        <v>169</v>
      </c>
      <c r="D64" s="13" t="s">
        <v>167</v>
      </c>
      <c r="E64" s="25" t="n">
        <v>536</v>
      </c>
      <c r="F64" s="9" t="n">
        <v>5471899</v>
      </c>
      <c r="G64" s="9" t="n">
        <v>10208.7667910448</v>
      </c>
      <c r="H64" s="13" t="n">
        <v>7</v>
      </c>
      <c r="I64" s="25" t="n">
        <v>185000</v>
      </c>
      <c r="J64" s="13" t="n">
        <v>115</v>
      </c>
      <c r="K64" s="13" t="s">
        <v>170</v>
      </c>
      <c r="L64" s="13" t="s">
        <v>26</v>
      </c>
      <c r="M64" s="13" t="s">
        <v>21</v>
      </c>
      <c r="N64" s="13" t="s">
        <v>21</v>
      </c>
      <c r="O64" s="26" t="n">
        <f aca="false">G64*(1+P64)</f>
        <v>10208.7667910448</v>
      </c>
      <c r="P64" s="27" t="n">
        <f aca="false">'Control Panel'!$B$95</f>
        <v>0</v>
      </c>
      <c r="Q64" s="9" t="n">
        <v>109437.98</v>
      </c>
      <c r="R64" s="26" t="n">
        <f aca="false">IF(L64="Yes",F64,0)</f>
        <v>5471899</v>
      </c>
      <c r="S64" s="27" t="n">
        <f aca="false">'Control Panel'!$B$112+0.05</f>
        <v>0.05</v>
      </c>
      <c r="T64" s="26" t="n">
        <f aca="false">R64*S64</f>
        <v>273594.95</v>
      </c>
      <c r="U64" s="26" t="n">
        <f aca="false">R64-T64</f>
        <v>5198304.05</v>
      </c>
    </row>
    <row r="65" customFormat="false" ht="15" hidden="false" customHeight="true" outlineLevel="0" collapsed="false">
      <c r="A65" s="13" t="n">
        <v>60</v>
      </c>
      <c r="B65" s="13" t="s">
        <v>179</v>
      </c>
      <c r="C65" s="13" t="s">
        <v>169</v>
      </c>
      <c r="D65" s="13" t="s">
        <v>168</v>
      </c>
      <c r="E65" s="25" t="n">
        <v>38</v>
      </c>
      <c r="F65" s="9" t="n">
        <v>390849</v>
      </c>
      <c r="G65" s="9" t="n">
        <v>10285.5</v>
      </c>
      <c r="H65" s="13" t="n">
        <v>7</v>
      </c>
      <c r="I65" s="25" t="n">
        <v>185000</v>
      </c>
      <c r="J65" s="13" t="n">
        <v>115</v>
      </c>
      <c r="K65" s="13" t="s">
        <v>170</v>
      </c>
      <c r="L65" s="13" t="s">
        <v>26</v>
      </c>
      <c r="M65" s="13" t="s">
        <v>26</v>
      </c>
      <c r="N65" s="13" t="s">
        <v>21</v>
      </c>
      <c r="O65" s="26" t="n">
        <f aca="false">G65*(1+P65)</f>
        <v>10285.5</v>
      </c>
      <c r="P65" s="27" t="n">
        <f aca="false">'Control Panel'!$B$95</f>
        <v>0</v>
      </c>
      <c r="Q65" s="9" t="n">
        <v>7816.98</v>
      </c>
      <c r="R65" s="26" t="n">
        <f aca="false">IF(L65="Yes",F65,0)</f>
        <v>390849</v>
      </c>
      <c r="S65" s="27" t="n">
        <f aca="false">'Control Panel'!$B$112+0.05</f>
        <v>0.05</v>
      </c>
      <c r="T65" s="26" t="n">
        <f aca="false">R65*S65</f>
        <v>19542.45</v>
      </c>
      <c r="U65" s="26" t="n">
        <f aca="false">R65-T65</f>
        <v>371306.55</v>
      </c>
    </row>
    <row r="66" customFormat="false" ht="15" hidden="false" customHeight="true" outlineLevel="0" collapsed="false">
      <c r="A66" s="13" t="n">
        <v>61</v>
      </c>
      <c r="B66" s="13" t="s">
        <v>179</v>
      </c>
      <c r="C66" s="13" t="s">
        <v>171</v>
      </c>
      <c r="D66" s="13" t="s">
        <v>165</v>
      </c>
      <c r="E66" s="25" t="n">
        <v>562</v>
      </c>
      <c r="F66" s="9" t="n">
        <v>5732466</v>
      </c>
      <c r="G66" s="9" t="n">
        <v>10200.1174377224</v>
      </c>
      <c r="H66" s="13" t="n">
        <v>7</v>
      </c>
      <c r="I66" s="25" t="n">
        <v>185000</v>
      </c>
      <c r="J66" s="13" t="n">
        <v>115</v>
      </c>
      <c r="K66" s="13" t="s">
        <v>170</v>
      </c>
      <c r="L66" s="13" t="s">
        <v>26</v>
      </c>
      <c r="M66" s="13" t="s">
        <v>21</v>
      </c>
      <c r="N66" s="13" t="s">
        <v>21</v>
      </c>
      <c r="O66" s="26" t="n">
        <f aca="false">G66*(1+P66)</f>
        <v>10200.1174377224</v>
      </c>
      <c r="P66" s="27" t="n">
        <f aca="false">'Control Panel'!$B$95</f>
        <v>0</v>
      </c>
      <c r="Q66" s="9" t="n">
        <v>114649.32</v>
      </c>
      <c r="R66" s="26" t="n">
        <f aca="false">IF(L66="Yes",F66,0)</f>
        <v>5732466</v>
      </c>
      <c r="S66" s="27" t="n">
        <f aca="false">'Control Panel'!$B$112+0.05</f>
        <v>0.05</v>
      </c>
      <c r="T66" s="26" t="n">
        <f aca="false">R66*S66</f>
        <v>286623.3</v>
      </c>
      <c r="U66" s="26" t="n">
        <f aca="false">R66-T66</f>
        <v>5445842.7</v>
      </c>
    </row>
    <row r="67" customFormat="false" ht="15" hidden="false" customHeight="true" outlineLevel="0" collapsed="false">
      <c r="A67" s="13" t="n">
        <v>62</v>
      </c>
      <c r="B67" s="13" t="s">
        <v>179</v>
      </c>
      <c r="C67" s="13" t="s">
        <v>171</v>
      </c>
      <c r="D67" s="13" t="s">
        <v>167</v>
      </c>
      <c r="E67" s="25" t="n">
        <v>429</v>
      </c>
      <c r="F67" s="9" t="n">
        <v>4377519</v>
      </c>
      <c r="G67" s="9" t="n">
        <v>10204.006993007</v>
      </c>
      <c r="H67" s="13" t="n">
        <v>7</v>
      </c>
      <c r="I67" s="25" t="n">
        <v>185000</v>
      </c>
      <c r="J67" s="13" t="n">
        <v>115</v>
      </c>
      <c r="K67" s="13" t="s">
        <v>170</v>
      </c>
      <c r="L67" s="13" t="s">
        <v>26</v>
      </c>
      <c r="M67" s="13" t="s">
        <v>21</v>
      </c>
      <c r="N67" s="13" t="s">
        <v>21</v>
      </c>
      <c r="O67" s="26" t="n">
        <f aca="false">G67*(1+P67)</f>
        <v>10204.006993007</v>
      </c>
      <c r="P67" s="27" t="n">
        <f aca="false">'Control Panel'!$B$95</f>
        <v>0</v>
      </c>
      <c r="Q67" s="9" t="n">
        <v>87550.38</v>
      </c>
      <c r="R67" s="26" t="n">
        <f aca="false">IF(L67="Yes",F67,0)</f>
        <v>4377519</v>
      </c>
      <c r="S67" s="27" t="n">
        <f aca="false">'Control Panel'!$B$112+0.05</f>
        <v>0.05</v>
      </c>
      <c r="T67" s="26" t="n">
        <f aca="false">R67*S67</f>
        <v>218875.95</v>
      </c>
      <c r="U67" s="26" t="n">
        <f aca="false">R67-T67</f>
        <v>4158643.05</v>
      </c>
    </row>
    <row r="68" customFormat="false" ht="15" hidden="false" customHeight="true" outlineLevel="0" collapsed="false">
      <c r="A68" s="13" t="n">
        <v>63</v>
      </c>
      <c r="B68" s="13" t="s">
        <v>179</v>
      </c>
      <c r="C68" s="13" t="s">
        <v>171</v>
      </c>
      <c r="D68" s="13" t="s">
        <v>168</v>
      </c>
      <c r="E68" s="25" t="n">
        <v>30</v>
      </c>
      <c r="F68" s="9" t="n">
        <v>312679</v>
      </c>
      <c r="G68" s="9" t="n">
        <v>10422.6333333333</v>
      </c>
      <c r="H68" s="13" t="n">
        <v>7</v>
      </c>
      <c r="I68" s="25" t="n">
        <v>185000</v>
      </c>
      <c r="J68" s="13" t="n">
        <v>115</v>
      </c>
      <c r="K68" s="13" t="s">
        <v>170</v>
      </c>
      <c r="L68" s="13" t="s">
        <v>26</v>
      </c>
      <c r="M68" s="13" t="s">
        <v>21</v>
      </c>
      <c r="N68" s="13" t="s">
        <v>21</v>
      </c>
      <c r="O68" s="26" t="n">
        <f aca="false">G68*(1+P68)</f>
        <v>10422.6333333333</v>
      </c>
      <c r="P68" s="27" t="n">
        <f aca="false">'Control Panel'!$B$95</f>
        <v>0</v>
      </c>
      <c r="Q68" s="9" t="n">
        <v>6253.58</v>
      </c>
      <c r="R68" s="26" t="n">
        <f aca="false">IF(L68="Yes",F68,0)</f>
        <v>312679</v>
      </c>
      <c r="S68" s="27" t="n">
        <f aca="false">'Control Panel'!$B$112+0.05</f>
        <v>0.05</v>
      </c>
      <c r="T68" s="26" t="n">
        <f aca="false">R68*S68</f>
        <v>15633.95</v>
      </c>
      <c r="U68" s="26" t="n">
        <f aca="false">R68-T68</f>
        <v>297045.05</v>
      </c>
    </row>
    <row r="69" customFormat="false" ht="15" hidden="false" customHeight="true" outlineLevel="0" collapsed="false">
      <c r="A69" s="13" t="n">
        <v>64</v>
      </c>
      <c r="B69" s="13" t="s">
        <v>179</v>
      </c>
      <c r="C69" s="13" t="s">
        <v>172</v>
      </c>
      <c r="D69" s="13" t="s">
        <v>165</v>
      </c>
      <c r="E69" s="25" t="n">
        <v>468</v>
      </c>
      <c r="F69" s="9" t="n">
        <v>4777055</v>
      </c>
      <c r="G69" s="9" t="n">
        <v>10207.3824786325</v>
      </c>
      <c r="H69" s="13" t="n">
        <v>7</v>
      </c>
      <c r="I69" s="25" t="n">
        <v>185000</v>
      </c>
      <c r="J69" s="13" t="n">
        <v>115</v>
      </c>
      <c r="K69" s="13" t="s">
        <v>170</v>
      </c>
      <c r="L69" s="13" t="s">
        <v>26</v>
      </c>
      <c r="M69" s="13" t="s">
        <v>21</v>
      </c>
      <c r="N69" s="13" t="s">
        <v>21</v>
      </c>
      <c r="O69" s="26" t="n">
        <f aca="false">G69*(1+P69)</f>
        <v>10207.3824786325</v>
      </c>
      <c r="P69" s="27" t="n">
        <f aca="false">'Control Panel'!$B$95</f>
        <v>0</v>
      </c>
      <c r="Q69" s="9" t="n">
        <v>95541.1</v>
      </c>
      <c r="R69" s="26" t="n">
        <f aca="false">IF(L69="Yes",F69,0)</f>
        <v>4777055</v>
      </c>
      <c r="S69" s="27" t="n">
        <f aca="false">'Control Panel'!$B$112+0.05</f>
        <v>0.05</v>
      </c>
      <c r="T69" s="26" t="n">
        <f aca="false">R69*S69</f>
        <v>238852.75</v>
      </c>
      <c r="U69" s="26" t="n">
        <f aca="false">R69-T69</f>
        <v>4538202.25</v>
      </c>
    </row>
    <row r="70" customFormat="false" ht="15" hidden="false" customHeight="true" outlineLevel="0" collapsed="false">
      <c r="A70" s="13" t="n">
        <v>65</v>
      </c>
      <c r="B70" s="13" t="s">
        <v>179</v>
      </c>
      <c r="C70" s="13" t="s">
        <v>172</v>
      </c>
      <c r="D70" s="13" t="s">
        <v>167</v>
      </c>
      <c r="E70" s="25" t="n">
        <v>357</v>
      </c>
      <c r="F70" s="9" t="n">
        <v>3647933</v>
      </c>
      <c r="G70" s="9" t="n">
        <v>10218.299719888</v>
      </c>
      <c r="H70" s="13" t="n">
        <v>7</v>
      </c>
      <c r="I70" s="25" t="n">
        <v>185000</v>
      </c>
      <c r="J70" s="13" t="n">
        <v>115</v>
      </c>
      <c r="K70" s="13" t="s">
        <v>170</v>
      </c>
      <c r="L70" s="13" t="s">
        <v>26</v>
      </c>
      <c r="M70" s="13" t="s">
        <v>21</v>
      </c>
      <c r="N70" s="13" t="s">
        <v>21</v>
      </c>
      <c r="O70" s="26" t="n">
        <f aca="false">G70*(1+P70)</f>
        <v>10218.299719888</v>
      </c>
      <c r="P70" s="27" t="n">
        <f aca="false">'Control Panel'!$B$95</f>
        <v>0</v>
      </c>
      <c r="Q70" s="9" t="n">
        <v>72958.66</v>
      </c>
      <c r="R70" s="26" t="n">
        <f aca="false">IF(L70="Yes",F70,0)</f>
        <v>3647933</v>
      </c>
      <c r="S70" s="27" t="n">
        <f aca="false">'Control Panel'!$B$112+0.05</f>
        <v>0.05</v>
      </c>
      <c r="T70" s="26" t="n">
        <f aca="false">R70*S70</f>
        <v>182396.65</v>
      </c>
      <c r="U70" s="26" t="n">
        <f aca="false">R70-T70</f>
        <v>3465536.35</v>
      </c>
    </row>
    <row r="71" customFormat="false" ht="15" hidden="false" customHeight="true" outlineLevel="0" collapsed="false">
      <c r="A71" s="13" t="n">
        <v>66</v>
      </c>
      <c r="B71" s="13" t="s">
        <v>179</v>
      </c>
      <c r="C71" s="13" t="s">
        <v>172</v>
      </c>
      <c r="D71" s="13" t="s">
        <v>168</v>
      </c>
      <c r="E71" s="25" t="n">
        <v>25</v>
      </c>
      <c r="F71" s="9" t="n">
        <v>260566</v>
      </c>
      <c r="G71" s="9" t="n">
        <v>10422.64</v>
      </c>
      <c r="H71" s="13" t="n">
        <v>7</v>
      </c>
      <c r="I71" s="25" t="n">
        <v>185000</v>
      </c>
      <c r="J71" s="13" t="n">
        <v>115</v>
      </c>
      <c r="K71" s="13" t="s">
        <v>170</v>
      </c>
      <c r="L71" s="13" t="s">
        <v>26</v>
      </c>
      <c r="M71" s="13" t="s">
        <v>21</v>
      </c>
      <c r="N71" s="13" t="s">
        <v>21</v>
      </c>
      <c r="O71" s="26" t="n">
        <f aca="false">G71*(1+P71)</f>
        <v>10422.64</v>
      </c>
      <c r="P71" s="27" t="n">
        <f aca="false">'Control Panel'!$B$95</f>
        <v>0</v>
      </c>
      <c r="Q71" s="9" t="n">
        <v>5211.32</v>
      </c>
      <c r="R71" s="26" t="n">
        <f aca="false">IF(L71="Yes",F71,0)</f>
        <v>260566</v>
      </c>
      <c r="S71" s="27" t="n">
        <f aca="false">'Control Panel'!$B$112+0.05</f>
        <v>0.05</v>
      </c>
      <c r="T71" s="26" t="n">
        <f aca="false">R71*S71</f>
        <v>13028.3</v>
      </c>
      <c r="U71" s="26" t="n">
        <f aca="false">R71-T71</f>
        <v>247537.7</v>
      </c>
    </row>
    <row r="72" customFormat="false" ht="15" hidden="false" customHeight="true" outlineLevel="0" collapsed="false">
      <c r="A72" s="13" t="n">
        <v>67</v>
      </c>
      <c r="B72" s="13" t="s">
        <v>179</v>
      </c>
      <c r="C72" s="13" t="s">
        <v>173</v>
      </c>
      <c r="D72" s="13" t="s">
        <v>165</v>
      </c>
      <c r="E72" s="25" t="n">
        <v>374</v>
      </c>
      <c r="F72" s="9" t="n">
        <v>3821644</v>
      </c>
      <c r="G72" s="9" t="n">
        <v>10218.2994652406</v>
      </c>
      <c r="H72" s="13" t="n">
        <v>7</v>
      </c>
      <c r="I72" s="25" t="n">
        <v>185000</v>
      </c>
      <c r="J72" s="13" t="n">
        <v>115</v>
      </c>
      <c r="K72" s="13" t="s">
        <v>170</v>
      </c>
      <c r="L72" s="13" t="s">
        <v>26</v>
      </c>
      <c r="M72" s="13" t="s">
        <v>21</v>
      </c>
      <c r="N72" s="13" t="s">
        <v>21</v>
      </c>
      <c r="O72" s="26" t="n">
        <f aca="false">G72*(1+P72)</f>
        <v>10218.2994652406</v>
      </c>
      <c r="P72" s="27" t="n">
        <f aca="false">'Control Panel'!$B$95</f>
        <v>0</v>
      </c>
      <c r="Q72" s="9" t="n">
        <v>76432.88</v>
      </c>
      <c r="R72" s="26" t="n">
        <f aca="false">IF(L72="Yes",F72,0)</f>
        <v>3821644</v>
      </c>
      <c r="S72" s="27" t="n">
        <f aca="false">'Control Panel'!$B$112+0.05</f>
        <v>0.05</v>
      </c>
      <c r="T72" s="26" t="n">
        <f aca="false">R72*S72</f>
        <v>191082.2</v>
      </c>
      <c r="U72" s="26" t="n">
        <f aca="false">R72-T72</f>
        <v>3630561.8</v>
      </c>
    </row>
    <row r="73" customFormat="false" ht="15" hidden="false" customHeight="true" outlineLevel="0" collapsed="false">
      <c r="A73" s="13" t="n">
        <v>68</v>
      </c>
      <c r="B73" s="13" t="s">
        <v>179</v>
      </c>
      <c r="C73" s="13" t="s">
        <v>173</v>
      </c>
      <c r="D73" s="13" t="s">
        <v>167</v>
      </c>
      <c r="E73" s="25" t="n">
        <v>286</v>
      </c>
      <c r="F73" s="9" t="n">
        <v>2918346</v>
      </c>
      <c r="G73" s="9" t="n">
        <v>10204.006993007</v>
      </c>
      <c r="H73" s="13" t="n">
        <v>7</v>
      </c>
      <c r="I73" s="25" t="n">
        <v>185000</v>
      </c>
      <c r="J73" s="13" t="n">
        <v>115</v>
      </c>
      <c r="K73" s="13" t="s">
        <v>170</v>
      </c>
      <c r="L73" s="13" t="s">
        <v>26</v>
      </c>
      <c r="M73" s="13" t="s">
        <v>21</v>
      </c>
      <c r="N73" s="13" t="s">
        <v>21</v>
      </c>
      <c r="O73" s="26" t="n">
        <f aca="false">G73*(1+P73)</f>
        <v>10204.006993007</v>
      </c>
      <c r="P73" s="27" t="n">
        <f aca="false">'Control Panel'!$B$95</f>
        <v>0</v>
      </c>
      <c r="Q73" s="9" t="n">
        <v>58366.92</v>
      </c>
      <c r="R73" s="26" t="n">
        <f aca="false">IF(L73="Yes",F73,0)</f>
        <v>2918346</v>
      </c>
      <c r="S73" s="27" t="n">
        <f aca="false">'Control Panel'!$B$112+0.05</f>
        <v>0.05</v>
      </c>
      <c r="T73" s="26" t="n">
        <f aca="false">R73*S73</f>
        <v>145917.3</v>
      </c>
      <c r="U73" s="26" t="n">
        <f aca="false">R73-T73</f>
        <v>2772428.7</v>
      </c>
    </row>
    <row r="74" customFormat="false" ht="15" hidden="false" customHeight="true" outlineLevel="0" collapsed="false">
      <c r="A74" s="13" t="n">
        <v>69</v>
      </c>
      <c r="B74" s="13" t="s">
        <v>179</v>
      </c>
      <c r="C74" s="13" t="s">
        <v>173</v>
      </c>
      <c r="D74" s="13" t="s">
        <v>168</v>
      </c>
      <c r="E74" s="25" t="n">
        <v>20</v>
      </c>
      <c r="F74" s="9" t="n">
        <v>208453</v>
      </c>
      <c r="G74" s="9" t="n">
        <v>10422.65</v>
      </c>
      <c r="H74" s="13" t="n">
        <v>7</v>
      </c>
      <c r="I74" s="25" t="n">
        <v>185000</v>
      </c>
      <c r="J74" s="13" t="n">
        <v>115</v>
      </c>
      <c r="K74" s="13" t="s">
        <v>170</v>
      </c>
      <c r="L74" s="13" t="s">
        <v>26</v>
      </c>
      <c r="M74" s="13" t="s">
        <v>21</v>
      </c>
      <c r="N74" s="13" t="s">
        <v>21</v>
      </c>
      <c r="O74" s="26" t="n">
        <f aca="false">G74*(1+P74)</f>
        <v>10422.65</v>
      </c>
      <c r="P74" s="27" t="n">
        <f aca="false">'Control Panel'!$B$95</f>
        <v>0</v>
      </c>
      <c r="Q74" s="9" t="n">
        <v>4169.06</v>
      </c>
      <c r="R74" s="26" t="n">
        <f aca="false">IF(L74="Yes",F74,0)</f>
        <v>208453</v>
      </c>
      <c r="S74" s="27" t="n">
        <f aca="false">'Control Panel'!$B$112+0.05</f>
        <v>0.05</v>
      </c>
      <c r="T74" s="26" t="n">
        <f aca="false">R74*S74</f>
        <v>10422.65</v>
      </c>
      <c r="U74" s="26" t="n">
        <f aca="false">R74-T74</f>
        <v>198030.35</v>
      </c>
    </row>
    <row r="75" customFormat="false" ht="15" hidden="false" customHeight="true" outlineLevel="0" collapsed="false">
      <c r="A75" s="13" t="n">
        <v>70</v>
      </c>
      <c r="B75" s="13" t="s">
        <v>179</v>
      </c>
      <c r="C75" s="13" t="s">
        <v>174</v>
      </c>
      <c r="D75" s="13" t="s">
        <v>165</v>
      </c>
      <c r="E75" s="25" t="n">
        <v>327</v>
      </c>
      <c r="F75" s="9" t="n">
        <v>3343938</v>
      </c>
      <c r="G75" s="9" t="n">
        <v>10226.1100917431</v>
      </c>
      <c r="H75" s="13" t="n">
        <v>7</v>
      </c>
      <c r="I75" s="25" t="n">
        <v>185000</v>
      </c>
      <c r="J75" s="13" t="n">
        <v>115</v>
      </c>
      <c r="K75" s="13" t="s">
        <v>170</v>
      </c>
      <c r="L75" s="13" t="s">
        <v>26</v>
      </c>
      <c r="M75" s="13" t="s">
        <v>21</v>
      </c>
      <c r="N75" s="13" t="s">
        <v>21</v>
      </c>
      <c r="O75" s="26" t="n">
        <f aca="false">G75*(1+P75)</f>
        <v>10226.1100917431</v>
      </c>
      <c r="P75" s="27" t="n">
        <f aca="false">'Control Panel'!$B$95</f>
        <v>0</v>
      </c>
      <c r="Q75" s="9" t="n">
        <v>66878.76</v>
      </c>
      <c r="R75" s="26" t="n">
        <f aca="false">IF(L75="Yes",F75,0)</f>
        <v>3343938</v>
      </c>
      <c r="S75" s="27" t="n">
        <f aca="false">'Control Panel'!$B$112+0.05</f>
        <v>0.05</v>
      </c>
      <c r="T75" s="26" t="n">
        <f aca="false">R75*S75</f>
        <v>167196.9</v>
      </c>
      <c r="U75" s="26" t="n">
        <f aca="false">R75-T75</f>
        <v>3176741.1</v>
      </c>
    </row>
    <row r="76" customFormat="false" ht="15" hidden="false" customHeight="true" outlineLevel="0" collapsed="false">
      <c r="A76" s="13" t="n">
        <v>71</v>
      </c>
      <c r="B76" s="13" t="s">
        <v>179</v>
      </c>
      <c r="C76" s="13" t="s">
        <v>174</v>
      </c>
      <c r="D76" s="13" t="s">
        <v>167</v>
      </c>
      <c r="E76" s="25" t="n">
        <v>250</v>
      </c>
      <c r="F76" s="9" t="n">
        <v>2553553</v>
      </c>
      <c r="G76" s="9" t="n">
        <v>10214.212</v>
      </c>
      <c r="H76" s="13" t="n">
        <v>7</v>
      </c>
      <c r="I76" s="25" t="n">
        <v>185000</v>
      </c>
      <c r="J76" s="13" t="n">
        <v>115</v>
      </c>
      <c r="K76" s="13" t="s">
        <v>170</v>
      </c>
      <c r="L76" s="13" t="s">
        <v>26</v>
      </c>
      <c r="M76" s="13" t="s">
        <v>21</v>
      </c>
      <c r="N76" s="13" t="s">
        <v>21</v>
      </c>
      <c r="O76" s="26" t="n">
        <f aca="false">G76*(1+P76)</f>
        <v>10214.212</v>
      </c>
      <c r="P76" s="27" t="n">
        <f aca="false">'Control Panel'!$B$95</f>
        <v>0</v>
      </c>
      <c r="Q76" s="9" t="n">
        <v>51071.06</v>
      </c>
      <c r="R76" s="26" t="n">
        <f aca="false">IF(L76="Yes",F76,0)</f>
        <v>2553553</v>
      </c>
      <c r="S76" s="27" t="n">
        <f aca="false">'Control Panel'!$B$112+0.05</f>
        <v>0.05</v>
      </c>
      <c r="T76" s="26" t="n">
        <f aca="false">R76*S76</f>
        <v>127677.65</v>
      </c>
      <c r="U76" s="26" t="n">
        <f aca="false">R76-T76</f>
        <v>2425875.35</v>
      </c>
    </row>
    <row r="77" customFormat="false" ht="15" hidden="false" customHeight="true" outlineLevel="0" collapsed="false">
      <c r="A77" s="13" t="n">
        <v>72</v>
      </c>
      <c r="B77" s="13" t="s">
        <v>179</v>
      </c>
      <c r="C77" s="13" t="s">
        <v>174</v>
      </c>
      <c r="D77" s="13" t="s">
        <v>168</v>
      </c>
      <c r="E77" s="25" t="n">
        <v>17</v>
      </c>
      <c r="F77" s="9" t="n">
        <v>182396</v>
      </c>
      <c r="G77" s="9" t="n">
        <v>10729.1764705882</v>
      </c>
      <c r="H77" s="13" t="n">
        <v>7</v>
      </c>
      <c r="I77" s="25" t="n">
        <v>185000</v>
      </c>
      <c r="J77" s="13" t="n">
        <v>115</v>
      </c>
      <c r="K77" s="13" t="s">
        <v>170</v>
      </c>
      <c r="L77" s="13" t="s">
        <v>26</v>
      </c>
      <c r="M77" s="13" t="s">
        <v>21</v>
      </c>
      <c r="N77" s="13" t="s">
        <v>21</v>
      </c>
      <c r="O77" s="26" t="n">
        <f aca="false">G77*(1+P77)</f>
        <v>10729.1764705882</v>
      </c>
      <c r="P77" s="27" t="n">
        <f aca="false">'Control Panel'!$B$95</f>
        <v>0</v>
      </c>
      <c r="Q77" s="9" t="n">
        <v>3647.92</v>
      </c>
      <c r="R77" s="26" t="n">
        <f aca="false">IF(L77="Yes",F77,0)</f>
        <v>182396</v>
      </c>
      <c r="S77" s="27" t="n">
        <f aca="false">'Control Panel'!$B$112+0.05</f>
        <v>0.05</v>
      </c>
      <c r="T77" s="26" t="n">
        <f aca="false">R77*S77</f>
        <v>9119.8</v>
      </c>
      <c r="U77" s="26" t="n">
        <f aca="false">R77-T77</f>
        <v>173276.2</v>
      </c>
    </row>
    <row r="78" customFormat="false" ht="15" hidden="false" customHeight="true" outlineLevel="0" collapsed="false">
      <c r="A78" s="13" t="n">
        <v>73</v>
      </c>
      <c r="B78" s="13" t="s">
        <v>179</v>
      </c>
      <c r="C78" s="13" t="s">
        <v>175</v>
      </c>
      <c r="D78" s="13" t="s">
        <v>165</v>
      </c>
      <c r="E78" s="25" t="n">
        <v>281</v>
      </c>
      <c r="F78" s="9" t="n">
        <v>2866233</v>
      </c>
      <c r="G78" s="9" t="n">
        <v>10200.1174377224</v>
      </c>
      <c r="H78" s="13" t="n">
        <v>7</v>
      </c>
      <c r="I78" s="25" t="n">
        <v>185000</v>
      </c>
      <c r="J78" s="13" t="n">
        <v>115</v>
      </c>
      <c r="K78" s="13" t="s">
        <v>170</v>
      </c>
      <c r="L78" s="13" t="s">
        <v>26</v>
      </c>
      <c r="M78" s="13" t="s">
        <v>21</v>
      </c>
      <c r="N78" s="13" t="s">
        <v>21</v>
      </c>
      <c r="O78" s="26" t="n">
        <f aca="false">G78*(1+P78)</f>
        <v>10200.1174377224</v>
      </c>
      <c r="P78" s="27" t="n">
        <f aca="false">'Control Panel'!$B$95</f>
        <v>0</v>
      </c>
      <c r="Q78" s="9" t="n">
        <v>57324.66</v>
      </c>
      <c r="R78" s="26" t="n">
        <f aca="false">IF(L78="Yes",F78,0)</f>
        <v>2866233</v>
      </c>
      <c r="S78" s="27" t="n">
        <f aca="false">'Control Panel'!$B$112+0.05</f>
        <v>0.05</v>
      </c>
      <c r="T78" s="26" t="n">
        <f aca="false">R78*S78</f>
        <v>143311.65</v>
      </c>
      <c r="U78" s="26" t="n">
        <f aca="false">R78-T78</f>
        <v>2722921.35</v>
      </c>
    </row>
    <row r="79" customFormat="false" ht="15" hidden="false" customHeight="true" outlineLevel="0" collapsed="false">
      <c r="A79" s="13" t="n">
        <v>74</v>
      </c>
      <c r="B79" s="13" t="s">
        <v>179</v>
      </c>
      <c r="C79" s="13" t="s">
        <v>175</v>
      </c>
      <c r="D79" s="13" t="s">
        <v>167</v>
      </c>
      <c r="E79" s="25" t="n">
        <v>214</v>
      </c>
      <c r="F79" s="9" t="n">
        <v>2188759</v>
      </c>
      <c r="G79" s="9" t="n">
        <v>10227.8457943925</v>
      </c>
      <c r="H79" s="13" t="n">
        <v>7</v>
      </c>
      <c r="I79" s="25" t="n">
        <v>185000</v>
      </c>
      <c r="J79" s="13" t="n">
        <v>115</v>
      </c>
      <c r="K79" s="13" t="s">
        <v>170</v>
      </c>
      <c r="L79" s="13" t="s">
        <v>26</v>
      </c>
      <c r="M79" s="13" t="s">
        <v>21</v>
      </c>
      <c r="N79" s="13" t="s">
        <v>21</v>
      </c>
      <c r="O79" s="26" t="n">
        <f aca="false">G79*(1+P79)</f>
        <v>10227.8457943925</v>
      </c>
      <c r="P79" s="27" t="n">
        <f aca="false">'Control Panel'!$B$95</f>
        <v>0</v>
      </c>
      <c r="Q79" s="9" t="n">
        <v>43775.18</v>
      </c>
      <c r="R79" s="26" t="n">
        <f aca="false">IF(L79="Yes",F79,0)</f>
        <v>2188759</v>
      </c>
      <c r="S79" s="27" t="n">
        <f aca="false">'Control Panel'!$B$112+0.05</f>
        <v>0.05</v>
      </c>
      <c r="T79" s="26" t="n">
        <f aca="false">R79*S79</f>
        <v>109437.95</v>
      </c>
      <c r="U79" s="26" t="n">
        <f aca="false">R79-T79</f>
        <v>2079321.05</v>
      </c>
    </row>
    <row r="80" customFormat="false" ht="15" hidden="false" customHeight="true" outlineLevel="0" collapsed="false">
      <c r="A80" s="13" t="n">
        <v>75</v>
      </c>
      <c r="B80" s="13" t="s">
        <v>179</v>
      </c>
      <c r="C80" s="13" t="s">
        <v>175</v>
      </c>
      <c r="D80" s="13" t="s">
        <v>168</v>
      </c>
      <c r="E80" s="25" t="n">
        <v>15</v>
      </c>
      <c r="F80" s="9" t="n">
        <v>156339</v>
      </c>
      <c r="G80" s="9" t="n">
        <v>10422.6</v>
      </c>
      <c r="H80" s="13" t="n">
        <v>7</v>
      </c>
      <c r="I80" s="25" t="n">
        <v>185000</v>
      </c>
      <c r="J80" s="13" t="n">
        <v>115</v>
      </c>
      <c r="K80" s="13" t="s">
        <v>170</v>
      </c>
      <c r="L80" s="13" t="s">
        <v>26</v>
      </c>
      <c r="M80" s="13" t="s">
        <v>21</v>
      </c>
      <c r="N80" s="13" t="s">
        <v>21</v>
      </c>
      <c r="O80" s="26" t="n">
        <f aca="false">G80*(1+P80)</f>
        <v>10422.6</v>
      </c>
      <c r="P80" s="27" t="n">
        <f aca="false">'Control Panel'!$B$95</f>
        <v>0</v>
      </c>
      <c r="Q80" s="9" t="n">
        <v>3126.78</v>
      </c>
      <c r="R80" s="26" t="n">
        <f aca="false">IF(L80="Yes",F80,0)</f>
        <v>156339</v>
      </c>
      <c r="S80" s="27" t="n">
        <f aca="false">'Control Panel'!$B$112+0.05</f>
        <v>0.05</v>
      </c>
      <c r="T80" s="26" t="n">
        <f aca="false">R80*S80</f>
        <v>7816.95</v>
      </c>
      <c r="U80" s="26" t="n">
        <f aca="false">R80-T80</f>
        <v>148522.05</v>
      </c>
    </row>
    <row r="81" customFormat="false" ht="15" hidden="false" customHeight="true" outlineLevel="0" collapsed="false">
      <c r="A81" s="13" t="n">
        <v>76</v>
      </c>
      <c r="B81" s="13" t="s">
        <v>179</v>
      </c>
      <c r="C81" s="13" t="s">
        <v>176</v>
      </c>
      <c r="D81" s="13" t="s">
        <v>165</v>
      </c>
      <c r="E81" s="25" t="n">
        <v>187</v>
      </c>
      <c r="F81" s="9" t="n">
        <v>1910822</v>
      </c>
      <c r="G81" s="9" t="n">
        <v>10218.2994652406</v>
      </c>
      <c r="H81" s="13" t="n">
        <v>7</v>
      </c>
      <c r="I81" s="25" t="n">
        <v>185000</v>
      </c>
      <c r="J81" s="13" t="n">
        <v>115</v>
      </c>
      <c r="K81" s="13" t="s">
        <v>170</v>
      </c>
      <c r="L81" s="13" t="s">
        <v>26</v>
      </c>
      <c r="M81" s="13" t="s">
        <v>21</v>
      </c>
      <c r="N81" s="13" t="s">
        <v>21</v>
      </c>
      <c r="O81" s="26" t="n">
        <f aca="false">G81*(1+P81)</f>
        <v>10218.2994652406</v>
      </c>
      <c r="P81" s="27" t="n">
        <f aca="false">'Control Panel'!$B$95</f>
        <v>0</v>
      </c>
      <c r="Q81" s="9" t="n">
        <v>38216.44</v>
      </c>
      <c r="R81" s="26" t="n">
        <f aca="false">IF(L81="Yes",F81,0)</f>
        <v>1910822</v>
      </c>
      <c r="S81" s="27" t="n">
        <f aca="false">'Control Panel'!$B$112+0.05</f>
        <v>0.05</v>
      </c>
      <c r="T81" s="26" t="n">
        <f aca="false">R81*S81</f>
        <v>95541.1</v>
      </c>
      <c r="U81" s="26" t="n">
        <f aca="false">R81-T81</f>
        <v>1815280.9</v>
      </c>
    </row>
    <row r="82" customFormat="false" ht="15" hidden="false" customHeight="true" outlineLevel="0" collapsed="false">
      <c r="A82" s="13" t="n">
        <v>77</v>
      </c>
      <c r="B82" s="13" t="s">
        <v>179</v>
      </c>
      <c r="C82" s="13" t="s">
        <v>176</v>
      </c>
      <c r="D82" s="13" t="s">
        <v>167</v>
      </c>
      <c r="E82" s="25" t="n">
        <v>143</v>
      </c>
      <c r="F82" s="9" t="n">
        <v>1459173</v>
      </c>
      <c r="G82" s="9" t="n">
        <v>10204.006993007</v>
      </c>
      <c r="H82" s="13" t="n">
        <v>7</v>
      </c>
      <c r="I82" s="25" t="n">
        <v>185000</v>
      </c>
      <c r="J82" s="13" t="n">
        <v>115</v>
      </c>
      <c r="K82" s="13" t="s">
        <v>170</v>
      </c>
      <c r="L82" s="13" t="s">
        <v>26</v>
      </c>
      <c r="M82" s="13" t="s">
        <v>21</v>
      </c>
      <c r="N82" s="13" t="s">
        <v>21</v>
      </c>
      <c r="O82" s="26" t="n">
        <f aca="false">G82*(1+P82)</f>
        <v>10204.006993007</v>
      </c>
      <c r="P82" s="27" t="n">
        <f aca="false">'Control Panel'!$B$95</f>
        <v>0</v>
      </c>
      <c r="Q82" s="9" t="n">
        <v>29183.46</v>
      </c>
      <c r="R82" s="26" t="n">
        <f aca="false">IF(L82="Yes",F82,0)</f>
        <v>1459173</v>
      </c>
      <c r="S82" s="27" t="n">
        <f aca="false">'Control Panel'!$B$112+0.05</f>
        <v>0.05</v>
      </c>
      <c r="T82" s="26" t="n">
        <f aca="false">R82*S82</f>
        <v>72958.65</v>
      </c>
      <c r="U82" s="26" t="n">
        <f aca="false">R82-T82</f>
        <v>1386214.35</v>
      </c>
    </row>
    <row r="83" customFormat="false" ht="15" hidden="false" customHeight="true" outlineLevel="0" collapsed="false">
      <c r="A83" s="13" t="n">
        <v>78</v>
      </c>
      <c r="B83" s="13" t="s">
        <v>179</v>
      </c>
      <c r="C83" s="13" t="s">
        <v>176</v>
      </c>
      <c r="D83" s="13" t="s">
        <v>168</v>
      </c>
      <c r="E83" s="25" t="n">
        <v>10</v>
      </c>
      <c r="F83" s="9" t="n">
        <v>104226</v>
      </c>
      <c r="G83" s="9" t="n">
        <v>10422.6</v>
      </c>
      <c r="H83" s="13" t="n">
        <v>7</v>
      </c>
      <c r="I83" s="25" t="n">
        <v>185000</v>
      </c>
      <c r="J83" s="13" t="n">
        <v>115</v>
      </c>
      <c r="K83" s="13" t="s">
        <v>170</v>
      </c>
      <c r="L83" s="13" t="s">
        <v>26</v>
      </c>
      <c r="M83" s="13" t="s">
        <v>21</v>
      </c>
      <c r="N83" s="13" t="s">
        <v>21</v>
      </c>
      <c r="O83" s="26" t="n">
        <f aca="false">G83*(1+P83)</f>
        <v>10422.6</v>
      </c>
      <c r="P83" s="27" t="n">
        <f aca="false">'Control Panel'!$B$95</f>
        <v>0</v>
      </c>
      <c r="Q83" s="9" t="n">
        <v>2084.52</v>
      </c>
      <c r="R83" s="26" t="n">
        <f aca="false">IF(L83="Yes",F83,0)</f>
        <v>104226</v>
      </c>
      <c r="S83" s="27" t="n">
        <f aca="false">'Control Panel'!$B$112+0.05</f>
        <v>0.05</v>
      </c>
      <c r="T83" s="26" t="n">
        <f aca="false">R83*S83</f>
        <v>5211.3</v>
      </c>
      <c r="U83" s="26" t="n">
        <f aca="false">R83-T83</f>
        <v>99014.7</v>
      </c>
    </row>
    <row r="84" customFormat="false" ht="15" hidden="false" customHeight="true" outlineLevel="0" collapsed="false">
      <c r="A84" s="13" t="n">
        <v>79</v>
      </c>
      <c r="B84" s="13" t="s">
        <v>179</v>
      </c>
      <c r="C84" s="13" t="s">
        <v>177</v>
      </c>
      <c r="D84" s="13" t="s">
        <v>165</v>
      </c>
      <c r="E84" s="25" t="n">
        <v>140</v>
      </c>
      <c r="F84" s="9" t="n">
        <v>1433116</v>
      </c>
      <c r="G84" s="9" t="n">
        <v>10236.5428571429</v>
      </c>
      <c r="H84" s="13" t="n">
        <v>7</v>
      </c>
      <c r="I84" s="25" t="n">
        <v>185000</v>
      </c>
      <c r="J84" s="13" t="n">
        <v>115</v>
      </c>
      <c r="K84" s="13" t="s">
        <v>170</v>
      </c>
      <c r="L84" s="13" t="s">
        <v>26</v>
      </c>
      <c r="M84" s="13" t="s">
        <v>21</v>
      </c>
      <c r="N84" s="13" t="s">
        <v>21</v>
      </c>
      <c r="O84" s="26" t="n">
        <f aca="false">G84*(1+P84)</f>
        <v>10236.5428571429</v>
      </c>
      <c r="P84" s="27" t="n">
        <f aca="false">'Control Panel'!$B$95</f>
        <v>0</v>
      </c>
      <c r="Q84" s="9" t="n">
        <v>28662.32</v>
      </c>
      <c r="R84" s="26" t="n">
        <f aca="false">IF(L84="Yes",F84,0)</f>
        <v>1433116</v>
      </c>
      <c r="S84" s="27" t="n">
        <f aca="false">'Control Panel'!$B$112+0.05</f>
        <v>0.05</v>
      </c>
      <c r="T84" s="26" t="n">
        <f aca="false">R84*S84</f>
        <v>71655.8</v>
      </c>
      <c r="U84" s="26" t="n">
        <f aca="false">R84-T84</f>
        <v>1361460.2</v>
      </c>
    </row>
    <row r="85" customFormat="false" ht="15" hidden="false" customHeight="true" outlineLevel="0" collapsed="false">
      <c r="A85" s="13" t="n">
        <v>80</v>
      </c>
      <c r="B85" s="13" t="s">
        <v>179</v>
      </c>
      <c r="C85" s="13" t="s">
        <v>177</v>
      </c>
      <c r="D85" s="13" t="s">
        <v>167</v>
      </c>
      <c r="E85" s="25" t="n">
        <v>107</v>
      </c>
      <c r="F85" s="9" t="n">
        <v>1094379</v>
      </c>
      <c r="G85" s="9" t="n">
        <v>10227.8411214953</v>
      </c>
      <c r="H85" s="13" t="n">
        <v>7</v>
      </c>
      <c r="I85" s="25" t="n">
        <v>185000</v>
      </c>
      <c r="J85" s="13" t="n">
        <v>115</v>
      </c>
      <c r="K85" s="13" t="s">
        <v>170</v>
      </c>
      <c r="L85" s="13" t="s">
        <v>26</v>
      </c>
      <c r="M85" s="13" t="s">
        <v>21</v>
      </c>
      <c r="N85" s="13" t="s">
        <v>21</v>
      </c>
      <c r="O85" s="26" t="n">
        <f aca="false">G85*(1+P85)</f>
        <v>10227.8411214953</v>
      </c>
      <c r="P85" s="27" t="n">
        <f aca="false">'Control Panel'!$B$95</f>
        <v>0</v>
      </c>
      <c r="Q85" s="9" t="n">
        <v>21887.58</v>
      </c>
      <c r="R85" s="26" t="n">
        <f aca="false">IF(L85="Yes",F85,0)</f>
        <v>1094379</v>
      </c>
      <c r="S85" s="27" t="n">
        <f aca="false">'Control Panel'!$B$112+0.05</f>
        <v>0.05</v>
      </c>
      <c r="T85" s="26" t="n">
        <f aca="false">R85*S85</f>
        <v>54718.95</v>
      </c>
      <c r="U85" s="26" t="n">
        <f aca="false">R85-T85</f>
        <v>1039660.05</v>
      </c>
    </row>
    <row r="86" customFormat="false" ht="15" hidden="false" customHeight="true" outlineLevel="0" collapsed="false">
      <c r="A86" s="13" t="n">
        <v>81</v>
      </c>
      <c r="B86" s="13" t="s">
        <v>179</v>
      </c>
      <c r="C86" s="13" t="s">
        <v>177</v>
      </c>
      <c r="D86" s="13" t="s">
        <v>168</v>
      </c>
      <c r="E86" s="25" t="n">
        <v>7</v>
      </c>
      <c r="F86" s="9" t="n">
        <v>78169</v>
      </c>
      <c r="G86" s="9" t="n">
        <v>11167</v>
      </c>
      <c r="H86" s="13" t="n">
        <v>7</v>
      </c>
      <c r="I86" s="25" t="n">
        <v>185000</v>
      </c>
      <c r="J86" s="13" t="n">
        <v>115</v>
      </c>
      <c r="K86" s="13" t="s">
        <v>170</v>
      </c>
      <c r="L86" s="13" t="s">
        <v>26</v>
      </c>
      <c r="M86" s="13" t="s">
        <v>21</v>
      </c>
      <c r="N86" s="13" t="s">
        <v>21</v>
      </c>
      <c r="O86" s="26" t="n">
        <f aca="false">G86*(1+P86)</f>
        <v>11167</v>
      </c>
      <c r="P86" s="27" t="n">
        <f aca="false">'Control Panel'!$B$95</f>
        <v>0</v>
      </c>
      <c r="Q86" s="9" t="n">
        <v>1563.38</v>
      </c>
      <c r="R86" s="26" t="n">
        <f aca="false">IF(L86="Yes",F86,0)</f>
        <v>78169</v>
      </c>
      <c r="S86" s="27" t="n">
        <f aca="false">'Control Panel'!$B$112+0.05</f>
        <v>0.05</v>
      </c>
      <c r="T86" s="26" t="n">
        <f aca="false">R86*S86</f>
        <v>3908.45</v>
      </c>
      <c r="U86" s="26" t="n">
        <f aca="false">R86-T86</f>
        <v>74260.55</v>
      </c>
    </row>
    <row r="87" customFormat="false" ht="15" hidden="false" customHeight="true" outlineLevel="0" collapsed="false">
      <c r="A87" s="13" t="n">
        <v>82</v>
      </c>
      <c r="B87" s="13" t="s">
        <v>180</v>
      </c>
      <c r="C87" s="13" t="s">
        <v>164</v>
      </c>
      <c r="D87" s="13" t="s">
        <v>165</v>
      </c>
      <c r="E87" s="25" t="n">
        <v>683</v>
      </c>
      <c r="F87" s="9" t="n">
        <v>6966539</v>
      </c>
      <c r="G87" s="9" t="n">
        <v>10199.9106881406</v>
      </c>
      <c r="H87" s="13" t="n">
        <v>7.5</v>
      </c>
      <c r="I87" s="25" t="n">
        <v>192500</v>
      </c>
      <c r="J87" s="13" t="n">
        <v>155</v>
      </c>
      <c r="K87" s="13" t="s">
        <v>166</v>
      </c>
      <c r="L87" s="13" t="s">
        <v>26</v>
      </c>
      <c r="M87" s="13" t="s">
        <v>21</v>
      </c>
      <c r="N87" s="13" t="s">
        <v>21</v>
      </c>
      <c r="O87" s="26" t="n">
        <f aca="false">G87*(1+P87)</f>
        <v>10199.9106881406</v>
      </c>
      <c r="P87" s="27" t="n">
        <f aca="false">'Control Panel'!$B$95</f>
        <v>0</v>
      </c>
      <c r="Q87" s="9" t="n">
        <v>139330.78</v>
      </c>
      <c r="R87" s="26" t="n">
        <f aca="false">IF(L87="Yes",F87,0)</f>
        <v>6966539</v>
      </c>
      <c r="S87" s="27" t="n">
        <f aca="false">'Control Panel'!$B$112+0.1</f>
        <v>0.1</v>
      </c>
      <c r="T87" s="26" t="n">
        <f aca="false">R87*S87</f>
        <v>696653.9</v>
      </c>
      <c r="U87" s="26" t="n">
        <f aca="false">R87-T87</f>
        <v>6269885.1</v>
      </c>
    </row>
    <row r="88" customFormat="false" ht="15" hidden="false" customHeight="true" outlineLevel="0" collapsed="false">
      <c r="A88" s="13" t="n">
        <v>83</v>
      </c>
      <c r="B88" s="13" t="s">
        <v>180</v>
      </c>
      <c r="C88" s="13" t="s">
        <v>164</v>
      </c>
      <c r="D88" s="13" t="s">
        <v>167</v>
      </c>
      <c r="E88" s="25" t="n">
        <v>521</v>
      </c>
      <c r="F88" s="9" t="n">
        <v>5319902</v>
      </c>
      <c r="G88" s="9" t="n">
        <v>10210.9443378119</v>
      </c>
      <c r="H88" s="13" t="n">
        <v>7.5</v>
      </c>
      <c r="I88" s="25" t="n">
        <v>192500</v>
      </c>
      <c r="J88" s="13" t="n">
        <v>155</v>
      </c>
      <c r="K88" s="13" t="s">
        <v>166</v>
      </c>
      <c r="L88" s="13" t="s">
        <v>26</v>
      </c>
      <c r="M88" s="13" t="s">
        <v>21</v>
      </c>
      <c r="N88" s="13" t="s">
        <v>21</v>
      </c>
      <c r="O88" s="26" t="n">
        <f aca="false">G88*(1+P88)</f>
        <v>10210.9443378119</v>
      </c>
      <c r="P88" s="27" t="n">
        <f aca="false">'Control Panel'!$B$95</f>
        <v>0</v>
      </c>
      <c r="Q88" s="9" t="n">
        <v>106398.04</v>
      </c>
      <c r="R88" s="26" t="n">
        <f aca="false">IF(L88="Yes",F88,0)</f>
        <v>5319902</v>
      </c>
      <c r="S88" s="27" t="n">
        <f aca="false">'Control Panel'!$B$112+0.1</f>
        <v>0.1</v>
      </c>
      <c r="T88" s="26" t="n">
        <f aca="false">R88*S88</f>
        <v>531990.2</v>
      </c>
      <c r="U88" s="26" t="n">
        <f aca="false">R88-T88</f>
        <v>4787911.8</v>
      </c>
    </row>
    <row r="89" customFormat="false" ht="15" hidden="false" customHeight="true" outlineLevel="0" collapsed="false">
      <c r="A89" s="13" t="n">
        <v>84</v>
      </c>
      <c r="B89" s="13" t="s">
        <v>180</v>
      </c>
      <c r="C89" s="13" t="s">
        <v>164</v>
      </c>
      <c r="D89" s="13" t="s">
        <v>168</v>
      </c>
      <c r="E89" s="25" t="n">
        <v>37</v>
      </c>
      <c r="F89" s="9" t="n">
        <v>379993</v>
      </c>
      <c r="G89" s="9" t="n">
        <v>10270.0810810811</v>
      </c>
      <c r="H89" s="13" t="n">
        <v>7.5</v>
      </c>
      <c r="I89" s="25" t="n">
        <v>192500</v>
      </c>
      <c r="J89" s="13" t="n">
        <v>155</v>
      </c>
      <c r="K89" s="13" t="s">
        <v>166</v>
      </c>
      <c r="L89" s="13" t="s">
        <v>26</v>
      </c>
      <c r="M89" s="13" t="s">
        <v>21</v>
      </c>
      <c r="N89" s="13" t="s">
        <v>21</v>
      </c>
      <c r="O89" s="26" t="n">
        <f aca="false">G89*(1+P89)</f>
        <v>10270.0810810811</v>
      </c>
      <c r="P89" s="27" t="n">
        <f aca="false">'Control Panel'!$B$95</f>
        <v>0</v>
      </c>
      <c r="Q89" s="9" t="n">
        <v>7599.86</v>
      </c>
      <c r="R89" s="26" t="n">
        <f aca="false">IF(L89="Yes",F89,0)</f>
        <v>379993</v>
      </c>
      <c r="S89" s="27" t="n">
        <f aca="false">'Control Panel'!$B$112+0.1</f>
        <v>0.1</v>
      </c>
      <c r="T89" s="26" t="n">
        <f aca="false">R89*S89</f>
        <v>37999.3</v>
      </c>
      <c r="U89" s="26" t="n">
        <f aca="false">R89-T89</f>
        <v>341993.7</v>
      </c>
    </row>
    <row r="90" customFormat="false" ht="15" hidden="false" customHeight="true" outlineLevel="0" collapsed="false">
      <c r="A90" s="13" t="n">
        <v>85</v>
      </c>
      <c r="B90" s="13" t="s">
        <v>180</v>
      </c>
      <c r="C90" s="13" t="s">
        <v>169</v>
      </c>
      <c r="D90" s="13" t="s">
        <v>165</v>
      </c>
      <c r="E90" s="25" t="n">
        <v>292</v>
      </c>
      <c r="F90" s="9" t="n">
        <v>2985659</v>
      </c>
      <c r="G90" s="9" t="n">
        <v>10224.8595890411</v>
      </c>
      <c r="H90" s="13" t="n">
        <v>7.5</v>
      </c>
      <c r="I90" s="25" t="n">
        <v>192500</v>
      </c>
      <c r="J90" s="13" t="n">
        <v>155</v>
      </c>
      <c r="K90" s="13" t="s">
        <v>170</v>
      </c>
      <c r="L90" s="13" t="s">
        <v>26</v>
      </c>
      <c r="M90" s="13" t="s">
        <v>21</v>
      </c>
      <c r="N90" s="13" t="s">
        <v>21</v>
      </c>
      <c r="O90" s="26" t="n">
        <f aca="false">G90*(1+P90)</f>
        <v>10224.8595890411</v>
      </c>
      <c r="P90" s="27" t="n">
        <f aca="false">'Control Panel'!$B$95</f>
        <v>0</v>
      </c>
      <c r="Q90" s="9" t="n">
        <v>59713.18</v>
      </c>
      <c r="R90" s="26" t="n">
        <f aca="false">IF(L90="Yes",F90,0)</f>
        <v>2985659</v>
      </c>
      <c r="S90" s="27" t="n">
        <f aca="false">'Control Panel'!$B$112+0.1</f>
        <v>0.1</v>
      </c>
      <c r="T90" s="26" t="n">
        <f aca="false">R90*S90</f>
        <v>298565.9</v>
      </c>
      <c r="U90" s="26" t="n">
        <f aca="false">R90-T90</f>
        <v>2687093.1</v>
      </c>
    </row>
    <row r="91" customFormat="false" ht="15" hidden="false" customHeight="true" outlineLevel="0" collapsed="false">
      <c r="A91" s="13" t="n">
        <v>86</v>
      </c>
      <c r="B91" s="13" t="s">
        <v>180</v>
      </c>
      <c r="C91" s="13" t="s">
        <v>169</v>
      </c>
      <c r="D91" s="13" t="s">
        <v>167</v>
      </c>
      <c r="E91" s="25" t="n">
        <v>223</v>
      </c>
      <c r="F91" s="9" t="n">
        <v>2279958</v>
      </c>
      <c r="G91" s="9" t="n">
        <v>10224.0269058296</v>
      </c>
      <c r="H91" s="13" t="n">
        <v>7.5</v>
      </c>
      <c r="I91" s="25" t="n">
        <v>192500</v>
      </c>
      <c r="J91" s="13" t="n">
        <v>155</v>
      </c>
      <c r="K91" s="13" t="s">
        <v>170</v>
      </c>
      <c r="L91" s="13" t="s">
        <v>26</v>
      </c>
      <c r="M91" s="13" t="s">
        <v>21</v>
      </c>
      <c r="N91" s="13" t="s">
        <v>21</v>
      </c>
      <c r="O91" s="26" t="n">
        <f aca="false">G91*(1+P91)</f>
        <v>10224.0269058296</v>
      </c>
      <c r="P91" s="27" t="n">
        <f aca="false">'Control Panel'!$B$95</f>
        <v>0</v>
      </c>
      <c r="Q91" s="9" t="n">
        <v>45599.16</v>
      </c>
      <c r="R91" s="26" t="n">
        <f aca="false">IF(L91="Yes",F91,0)</f>
        <v>2279958</v>
      </c>
      <c r="S91" s="27" t="n">
        <f aca="false">'Control Panel'!$B$112+0.1</f>
        <v>0.1</v>
      </c>
      <c r="T91" s="26" t="n">
        <f aca="false">R91*S91</f>
        <v>227995.8</v>
      </c>
      <c r="U91" s="26" t="n">
        <f aca="false">R91-T91</f>
        <v>2051962.2</v>
      </c>
    </row>
    <row r="92" customFormat="false" ht="15" hidden="false" customHeight="true" outlineLevel="0" collapsed="false">
      <c r="A92" s="13" t="n">
        <v>87</v>
      </c>
      <c r="B92" s="13" t="s">
        <v>180</v>
      </c>
      <c r="C92" s="13" t="s">
        <v>169</v>
      </c>
      <c r="D92" s="13" t="s">
        <v>168</v>
      </c>
      <c r="E92" s="25" t="n">
        <v>15</v>
      </c>
      <c r="F92" s="9" t="n">
        <v>162854</v>
      </c>
      <c r="G92" s="9" t="n">
        <v>10856.9333333333</v>
      </c>
      <c r="H92" s="13" t="n">
        <v>7.5</v>
      </c>
      <c r="I92" s="25" t="n">
        <v>192500</v>
      </c>
      <c r="J92" s="13" t="n">
        <v>155</v>
      </c>
      <c r="K92" s="13" t="s">
        <v>170</v>
      </c>
      <c r="L92" s="13" t="s">
        <v>26</v>
      </c>
      <c r="M92" s="13" t="s">
        <v>21</v>
      </c>
      <c r="N92" s="13" t="s">
        <v>21</v>
      </c>
      <c r="O92" s="26" t="n">
        <f aca="false">G92*(1+P92)</f>
        <v>10856.9333333333</v>
      </c>
      <c r="P92" s="27" t="n">
        <f aca="false">'Control Panel'!$B$95</f>
        <v>0</v>
      </c>
      <c r="Q92" s="9" t="n">
        <v>3257.08</v>
      </c>
      <c r="R92" s="26" t="n">
        <f aca="false">IF(L92="Yes",F92,0)</f>
        <v>162854</v>
      </c>
      <c r="S92" s="27" t="n">
        <f aca="false">'Control Panel'!$B$112+0.1</f>
        <v>0.1</v>
      </c>
      <c r="T92" s="26" t="n">
        <f aca="false">R92*S92</f>
        <v>16285.4</v>
      </c>
      <c r="U92" s="26" t="n">
        <f aca="false">R92-T92</f>
        <v>146568.6</v>
      </c>
    </row>
    <row r="93" customFormat="false" ht="15" hidden="false" customHeight="true" outlineLevel="0" collapsed="false">
      <c r="A93" s="13" t="n">
        <v>88</v>
      </c>
      <c r="B93" s="13" t="s">
        <v>180</v>
      </c>
      <c r="C93" s="13" t="s">
        <v>171</v>
      </c>
      <c r="D93" s="13" t="s">
        <v>165</v>
      </c>
      <c r="E93" s="25" t="n">
        <v>234</v>
      </c>
      <c r="F93" s="9" t="n">
        <v>2388527</v>
      </c>
      <c r="G93" s="9" t="n">
        <v>10207.3803418803</v>
      </c>
      <c r="H93" s="13" t="n">
        <v>7.5</v>
      </c>
      <c r="I93" s="25" t="n">
        <v>192500</v>
      </c>
      <c r="J93" s="13" t="n">
        <v>155</v>
      </c>
      <c r="K93" s="13" t="s">
        <v>170</v>
      </c>
      <c r="L93" s="13" t="s">
        <v>26</v>
      </c>
      <c r="M93" s="13" t="s">
        <v>21</v>
      </c>
      <c r="N93" s="13" t="s">
        <v>21</v>
      </c>
      <c r="O93" s="26" t="n">
        <f aca="false">G93*(1+P93)</f>
        <v>10207.3803418803</v>
      </c>
      <c r="P93" s="27" t="n">
        <f aca="false">'Control Panel'!$B$95</f>
        <v>0</v>
      </c>
      <c r="Q93" s="9" t="n">
        <v>47770.54</v>
      </c>
      <c r="R93" s="26" t="n">
        <f aca="false">IF(L93="Yes",F93,0)</f>
        <v>2388527</v>
      </c>
      <c r="S93" s="27" t="n">
        <f aca="false">'Control Panel'!$B$112+0.1</f>
        <v>0.1</v>
      </c>
      <c r="T93" s="26" t="n">
        <f aca="false">R93*S93</f>
        <v>238852.7</v>
      </c>
      <c r="U93" s="26" t="n">
        <f aca="false">R93-T93</f>
        <v>2149674.3</v>
      </c>
    </row>
    <row r="94" customFormat="false" ht="15" hidden="false" customHeight="true" outlineLevel="0" collapsed="false">
      <c r="A94" s="13" t="n">
        <v>89</v>
      </c>
      <c r="B94" s="13" t="s">
        <v>180</v>
      </c>
      <c r="C94" s="13" t="s">
        <v>171</v>
      </c>
      <c r="D94" s="13" t="s">
        <v>167</v>
      </c>
      <c r="E94" s="25" t="n">
        <v>178</v>
      </c>
      <c r="F94" s="9" t="n">
        <v>1823966</v>
      </c>
      <c r="G94" s="9" t="n">
        <v>10247</v>
      </c>
      <c r="H94" s="13" t="n">
        <v>7.5</v>
      </c>
      <c r="I94" s="25" t="n">
        <v>192500</v>
      </c>
      <c r="J94" s="13" t="n">
        <v>155</v>
      </c>
      <c r="K94" s="13" t="s">
        <v>170</v>
      </c>
      <c r="L94" s="13" t="s">
        <v>26</v>
      </c>
      <c r="M94" s="13" t="s">
        <v>21</v>
      </c>
      <c r="N94" s="13" t="s">
        <v>21</v>
      </c>
      <c r="O94" s="26" t="n">
        <f aca="false">G94*(1+P94)</f>
        <v>10247</v>
      </c>
      <c r="P94" s="27" t="n">
        <f aca="false">'Control Panel'!$B$95</f>
        <v>0</v>
      </c>
      <c r="Q94" s="9" t="n">
        <v>36479.32</v>
      </c>
      <c r="R94" s="26" t="n">
        <f aca="false">IF(L94="Yes",F94,0)</f>
        <v>1823966</v>
      </c>
      <c r="S94" s="27" t="n">
        <f aca="false">'Control Panel'!$B$112+0.1</f>
        <v>0.1</v>
      </c>
      <c r="T94" s="26" t="n">
        <f aca="false">R94*S94</f>
        <v>182396.6</v>
      </c>
      <c r="U94" s="26" t="n">
        <f aca="false">R94-T94</f>
        <v>1641569.4</v>
      </c>
    </row>
    <row r="95" customFormat="false" ht="15" hidden="false" customHeight="true" outlineLevel="0" collapsed="false">
      <c r="A95" s="13" t="n">
        <v>90</v>
      </c>
      <c r="B95" s="13" t="s">
        <v>180</v>
      </c>
      <c r="C95" s="13" t="s">
        <v>171</v>
      </c>
      <c r="D95" s="13" t="s">
        <v>168</v>
      </c>
      <c r="E95" s="25" t="n">
        <v>12</v>
      </c>
      <c r="F95" s="9" t="n">
        <v>130283</v>
      </c>
      <c r="G95" s="9" t="n">
        <v>10856.9166666667</v>
      </c>
      <c r="H95" s="13" t="n">
        <v>7.5</v>
      </c>
      <c r="I95" s="25" t="n">
        <v>192500</v>
      </c>
      <c r="J95" s="13" t="n">
        <v>155</v>
      </c>
      <c r="K95" s="13" t="s">
        <v>170</v>
      </c>
      <c r="L95" s="13" t="s">
        <v>26</v>
      </c>
      <c r="M95" s="13" t="s">
        <v>26</v>
      </c>
      <c r="N95" s="13" t="s">
        <v>21</v>
      </c>
      <c r="O95" s="26" t="n">
        <f aca="false">G95*(1+P95)</f>
        <v>10856.9166666667</v>
      </c>
      <c r="P95" s="27" t="n">
        <f aca="false">'Control Panel'!$B$95</f>
        <v>0</v>
      </c>
      <c r="Q95" s="9" t="n">
        <v>2605.66</v>
      </c>
      <c r="R95" s="26" t="n">
        <f aca="false">IF(L95="Yes",F95,0)</f>
        <v>130283</v>
      </c>
      <c r="S95" s="27" t="n">
        <f aca="false">'Control Panel'!$B$112+0.1</f>
        <v>0.1</v>
      </c>
      <c r="T95" s="26" t="n">
        <f aca="false">R95*S95</f>
        <v>13028.3</v>
      </c>
      <c r="U95" s="26" t="n">
        <f aca="false">R95-T95</f>
        <v>117254.7</v>
      </c>
    </row>
    <row r="96" customFormat="false" ht="15" hidden="false" customHeight="true" outlineLevel="0" collapsed="false">
      <c r="A96" s="13" t="n">
        <v>91</v>
      </c>
      <c r="B96" s="13" t="s">
        <v>180</v>
      </c>
      <c r="C96" s="13" t="s">
        <v>172</v>
      </c>
      <c r="D96" s="13" t="s">
        <v>165</v>
      </c>
      <c r="E96" s="25" t="n">
        <v>195</v>
      </c>
      <c r="F96" s="9" t="n">
        <v>1990439</v>
      </c>
      <c r="G96" s="9" t="n">
        <v>10207.3794871795</v>
      </c>
      <c r="H96" s="13" t="n">
        <v>7.5</v>
      </c>
      <c r="I96" s="25" t="n">
        <v>192500</v>
      </c>
      <c r="J96" s="13" t="n">
        <v>155</v>
      </c>
      <c r="K96" s="13" t="s">
        <v>170</v>
      </c>
      <c r="L96" s="13" t="s">
        <v>26</v>
      </c>
      <c r="M96" s="13" t="s">
        <v>21</v>
      </c>
      <c r="N96" s="13" t="s">
        <v>21</v>
      </c>
      <c r="O96" s="26" t="n">
        <f aca="false">G96*(1+P96)</f>
        <v>10207.3794871795</v>
      </c>
      <c r="P96" s="27" t="n">
        <f aca="false">'Control Panel'!$B$95</f>
        <v>0</v>
      </c>
      <c r="Q96" s="9" t="n">
        <v>39808.78</v>
      </c>
      <c r="R96" s="26" t="n">
        <f aca="false">IF(L96="Yes",F96,0)</f>
        <v>1990439</v>
      </c>
      <c r="S96" s="27" t="n">
        <f aca="false">'Control Panel'!$B$112+0.1</f>
        <v>0.1</v>
      </c>
      <c r="T96" s="26" t="n">
        <f aca="false">R96*S96</f>
        <v>199043.9</v>
      </c>
      <c r="U96" s="26" t="n">
        <f aca="false">R96-T96</f>
        <v>1791395.1</v>
      </c>
    </row>
    <row r="97" customFormat="false" ht="15" hidden="false" customHeight="true" outlineLevel="0" collapsed="false">
      <c r="A97" s="13" t="n">
        <v>92</v>
      </c>
      <c r="B97" s="13" t="s">
        <v>180</v>
      </c>
      <c r="C97" s="13" t="s">
        <v>172</v>
      </c>
      <c r="D97" s="13" t="s">
        <v>167</v>
      </c>
      <c r="E97" s="25" t="n">
        <v>149</v>
      </c>
      <c r="F97" s="9" t="n">
        <v>1519972</v>
      </c>
      <c r="G97" s="9" t="n">
        <v>10201.1543624161</v>
      </c>
      <c r="H97" s="13" t="n">
        <v>7.5</v>
      </c>
      <c r="I97" s="25" t="n">
        <v>192500</v>
      </c>
      <c r="J97" s="13" t="n">
        <v>155</v>
      </c>
      <c r="K97" s="13" t="s">
        <v>170</v>
      </c>
      <c r="L97" s="13" t="s">
        <v>26</v>
      </c>
      <c r="M97" s="13" t="s">
        <v>21</v>
      </c>
      <c r="N97" s="13" t="s">
        <v>21</v>
      </c>
      <c r="O97" s="26" t="n">
        <f aca="false">G97*(1+P97)</f>
        <v>10201.1543624161</v>
      </c>
      <c r="P97" s="27" t="n">
        <f aca="false">'Control Panel'!$B$95</f>
        <v>0</v>
      </c>
      <c r="Q97" s="9" t="n">
        <v>30399.44</v>
      </c>
      <c r="R97" s="26" t="n">
        <f aca="false">IF(L97="Yes",F97,0)</f>
        <v>1519972</v>
      </c>
      <c r="S97" s="27" t="n">
        <f aca="false">'Control Panel'!$B$112+0.1</f>
        <v>0.1</v>
      </c>
      <c r="T97" s="26" t="n">
        <f aca="false">R97*S97</f>
        <v>151997.2</v>
      </c>
      <c r="U97" s="26" t="n">
        <f aca="false">R97-T97</f>
        <v>1367974.8</v>
      </c>
    </row>
    <row r="98" customFormat="false" ht="15" hidden="false" customHeight="true" outlineLevel="0" collapsed="false">
      <c r="A98" s="13" t="n">
        <v>93</v>
      </c>
      <c r="B98" s="13" t="s">
        <v>180</v>
      </c>
      <c r="C98" s="13" t="s">
        <v>172</v>
      </c>
      <c r="D98" s="13" t="s">
        <v>168</v>
      </c>
      <c r="E98" s="25" t="n">
        <v>10</v>
      </c>
      <c r="F98" s="9" t="n">
        <v>108569</v>
      </c>
      <c r="G98" s="9" t="n">
        <v>10856.9</v>
      </c>
      <c r="H98" s="13" t="n">
        <v>7.5</v>
      </c>
      <c r="I98" s="25" t="n">
        <v>192500</v>
      </c>
      <c r="J98" s="13" t="n">
        <v>155</v>
      </c>
      <c r="K98" s="13" t="s">
        <v>170</v>
      </c>
      <c r="L98" s="13" t="s">
        <v>26</v>
      </c>
      <c r="M98" s="13" t="s">
        <v>21</v>
      </c>
      <c r="N98" s="13" t="s">
        <v>21</v>
      </c>
      <c r="O98" s="26" t="n">
        <f aca="false">G98*(1+P98)</f>
        <v>10856.9</v>
      </c>
      <c r="P98" s="27" t="n">
        <f aca="false">'Control Panel'!$B$95</f>
        <v>0</v>
      </c>
      <c r="Q98" s="9" t="n">
        <v>2171.38</v>
      </c>
      <c r="R98" s="26" t="n">
        <f aca="false">IF(L98="Yes",F98,0)</f>
        <v>108569</v>
      </c>
      <c r="S98" s="27" t="n">
        <f aca="false">'Control Panel'!$B$112+0.1</f>
        <v>0.1</v>
      </c>
      <c r="T98" s="26" t="n">
        <f aca="false">R98*S98</f>
        <v>10856.9</v>
      </c>
      <c r="U98" s="26" t="n">
        <f aca="false">R98-T98</f>
        <v>97712.1</v>
      </c>
    </row>
    <row r="99" customFormat="false" ht="15" hidden="false" customHeight="true" outlineLevel="0" collapsed="false">
      <c r="A99" s="13" t="n">
        <v>94</v>
      </c>
      <c r="B99" s="13" t="s">
        <v>180</v>
      </c>
      <c r="C99" s="13" t="s">
        <v>173</v>
      </c>
      <c r="D99" s="13" t="s">
        <v>165</v>
      </c>
      <c r="E99" s="25" t="n">
        <v>156</v>
      </c>
      <c r="F99" s="9" t="n">
        <v>1592351</v>
      </c>
      <c r="G99" s="9" t="n">
        <v>10207.3782051282</v>
      </c>
      <c r="H99" s="13" t="n">
        <v>7.5</v>
      </c>
      <c r="I99" s="25" t="n">
        <v>192500</v>
      </c>
      <c r="J99" s="13" t="n">
        <v>155</v>
      </c>
      <c r="K99" s="13" t="s">
        <v>170</v>
      </c>
      <c r="L99" s="13" t="s">
        <v>26</v>
      </c>
      <c r="M99" s="13" t="s">
        <v>21</v>
      </c>
      <c r="N99" s="13" t="s">
        <v>21</v>
      </c>
      <c r="O99" s="26" t="n">
        <f aca="false">G99*(1+P99)</f>
        <v>10207.3782051282</v>
      </c>
      <c r="P99" s="27" t="n">
        <f aca="false">'Control Panel'!$B$95</f>
        <v>0</v>
      </c>
      <c r="Q99" s="9" t="n">
        <v>31847.02</v>
      </c>
      <c r="R99" s="26" t="n">
        <f aca="false">IF(L99="Yes",F99,0)</f>
        <v>1592351</v>
      </c>
      <c r="S99" s="27" t="n">
        <f aca="false">'Control Panel'!$B$112+0.1</f>
        <v>0.1</v>
      </c>
      <c r="T99" s="26" t="n">
        <f aca="false">R99*S99</f>
        <v>159235.1</v>
      </c>
      <c r="U99" s="26" t="n">
        <f aca="false">R99-T99</f>
        <v>1433115.9</v>
      </c>
    </row>
    <row r="100" customFormat="false" ht="15" hidden="false" customHeight="true" outlineLevel="0" collapsed="false">
      <c r="A100" s="13" t="n">
        <v>95</v>
      </c>
      <c r="B100" s="13" t="s">
        <v>180</v>
      </c>
      <c r="C100" s="13" t="s">
        <v>173</v>
      </c>
      <c r="D100" s="13" t="s">
        <v>167</v>
      </c>
      <c r="E100" s="25" t="n">
        <v>119</v>
      </c>
      <c r="F100" s="9" t="n">
        <v>1215977</v>
      </c>
      <c r="G100" s="9" t="n">
        <v>10218.2941176471</v>
      </c>
      <c r="H100" s="13" t="n">
        <v>7.5</v>
      </c>
      <c r="I100" s="25" t="n">
        <v>192500</v>
      </c>
      <c r="J100" s="13" t="n">
        <v>155</v>
      </c>
      <c r="K100" s="13" t="s">
        <v>170</v>
      </c>
      <c r="L100" s="13" t="s">
        <v>26</v>
      </c>
      <c r="M100" s="13" t="s">
        <v>21</v>
      </c>
      <c r="N100" s="13" t="s">
        <v>21</v>
      </c>
      <c r="O100" s="26" t="n">
        <f aca="false">G100*(1+P100)</f>
        <v>10218.2941176471</v>
      </c>
      <c r="P100" s="27" t="n">
        <f aca="false">'Control Panel'!$B$95</f>
        <v>0</v>
      </c>
      <c r="Q100" s="9" t="n">
        <v>24319.54</v>
      </c>
      <c r="R100" s="26" t="n">
        <f aca="false">IF(L100="Yes",F100,0)</f>
        <v>1215977</v>
      </c>
      <c r="S100" s="27" t="n">
        <f aca="false">'Control Panel'!$B$112+0.1</f>
        <v>0.1</v>
      </c>
      <c r="T100" s="26" t="n">
        <f aca="false">R100*S100</f>
        <v>121597.7</v>
      </c>
      <c r="U100" s="26" t="n">
        <f aca="false">R100-T100</f>
        <v>1094379.3</v>
      </c>
    </row>
    <row r="101" customFormat="false" ht="15" hidden="false" customHeight="true" outlineLevel="0" collapsed="false">
      <c r="A101" s="13" t="n">
        <v>96</v>
      </c>
      <c r="B101" s="13" t="s">
        <v>180</v>
      </c>
      <c r="C101" s="13" t="s">
        <v>173</v>
      </c>
      <c r="D101" s="13" t="s">
        <v>168</v>
      </c>
      <c r="E101" s="25" t="n">
        <v>8</v>
      </c>
      <c r="F101" s="9" t="n">
        <v>86855</v>
      </c>
      <c r="G101" s="9" t="n">
        <v>10856.875</v>
      </c>
      <c r="H101" s="13" t="n">
        <v>7.5</v>
      </c>
      <c r="I101" s="25" t="n">
        <v>192500</v>
      </c>
      <c r="J101" s="13" t="n">
        <v>155</v>
      </c>
      <c r="K101" s="13" t="s">
        <v>170</v>
      </c>
      <c r="L101" s="13" t="s">
        <v>26</v>
      </c>
      <c r="M101" s="13" t="s">
        <v>26</v>
      </c>
      <c r="N101" s="13" t="s">
        <v>21</v>
      </c>
      <c r="O101" s="26" t="n">
        <f aca="false">G101*(1+P101)</f>
        <v>10856.875</v>
      </c>
      <c r="P101" s="27" t="n">
        <f aca="false">'Control Panel'!$B$95</f>
        <v>0</v>
      </c>
      <c r="Q101" s="9" t="n">
        <v>1737.1</v>
      </c>
      <c r="R101" s="26" t="n">
        <f aca="false">IF(L101="Yes",F101,0)</f>
        <v>86855</v>
      </c>
      <c r="S101" s="27" t="n">
        <f aca="false">'Control Panel'!$B$112+0.1</f>
        <v>0.1</v>
      </c>
      <c r="T101" s="26" t="n">
        <f aca="false">R101*S101</f>
        <v>8685.5</v>
      </c>
      <c r="U101" s="26" t="n">
        <f aca="false">R101-T101</f>
        <v>78169.5</v>
      </c>
    </row>
    <row r="102" customFormat="false" ht="15" hidden="false" customHeight="true" outlineLevel="0" collapsed="false">
      <c r="A102" s="13" t="n">
        <v>97</v>
      </c>
      <c r="B102" s="13" t="s">
        <v>180</v>
      </c>
      <c r="C102" s="13" t="s">
        <v>174</v>
      </c>
      <c r="D102" s="13" t="s">
        <v>165</v>
      </c>
      <c r="E102" s="25" t="n">
        <v>136</v>
      </c>
      <c r="F102" s="9" t="n">
        <v>1393307</v>
      </c>
      <c r="G102" s="9" t="n">
        <v>10244.9044117647</v>
      </c>
      <c r="H102" s="13" t="n">
        <v>7.5</v>
      </c>
      <c r="I102" s="25" t="n">
        <v>192500</v>
      </c>
      <c r="J102" s="13" t="n">
        <v>155</v>
      </c>
      <c r="K102" s="13" t="s">
        <v>170</v>
      </c>
      <c r="L102" s="13" t="s">
        <v>26</v>
      </c>
      <c r="M102" s="13" t="s">
        <v>21</v>
      </c>
      <c r="N102" s="13" t="s">
        <v>21</v>
      </c>
      <c r="O102" s="26" t="n">
        <f aca="false">G102*(1+P102)</f>
        <v>10244.9044117647</v>
      </c>
      <c r="P102" s="27" t="n">
        <f aca="false">'Control Panel'!$B$95</f>
        <v>0</v>
      </c>
      <c r="Q102" s="9" t="n">
        <v>27866.14</v>
      </c>
      <c r="R102" s="26" t="n">
        <f aca="false">IF(L102="Yes",F102,0)</f>
        <v>1393307</v>
      </c>
      <c r="S102" s="27" t="n">
        <f aca="false">'Control Panel'!$B$112+0.1</f>
        <v>0.1</v>
      </c>
      <c r="T102" s="26" t="n">
        <f aca="false">R102*S102</f>
        <v>139330.7</v>
      </c>
      <c r="U102" s="26" t="n">
        <f aca="false">R102-T102</f>
        <v>1253976.3</v>
      </c>
    </row>
    <row r="103" customFormat="false" ht="15" hidden="false" customHeight="true" outlineLevel="0" collapsed="false">
      <c r="A103" s="13" t="n">
        <v>98</v>
      </c>
      <c r="B103" s="13" t="s">
        <v>180</v>
      </c>
      <c r="C103" s="13" t="s">
        <v>174</v>
      </c>
      <c r="D103" s="13" t="s">
        <v>167</v>
      </c>
      <c r="E103" s="25" t="n">
        <v>104</v>
      </c>
      <c r="F103" s="9" t="n">
        <v>1063980</v>
      </c>
      <c r="G103" s="9" t="n">
        <v>10230.5769230769</v>
      </c>
      <c r="H103" s="13" t="n">
        <v>7.5</v>
      </c>
      <c r="I103" s="25" t="n">
        <v>192500</v>
      </c>
      <c r="J103" s="13" t="n">
        <v>155</v>
      </c>
      <c r="K103" s="13" t="s">
        <v>170</v>
      </c>
      <c r="L103" s="13" t="s">
        <v>26</v>
      </c>
      <c r="M103" s="13" t="s">
        <v>21</v>
      </c>
      <c r="N103" s="13" t="s">
        <v>21</v>
      </c>
      <c r="O103" s="26" t="n">
        <f aca="false">G103*(1+P103)</f>
        <v>10230.5769230769</v>
      </c>
      <c r="P103" s="27" t="n">
        <f aca="false">'Control Panel'!$B$95</f>
        <v>0</v>
      </c>
      <c r="Q103" s="9" t="n">
        <v>21279.6</v>
      </c>
      <c r="R103" s="26" t="n">
        <f aca="false">IF(L103="Yes",F103,0)</f>
        <v>1063980</v>
      </c>
      <c r="S103" s="27" t="n">
        <f aca="false">'Control Panel'!$B$112+0.1</f>
        <v>0.1</v>
      </c>
      <c r="T103" s="26" t="n">
        <f aca="false">R103*S103</f>
        <v>106398</v>
      </c>
      <c r="U103" s="26" t="n">
        <f aca="false">R103-T103</f>
        <v>957582</v>
      </c>
    </row>
    <row r="104" customFormat="false" ht="15" hidden="false" customHeight="true" outlineLevel="0" collapsed="false">
      <c r="A104" s="13" t="n">
        <v>99</v>
      </c>
      <c r="B104" s="13" t="s">
        <v>180</v>
      </c>
      <c r="C104" s="13" t="s">
        <v>174</v>
      </c>
      <c r="D104" s="13" t="s">
        <v>168</v>
      </c>
      <c r="E104" s="25" t="n">
        <v>7</v>
      </c>
      <c r="F104" s="9" t="n">
        <v>75998</v>
      </c>
      <c r="G104" s="9" t="n">
        <v>10856.8571428571</v>
      </c>
      <c r="H104" s="13" t="n">
        <v>7.5</v>
      </c>
      <c r="I104" s="25" t="n">
        <v>192500</v>
      </c>
      <c r="J104" s="13" t="n">
        <v>155</v>
      </c>
      <c r="K104" s="13" t="s">
        <v>170</v>
      </c>
      <c r="L104" s="13" t="s">
        <v>26</v>
      </c>
      <c r="M104" s="13" t="s">
        <v>21</v>
      </c>
      <c r="N104" s="13" t="s">
        <v>21</v>
      </c>
      <c r="O104" s="26" t="n">
        <f aca="false">G104*(1+P104)</f>
        <v>10856.8571428571</v>
      </c>
      <c r="P104" s="27" t="n">
        <f aca="false">'Control Panel'!$B$95</f>
        <v>0</v>
      </c>
      <c r="Q104" s="9" t="n">
        <v>1519.96</v>
      </c>
      <c r="R104" s="26" t="n">
        <f aca="false">IF(L104="Yes",F104,0)</f>
        <v>75998</v>
      </c>
      <c r="S104" s="27" t="n">
        <f aca="false">'Control Panel'!$B$112+0.1</f>
        <v>0.1</v>
      </c>
      <c r="T104" s="26" t="n">
        <f aca="false">R104*S104</f>
        <v>7599.8</v>
      </c>
      <c r="U104" s="26" t="n">
        <f aca="false">R104-T104</f>
        <v>68398.2</v>
      </c>
    </row>
    <row r="105" customFormat="false" ht="15" hidden="false" customHeight="true" outlineLevel="0" collapsed="false">
      <c r="A105" s="13" t="n">
        <v>100</v>
      </c>
      <c r="B105" s="13" t="s">
        <v>180</v>
      </c>
      <c r="C105" s="13" t="s">
        <v>175</v>
      </c>
      <c r="D105" s="13" t="s">
        <v>165</v>
      </c>
      <c r="E105" s="25" t="n">
        <v>117</v>
      </c>
      <c r="F105" s="9" t="n">
        <v>1194263</v>
      </c>
      <c r="G105" s="9" t="n">
        <v>10207.3760683761</v>
      </c>
      <c r="H105" s="13" t="n">
        <v>7.5</v>
      </c>
      <c r="I105" s="25" t="n">
        <v>192500</v>
      </c>
      <c r="J105" s="13" t="n">
        <v>155</v>
      </c>
      <c r="K105" s="13" t="s">
        <v>170</v>
      </c>
      <c r="L105" s="13" t="s">
        <v>26</v>
      </c>
      <c r="M105" s="13" t="s">
        <v>21</v>
      </c>
      <c r="N105" s="13" t="s">
        <v>21</v>
      </c>
      <c r="O105" s="26" t="n">
        <f aca="false">G105*(1+P105)</f>
        <v>10207.3760683761</v>
      </c>
      <c r="P105" s="27" t="n">
        <f aca="false">'Control Panel'!$B$95</f>
        <v>0</v>
      </c>
      <c r="Q105" s="9" t="n">
        <v>23885.26</v>
      </c>
      <c r="R105" s="26" t="n">
        <f aca="false">IF(L105="Yes",F105,0)</f>
        <v>1194263</v>
      </c>
      <c r="S105" s="27" t="n">
        <f aca="false">'Control Panel'!$B$112+0.1</f>
        <v>0.1</v>
      </c>
      <c r="T105" s="26" t="n">
        <f aca="false">R105*S105</f>
        <v>119426.3</v>
      </c>
      <c r="U105" s="26" t="n">
        <f aca="false">R105-T105</f>
        <v>1074836.7</v>
      </c>
    </row>
    <row r="106" customFormat="false" ht="15" hidden="false" customHeight="true" outlineLevel="0" collapsed="false">
      <c r="A106" s="13" t="n">
        <v>101</v>
      </c>
      <c r="B106" s="13" t="s">
        <v>180</v>
      </c>
      <c r="C106" s="13" t="s">
        <v>175</v>
      </c>
      <c r="D106" s="13" t="s">
        <v>167</v>
      </c>
      <c r="E106" s="25" t="n">
        <v>89</v>
      </c>
      <c r="F106" s="9" t="n">
        <v>911983</v>
      </c>
      <c r="G106" s="9" t="n">
        <v>10247</v>
      </c>
      <c r="H106" s="13" t="n">
        <v>7.5</v>
      </c>
      <c r="I106" s="25" t="n">
        <v>192500</v>
      </c>
      <c r="J106" s="13" t="n">
        <v>155</v>
      </c>
      <c r="K106" s="13" t="s">
        <v>170</v>
      </c>
      <c r="L106" s="13" t="s">
        <v>26</v>
      </c>
      <c r="M106" s="13" t="s">
        <v>21</v>
      </c>
      <c r="N106" s="13" t="s">
        <v>21</v>
      </c>
      <c r="O106" s="26" t="n">
        <f aca="false">G106*(1+P106)</f>
        <v>10247</v>
      </c>
      <c r="P106" s="27" t="n">
        <f aca="false">'Control Panel'!$B$95</f>
        <v>0</v>
      </c>
      <c r="Q106" s="9" t="n">
        <v>18239.66</v>
      </c>
      <c r="R106" s="26" t="n">
        <f aca="false">IF(L106="Yes",F106,0)</f>
        <v>911983</v>
      </c>
      <c r="S106" s="27" t="n">
        <f aca="false">'Control Panel'!$B$112+0.1</f>
        <v>0.1</v>
      </c>
      <c r="T106" s="26" t="n">
        <f aca="false">R106*S106</f>
        <v>91198.3</v>
      </c>
      <c r="U106" s="26" t="n">
        <f aca="false">R106-T106</f>
        <v>820784.7</v>
      </c>
    </row>
    <row r="107" customFormat="false" ht="15" hidden="false" customHeight="true" outlineLevel="0" collapsed="false">
      <c r="A107" s="13" t="n">
        <v>102</v>
      </c>
      <c r="B107" s="13" t="s">
        <v>180</v>
      </c>
      <c r="C107" s="13" t="s">
        <v>175</v>
      </c>
      <c r="D107" s="13" t="s">
        <v>168</v>
      </c>
      <c r="E107" s="25" t="n">
        <v>6</v>
      </c>
      <c r="F107" s="9" t="n">
        <v>65141</v>
      </c>
      <c r="G107" s="9" t="n">
        <v>10856.8333333333</v>
      </c>
      <c r="H107" s="13" t="n">
        <v>7.5</v>
      </c>
      <c r="I107" s="25" t="n">
        <v>192500</v>
      </c>
      <c r="J107" s="13" t="n">
        <v>155</v>
      </c>
      <c r="K107" s="13" t="s">
        <v>170</v>
      </c>
      <c r="L107" s="13" t="s">
        <v>26</v>
      </c>
      <c r="M107" s="13" t="s">
        <v>21</v>
      </c>
      <c r="N107" s="13" t="s">
        <v>21</v>
      </c>
      <c r="O107" s="26" t="n">
        <f aca="false">G107*(1+P107)</f>
        <v>10856.8333333333</v>
      </c>
      <c r="P107" s="27" t="n">
        <f aca="false">'Control Panel'!$B$95</f>
        <v>0</v>
      </c>
      <c r="Q107" s="9" t="n">
        <v>1302.82</v>
      </c>
      <c r="R107" s="26" t="n">
        <f aca="false">IF(L107="Yes",F107,0)</f>
        <v>65141</v>
      </c>
      <c r="S107" s="27" t="n">
        <f aca="false">'Control Panel'!$B$112+0.1</f>
        <v>0.1</v>
      </c>
      <c r="T107" s="26" t="n">
        <f aca="false">R107*S107</f>
        <v>6514.1</v>
      </c>
      <c r="U107" s="26" t="n">
        <f aca="false">R107-T107</f>
        <v>58626.9</v>
      </c>
    </row>
    <row r="108" customFormat="false" ht="15" hidden="false" customHeight="true" outlineLevel="0" collapsed="false">
      <c r="A108" s="13" t="n">
        <v>103</v>
      </c>
      <c r="B108" s="13" t="s">
        <v>180</v>
      </c>
      <c r="C108" s="13" t="s">
        <v>176</v>
      </c>
      <c r="D108" s="13" t="s">
        <v>165</v>
      </c>
      <c r="E108" s="25" t="n">
        <v>78</v>
      </c>
      <c r="F108" s="9" t="n">
        <v>796175</v>
      </c>
      <c r="G108" s="9" t="n">
        <v>10207.3717948718</v>
      </c>
      <c r="H108" s="13" t="n">
        <v>7.5</v>
      </c>
      <c r="I108" s="25" t="n">
        <v>192500</v>
      </c>
      <c r="J108" s="13" t="n">
        <v>155</v>
      </c>
      <c r="K108" s="13" t="s">
        <v>170</v>
      </c>
      <c r="L108" s="13" t="s">
        <v>26</v>
      </c>
      <c r="M108" s="13" t="s">
        <v>21</v>
      </c>
      <c r="N108" s="13" t="s">
        <v>21</v>
      </c>
      <c r="O108" s="26" t="n">
        <f aca="false">G108*(1+P108)</f>
        <v>10207.3717948718</v>
      </c>
      <c r="P108" s="27" t="n">
        <f aca="false">'Control Panel'!$B$95</f>
        <v>0</v>
      </c>
      <c r="Q108" s="9" t="n">
        <v>15923.5</v>
      </c>
      <c r="R108" s="26" t="n">
        <f aca="false">IF(L108="Yes",F108,0)</f>
        <v>796175</v>
      </c>
      <c r="S108" s="27" t="n">
        <f aca="false">'Control Panel'!$B$112+0.1</f>
        <v>0.1</v>
      </c>
      <c r="T108" s="26" t="n">
        <f aca="false">R108*S108</f>
        <v>79617.5</v>
      </c>
      <c r="U108" s="26" t="n">
        <f aca="false">R108-T108</f>
        <v>716557.5</v>
      </c>
    </row>
    <row r="109" customFormat="false" ht="15" hidden="false" customHeight="true" outlineLevel="0" collapsed="false">
      <c r="A109" s="13" t="n">
        <v>104</v>
      </c>
      <c r="B109" s="13" t="s">
        <v>180</v>
      </c>
      <c r="C109" s="13" t="s">
        <v>176</v>
      </c>
      <c r="D109" s="13" t="s">
        <v>167</v>
      </c>
      <c r="E109" s="25" t="n">
        <v>59</v>
      </c>
      <c r="F109" s="9" t="n">
        <v>607988</v>
      </c>
      <c r="G109" s="9" t="n">
        <v>10304.8813559322</v>
      </c>
      <c r="H109" s="13" t="n">
        <v>7.5</v>
      </c>
      <c r="I109" s="25" t="n">
        <v>192500</v>
      </c>
      <c r="J109" s="13" t="n">
        <v>155</v>
      </c>
      <c r="K109" s="13" t="s">
        <v>170</v>
      </c>
      <c r="L109" s="13" t="s">
        <v>26</v>
      </c>
      <c r="M109" s="13" t="s">
        <v>21</v>
      </c>
      <c r="N109" s="13" t="s">
        <v>21</v>
      </c>
      <c r="O109" s="26" t="n">
        <f aca="false">G109*(1+P109)</f>
        <v>10304.8813559322</v>
      </c>
      <c r="P109" s="27" t="n">
        <f aca="false">'Control Panel'!$B$95</f>
        <v>0</v>
      </c>
      <c r="Q109" s="9" t="n">
        <v>12159.76</v>
      </c>
      <c r="R109" s="26" t="n">
        <f aca="false">IF(L109="Yes",F109,0)</f>
        <v>607988</v>
      </c>
      <c r="S109" s="27" t="n">
        <f aca="false">'Control Panel'!$B$112+0.1</f>
        <v>0.1</v>
      </c>
      <c r="T109" s="26" t="n">
        <f aca="false">R109*S109</f>
        <v>60798.8</v>
      </c>
      <c r="U109" s="26" t="n">
        <f aca="false">R109-T109</f>
        <v>547189.2</v>
      </c>
    </row>
    <row r="110" customFormat="false" ht="15" hidden="false" customHeight="true" outlineLevel="0" collapsed="false">
      <c r="A110" s="13" t="n">
        <v>105</v>
      </c>
      <c r="B110" s="13" t="s">
        <v>180</v>
      </c>
      <c r="C110" s="13" t="s">
        <v>176</v>
      </c>
      <c r="D110" s="13" t="s">
        <v>168</v>
      </c>
      <c r="E110" s="25" t="n">
        <v>4</v>
      </c>
      <c r="F110" s="9" t="n">
        <v>43427</v>
      </c>
      <c r="G110" s="9" t="n">
        <v>10856.75</v>
      </c>
      <c r="H110" s="13" t="n">
        <v>7.5</v>
      </c>
      <c r="I110" s="25" t="n">
        <v>192500</v>
      </c>
      <c r="J110" s="13" t="n">
        <v>155</v>
      </c>
      <c r="K110" s="13" t="s">
        <v>170</v>
      </c>
      <c r="L110" s="13" t="s">
        <v>26</v>
      </c>
      <c r="M110" s="13" t="s">
        <v>21</v>
      </c>
      <c r="N110" s="13" t="s">
        <v>21</v>
      </c>
      <c r="O110" s="26" t="n">
        <f aca="false">G110*(1+P110)</f>
        <v>10856.75</v>
      </c>
      <c r="P110" s="27" t="n">
        <f aca="false">'Control Panel'!$B$95</f>
        <v>0</v>
      </c>
      <c r="Q110" s="9" t="n">
        <v>868.54</v>
      </c>
      <c r="R110" s="26" t="n">
        <f aca="false">IF(L110="Yes",F110,0)</f>
        <v>43427</v>
      </c>
      <c r="S110" s="27" t="n">
        <f aca="false">'Control Panel'!$B$112+0.1</f>
        <v>0.1</v>
      </c>
      <c r="T110" s="26" t="n">
        <f aca="false">R110*S110</f>
        <v>4342.7</v>
      </c>
      <c r="U110" s="26" t="n">
        <f aca="false">R110-T110</f>
        <v>39084.3</v>
      </c>
    </row>
    <row r="111" customFormat="false" ht="15" hidden="false" customHeight="true" outlineLevel="0" collapsed="false">
      <c r="A111" s="13" t="n">
        <v>106</v>
      </c>
      <c r="B111" s="13" t="s">
        <v>180</v>
      </c>
      <c r="C111" s="13" t="s">
        <v>177</v>
      </c>
      <c r="D111" s="13" t="s">
        <v>165</v>
      </c>
      <c r="E111" s="25" t="n">
        <v>58</v>
      </c>
      <c r="F111" s="9" t="n">
        <v>597131</v>
      </c>
      <c r="G111" s="9" t="n">
        <v>10295.3620689655</v>
      </c>
      <c r="H111" s="13" t="n">
        <v>7.5</v>
      </c>
      <c r="I111" s="25" t="n">
        <v>192500</v>
      </c>
      <c r="J111" s="13" t="n">
        <v>155</v>
      </c>
      <c r="K111" s="13" t="s">
        <v>170</v>
      </c>
      <c r="L111" s="13" t="s">
        <v>26</v>
      </c>
      <c r="M111" s="13" t="s">
        <v>26</v>
      </c>
      <c r="N111" s="13" t="s">
        <v>21</v>
      </c>
      <c r="O111" s="26" t="n">
        <f aca="false">G111*(1+P111)</f>
        <v>10295.3620689655</v>
      </c>
      <c r="P111" s="27" t="n">
        <f aca="false">'Control Panel'!$B$95</f>
        <v>0</v>
      </c>
      <c r="Q111" s="9" t="n">
        <v>11942.62</v>
      </c>
      <c r="R111" s="26" t="n">
        <f aca="false">IF(L111="Yes",F111,0)</f>
        <v>597131</v>
      </c>
      <c r="S111" s="27" t="n">
        <f aca="false">'Control Panel'!$B$112+0.1</f>
        <v>0.1</v>
      </c>
      <c r="T111" s="26" t="n">
        <f aca="false">R111*S111</f>
        <v>59713.1</v>
      </c>
      <c r="U111" s="26" t="n">
        <f aca="false">R111-T111</f>
        <v>537417.9</v>
      </c>
    </row>
    <row r="112" customFormat="false" ht="15" hidden="false" customHeight="true" outlineLevel="0" collapsed="false">
      <c r="A112" s="13" t="n">
        <v>107</v>
      </c>
      <c r="B112" s="13" t="s">
        <v>180</v>
      </c>
      <c r="C112" s="13" t="s">
        <v>177</v>
      </c>
      <c r="D112" s="13" t="s">
        <v>167</v>
      </c>
      <c r="E112" s="25" t="n">
        <v>44</v>
      </c>
      <c r="F112" s="9" t="n">
        <v>455991</v>
      </c>
      <c r="G112" s="9" t="n">
        <v>10363.4318181818</v>
      </c>
      <c r="H112" s="13" t="n">
        <v>7.5</v>
      </c>
      <c r="I112" s="25" t="n">
        <v>192500</v>
      </c>
      <c r="J112" s="13" t="n">
        <v>155</v>
      </c>
      <c r="K112" s="13" t="s">
        <v>170</v>
      </c>
      <c r="L112" s="13" t="s">
        <v>26</v>
      </c>
      <c r="M112" s="13" t="s">
        <v>21</v>
      </c>
      <c r="N112" s="13" t="s">
        <v>21</v>
      </c>
      <c r="O112" s="26" t="n">
        <f aca="false">G112*(1+P112)</f>
        <v>10363.4318181818</v>
      </c>
      <c r="P112" s="27" t="n">
        <f aca="false">'Control Panel'!$B$95</f>
        <v>0</v>
      </c>
      <c r="Q112" s="9" t="n">
        <v>9119.82</v>
      </c>
      <c r="R112" s="26" t="n">
        <f aca="false">IF(L112="Yes",F112,0)</f>
        <v>455991</v>
      </c>
      <c r="S112" s="27" t="n">
        <f aca="false">'Control Panel'!$B$112+0.1</f>
        <v>0.1</v>
      </c>
      <c r="T112" s="26" t="n">
        <f aca="false">R112*S112</f>
        <v>45599.1</v>
      </c>
      <c r="U112" s="26" t="n">
        <f aca="false">R112-T112</f>
        <v>410391.9</v>
      </c>
    </row>
    <row r="113" customFormat="false" ht="15" hidden="false" customHeight="true" outlineLevel="0" collapsed="false">
      <c r="A113" s="13" t="n">
        <v>108</v>
      </c>
      <c r="B113" s="13" t="s">
        <v>180</v>
      </c>
      <c r="C113" s="13" t="s">
        <v>177</v>
      </c>
      <c r="D113" s="13" t="s">
        <v>168</v>
      </c>
      <c r="E113" s="25" t="n">
        <v>3</v>
      </c>
      <c r="F113" s="9" t="n">
        <v>32570</v>
      </c>
      <c r="G113" s="9" t="n">
        <v>10856.6666666667</v>
      </c>
      <c r="H113" s="13" t="n">
        <v>7.5</v>
      </c>
      <c r="I113" s="25" t="n">
        <v>192500</v>
      </c>
      <c r="J113" s="13" t="n">
        <v>155</v>
      </c>
      <c r="K113" s="13" t="s">
        <v>170</v>
      </c>
      <c r="L113" s="13" t="s">
        <v>26</v>
      </c>
      <c r="M113" s="13" t="s">
        <v>21</v>
      </c>
      <c r="N113" s="13" t="s">
        <v>21</v>
      </c>
      <c r="O113" s="26" t="n">
        <f aca="false">G113*(1+P113)</f>
        <v>10856.6666666667</v>
      </c>
      <c r="P113" s="27" t="n">
        <f aca="false">'Control Panel'!$B$95</f>
        <v>0</v>
      </c>
      <c r="Q113" s="9" t="n">
        <v>651.4</v>
      </c>
      <c r="R113" s="26" t="n">
        <f aca="false">IF(L113="Yes",F113,0)</f>
        <v>32570</v>
      </c>
      <c r="S113" s="27" t="n">
        <f aca="false">'Control Panel'!$B$112+0.1</f>
        <v>0.1</v>
      </c>
      <c r="T113" s="26" t="n">
        <f aca="false">R113*S113</f>
        <v>3257</v>
      </c>
      <c r="U113" s="26" t="n">
        <f aca="false">R113-T113</f>
        <v>29313</v>
      </c>
    </row>
    <row r="114" customFormat="false" ht="15" hidden="false" customHeight="true" outlineLevel="0" collapsed="false">
      <c r="A114" s="13" t="n">
        <v>109</v>
      </c>
      <c r="B114" s="13" t="s">
        <v>181</v>
      </c>
      <c r="C114" s="13" t="s">
        <v>164</v>
      </c>
      <c r="D114" s="13" t="s">
        <v>165</v>
      </c>
      <c r="E114" s="25" t="n">
        <v>341</v>
      </c>
      <c r="F114" s="9" t="n">
        <v>3483269</v>
      </c>
      <c r="G114" s="9" t="n">
        <v>10214.8651026393</v>
      </c>
      <c r="H114" s="13" t="n">
        <v>8</v>
      </c>
      <c r="I114" s="25" t="n">
        <v>200000</v>
      </c>
      <c r="J114" s="13" t="n">
        <v>235</v>
      </c>
      <c r="K114" s="13" t="s">
        <v>166</v>
      </c>
      <c r="L114" s="13" t="s">
        <v>26</v>
      </c>
      <c r="M114" s="13" t="s">
        <v>21</v>
      </c>
      <c r="N114" s="13" t="s">
        <v>21</v>
      </c>
      <c r="O114" s="26" t="n">
        <f aca="false">G114*(1+P114)</f>
        <v>10214.8651026393</v>
      </c>
      <c r="P114" s="27" t="n">
        <f aca="false">'Control Panel'!$B$95</f>
        <v>0</v>
      </c>
      <c r="Q114" s="9" t="n">
        <v>69665.38</v>
      </c>
      <c r="R114" s="26" t="n">
        <f aca="false">IF(L114="Yes",F114,0)</f>
        <v>3483269</v>
      </c>
      <c r="S114" s="27" t="n">
        <f aca="false">'Control Panel'!$B$112+0.1</f>
        <v>0.1</v>
      </c>
      <c r="T114" s="26" t="n">
        <f aca="false">R114*S114</f>
        <v>348326.9</v>
      </c>
      <c r="U114" s="26" t="n">
        <f aca="false">R114-T114</f>
        <v>3134942.1</v>
      </c>
    </row>
    <row r="115" customFormat="false" ht="15" hidden="false" customHeight="true" outlineLevel="0" collapsed="false">
      <c r="A115" s="13" t="n">
        <v>110</v>
      </c>
      <c r="B115" s="13" t="s">
        <v>181</v>
      </c>
      <c r="C115" s="13" t="s">
        <v>164</v>
      </c>
      <c r="D115" s="13" t="s">
        <v>167</v>
      </c>
      <c r="E115" s="25" t="n">
        <v>260</v>
      </c>
      <c r="F115" s="9" t="n">
        <v>2659951</v>
      </c>
      <c r="G115" s="9" t="n">
        <v>10230.5807692308</v>
      </c>
      <c r="H115" s="13" t="n">
        <v>8</v>
      </c>
      <c r="I115" s="25" t="n">
        <v>200000</v>
      </c>
      <c r="J115" s="13" t="n">
        <v>235</v>
      </c>
      <c r="K115" s="13" t="s">
        <v>166</v>
      </c>
      <c r="L115" s="13" t="s">
        <v>26</v>
      </c>
      <c r="M115" s="13" t="s">
        <v>21</v>
      </c>
      <c r="N115" s="13" t="s">
        <v>21</v>
      </c>
      <c r="O115" s="26" t="n">
        <f aca="false">G115*(1+P115)</f>
        <v>10230.5807692308</v>
      </c>
      <c r="P115" s="27" t="n">
        <f aca="false">'Control Panel'!$B$95</f>
        <v>0</v>
      </c>
      <c r="Q115" s="9" t="n">
        <v>53199.02</v>
      </c>
      <c r="R115" s="26" t="n">
        <f aca="false">IF(L115="Yes",F115,0)</f>
        <v>2659951</v>
      </c>
      <c r="S115" s="27" t="n">
        <f aca="false">'Control Panel'!$B$112+0.1</f>
        <v>0.1</v>
      </c>
      <c r="T115" s="26" t="n">
        <f aca="false">R115*S115</f>
        <v>265995.1</v>
      </c>
      <c r="U115" s="26" t="n">
        <f aca="false">R115-T115</f>
        <v>2393955.9</v>
      </c>
    </row>
    <row r="116" customFormat="false" ht="15" hidden="false" customHeight="true" outlineLevel="0" collapsed="false">
      <c r="A116" s="13" t="n">
        <v>111</v>
      </c>
      <c r="B116" s="13" t="s">
        <v>181</v>
      </c>
      <c r="C116" s="13" t="s">
        <v>164</v>
      </c>
      <c r="D116" s="13" t="s">
        <v>168</v>
      </c>
      <c r="E116" s="25" t="n">
        <v>18</v>
      </c>
      <c r="F116" s="9" t="n">
        <v>189996</v>
      </c>
      <c r="G116" s="9" t="n">
        <v>10555.3333333333</v>
      </c>
      <c r="H116" s="13" t="n">
        <v>8</v>
      </c>
      <c r="I116" s="25" t="n">
        <v>200000</v>
      </c>
      <c r="J116" s="13" t="n">
        <v>235</v>
      </c>
      <c r="K116" s="13" t="s">
        <v>166</v>
      </c>
      <c r="L116" s="13" t="s">
        <v>26</v>
      </c>
      <c r="M116" s="13" t="s">
        <v>21</v>
      </c>
      <c r="N116" s="13" t="s">
        <v>21</v>
      </c>
      <c r="O116" s="26" t="n">
        <f aca="false">G116*(1+P116)</f>
        <v>10555.3333333333</v>
      </c>
      <c r="P116" s="27" t="n">
        <f aca="false">'Control Panel'!$B$95</f>
        <v>0</v>
      </c>
      <c r="Q116" s="9" t="n">
        <v>3799.92</v>
      </c>
      <c r="R116" s="26" t="n">
        <f aca="false">IF(L116="Yes",F116,0)</f>
        <v>189996</v>
      </c>
      <c r="S116" s="27" t="n">
        <f aca="false">'Control Panel'!$B$112+0.1</f>
        <v>0.1</v>
      </c>
      <c r="T116" s="26" t="n">
        <f aca="false">R116*S116</f>
        <v>18999.6</v>
      </c>
      <c r="U116" s="26" t="n">
        <f aca="false">R116-T116</f>
        <v>170996.4</v>
      </c>
    </row>
    <row r="117" customFormat="false" ht="15" hidden="false" customHeight="true" outlineLevel="0" collapsed="false">
      <c r="A117" s="13" t="n">
        <v>112</v>
      </c>
      <c r="B117" s="13" t="s">
        <v>181</v>
      </c>
      <c r="C117" s="13" t="s">
        <v>169</v>
      </c>
      <c r="D117" s="13" t="s">
        <v>165</v>
      </c>
      <c r="E117" s="25" t="n">
        <v>146</v>
      </c>
      <c r="F117" s="9" t="n">
        <v>1492829</v>
      </c>
      <c r="G117" s="9" t="n">
        <v>10224.8561643836</v>
      </c>
      <c r="H117" s="13" t="n">
        <v>8</v>
      </c>
      <c r="I117" s="25" t="n">
        <v>200000</v>
      </c>
      <c r="J117" s="13" t="n">
        <v>235</v>
      </c>
      <c r="K117" s="13" t="s">
        <v>170</v>
      </c>
      <c r="L117" s="13" t="s">
        <v>26</v>
      </c>
      <c r="M117" s="13" t="s">
        <v>21</v>
      </c>
      <c r="N117" s="13" t="s">
        <v>21</v>
      </c>
      <c r="O117" s="26" t="n">
        <f aca="false">G117*(1+P117)</f>
        <v>10224.8561643836</v>
      </c>
      <c r="P117" s="27" t="n">
        <f aca="false">'Control Panel'!$B$95</f>
        <v>0</v>
      </c>
      <c r="Q117" s="9" t="n">
        <v>29856.58</v>
      </c>
      <c r="R117" s="26" t="n">
        <f aca="false">IF(L117="Yes",F117,0)</f>
        <v>1492829</v>
      </c>
      <c r="S117" s="27" t="n">
        <f aca="false">'Control Panel'!$B$112+0.1</f>
        <v>0.1</v>
      </c>
      <c r="T117" s="26" t="n">
        <f aca="false">R117*S117</f>
        <v>149282.9</v>
      </c>
      <c r="U117" s="26" t="n">
        <f aca="false">R117-T117</f>
        <v>1343546.1</v>
      </c>
    </row>
    <row r="118" customFormat="false" ht="15" hidden="false" customHeight="true" outlineLevel="0" collapsed="false">
      <c r="A118" s="13" t="n">
        <v>113</v>
      </c>
      <c r="B118" s="13" t="s">
        <v>181</v>
      </c>
      <c r="C118" s="13" t="s">
        <v>169</v>
      </c>
      <c r="D118" s="13" t="s">
        <v>167</v>
      </c>
      <c r="E118" s="25" t="n">
        <v>111</v>
      </c>
      <c r="F118" s="9" t="n">
        <v>1139979</v>
      </c>
      <c r="G118" s="9" t="n">
        <v>10270.0810810811</v>
      </c>
      <c r="H118" s="13" t="n">
        <v>8</v>
      </c>
      <c r="I118" s="25" t="n">
        <v>200000</v>
      </c>
      <c r="J118" s="13" t="n">
        <v>235</v>
      </c>
      <c r="K118" s="13" t="s">
        <v>170</v>
      </c>
      <c r="L118" s="13" t="s">
        <v>26</v>
      </c>
      <c r="M118" s="13" t="s">
        <v>21</v>
      </c>
      <c r="N118" s="13" t="s">
        <v>21</v>
      </c>
      <c r="O118" s="26" t="n">
        <f aca="false">G118*(1+P118)</f>
        <v>10270.0810810811</v>
      </c>
      <c r="P118" s="27" t="n">
        <f aca="false">'Control Panel'!$B$95</f>
        <v>0</v>
      </c>
      <c r="Q118" s="9" t="n">
        <v>22799.58</v>
      </c>
      <c r="R118" s="26" t="n">
        <f aca="false">IF(L118="Yes",F118,0)</f>
        <v>1139979</v>
      </c>
      <c r="S118" s="27" t="n">
        <f aca="false">'Control Panel'!$B$112+0.1</f>
        <v>0.1</v>
      </c>
      <c r="T118" s="26" t="n">
        <f aca="false">R118*S118</f>
        <v>113997.9</v>
      </c>
      <c r="U118" s="26" t="n">
        <f aca="false">R118-T118</f>
        <v>1025981.1</v>
      </c>
    </row>
    <row r="119" customFormat="false" ht="15" hidden="false" customHeight="true" outlineLevel="0" collapsed="false">
      <c r="A119" s="13" t="n">
        <v>114</v>
      </c>
      <c r="B119" s="13" t="s">
        <v>181</v>
      </c>
      <c r="C119" s="13" t="s">
        <v>169</v>
      </c>
      <c r="D119" s="13" t="s">
        <v>168</v>
      </c>
      <c r="E119" s="25" t="n">
        <v>7</v>
      </c>
      <c r="F119" s="9" t="n">
        <v>81427</v>
      </c>
      <c r="G119" s="9" t="n">
        <v>11632.4285714286</v>
      </c>
      <c r="H119" s="13" t="n">
        <v>8</v>
      </c>
      <c r="I119" s="25" t="n">
        <v>200000</v>
      </c>
      <c r="J119" s="13" t="n">
        <v>235</v>
      </c>
      <c r="K119" s="13" t="s">
        <v>170</v>
      </c>
      <c r="L119" s="13" t="s">
        <v>26</v>
      </c>
      <c r="M119" s="13" t="s">
        <v>21</v>
      </c>
      <c r="N119" s="13" t="s">
        <v>21</v>
      </c>
      <c r="O119" s="26" t="n">
        <f aca="false">G119*(1+P119)</f>
        <v>11632.4285714286</v>
      </c>
      <c r="P119" s="27" t="n">
        <f aca="false">'Control Panel'!$B$95</f>
        <v>0</v>
      </c>
      <c r="Q119" s="9" t="n">
        <v>1628.54</v>
      </c>
      <c r="R119" s="26" t="n">
        <f aca="false">IF(L119="Yes",F119,0)</f>
        <v>81427</v>
      </c>
      <c r="S119" s="27" t="n">
        <f aca="false">'Control Panel'!$B$112+0.1</f>
        <v>0.1</v>
      </c>
      <c r="T119" s="26" t="n">
        <f aca="false">R119*S119</f>
        <v>8142.7</v>
      </c>
      <c r="U119" s="26" t="n">
        <f aca="false">R119-T119</f>
        <v>73284.3</v>
      </c>
    </row>
    <row r="120" customFormat="false" ht="15" hidden="false" customHeight="true" outlineLevel="0" collapsed="false">
      <c r="A120" s="13" t="n">
        <v>115</v>
      </c>
      <c r="B120" s="13" t="s">
        <v>181</v>
      </c>
      <c r="C120" s="13" t="s">
        <v>171</v>
      </c>
      <c r="D120" s="13" t="s">
        <v>165</v>
      </c>
      <c r="E120" s="25" t="n">
        <v>117</v>
      </c>
      <c r="F120" s="9" t="n">
        <v>1194263</v>
      </c>
      <c r="G120" s="9" t="n">
        <v>10207.3760683761</v>
      </c>
      <c r="H120" s="13" t="n">
        <v>8</v>
      </c>
      <c r="I120" s="25" t="n">
        <v>200000</v>
      </c>
      <c r="J120" s="13" t="n">
        <v>235</v>
      </c>
      <c r="K120" s="13" t="s">
        <v>170</v>
      </c>
      <c r="L120" s="13" t="s">
        <v>26</v>
      </c>
      <c r="M120" s="13" t="s">
        <v>21</v>
      </c>
      <c r="N120" s="13" t="s">
        <v>21</v>
      </c>
      <c r="O120" s="26" t="n">
        <f aca="false">G120*(1+P120)</f>
        <v>10207.3760683761</v>
      </c>
      <c r="P120" s="27" t="n">
        <f aca="false">'Control Panel'!$B$95</f>
        <v>0</v>
      </c>
      <c r="Q120" s="9" t="n">
        <v>23885.26</v>
      </c>
      <c r="R120" s="26" t="n">
        <f aca="false">IF(L120="Yes",F120,0)</f>
        <v>1194263</v>
      </c>
      <c r="S120" s="27" t="n">
        <f aca="false">'Control Panel'!$B$112+0.1</f>
        <v>0.1</v>
      </c>
      <c r="T120" s="26" t="n">
        <f aca="false">R120*S120</f>
        <v>119426.3</v>
      </c>
      <c r="U120" s="26" t="n">
        <f aca="false">R120-T120</f>
        <v>1074836.7</v>
      </c>
    </row>
    <row r="121" customFormat="false" ht="15" hidden="false" customHeight="true" outlineLevel="0" collapsed="false">
      <c r="A121" s="13" t="n">
        <v>116</v>
      </c>
      <c r="B121" s="13" t="s">
        <v>181</v>
      </c>
      <c r="C121" s="13" t="s">
        <v>171</v>
      </c>
      <c r="D121" s="13" t="s">
        <v>167</v>
      </c>
      <c r="E121" s="25" t="n">
        <v>89</v>
      </c>
      <c r="F121" s="9" t="n">
        <v>911983</v>
      </c>
      <c r="G121" s="9" t="n">
        <v>10247</v>
      </c>
      <c r="H121" s="13" t="n">
        <v>8</v>
      </c>
      <c r="I121" s="25" t="n">
        <v>200000</v>
      </c>
      <c r="J121" s="13" t="n">
        <v>235</v>
      </c>
      <c r="K121" s="13" t="s">
        <v>170</v>
      </c>
      <c r="L121" s="13" t="s">
        <v>26</v>
      </c>
      <c r="M121" s="13" t="s">
        <v>21</v>
      </c>
      <c r="N121" s="13" t="s">
        <v>21</v>
      </c>
      <c r="O121" s="26" t="n">
        <f aca="false">G121*(1+P121)</f>
        <v>10247</v>
      </c>
      <c r="P121" s="27" t="n">
        <f aca="false">'Control Panel'!$B$95</f>
        <v>0</v>
      </c>
      <c r="Q121" s="9" t="n">
        <v>18239.66</v>
      </c>
      <c r="R121" s="26" t="n">
        <f aca="false">IF(L121="Yes",F121,0)</f>
        <v>911983</v>
      </c>
      <c r="S121" s="27" t="n">
        <f aca="false">'Control Panel'!$B$112+0.1</f>
        <v>0.1</v>
      </c>
      <c r="T121" s="26" t="n">
        <f aca="false">R121*S121</f>
        <v>91198.3</v>
      </c>
      <c r="U121" s="26" t="n">
        <f aca="false">R121-T121</f>
        <v>820784.7</v>
      </c>
    </row>
    <row r="122" customFormat="false" ht="15" hidden="false" customHeight="true" outlineLevel="0" collapsed="false">
      <c r="A122" s="13" t="n">
        <v>117</v>
      </c>
      <c r="B122" s="13" t="s">
        <v>181</v>
      </c>
      <c r="C122" s="13" t="s">
        <v>171</v>
      </c>
      <c r="D122" s="13" t="s">
        <v>168</v>
      </c>
      <c r="E122" s="25" t="n">
        <v>6</v>
      </c>
      <c r="F122" s="9" t="n">
        <v>65141</v>
      </c>
      <c r="G122" s="9" t="n">
        <v>10856.8333333333</v>
      </c>
      <c r="H122" s="13" t="n">
        <v>8</v>
      </c>
      <c r="I122" s="25" t="n">
        <v>200000</v>
      </c>
      <c r="J122" s="13" t="n">
        <v>235</v>
      </c>
      <c r="K122" s="13" t="s">
        <v>170</v>
      </c>
      <c r="L122" s="13" t="s">
        <v>26</v>
      </c>
      <c r="M122" s="13" t="s">
        <v>21</v>
      </c>
      <c r="N122" s="13" t="s">
        <v>21</v>
      </c>
      <c r="O122" s="26" t="n">
        <f aca="false">G122*(1+P122)</f>
        <v>10856.8333333333</v>
      </c>
      <c r="P122" s="27" t="n">
        <f aca="false">'Control Panel'!$B$95</f>
        <v>0</v>
      </c>
      <c r="Q122" s="9" t="n">
        <v>1302.82</v>
      </c>
      <c r="R122" s="26" t="n">
        <f aca="false">IF(L122="Yes",F122,0)</f>
        <v>65141</v>
      </c>
      <c r="S122" s="27" t="n">
        <f aca="false">'Control Panel'!$B$112+0.1</f>
        <v>0.1</v>
      </c>
      <c r="T122" s="26" t="n">
        <f aca="false">R122*S122</f>
        <v>6514.1</v>
      </c>
      <c r="U122" s="26" t="n">
        <f aca="false">R122-T122</f>
        <v>58626.9</v>
      </c>
    </row>
    <row r="123" customFormat="false" ht="15" hidden="false" customHeight="true" outlineLevel="0" collapsed="false">
      <c r="A123" s="13" t="n">
        <v>118</v>
      </c>
      <c r="B123" s="13" t="s">
        <v>181</v>
      </c>
      <c r="C123" s="13" t="s">
        <v>172</v>
      </c>
      <c r="D123" s="13" t="s">
        <v>165</v>
      </c>
      <c r="E123" s="25" t="n">
        <v>97</v>
      </c>
      <c r="F123" s="9" t="n">
        <v>995219</v>
      </c>
      <c r="G123" s="9" t="n">
        <v>10259.9896907217</v>
      </c>
      <c r="H123" s="13" t="n">
        <v>8</v>
      </c>
      <c r="I123" s="25" t="n">
        <v>200000</v>
      </c>
      <c r="J123" s="13" t="n">
        <v>235</v>
      </c>
      <c r="K123" s="13" t="s">
        <v>170</v>
      </c>
      <c r="L123" s="13" t="s">
        <v>26</v>
      </c>
      <c r="M123" s="13" t="s">
        <v>21</v>
      </c>
      <c r="N123" s="13" t="s">
        <v>21</v>
      </c>
      <c r="O123" s="26" t="n">
        <f aca="false">G123*(1+P123)</f>
        <v>10259.9896907217</v>
      </c>
      <c r="P123" s="27" t="n">
        <f aca="false">'Control Panel'!$B$95</f>
        <v>0</v>
      </c>
      <c r="Q123" s="9" t="n">
        <v>19904.38</v>
      </c>
      <c r="R123" s="26" t="n">
        <f aca="false">IF(L123="Yes",F123,0)</f>
        <v>995219</v>
      </c>
      <c r="S123" s="27" t="n">
        <f aca="false">'Control Panel'!$B$112+0.1</f>
        <v>0.1</v>
      </c>
      <c r="T123" s="26" t="n">
        <f aca="false">R123*S123</f>
        <v>99521.9</v>
      </c>
      <c r="U123" s="26" t="n">
        <f aca="false">R123-T123</f>
        <v>895697.1</v>
      </c>
    </row>
    <row r="124" customFormat="false" ht="15" hidden="false" customHeight="true" outlineLevel="0" collapsed="false">
      <c r="A124" s="13" t="n">
        <v>119</v>
      </c>
      <c r="B124" s="13" t="s">
        <v>181</v>
      </c>
      <c r="C124" s="13" t="s">
        <v>172</v>
      </c>
      <c r="D124" s="13" t="s">
        <v>167</v>
      </c>
      <c r="E124" s="25" t="n">
        <v>74</v>
      </c>
      <c r="F124" s="9" t="n">
        <v>759986</v>
      </c>
      <c r="G124" s="9" t="n">
        <v>10270.0810810811</v>
      </c>
      <c r="H124" s="13" t="n">
        <v>8</v>
      </c>
      <c r="I124" s="25" t="n">
        <v>200000</v>
      </c>
      <c r="J124" s="13" t="n">
        <v>235</v>
      </c>
      <c r="K124" s="13" t="s">
        <v>170</v>
      </c>
      <c r="L124" s="13" t="s">
        <v>26</v>
      </c>
      <c r="M124" s="13" t="s">
        <v>21</v>
      </c>
      <c r="N124" s="13" t="s">
        <v>21</v>
      </c>
      <c r="O124" s="26" t="n">
        <f aca="false">G124*(1+P124)</f>
        <v>10270.0810810811</v>
      </c>
      <c r="P124" s="27" t="n">
        <f aca="false">'Control Panel'!$B$95</f>
        <v>0</v>
      </c>
      <c r="Q124" s="9" t="n">
        <v>15199.72</v>
      </c>
      <c r="R124" s="26" t="n">
        <f aca="false">IF(L124="Yes",F124,0)</f>
        <v>759986</v>
      </c>
      <c r="S124" s="27" t="n">
        <f aca="false">'Control Panel'!$B$112+0.1</f>
        <v>0.1</v>
      </c>
      <c r="T124" s="26" t="n">
        <f aca="false">R124*S124</f>
        <v>75998.6</v>
      </c>
      <c r="U124" s="26" t="n">
        <f aca="false">R124-T124</f>
        <v>683987.4</v>
      </c>
    </row>
    <row r="125" customFormat="false" ht="15" hidden="false" customHeight="true" outlineLevel="0" collapsed="false">
      <c r="A125" s="13" t="n">
        <v>120</v>
      </c>
      <c r="B125" s="13" t="s">
        <v>181</v>
      </c>
      <c r="C125" s="13" t="s">
        <v>172</v>
      </c>
      <c r="D125" s="13" t="s">
        <v>168</v>
      </c>
      <c r="E125" s="25" t="n">
        <v>5</v>
      </c>
      <c r="F125" s="9" t="n">
        <v>54284</v>
      </c>
      <c r="G125" s="9" t="n">
        <v>10856.8</v>
      </c>
      <c r="H125" s="13" t="n">
        <v>8</v>
      </c>
      <c r="I125" s="25" t="n">
        <v>200000</v>
      </c>
      <c r="J125" s="13" t="n">
        <v>235</v>
      </c>
      <c r="K125" s="13" t="s">
        <v>170</v>
      </c>
      <c r="L125" s="13" t="s">
        <v>26</v>
      </c>
      <c r="M125" s="13" t="s">
        <v>26</v>
      </c>
      <c r="N125" s="13" t="s">
        <v>21</v>
      </c>
      <c r="O125" s="26" t="n">
        <f aca="false">G125*(1+P125)</f>
        <v>10856.8</v>
      </c>
      <c r="P125" s="27" t="n">
        <f aca="false">'Control Panel'!$B$95</f>
        <v>0</v>
      </c>
      <c r="Q125" s="9" t="n">
        <v>1085.68</v>
      </c>
      <c r="R125" s="26" t="n">
        <f aca="false">IF(L125="Yes",F125,0)</f>
        <v>54284</v>
      </c>
      <c r="S125" s="27" t="n">
        <f aca="false">'Control Panel'!$B$112+0.1</f>
        <v>0.1</v>
      </c>
      <c r="T125" s="26" t="n">
        <f aca="false">R125*S125</f>
        <v>5428.4</v>
      </c>
      <c r="U125" s="26" t="n">
        <f aca="false">R125-T125</f>
        <v>48855.6</v>
      </c>
    </row>
    <row r="126" customFormat="false" ht="15" hidden="false" customHeight="true" outlineLevel="0" collapsed="false">
      <c r="A126" s="13" t="n">
        <v>121</v>
      </c>
      <c r="B126" s="13" t="s">
        <v>181</v>
      </c>
      <c r="C126" s="13" t="s">
        <v>173</v>
      </c>
      <c r="D126" s="13" t="s">
        <v>165</v>
      </c>
      <c r="E126" s="25" t="n">
        <v>78</v>
      </c>
      <c r="F126" s="9" t="n">
        <v>796175</v>
      </c>
      <c r="G126" s="9" t="n">
        <v>10207.3717948718</v>
      </c>
      <c r="H126" s="13" t="n">
        <v>8</v>
      </c>
      <c r="I126" s="25" t="n">
        <v>200000</v>
      </c>
      <c r="J126" s="13" t="n">
        <v>235</v>
      </c>
      <c r="K126" s="13" t="s">
        <v>170</v>
      </c>
      <c r="L126" s="13" t="s">
        <v>26</v>
      </c>
      <c r="M126" s="13" t="s">
        <v>21</v>
      </c>
      <c r="N126" s="13" t="s">
        <v>21</v>
      </c>
      <c r="O126" s="26" t="n">
        <f aca="false">G126*(1+P126)</f>
        <v>10207.3717948718</v>
      </c>
      <c r="P126" s="27" t="n">
        <f aca="false">'Control Panel'!$B$95</f>
        <v>0</v>
      </c>
      <c r="Q126" s="9" t="n">
        <v>15923.5</v>
      </c>
      <c r="R126" s="26" t="n">
        <f aca="false">IF(L126="Yes",F126,0)</f>
        <v>796175</v>
      </c>
      <c r="S126" s="27" t="n">
        <f aca="false">'Control Panel'!$B$112+0.1</f>
        <v>0.1</v>
      </c>
      <c r="T126" s="26" t="n">
        <f aca="false">R126*S126</f>
        <v>79617.5</v>
      </c>
      <c r="U126" s="26" t="n">
        <f aca="false">R126-T126</f>
        <v>716557.5</v>
      </c>
    </row>
    <row r="127" customFormat="false" ht="15" hidden="false" customHeight="true" outlineLevel="0" collapsed="false">
      <c r="A127" s="13" t="n">
        <v>122</v>
      </c>
      <c r="B127" s="13" t="s">
        <v>181</v>
      </c>
      <c r="C127" s="13" t="s">
        <v>173</v>
      </c>
      <c r="D127" s="13" t="s">
        <v>167</v>
      </c>
      <c r="E127" s="25" t="n">
        <v>59</v>
      </c>
      <c r="F127" s="9" t="n">
        <v>607988</v>
      </c>
      <c r="G127" s="9" t="n">
        <v>10304.8813559322</v>
      </c>
      <c r="H127" s="13" t="n">
        <v>8</v>
      </c>
      <c r="I127" s="25" t="n">
        <v>200000</v>
      </c>
      <c r="J127" s="13" t="n">
        <v>235</v>
      </c>
      <c r="K127" s="13" t="s">
        <v>170</v>
      </c>
      <c r="L127" s="13" t="s">
        <v>26</v>
      </c>
      <c r="M127" s="13" t="s">
        <v>21</v>
      </c>
      <c r="N127" s="13" t="s">
        <v>21</v>
      </c>
      <c r="O127" s="26" t="n">
        <f aca="false">G127*(1+P127)</f>
        <v>10304.8813559322</v>
      </c>
      <c r="P127" s="27" t="n">
        <f aca="false">'Control Panel'!$B$95</f>
        <v>0</v>
      </c>
      <c r="Q127" s="9" t="n">
        <v>12159.76</v>
      </c>
      <c r="R127" s="26" t="n">
        <f aca="false">IF(L127="Yes",F127,0)</f>
        <v>607988</v>
      </c>
      <c r="S127" s="27" t="n">
        <f aca="false">'Control Panel'!$B$112+0.1</f>
        <v>0.1</v>
      </c>
      <c r="T127" s="26" t="n">
        <f aca="false">R127*S127</f>
        <v>60798.8</v>
      </c>
      <c r="U127" s="26" t="n">
        <f aca="false">R127-T127</f>
        <v>547189.2</v>
      </c>
    </row>
    <row r="128" customFormat="false" ht="15" hidden="false" customHeight="true" outlineLevel="0" collapsed="false">
      <c r="A128" s="13" t="n">
        <v>123</v>
      </c>
      <c r="B128" s="13" t="s">
        <v>181</v>
      </c>
      <c r="C128" s="13" t="s">
        <v>173</v>
      </c>
      <c r="D128" s="13" t="s">
        <v>168</v>
      </c>
      <c r="E128" s="25" t="n">
        <v>4</v>
      </c>
      <c r="F128" s="9" t="n">
        <v>43427</v>
      </c>
      <c r="G128" s="9" t="n">
        <v>10856.75</v>
      </c>
      <c r="H128" s="13" t="n">
        <v>8</v>
      </c>
      <c r="I128" s="25" t="n">
        <v>200000</v>
      </c>
      <c r="J128" s="13" t="n">
        <v>235</v>
      </c>
      <c r="K128" s="13" t="s">
        <v>170</v>
      </c>
      <c r="L128" s="13" t="s">
        <v>26</v>
      </c>
      <c r="M128" s="13" t="s">
        <v>21</v>
      </c>
      <c r="N128" s="13" t="s">
        <v>21</v>
      </c>
      <c r="O128" s="26" t="n">
        <f aca="false">G128*(1+P128)</f>
        <v>10856.75</v>
      </c>
      <c r="P128" s="27" t="n">
        <f aca="false">'Control Panel'!$B$95</f>
        <v>0</v>
      </c>
      <c r="Q128" s="9" t="n">
        <v>868.54</v>
      </c>
      <c r="R128" s="26" t="n">
        <f aca="false">IF(L128="Yes",F128,0)</f>
        <v>43427</v>
      </c>
      <c r="S128" s="27" t="n">
        <f aca="false">'Control Panel'!$B$112+0.1</f>
        <v>0.1</v>
      </c>
      <c r="T128" s="26" t="n">
        <f aca="false">R128*S128</f>
        <v>4342.7</v>
      </c>
      <c r="U128" s="26" t="n">
        <f aca="false">R128-T128</f>
        <v>39084.3</v>
      </c>
    </row>
    <row r="129" customFormat="false" ht="15" hidden="false" customHeight="true" outlineLevel="0" collapsed="false">
      <c r="A129" s="13" t="n">
        <v>124</v>
      </c>
      <c r="B129" s="13" t="s">
        <v>181</v>
      </c>
      <c r="C129" s="13" t="s">
        <v>174</v>
      </c>
      <c r="D129" s="13" t="s">
        <v>165</v>
      </c>
      <c r="E129" s="25" t="n">
        <v>68</v>
      </c>
      <c r="F129" s="9" t="n">
        <v>696653</v>
      </c>
      <c r="G129" s="9" t="n">
        <v>10244.8970588235</v>
      </c>
      <c r="H129" s="13" t="n">
        <v>8</v>
      </c>
      <c r="I129" s="25" t="n">
        <v>200000</v>
      </c>
      <c r="J129" s="13" t="n">
        <v>235</v>
      </c>
      <c r="K129" s="13" t="s">
        <v>170</v>
      </c>
      <c r="L129" s="13" t="s">
        <v>26</v>
      </c>
      <c r="M129" s="13" t="s">
        <v>21</v>
      </c>
      <c r="N129" s="13" t="s">
        <v>21</v>
      </c>
      <c r="O129" s="26" t="n">
        <f aca="false">G129*(1+P129)</f>
        <v>10244.8970588235</v>
      </c>
      <c r="P129" s="27" t="n">
        <f aca="false">'Control Panel'!$B$95</f>
        <v>0</v>
      </c>
      <c r="Q129" s="9" t="n">
        <v>13933.06</v>
      </c>
      <c r="R129" s="26" t="n">
        <f aca="false">IF(L129="Yes",F129,0)</f>
        <v>696653</v>
      </c>
      <c r="S129" s="27" t="n">
        <f aca="false">'Control Panel'!$B$112+0.1</f>
        <v>0.1</v>
      </c>
      <c r="T129" s="26" t="n">
        <f aca="false">R129*S129</f>
        <v>69665.3</v>
      </c>
      <c r="U129" s="26" t="n">
        <f aca="false">R129-T129</f>
        <v>626987.7</v>
      </c>
    </row>
    <row r="130" customFormat="false" ht="15" hidden="false" customHeight="true" outlineLevel="0" collapsed="false">
      <c r="A130" s="13" t="n">
        <v>125</v>
      </c>
      <c r="B130" s="13" t="s">
        <v>181</v>
      </c>
      <c r="C130" s="13" t="s">
        <v>174</v>
      </c>
      <c r="D130" s="13" t="s">
        <v>167</v>
      </c>
      <c r="E130" s="25" t="n">
        <v>52</v>
      </c>
      <c r="F130" s="9" t="n">
        <v>531990</v>
      </c>
      <c r="G130" s="9" t="n">
        <v>10230.5769230769</v>
      </c>
      <c r="H130" s="13" t="n">
        <v>8</v>
      </c>
      <c r="I130" s="25" t="n">
        <v>200000</v>
      </c>
      <c r="J130" s="13" t="n">
        <v>235</v>
      </c>
      <c r="K130" s="13" t="s">
        <v>170</v>
      </c>
      <c r="L130" s="13" t="s">
        <v>26</v>
      </c>
      <c r="M130" s="13" t="s">
        <v>21</v>
      </c>
      <c r="N130" s="13" t="s">
        <v>21</v>
      </c>
      <c r="O130" s="26" t="n">
        <f aca="false">G130*(1+P130)</f>
        <v>10230.5769230769</v>
      </c>
      <c r="P130" s="27" t="n">
        <f aca="false">'Control Panel'!$B$95</f>
        <v>0</v>
      </c>
      <c r="Q130" s="9" t="n">
        <v>10639.8</v>
      </c>
      <c r="R130" s="26" t="n">
        <f aca="false">IF(L130="Yes",F130,0)</f>
        <v>531990</v>
      </c>
      <c r="S130" s="27" t="n">
        <f aca="false">'Control Panel'!$B$112+0.1</f>
        <v>0.1</v>
      </c>
      <c r="T130" s="26" t="n">
        <f aca="false">R130*S130</f>
        <v>53199</v>
      </c>
      <c r="U130" s="26" t="n">
        <f aca="false">R130-T130</f>
        <v>478791</v>
      </c>
    </row>
    <row r="131" customFormat="false" ht="15" hidden="false" customHeight="true" outlineLevel="0" collapsed="false">
      <c r="A131" s="13" t="n">
        <v>126</v>
      </c>
      <c r="B131" s="13" t="s">
        <v>181</v>
      </c>
      <c r="C131" s="13" t="s">
        <v>174</v>
      </c>
      <c r="D131" s="13" t="s">
        <v>168</v>
      </c>
      <c r="E131" s="25" t="n">
        <v>3</v>
      </c>
      <c r="F131" s="9" t="n">
        <v>37999</v>
      </c>
      <c r="G131" s="9" t="n">
        <v>12666.3333333333</v>
      </c>
      <c r="H131" s="13" t="n">
        <v>8</v>
      </c>
      <c r="I131" s="25" t="n">
        <v>200000</v>
      </c>
      <c r="J131" s="13" t="n">
        <v>235</v>
      </c>
      <c r="K131" s="13" t="s">
        <v>170</v>
      </c>
      <c r="L131" s="13" t="s">
        <v>26</v>
      </c>
      <c r="M131" s="13" t="s">
        <v>21</v>
      </c>
      <c r="N131" s="13" t="s">
        <v>21</v>
      </c>
      <c r="O131" s="26" t="n">
        <f aca="false">G131*(1+P131)</f>
        <v>12666.3333333333</v>
      </c>
      <c r="P131" s="27" t="n">
        <f aca="false">'Control Panel'!$B$95</f>
        <v>0</v>
      </c>
      <c r="Q131" s="9" t="n">
        <v>759.98</v>
      </c>
      <c r="R131" s="26" t="n">
        <f aca="false">IF(L131="Yes",F131,0)</f>
        <v>37999</v>
      </c>
      <c r="S131" s="27" t="n">
        <f aca="false">'Control Panel'!$B$112+0.1</f>
        <v>0.1</v>
      </c>
      <c r="T131" s="26" t="n">
        <f aca="false">R131*S131</f>
        <v>3799.9</v>
      </c>
      <c r="U131" s="26" t="n">
        <f aca="false">R131-T131</f>
        <v>34199.1</v>
      </c>
    </row>
    <row r="132" customFormat="false" ht="15" hidden="false" customHeight="true" outlineLevel="0" collapsed="false">
      <c r="A132" s="13" t="n">
        <v>127</v>
      </c>
      <c r="B132" s="13" t="s">
        <v>181</v>
      </c>
      <c r="C132" s="13" t="s">
        <v>175</v>
      </c>
      <c r="D132" s="13" t="s">
        <v>165</v>
      </c>
      <c r="E132" s="25" t="n">
        <v>58</v>
      </c>
      <c r="F132" s="9" t="n">
        <v>597131</v>
      </c>
      <c r="G132" s="9" t="n">
        <v>10295.3620689655</v>
      </c>
      <c r="H132" s="13" t="n">
        <v>8</v>
      </c>
      <c r="I132" s="25" t="n">
        <v>200000</v>
      </c>
      <c r="J132" s="13" t="n">
        <v>235</v>
      </c>
      <c r="K132" s="13" t="s">
        <v>170</v>
      </c>
      <c r="L132" s="13" t="s">
        <v>26</v>
      </c>
      <c r="M132" s="13" t="s">
        <v>21</v>
      </c>
      <c r="N132" s="13" t="s">
        <v>21</v>
      </c>
      <c r="O132" s="26" t="n">
        <f aca="false">G132*(1+P132)</f>
        <v>10295.3620689655</v>
      </c>
      <c r="P132" s="27" t="n">
        <f aca="false">'Control Panel'!$B$95</f>
        <v>0</v>
      </c>
      <c r="Q132" s="9" t="n">
        <v>11942.62</v>
      </c>
      <c r="R132" s="26" t="n">
        <f aca="false">IF(L132="Yes",F132,0)</f>
        <v>597131</v>
      </c>
      <c r="S132" s="27" t="n">
        <f aca="false">'Control Panel'!$B$112+0.1</f>
        <v>0.1</v>
      </c>
      <c r="T132" s="26" t="n">
        <f aca="false">R132*S132</f>
        <v>59713.1</v>
      </c>
      <c r="U132" s="26" t="n">
        <f aca="false">R132-T132</f>
        <v>537417.9</v>
      </c>
    </row>
    <row r="133" customFormat="false" ht="15" hidden="false" customHeight="true" outlineLevel="0" collapsed="false">
      <c r="A133" s="13" t="n">
        <v>128</v>
      </c>
      <c r="B133" s="13" t="s">
        <v>181</v>
      </c>
      <c r="C133" s="13" t="s">
        <v>175</v>
      </c>
      <c r="D133" s="13" t="s">
        <v>167</v>
      </c>
      <c r="E133" s="25" t="n">
        <v>44</v>
      </c>
      <c r="F133" s="9" t="n">
        <v>455991</v>
      </c>
      <c r="G133" s="9" t="n">
        <v>10363.4318181818</v>
      </c>
      <c r="H133" s="13" t="n">
        <v>8</v>
      </c>
      <c r="I133" s="25" t="n">
        <v>200000</v>
      </c>
      <c r="J133" s="13" t="n">
        <v>235</v>
      </c>
      <c r="K133" s="13" t="s">
        <v>170</v>
      </c>
      <c r="L133" s="13" t="s">
        <v>26</v>
      </c>
      <c r="M133" s="13" t="s">
        <v>21</v>
      </c>
      <c r="N133" s="13" t="s">
        <v>21</v>
      </c>
      <c r="O133" s="26" t="n">
        <f aca="false">G133*(1+P133)</f>
        <v>10363.4318181818</v>
      </c>
      <c r="P133" s="27" t="n">
        <f aca="false">'Control Panel'!$B$95</f>
        <v>0</v>
      </c>
      <c r="Q133" s="9" t="n">
        <v>9119.82</v>
      </c>
      <c r="R133" s="26" t="n">
        <f aca="false">IF(L133="Yes",F133,0)</f>
        <v>455991</v>
      </c>
      <c r="S133" s="27" t="n">
        <f aca="false">'Control Panel'!$B$112+0.1</f>
        <v>0.1</v>
      </c>
      <c r="T133" s="26" t="n">
        <f aca="false">R133*S133</f>
        <v>45599.1</v>
      </c>
      <c r="U133" s="26" t="n">
        <f aca="false">R133-T133</f>
        <v>410391.9</v>
      </c>
    </row>
    <row r="134" customFormat="false" ht="15" hidden="false" customHeight="true" outlineLevel="0" collapsed="false">
      <c r="A134" s="13" t="n">
        <v>129</v>
      </c>
      <c r="B134" s="13" t="s">
        <v>181</v>
      </c>
      <c r="C134" s="13" t="s">
        <v>175</v>
      </c>
      <c r="D134" s="13" t="s">
        <v>168</v>
      </c>
      <c r="E134" s="25" t="n">
        <v>3</v>
      </c>
      <c r="F134" s="9" t="n">
        <v>32570</v>
      </c>
      <c r="G134" s="9" t="n">
        <v>10856.6666666667</v>
      </c>
      <c r="H134" s="13" t="n">
        <v>8</v>
      </c>
      <c r="I134" s="25" t="n">
        <v>200000</v>
      </c>
      <c r="J134" s="13" t="n">
        <v>235</v>
      </c>
      <c r="K134" s="13" t="s">
        <v>170</v>
      </c>
      <c r="L134" s="13" t="s">
        <v>26</v>
      </c>
      <c r="M134" s="13" t="s">
        <v>21</v>
      </c>
      <c r="N134" s="13" t="s">
        <v>21</v>
      </c>
      <c r="O134" s="26" t="n">
        <f aca="false">G134*(1+P134)</f>
        <v>10856.6666666667</v>
      </c>
      <c r="P134" s="27" t="n">
        <f aca="false">'Control Panel'!$B$95</f>
        <v>0</v>
      </c>
      <c r="Q134" s="9" t="n">
        <v>651.4</v>
      </c>
      <c r="R134" s="26" t="n">
        <f aca="false">IF(L134="Yes",F134,0)</f>
        <v>32570</v>
      </c>
      <c r="S134" s="27" t="n">
        <f aca="false">'Control Panel'!$B$112+0.1</f>
        <v>0.1</v>
      </c>
      <c r="T134" s="26" t="n">
        <f aca="false">R134*S134</f>
        <v>3257</v>
      </c>
      <c r="U134" s="26" t="n">
        <f aca="false">R134-T134</f>
        <v>29313</v>
      </c>
    </row>
    <row r="135" customFormat="false" ht="15" hidden="false" customHeight="true" outlineLevel="0" collapsed="false">
      <c r="A135" s="13" t="n">
        <v>130</v>
      </c>
      <c r="B135" s="13" t="s">
        <v>181</v>
      </c>
      <c r="C135" s="13" t="s">
        <v>176</v>
      </c>
      <c r="D135" s="13" t="s">
        <v>165</v>
      </c>
      <c r="E135" s="25" t="n">
        <v>39</v>
      </c>
      <c r="F135" s="9" t="n">
        <v>398087</v>
      </c>
      <c r="G135" s="9" t="n">
        <v>10207.358974359</v>
      </c>
      <c r="H135" s="13" t="n">
        <v>8</v>
      </c>
      <c r="I135" s="25" t="n">
        <v>200000</v>
      </c>
      <c r="J135" s="13" t="n">
        <v>235</v>
      </c>
      <c r="K135" s="13" t="s">
        <v>170</v>
      </c>
      <c r="L135" s="13" t="s">
        <v>26</v>
      </c>
      <c r="M135" s="13" t="s">
        <v>21</v>
      </c>
      <c r="N135" s="13" t="s">
        <v>21</v>
      </c>
      <c r="O135" s="26" t="n">
        <f aca="false">G135*(1+P135)</f>
        <v>10207.358974359</v>
      </c>
      <c r="P135" s="27" t="n">
        <f aca="false">'Control Panel'!$B$95</f>
        <v>0</v>
      </c>
      <c r="Q135" s="9" t="n">
        <v>7961.74</v>
      </c>
      <c r="R135" s="26" t="n">
        <f aca="false">IF(L135="Yes",F135,0)</f>
        <v>398087</v>
      </c>
      <c r="S135" s="27" t="n">
        <f aca="false">'Control Panel'!$B$112+0.1</f>
        <v>0.1</v>
      </c>
      <c r="T135" s="26" t="n">
        <f aca="false">R135*S135</f>
        <v>39808.7</v>
      </c>
      <c r="U135" s="26" t="n">
        <f aca="false">R135-T135</f>
        <v>358278.3</v>
      </c>
    </row>
    <row r="136" customFormat="false" ht="15" hidden="false" customHeight="true" outlineLevel="0" collapsed="false">
      <c r="A136" s="13" t="n">
        <v>131</v>
      </c>
      <c r="B136" s="13" t="s">
        <v>181</v>
      </c>
      <c r="C136" s="13" t="s">
        <v>176</v>
      </c>
      <c r="D136" s="13" t="s">
        <v>167</v>
      </c>
      <c r="E136" s="25" t="n">
        <v>29</v>
      </c>
      <c r="F136" s="9" t="n">
        <v>303994</v>
      </c>
      <c r="G136" s="9" t="n">
        <v>10482.5517241379</v>
      </c>
      <c r="H136" s="13" t="n">
        <v>8</v>
      </c>
      <c r="I136" s="25" t="n">
        <v>200000</v>
      </c>
      <c r="J136" s="13" t="n">
        <v>235</v>
      </c>
      <c r="K136" s="13" t="s">
        <v>170</v>
      </c>
      <c r="L136" s="13" t="s">
        <v>26</v>
      </c>
      <c r="M136" s="13" t="s">
        <v>21</v>
      </c>
      <c r="N136" s="13" t="s">
        <v>21</v>
      </c>
      <c r="O136" s="26" t="n">
        <f aca="false">G136*(1+P136)</f>
        <v>10482.5517241379</v>
      </c>
      <c r="P136" s="27" t="n">
        <f aca="false">'Control Panel'!$B$95</f>
        <v>0</v>
      </c>
      <c r="Q136" s="9" t="n">
        <v>6079.88</v>
      </c>
      <c r="R136" s="26" t="n">
        <f aca="false">IF(L136="Yes",F136,0)</f>
        <v>303994</v>
      </c>
      <c r="S136" s="27" t="n">
        <f aca="false">'Control Panel'!$B$112+0.1</f>
        <v>0.1</v>
      </c>
      <c r="T136" s="26" t="n">
        <f aca="false">R136*S136</f>
        <v>30399.4</v>
      </c>
      <c r="U136" s="26" t="n">
        <f aca="false">R136-T136</f>
        <v>273594.6</v>
      </c>
    </row>
    <row r="137" customFormat="false" ht="15" hidden="false" customHeight="true" outlineLevel="0" collapsed="false">
      <c r="A137" s="13" t="n">
        <v>132</v>
      </c>
      <c r="B137" s="13" t="s">
        <v>181</v>
      </c>
      <c r="C137" s="13" t="s">
        <v>176</v>
      </c>
      <c r="D137" s="13" t="s">
        <v>168</v>
      </c>
      <c r="E137" s="25" t="n">
        <v>2</v>
      </c>
      <c r="F137" s="9" t="n">
        <v>21713</v>
      </c>
      <c r="G137" s="9" t="n">
        <v>10856.5</v>
      </c>
      <c r="H137" s="13" t="n">
        <v>8</v>
      </c>
      <c r="I137" s="25" t="n">
        <v>200000</v>
      </c>
      <c r="J137" s="13" t="n">
        <v>235</v>
      </c>
      <c r="K137" s="13" t="s">
        <v>170</v>
      </c>
      <c r="L137" s="13" t="s">
        <v>26</v>
      </c>
      <c r="M137" s="13" t="s">
        <v>21</v>
      </c>
      <c r="N137" s="13" t="s">
        <v>21</v>
      </c>
      <c r="O137" s="26" t="n">
        <f aca="false">G137*(1+P137)</f>
        <v>10856.5</v>
      </c>
      <c r="P137" s="27" t="n">
        <f aca="false">'Control Panel'!$B$95</f>
        <v>0</v>
      </c>
      <c r="Q137" s="9" t="n">
        <v>434.26</v>
      </c>
      <c r="R137" s="26" t="n">
        <f aca="false">IF(L137="Yes",F137,0)</f>
        <v>21713</v>
      </c>
      <c r="S137" s="27" t="n">
        <f aca="false">'Control Panel'!$B$112+0.1</f>
        <v>0.1</v>
      </c>
      <c r="T137" s="26" t="n">
        <f aca="false">R137*S137</f>
        <v>2171.3</v>
      </c>
      <c r="U137" s="26" t="n">
        <f aca="false">R137-T137</f>
        <v>19541.7</v>
      </c>
    </row>
    <row r="138" customFormat="false" ht="15" hidden="false" customHeight="true" outlineLevel="0" collapsed="false">
      <c r="A138" s="13" t="n">
        <v>133</v>
      </c>
      <c r="B138" s="13" t="s">
        <v>181</v>
      </c>
      <c r="C138" s="13" t="s">
        <v>177</v>
      </c>
      <c r="D138" s="13" t="s">
        <v>165</v>
      </c>
      <c r="E138" s="25" t="n">
        <v>29</v>
      </c>
      <c r="F138" s="9" t="n">
        <v>298565</v>
      </c>
      <c r="G138" s="9" t="n">
        <v>10295.3448275862</v>
      </c>
      <c r="H138" s="13" t="n">
        <v>8</v>
      </c>
      <c r="I138" s="25" t="n">
        <v>200000</v>
      </c>
      <c r="J138" s="13" t="n">
        <v>235</v>
      </c>
      <c r="K138" s="13" t="s">
        <v>170</v>
      </c>
      <c r="L138" s="13" t="s">
        <v>26</v>
      </c>
      <c r="M138" s="13" t="s">
        <v>21</v>
      </c>
      <c r="N138" s="13" t="s">
        <v>21</v>
      </c>
      <c r="O138" s="26" t="n">
        <f aca="false">G138*(1+P138)</f>
        <v>10295.3448275862</v>
      </c>
      <c r="P138" s="27" t="n">
        <f aca="false">'Control Panel'!$B$95</f>
        <v>0</v>
      </c>
      <c r="Q138" s="9" t="n">
        <v>5971.3</v>
      </c>
      <c r="R138" s="26" t="n">
        <f aca="false">IF(L138="Yes",F138,0)</f>
        <v>298565</v>
      </c>
      <c r="S138" s="27" t="n">
        <f aca="false">'Control Panel'!$B$112+0.1</f>
        <v>0.1</v>
      </c>
      <c r="T138" s="26" t="n">
        <f aca="false">R138*S138</f>
        <v>29856.5</v>
      </c>
      <c r="U138" s="26" t="n">
        <f aca="false">R138-T138</f>
        <v>268708.5</v>
      </c>
    </row>
    <row r="139" customFormat="false" ht="15" hidden="false" customHeight="true" outlineLevel="0" collapsed="false">
      <c r="A139" s="13" t="n">
        <v>134</v>
      </c>
      <c r="B139" s="13" t="s">
        <v>181</v>
      </c>
      <c r="C139" s="13" t="s">
        <v>177</v>
      </c>
      <c r="D139" s="13" t="s">
        <v>167</v>
      </c>
      <c r="E139" s="25" t="n">
        <v>22</v>
      </c>
      <c r="F139" s="9" t="n">
        <v>227995</v>
      </c>
      <c r="G139" s="9" t="n">
        <v>10363.4090909091</v>
      </c>
      <c r="H139" s="13" t="n">
        <v>8</v>
      </c>
      <c r="I139" s="25" t="n">
        <v>200000</v>
      </c>
      <c r="J139" s="13" t="n">
        <v>235</v>
      </c>
      <c r="K139" s="13" t="s">
        <v>170</v>
      </c>
      <c r="L139" s="13" t="s">
        <v>26</v>
      </c>
      <c r="M139" s="13" t="s">
        <v>21</v>
      </c>
      <c r="N139" s="13" t="s">
        <v>21</v>
      </c>
      <c r="O139" s="26" t="n">
        <f aca="false">G139*(1+P139)</f>
        <v>10363.4090909091</v>
      </c>
      <c r="P139" s="27" t="n">
        <f aca="false">'Control Panel'!$B$95</f>
        <v>0</v>
      </c>
      <c r="Q139" s="9" t="n">
        <v>4559.9</v>
      </c>
      <c r="R139" s="26" t="n">
        <f aca="false">IF(L139="Yes",F139,0)</f>
        <v>227995</v>
      </c>
      <c r="S139" s="27" t="n">
        <f aca="false">'Control Panel'!$B$112+0.1</f>
        <v>0.1</v>
      </c>
      <c r="T139" s="26" t="n">
        <f aca="false">R139*S139</f>
        <v>22799.5</v>
      </c>
      <c r="U139" s="26" t="n">
        <f aca="false">R139-T139</f>
        <v>205195.5</v>
      </c>
    </row>
    <row r="140" customFormat="false" ht="15" hidden="false" customHeight="true" outlineLevel="0" collapsed="false">
      <c r="A140" s="13" t="n">
        <v>135</v>
      </c>
      <c r="B140" s="13" t="s">
        <v>181</v>
      </c>
      <c r="C140" s="13" t="s">
        <v>177</v>
      </c>
      <c r="D140" s="13" t="s">
        <v>168</v>
      </c>
      <c r="E140" s="25" t="n">
        <v>1</v>
      </c>
      <c r="F140" s="9" t="n">
        <v>16285</v>
      </c>
      <c r="G140" s="9" t="n">
        <v>16285</v>
      </c>
      <c r="H140" s="13" t="n">
        <v>8</v>
      </c>
      <c r="I140" s="25" t="n">
        <v>200000</v>
      </c>
      <c r="J140" s="13" t="n">
        <v>235</v>
      </c>
      <c r="K140" s="13" t="s">
        <v>170</v>
      </c>
      <c r="L140" s="13" t="s">
        <v>26</v>
      </c>
      <c r="M140" s="13" t="s">
        <v>21</v>
      </c>
      <c r="N140" s="13" t="s">
        <v>21</v>
      </c>
      <c r="O140" s="26" t="n">
        <f aca="false">G140*(1+P140)</f>
        <v>16285</v>
      </c>
      <c r="P140" s="27" t="n">
        <f aca="false">'Control Panel'!$B$95</f>
        <v>0</v>
      </c>
      <c r="Q140" s="9" t="n">
        <v>325.7</v>
      </c>
      <c r="R140" s="26" t="n">
        <f aca="false">IF(L140="Yes",F140,0)</f>
        <v>16285</v>
      </c>
      <c r="S140" s="27" t="n">
        <f aca="false">'Control Panel'!$B$112+0.1</f>
        <v>0.1</v>
      </c>
      <c r="T140" s="26" t="n">
        <f aca="false">R140*S140</f>
        <v>1628.5</v>
      </c>
      <c r="U140" s="26" t="n">
        <f aca="false">R140-T140</f>
        <v>14656.5</v>
      </c>
    </row>
    <row r="141" customFormat="false" ht="15" hidden="false" customHeight="true" outlineLevel="0" collapsed="false">
      <c r="A141" s="13" t="n">
        <v>136</v>
      </c>
      <c r="B141" s="13" t="s">
        <v>182</v>
      </c>
      <c r="C141" s="13" t="s">
        <v>164</v>
      </c>
      <c r="D141" s="13" t="s">
        <v>165</v>
      </c>
      <c r="E141" s="25" t="n">
        <v>68</v>
      </c>
      <c r="F141" s="9" t="n">
        <v>696653</v>
      </c>
      <c r="G141" s="9" t="n">
        <v>10244.8970588235</v>
      </c>
      <c r="H141" s="13" t="n">
        <v>8.5</v>
      </c>
      <c r="I141" s="25" t="n">
        <v>207500</v>
      </c>
      <c r="J141" s="13" t="n">
        <v>350</v>
      </c>
      <c r="K141" s="13" t="s">
        <v>166</v>
      </c>
      <c r="L141" s="13" t="s">
        <v>21</v>
      </c>
      <c r="M141" s="13" t="s">
        <v>21</v>
      </c>
      <c r="N141" s="13" t="s">
        <v>21</v>
      </c>
      <c r="O141" s="26" t="n">
        <f aca="false">G141*(1+P141)</f>
        <v>10244.8970588235</v>
      </c>
      <c r="P141" s="27" t="n">
        <f aca="false">'Control Panel'!$B$95</f>
        <v>0</v>
      </c>
      <c r="Q141" s="9" t="n">
        <v>13933.06</v>
      </c>
      <c r="R141" s="26" t="n">
        <f aca="false">IF(L141="Yes",F141,0)</f>
        <v>0</v>
      </c>
      <c r="S141" s="27" t="n">
        <f aca="false">'Control Panel'!$B$112+0.15</f>
        <v>0.15</v>
      </c>
      <c r="T141" s="26" t="n">
        <f aca="false">R141*S141</f>
        <v>0</v>
      </c>
      <c r="U141" s="26" t="n">
        <f aca="false">R141-T141</f>
        <v>0</v>
      </c>
    </row>
    <row r="142" customFormat="false" ht="15" hidden="false" customHeight="true" outlineLevel="0" collapsed="false">
      <c r="A142" s="13" t="n">
        <v>137</v>
      </c>
      <c r="B142" s="13" t="s">
        <v>182</v>
      </c>
      <c r="C142" s="13" t="s">
        <v>164</v>
      </c>
      <c r="D142" s="13" t="s">
        <v>167</v>
      </c>
      <c r="E142" s="25" t="n">
        <v>52</v>
      </c>
      <c r="F142" s="9" t="n">
        <v>531990</v>
      </c>
      <c r="G142" s="9" t="n">
        <v>10230.5769230769</v>
      </c>
      <c r="H142" s="13" t="n">
        <v>8.5</v>
      </c>
      <c r="I142" s="25" t="n">
        <v>207500</v>
      </c>
      <c r="J142" s="13" t="n">
        <v>350</v>
      </c>
      <c r="K142" s="13" t="s">
        <v>166</v>
      </c>
      <c r="L142" s="13" t="s">
        <v>21</v>
      </c>
      <c r="M142" s="13" t="s">
        <v>21</v>
      </c>
      <c r="N142" s="13" t="s">
        <v>21</v>
      </c>
      <c r="O142" s="26" t="n">
        <f aca="false">G142*(1+P142)</f>
        <v>10230.5769230769</v>
      </c>
      <c r="P142" s="27" t="n">
        <f aca="false">'Control Panel'!$B$95</f>
        <v>0</v>
      </c>
      <c r="Q142" s="9" t="n">
        <v>10639.8</v>
      </c>
      <c r="R142" s="26" t="n">
        <f aca="false">IF(L142="Yes",F142,0)</f>
        <v>0</v>
      </c>
      <c r="S142" s="27" t="n">
        <f aca="false">'Control Panel'!$B$112+0.15</f>
        <v>0.15</v>
      </c>
      <c r="T142" s="26" t="n">
        <f aca="false">R142*S142</f>
        <v>0</v>
      </c>
      <c r="U142" s="26" t="n">
        <f aca="false">R142-T142</f>
        <v>0</v>
      </c>
    </row>
    <row r="143" customFormat="false" ht="15" hidden="false" customHeight="true" outlineLevel="0" collapsed="false">
      <c r="A143" s="13" t="n">
        <v>138</v>
      </c>
      <c r="B143" s="13" t="s">
        <v>182</v>
      </c>
      <c r="C143" s="13" t="s">
        <v>164</v>
      </c>
      <c r="D143" s="13" t="s">
        <v>168</v>
      </c>
      <c r="E143" s="25" t="n">
        <v>3</v>
      </c>
      <c r="F143" s="9" t="n">
        <v>37999</v>
      </c>
      <c r="G143" s="9" t="n">
        <v>12666.3333333333</v>
      </c>
      <c r="H143" s="13" t="n">
        <v>8.5</v>
      </c>
      <c r="I143" s="25" t="n">
        <v>207500</v>
      </c>
      <c r="J143" s="13" t="n">
        <v>350</v>
      </c>
      <c r="K143" s="13" t="s">
        <v>166</v>
      </c>
      <c r="L143" s="13" t="s">
        <v>21</v>
      </c>
      <c r="M143" s="13" t="s">
        <v>21</v>
      </c>
      <c r="N143" s="13" t="s">
        <v>21</v>
      </c>
      <c r="O143" s="26" t="n">
        <f aca="false">G143*(1+P143)</f>
        <v>12666.3333333333</v>
      </c>
      <c r="P143" s="27" t="n">
        <f aca="false">'Control Panel'!$B$95</f>
        <v>0</v>
      </c>
      <c r="Q143" s="9" t="n">
        <v>759.98</v>
      </c>
      <c r="R143" s="26" t="n">
        <f aca="false">IF(L143="Yes",F143,0)</f>
        <v>0</v>
      </c>
      <c r="S143" s="27" t="n">
        <f aca="false">'Control Panel'!$B$112+0.15</f>
        <v>0.15</v>
      </c>
      <c r="T143" s="26" t="n">
        <f aca="false">R143*S143</f>
        <v>0</v>
      </c>
      <c r="U143" s="26" t="n">
        <f aca="false">R143-T143</f>
        <v>0</v>
      </c>
    </row>
    <row r="144" customFormat="false" ht="15" hidden="false" customHeight="true" outlineLevel="0" collapsed="false">
      <c r="A144" s="13" t="n">
        <v>139</v>
      </c>
      <c r="B144" s="13" t="s">
        <v>182</v>
      </c>
      <c r="C144" s="13" t="s">
        <v>169</v>
      </c>
      <c r="D144" s="13" t="s">
        <v>165</v>
      </c>
      <c r="E144" s="25" t="n">
        <v>29</v>
      </c>
      <c r="F144" s="9" t="n">
        <v>298565</v>
      </c>
      <c r="G144" s="9" t="n">
        <v>10295.3448275862</v>
      </c>
      <c r="H144" s="13" t="n">
        <v>8.5</v>
      </c>
      <c r="I144" s="25" t="n">
        <v>207500</v>
      </c>
      <c r="J144" s="13" t="n">
        <v>350</v>
      </c>
      <c r="K144" s="13" t="s">
        <v>170</v>
      </c>
      <c r="L144" s="13" t="s">
        <v>21</v>
      </c>
      <c r="M144" s="13" t="s">
        <v>21</v>
      </c>
      <c r="N144" s="13" t="s">
        <v>21</v>
      </c>
      <c r="O144" s="26" t="n">
        <f aca="false">G144*(1+P144)</f>
        <v>10295.3448275862</v>
      </c>
      <c r="P144" s="27" t="n">
        <f aca="false">'Control Panel'!$B$95</f>
        <v>0</v>
      </c>
      <c r="Q144" s="9" t="n">
        <v>5971.3</v>
      </c>
      <c r="R144" s="26" t="n">
        <f aca="false">IF(L144="Yes",F144,0)</f>
        <v>0</v>
      </c>
      <c r="S144" s="27" t="n">
        <f aca="false">'Control Panel'!$B$112+0.15</f>
        <v>0.15</v>
      </c>
      <c r="T144" s="26" t="n">
        <f aca="false">R144*S144</f>
        <v>0</v>
      </c>
      <c r="U144" s="26" t="n">
        <f aca="false">R144-T144</f>
        <v>0</v>
      </c>
    </row>
    <row r="145" customFormat="false" ht="15" hidden="false" customHeight="true" outlineLevel="0" collapsed="false">
      <c r="A145" s="13" t="n">
        <v>140</v>
      </c>
      <c r="B145" s="13" t="s">
        <v>182</v>
      </c>
      <c r="C145" s="13" t="s">
        <v>169</v>
      </c>
      <c r="D145" s="13" t="s">
        <v>167</v>
      </c>
      <c r="E145" s="25" t="n">
        <v>22</v>
      </c>
      <c r="F145" s="9" t="n">
        <v>227995</v>
      </c>
      <c r="G145" s="9" t="n">
        <v>10363.4090909091</v>
      </c>
      <c r="H145" s="13" t="n">
        <v>8.5</v>
      </c>
      <c r="I145" s="25" t="n">
        <v>207500</v>
      </c>
      <c r="J145" s="13" t="n">
        <v>350</v>
      </c>
      <c r="K145" s="13" t="s">
        <v>170</v>
      </c>
      <c r="L145" s="13" t="s">
        <v>21</v>
      </c>
      <c r="M145" s="13" t="s">
        <v>21</v>
      </c>
      <c r="N145" s="13" t="s">
        <v>21</v>
      </c>
      <c r="O145" s="26" t="n">
        <f aca="false">G145*(1+P145)</f>
        <v>10363.4090909091</v>
      </c>
      <c r="P145" s="27" t="n">
        <f aca="false">'Control Panel'!$B$95</f>
        <v>0</v>
      </c>
      <c r="Q145" s="9" t="n">
        <v>4559.9</v>
      </c>
      <c r="R145" s="26" t="n">
        <f aca="false">IF(L145="Yes",F145,0)</f>
        <v>0</v>
      </c>
      <c r="S145" s="27" t="n">
        <f aca="false">'Control Panel'!$B$112+0.15</f>
        <v>0.15</v>
      </c>
      <c r="T145" s="26" t="n">
        <f aca="false">R145*S145</f>
        <v>0</v>
      </c>
      <c r="U145" s="26" t="n">
        <f aca="false">R145-T145</f>
        <v>0</v>
      </c>
    </row>
    <row r="146" customFormat="false" ht="15" hidden="false" customHeight="true" outlineLevel="0" collapsed="false">
      <c r="A146" s="13" t="n">
        <v>141</v>
      </c>
      <c r="B146" s="13" t="s">
        <v>182</v>
      </c>
      <c r="C146" s="13" t="s">
        <v>169</v>
      </c>
      <c r="D146" s="13" t="s">
        <v>168</v>
      </c>
      <c r="E146" s="25" t="n">
        <v>1</v>
      </c>
      <c r="F146" s="9" t="n">
        <v>16285</v>
      </c>
      <c r="G146" s="9" t="n">
        <v>16285</v>
      </c>
      <c r="H146" s="13" t="n">
        <v>8.5</v>
      </c>
      <c r="I146" s="25" t="n">
        <v>207500</v>
      </c>
      <c r="J146" s="13" t="n">
        <v>350</v>
      </c>
      <c r="K146" s="13" t="s">
        <v>170</v>
      </c>
      <c r="L146" s="13" t="s">
        <v>21</v>
      </c>
      <c r="M146" s="13" t="s">
        <v>21</v>
      </c>
      <c r="N146" s="13" t="s">
        <v>21</v>
      </c>
      <c r="O146" s="26" t="n">
        <f aca="false">G146*(1+P146)</f>
        <v>16285</v>
      </c>
      <c r="P146" s="27" t="n">
        <f aca="false">'Control Panel'!$B$95</f>
        <v>0</v>
      </c>
      <c r="Q146" s="9" t="n">
        <v>325.7</v>
      </c>
      <c r="R146" s="26" t="n">
        <f aca="false">IF(L146="Yes",F146,0)</f>
        <v>0</v>
      </c>
      <c r="S146" s="27" t="n">
        <f aca="false">'Control Panel'!$B$112+0.15</f>
        <v>0.15</v>
      </c>
      <c r="T146" s="26" t="n">
        <f aca="false">R146*S146</f>
        <v>0</v>
      </c>
      <c r="U146" s="26" t="n">
        <f aca="false">R146-T146</f>
        <v>0</v>
      </c>
    </row>
    <row r="147" customFormat="false" ht="15" hidden="false" customHeight="true" outlineLevel="0" collapsed="false">
      <c r="A147" s="13" t="n">
        <v>142</v>
      </c>
      <c r="B147" s="13" t="s">
        <v>182</v>
      </c>
      <c r="C147" s="13" t="s">
        <v>171</v>
      </c>
      <c r="D147" s="13" t="s">
        <v>165</v>
      </c>
      <c r="E147" s="25" t="n">
        <v>23</v>
      </c>
      <c r="F147" s="9" t="n">
        <v>238852</v>
      </c>
      <c r="G147" s="9" t="n">
        <v>10384.8695652174</v>
      </c>
      <c r="H147" s="13" t="n">
        <v>8.5</v>
      </c>
      <c r="I147" s="25" t="n">
        <v>207500</v>
      </c>
      <c r="J147" s="13" t="n">
        <v>350</v>
      </c>
      <c r="K147" s="13" t="s">
        <v>170</v>
      </c>
      <c r="L147" s="13" t="s">
        <v>21</v>
      </c>
      <c r="M147" s="13" t="s">
        <v>21</v>
      </c>
      <c r="N147" s="13" t="s">
        <v>21</v>
      </c>
      <c r="O147" s="26" t="n">
        <f aca="false">G147*(1+P147)</f>
        <v>10384.8695652174</v>
      </c>
      <c r="P147" s="27" t="n">
        <f aca="false">'Control Panel'!$B$95</f>
        <v>0</v>
      </c>
      <c r="Q147" s="9" t="n">
        <v>4777.04</v>
      </c>
      <c r="R147" s="26" t="n">
        <f aca="false">IF(L147="Yes",F147,0)</f>
        <v>0</v>
      </c>
      <c r="S147" s="27" t="n">
        <f aca="false">'Control Panel'!$B$112+0.15</f>
        <v>0.15</v>
      </c>
      <c r="T147" s="26" t="n">
        <f aca="false">R147*S147</f>
        <v>0</v>
      </c>
      <c r="U147" s="26" t="n">
        <f aca="false">R147-T147</f>
        <v>0</v>
      </c>
    </row>
    <row r="148" customFormat="false" ht="15" hidden="false" customHeight="true" outlineLevel="0" collapsed="false">
      <c r="A148" s="13" t="n">
        <v>143</v>
      </c>
      <c r="B148" s="13" t="s">
        <v>182</v>
      </c>
      <c r="C148" s="13" t="s">
        <v>171</v>
      </c>
      <c r="D148" s="13" t="s">
        <v>167</v>
      </c>
      <c r="E148" s="25" t="n">
        <v>17</v>
      </c>
      <c r="F148" s="9" t="n">
        <v>182396</v>
      </c>
      <c r="G148" s="9" t="n">
        <v>10729.1764705882</v>
      </c>
      <c r="H148" s="13" t="n">
        <v>8.5</v>
      </c>
      <c r="I148" s="25" t="n">
        <v>207500</v>
      </c>
      <c r="J148" s="13" t="n">
        <v>350</v>
      </c>
      <c r="K148" s="13" t="s">
        <v>170</v>
      </c>
      <c r="L148" s="13" t="s">
        <v>21</v>
      </c>
      <c r="M148" s="13" t="s">
        <v>21</v>
      </c>
      <c r="N148" s="13" t="s">
        <v>21</v>
      </c>
      <c r="O148" s="26" t="n">
        <f aca="false">G148*(1+P148)</f>
        <v>10729.1764705882</v>
      </c>
      <c r="P148" s="27" t="n">
        <f aca="false">'Control Panel'!$B$95</f>
        <v>0</v>
      </c>
      <c r="Q148" s="9" t="n">
        <v>3647.92</v>
      </c>
      <c r="R148" s="26" t="n">
        <f aca="false">IF(L148="Yes",F148,0)</f>
        <v>0</v>
      </c>
      <c r="S148" s="27" t="n">
        <f aca="false">'Control Panel'!$B$112+0.15</f>
        <v>0.15</v>
      </c>
      <c r="T148" s="26" t="n">
        <f aca="false">R148*S148</f>
        <v>0</v>
      </c>
      <c r="U148" s="26" t="n">
        <f aca="false">R148-T148</f>
        <v>0</v>
      </c>
    </row>
    <row r="149" customFormat="false" ht="15" hidden="false" customHeight="true" outlineLevel="0" collapsed="false">
      <c r="A149" s="13" t="n">
        <v>144</v>
      </c>
      <c r="B149" s="13" t="s">
        <v>182</v>
      </c>
      <c r="C149" s="13" t="s">
        <v>171</v>
      </c>
      <c r="D149" s="13" t="s">
        <v>168</v>
      </c>
      <c r="E149" s="25" t="n">
        <v>1</v>
      </c>
      <c r="F149" s="9" t="n">
        <v>13028</v>
      </c>
      <c r="G149" s="9" t="n">
        <v>13028</v>
      </c>
      <c r="H149" s="13" t="n">
        <v>8.5</v>
      </c>
      <c r="I149" s="25" t="n">
        <v>207500</v>
      </c>
      <c r="J149" s="13" t="n">
        <v>350</v>
      </c>
      <c r="K149" s="13" t="s">
        <v>170</v>
      </c>
      <c r="L149" s="13" t="s">
        <v>21</v>
      </c>
      <c r="M149" s="13" t="s">
        <v>21</v>
      </c>
      <c r="N149" s="13" t="s">
        <v>21</v>
      </c>
      <c r="O149" s="26" t="n">
        <f aca="false">G149*(1+P149)</f>
        <v>13028</v>
      </c>
      <c r="P149" s="27" t="n">
        <f aca="false">'Control Panel'!$B$95</f>
        <v>0</v>
      </c>
      <c r="Q149" s="9" t="n">
        <v>260.56</v>
      </c>
      <c r="R149" s="26" t="n">
        <f aca="false">IF(L149="Yes",F149,0)</f>
        <v>0</v>
      </c>
      <c r="S149" s="27" t="n">
        <f aca="false">'Control Panel'!$B$112+0.15</f>
        <v>0.15</v>
      </c>
      <c r="T149" s="26" t="n">
        <f aca="false">R149*S149</f>
        <v>0</v>
      </c>
      <c r="U149" s="26" t="n">
        <f aca="false">R149-T149</f>
        <v>0</v>
      </c>
    </row>
    <row r="150" customFormat="false" ht="15" hidden="false" customHeight="true" outlineLevel="0" collapsed="false">
      <c r="A150" s="13" t="n">
        <v>145</v>
      </c>
      <c r="B150" s="13" t="s">
        <v>182</v>
      </c>
      <c r="C150" s="13" t="s">
        <v>172</v>
      </c>
      <c r="D150" s="13" t="s">
        <v>165</v>
      </c>
      <c r="E150" s="25" t="n">
        <v>19</v>
      </c>
      <c r="F150" s="9" t="n">
        <v>199043</v>
      </c>
      <c r="G150" s="9" t="n">
        <v>10475.9473684211</v>
      </c>
      <c r="H150" s="13" t="n">
        <v>8.5</v>
      </c>
      <c r="I150" s="25" t="n">
        <v>207500</v>
      </c>
      <c r="J150" s="13" t="n">
        <v>350</v>
      </c>
      <c r="K150" s="13" t="s">
        <v>170</v>
      </c>
      <c r="L150" s="13" t="s">
        <v>21</v>
      </c>
      <c r="M150" s="13" t="s">
        <v>21</v>
      </c>
      <c r="N150" s="13" t="s">
        <v>21</v>
      </c>
      <c r="O150" s="26" t="n">
        <f aca="false">G150*(1+P150)</f>
        <v>10475.9473684211</v>
      </c>
      <c r="P150" s="27" t="n">
        <f aca="false">'Control Panel'!$B$95</f>
        <v>0</v>
      </c>
      <c r="Q150" s="9" t="n">
        <v>3980.86</v>
      </c>
      <c r="R150" s="26" t="n">
        <f aca="false">IF(L150="Yes",F150,0)</f>
        <v>0</v>
      </c>
      <c r="S150" s="27" t="n">
        <f aca="false">'Control Panel'!$B$112+0.15</f>
        <v>0.15</v>
      </c>
      <c r="T150" s="26" t="n">
        <f aca="false">R150*S150</f>
        <v>0</v>
      </c>
      <c r="U150" s="26" t="n">
        <f aca="false">R150-T150</f>
        <v>0</v>
      </c>
    </row>
    <row r="151" customFormat="false" ht="15" hidden="false" customHeight="true" outlineLevel="0" collapsed="false">
      <c r="A151" s="13" t="n">
        <v>146</v>
      </c>
      <c r="B151" s="13" t="s">
        <v>182</v>
      </c>
      <c r="C151" s="13" t="s">
        <v>172</v>
      </c>
      <c r="D151" s="13" t="s">
        <v>167</v>
      </c>
      <c r="E151" s="25" t="n">
        <v>14</v>
      </c>
      <c r="F151" s="9" t="n">
        <v>151997</v>
      </c>
      <c r="G151" s="9" t="n">
        <v>10856.9285714286</v>
      </c>
      <c r="H151" s="13" t="n">
        <v>8.5</v>
      </c>
      <c r="I151" s="25" t="n">
        <v>207500</v>
      </c>
      <c r="J151" s="13" t="n">
        <v>350</v>
      </c>
      <c r="K151" s="13" t="s">
        <v>170</v>
      </c>
      <c r="L151" s="13" t="s">
        <v>21</v>
      </c>
      <c r="M151" s="13" t="s">
        <v>21</v>
      </c>
      <c r="N151" s="13" t="s">
        <v>21</v>
      </c>
      <c r="O151" s="26" t="n">
        <f aca="false">G151*(1+P151)</f>
        <v>10856.9285714286</v>
      </c>
      <c r="P151" s="27" t="n">
        <f aca="false">'Control Panel'!$B$95</f>
        <v>0</v>
      </c>
      <c r="Q151" s="9" t="n">
        <v>3039.94</v>
      </c>
      <c r="R151" s="26" t="n">
        <f aca="false">IF(L151="Yes",F151,0)</f>
        <v>0</v>
      </c>
      <c r="S151" s="27" t="n">
        <f aca="false">'Control Panel'!$B$112+0.15</f>
        <v>0.15</v>
      </c>
      <c r="T151" s="26" t="n">
        <f aca="false">R151*S151</f>
        <v>0</v>
      </c>
      <c r="U151" s="26" t="n">
        <f aca="false">R151-T151</f>
        <v>0</v>
      </c>
    </row>
    <row r="152" customFormat="false" ht="15" hidden="false" customHeight="true" outlineLevel="0" collapsed="false">
      <c r="A152" s="13" t="n">
        <v>147</v>
      </c>
      <c r="B152" s="13" t="s">
        <v>182</v>
      </c>
      <c r="C152" s="13" t="s">
        <v>172</v>
      </c>
      <c r="D152" s="13" t="s">
        <v>168</v>
      </c>
      <c r="E152" s="25" t="n">
        <v>1</v>
      </c>
      <c r="F152" s="9" t="n">
        <v>10856</v>
      </c>
      <c r="G152" s="9" t="n">
        <v>10856</v>
      </c>
      <c r="H152" s="13" t="n">
        <v>8.5</v>
      </c>
      <c r="I152" s="25" t="n">
        <v>207500</v>
      </c>
      <c r="J152" s="13" t="n">
        <v>350</v>
      </c>
      <c r="K152" s="13" t="s">
        <v>170</v>
      </c>
      <c r="L152" s="13" t="s">
        <v>21</v>
      </c>
      <c r="M152" s="13" t="s">
        <v>21</v>
      </c>
      <c r="N152" s="13" t="s">
        <v>21</v>
      </c>
      <c r="O152" s="26" t="n">
        <f aca="false">G152*(1+P152)</f>
        <v>10856</v>
      </c>
      <c r="P152" s="27" t="n">
        <f aca="false">'Control Panel'!$B$95</f>
        <v>0</v>
      </c>
      <c r="Q152" s="9" t="n">
        <v>217.12</v>
      </c>
      <c r="R152" s="26" t="n">
        <f aca="false">IF(L152="Yes",F152,0)</f>
        <v>0</v>
      </c>
      <c r="S152" s="27" t="n">
        <f aca="false">'Control Panel'!$B$112+0.15</f>
        <v>0.15</v>
      </c>
      <c r="T152" s="26" t="n">
        <f aca="false">R152*S152</f>
        <v>0</v>
      </c>
      <c r="U152" s="26" t="n">
        <f aca="false">R152-T152</f>
        <v>0</v>
      </c>
    </row>
    <row r="153" customFormat="false" ht="15" hidden="false" customHeight="true" outlineLevel="0" collapsed="false">
      <c r="A153" s="13" t="n">
        <v>148</v>
      </c>
      <c r="B153" s="13" t="s">
        <v>182</v>
      </c>
      <c r="C153" s="13" t="s">
        <v>173</v>
      </c>
      <c r="D153" s="13" t="s">
        <v>165</v>
      </c>
      <c r="E153" s="25" t="n">
        <v>15</v>
      </c>
      <c r="F153" s="9" t="n">
        <v>159235</v>
      </c>
      <c r="G153" s="9" t="n">
        <v>10615.6666666667</v>
      </c>
      <c r="H153" s="13" t="n">
        <v>8.5</v>
      </c>
      <c r="I153" s="25" t="n">
        <v>207500</v>
      </c>
      <c r="J153" s="13" t="n">
        <v>350</v>
      </c>
      <c r="K153" s="13" t="s">
        <v>170</v>
      </c>
      <c r="L153" s="13" t="s">
        <v>21</v>
      </c>
      <c r="M153" s="13" t="s">
        <v>21</v>
      </c>
      <c r="N153" s="13" t="s">
        <v>21</v>
      </c>
      <c r="O153" s="26" t="n">
        <f aca="false">G153*(1+P153)</f>
        <v>10615.6666666667</v>
      </c>
      <c r="P153" s="27" t="n">
        <f aca="false">'Control Panel'!$B$95</f>
        <v>0</v>
      </c>
      <c r="Q153" s="9" t="n">
        <v>3184.7</v>
      </c>
      <c r="R153" s="26" t="n">
        <f aca="false">IF(L153="Yes",F153,0)</f>
        <v>0</v>
      </c>
      <c r="S153" s="27" t="n">
        <f aca="false">'Control Panel'!$B$112+0.15</f>
        <v>0.15</v>
      </c>
      <c r="T153" s="26" t="n">
        <f aca="false">R153*S153</f>
        <v>0</v>
      </c>
      <c r="U153" s="26" t="n">
        <f aca="false">R153-T153</f>
        <v>0</v>
      </c>
    </row>
    <row r="154" customFormat="false" ht="15" hidden="false" customHeight="true" outlineLevel="0" collapsed="false">
      <c r="A154" s="13" t="n">
        <v>149</v>
      </c>
      <c r="B154" s="13" t="s">
        <v>182</v>
      </c>
      <c r="C154" s="13" t="s">
        <v>173</v>
      </c>
      <c r="D154" s="13" t="s">
        <v>167</v>
      </c>
      <c r="E154" s="25" t="n">
        <v>11</v>
      </c>
      <c r="F154" s="9" t="n">
        <v>121597</v>
      </c>
      <c r="G154" s="9" t="n">
        <v>11054.2727272727</v>
      </c>
      <c r="H154" s="13" t="n">
        <v>8.5</v>
      </c>
      <c r="I154" s="25" t="n">
        <v>207500</v>
      </c>
      <c r="J154" s="13" t="n">
        <v>350</v>
      </c>
      <c r="K154" s="13" t="s">
        <v>170</v>
      </c>
      <c r="L154" s="13" t="s">
        <v>21</v>
      </c>
      <c r="M154" s="13" t="s">
        <v>21</v>
      </c>
      <c r="N154" s="13" t="s">
        <v>21</v>
      </c>
      <c r="O154" s="26" t="n">
        <f aca="false">G154*(1+P154)</f>
        <v>11054.2727272727</v>
      </c>
      <c r="P154" s="27" t="n">
        <f aca="false">'Control Panel'!$B$95</f>
        <v>0</v>
      </c>
      <c r="Q154" s="9" t="n">
        <v>2431.94</v>
      </c>
      <c r="R154" s="26" t="n">
        <f aca="false">IF(L154="Yes",F154,0)</f>
        <v>0</v>
      </c>
      <c r="S154" s="27" t="n">
        <f aca="false">'Control Panel'!$B$112+0.15</f>
        <v>0.15</v>
      </c>
      <c r="T154" s="26" t="n">
        <f aca="false">R154*S154</f>
        <v>0</v>
      </c>
      <c r="U154" s="26" t="n">
        <f aca="false">R154-T154</f>
        <v>0</v>
      </c>
    </row>
    <row r="155" customFormat="false" ht="15" hidden="false" customHeight="true" outlineLevel="0" collapsed="false">
      <c r="A155" s="13" t="n">
        <v>150</v>
      </c>
      <c r="B155" s="13" t="s">
        <v>182</v>
      </c>
      <c r="C155" s="13" t="s">
        <v>174</v>
      </c>
      <c r="D155" s="13" t="s">
        <v>165</v>
      </c>
      <c r="E155" s="25" t="n">
        <v>13</v>
      </c>
      <c r="F155" s="9" t="n">
        <v>139330</v>
      </c>
      <c r="G155" s="9" t="n">
        <v>10717.6923076923</v>
      </c>
      <c r="H155" s="13" t="n">
        <v>8.5</v>
      </c>
      <c r="I155" s="25" t="n">
        <v>207500</v>
      </c>
      <c r="J155" s="13" t="n">
        <v>350</v>
      </c>
      <c r="K155" s="13" t="s">
        <v>170</v>
      </c>
      <c r="L155" s="13" t="s">
        <v>21</v>
      </c>
      <c r="M155" s="13" t="s">
        <v>21</v>
      </c>
      <c r="N155" s="13" t="s">
        <v>21</v>
      </c>
      <c r="O155" s="26" t="n">
        <f aca="false">G155*(1+P155)</f>
        <v>10717.6923076923</v>
      </c>
      <c r="P155" s="27" t="n">
        <f aca="false">'Control Panel'!$B$95</f>
        <v>0</v>
      </c>
      <c r="Q155" s="9" t="n">
        <v>2786.6</v>
      </c>
      <c r="R155" s="26" t="n">
        <f aca="false">IF(L155="Yes",F155,0)</f>
        <v>0</v>
      </c>
      <c r="S155" s="27" t="n">
        <f aca="false">'Control Panel'!$B$112+0.15</f>
        <v>0.15</v>
      </c>
      <c r="T155" s="26" t="n">
        <f aca="false">R155*S155</f>
        <v>0</v>
      </c>
      <c r="U155" s="26" t="n">
        <f aca="false">R155-T155</f>
        <v>0</v>
      </c>
    </row>
    <row r="156" customFormat="false" ht="15" hidden="false" customHeight="true" outlineLevel="0" collapsed="false">
      <c r="A156" s="13" t="n">
        <v>151</v>
      </c>
      <c r="B156" s="13" t="s">
        <v>182</v>
      </c>
      <c r="C156" s="13" t="s">
        <v>174</v>
      </c>
      <c r="D156" s="13" t="s">
        <v>167</v>
      </c>
      <c r="E156" s="25" t="n">
        <v>10</v>
      </c>
      <c r="F156" s="9" t="n">
        <v>106398</v>
      </c>
      <c r="G156" s="9" t="n">
        <v>10639.8</v>
      </c>
      <c r="H156" s="13" t="n">
        <v>8.5</v>
      </c>
      <c r="I156" s="25" t="n">
        <v>207500</v>
      </c>
      <c r="J156" s="13" t="n">
        <v>350</v>
      </c>
      <c r="K156" s="13" t="s">
        <v>170</v>
      </c>
      <c r="L156" s="13" t="s">
        <v>21</v>
      </c>
      <c r="M156" s="13" t="s">
        <v>21</v>
      </c>
      <c r="N156" s="13" t="s">
        <v>21</v>
      </c>
      <c r="O156" s="26" t="n">
        <f aca="false">G156*(1+P156)</f>
        <v>10639.8</v>
      </c>
      <c r="P156" s="27" t="n">
        <f aca="false">'Control Panel'!$B$95</f>
        <v>0</v>
      </c>
      <c r="Q156" s="9" t="n">
        <v>2127.96</v>
      </c>
      <c r="R156" s="26" t="n">
        <f aca="false">IF(L156="Yes",F156,0)</f>
        <v>0</v>
      </c>
      <c r="S156" s="27" t="n">
        <f aca="false">'Control Panel'!$B$112+0.15</f>
        <v>0.15</v>
      </c>
      <c r="T156" s="26" t="n">
        <f aca="false">R156*S156</f>
        <v>0</v>
      </c>
      <c r="U156" s="26" t="n">
        <f aca="false">R156-T156</f>
        <v>0</v>
      </c>
    </row>
    <row r="157" customFormat="false" ht="15" hidden="false" customHeight="true" outlineLevel="0" collapsed="false">
      <c r="A157" s="13" t="n">
        <v>152</v>
      </c>
      <c r="B157" s="13" t="s">
        <v>182</v>
      </c>
      <c r="C157" s="13" t="s">
        <v>175</v>
      </c>
      <c r="D157" s="13" t="s">
        <v>165</v>
      </c>
      <c r="E157" s="25" t="n">
        <v>11</v>
      </c>
      <c r="F157" s="9" t="n">
        <v>119426</v>
      </c>
      <c r="G157" s="9" t="n">
        <v>10856.9090909091</v>
      </c>
      <c r="H157" s="13" t="n">
        <v>8.5</v>
      </c>
      <c r="I157" s="25" t="n">
        <v>207500</v>
      </c>
      <c r="J157" s="13" t="n">
        <v>350</v>
      </c>
      <c r="K157" s="13" t="s">
        <v>170</v>
      </c>
      <c r="L157" s="13" t="s">
        <v>21</v>
      </c>
      <c r="M157" s="13" t="s">
        <v>21</v>
      </c>
      <c r="N157" s="13" t="s">
        <v>21</v>
      </c>
      <c r="O157" s="26" t="n">
        <f aca="false">G157*(1+P157)</f>
        <v>10856.9090909091</v>
      </c>
      <c r="P157" s="27" t="n">
        <f aca="false">'Control Panel'!$B$95</f>
        <v>0</v>
      </c>
      <c r="Q157" s="9" t="n">
        <v>2388.52</v>
      </c>
      <c r="R157" s="26" t="n">
        <f aca="false">IF(L157="Yes",F157,0)</f>
        <v>0</v>
      </c>
      <c r="S157" s="27" t="n">
        <f aca="false">'Control Panel'!$B$112+0.15</f>
        <v>0.15</v>
      </c>
      <c r="T157" s="26" t="n">
        <f aca="false">R157*S157</f>
        <v>0</v>
      </c>
      <c r="U157" s="26" t="n">
        <f aca="false">R157-T157</f>
        <v>0</v>
      </c>
    </row>
    <row r="158" customFormat="false" ht="15" hidden="false" customHeight="true" outlineLevel="0" collapsed="false">
      <c r="A158" s="13" t="n">
        <v>153</v>
      </c>
      <c r="B158" s="13" t="s">
        <v>182</v>
      </c>
      <c r="C158" s="13" t="s">
        <v>175</v>
      </c>
      <c r="D158" s="13" t="s">
        <v>167</v>
      </c>
      <c r="E158" s="25" t="n">
        <v>8</v>
      </c>
      <c r="F158" s="9" t="n">
        <v>91198</v>
      </c>
      <c r="G158" s="9" t="n">
        <v>11399.75</v>
      </c>
      <c r="H158" s="13" t="n">
        <v>8.5</v>
      </c>
      <c r="I158" s="25" t="n">
        <v>207500</v>
      </c>
      <c r="J158" s="13" t="n">
        <v>350</v>
      </c>
      <c r="K158" s="13" t="s">
        <v>170</v>
      </c>
      <c r="L158" s="13" t="s">
        <v>21</v>
      </c>
      <c r="M158" s="13" t="s">
        <v>21</v>
      </c>
      <c r="N158" s="13" t="s">
        <v>21</v>
      </c>
      <c r="O158" s="26" t="n">
        <f aca="false">G158*(1+P158)</f>
        <v>11399.75</v>
      </c>
      <c r="P158" s="27" t="n">
        <f aca="false">'Control Panel'!$B$95</f>
        <v>0</v>
      </c>
      <c r="Q158" s="9" t="n">
        <v>1823.96</v>
      </c>
      <c r="R158" s="26" t="n">
        <f aca="false">IF(L158="Yes",F158,0)</f>
        <v>0</v>
      </c>
      <c r="S158" s="27" t="n">
        <f aca="false">'Control Panel'!$B$112+0.15</f>
        <v>0.15</v>
      </c>
      <c r="T158" s="26" t="n">
        <f aca="false">R158*S158</f>
        <v>0</v>
      </c>
      <c r="U158" s="26" t="n">
        <f aca="false">R158-T158</f>
        <v>0</v>
      </c>
    </row>
    <row r="159" customFormat="false" ht="15" hidden="false" customHeight="true" outlineLevel="0" collapsed="false">
      <c r="A159" s="13" t="n">
        <v>154</v>
      </c>
      <c r="B159" s="13" t="s">
        <v>182</v>
      </c>
      <c r="C159" s="13" t="s">
        <v>176</v>
      </c>
      <c r="D159" s="13" t="s">
        <v>165</v>
      </c>
      <c r="E159" s="25" t="n">
        <v>7</v>
      </c>
      <c r="F159" s="9" t="n">
        <v>79617</v>
      </c>
      <c r="G159" s="9" t="n">
        <v>11373.8571428571</v>
      </c>
      <c r="H159" s="13" t="n">
        <v>8.5</v>
      </c>
      <c r="I159" s="25" t="n">
        <v>207500</v>
      </c>
      <c r="J159" s="13" t="n">
        <v>350</v>
      </c>
      <c r="K159" s="13" t="s">
        <v>170</v>
      </c>
      <c r="L159" s="13" t="s">
        <v>21</v>
      </c>
      <c r="M159" s="13" t="s">
        <v>26</v>
      </c>
      <c r="N159" s="13" t="s">
        <v>21</v>
      </c>
      <c r="O159" s="26" t="n">
        <f aca="false">G159*(1+P159)</f>
        <v>11373.8571428571</v>
      </c>
      <c r="P159" s="27" t="n">
        <f aca="false">'Control Panel'!$B$95</f>
        <v>0</v>
      </c>
      <c r="Q159" s="9" t="n">
        <v>1592.34</v>
      </c>
      <c r="R159" s="26" t="n">
        <f aca="false">IF(L159="Yes",F159,0)</f>
        <v>0</v>
      </c>
      <c r="S159" s="27" t="n">
        <f aca="false">'Control Panel'!$B$112+0.15</f>
        <v>0.15</v>
      </c>
      <c r="T159" s="26" t="n">
        <f aca="false">R159*S159</f>
        <v>0</v>
      </c>
      <c r="U159" s="26" t="n">
        <f aca="false">R159-T159</f>
        <v>0</v>
      </c>
    </row>
    <row r="160" customFormat="false" ht="15" hidden="false" customHeight="true" outlineLevel="0" collapsed="false">
      <c r="A160" s="13" t="n">
        <v>155</v>
      </c>
      <c r="B160" s="13" t="s">
        <v>182</v>
      </c>
      <c r="C160" s="13" t="s">
        <v>176</v>
      </c>
      <c r="D160" s="13" t="s">
        <v>167</v>
      </c>
      <c r="E160" s="25" t="n">
        <v>5</v>
      </c>
      <c r="F160" s="9" t="n">
        <v>60798</v>
      </c>
      <c r="G160" s="9" t="n">
        <v>12159.6</v>
      </c>
      <c r="H160" s="13" t="n">
        <v>8.5</v>
      </c>
      <c r="I160" s="25" t="n">
        <v>207500</v>
      </c>
      <c r="J160" s="13" t="n">
        <v>350</v>
      </c>
      <c r="K160" s="13" t="s">
        <v>170</v>
      </c>
      <c r="L160" s="13" t="s">
        <v>21</v>
      </c>
      <c r="M160" s="13" t="s">
        <v>21</v>
      </c>
      <c r="N160" s="13" t="s">
        <v>21</v>
      </c>
      <c r="O160" s="26" t="n">
        <f aca="false">G160*(1+P160)</f>
        <v>12159.6</v>
      </c>
      <c r="P160" s="27" t="n">
        <f aca="false">'Control Panel'!$B$95</f>
        <v>0</v>
      </c>
      <c r="Q160" s="9" t="n">
        <v>1215.96</v>
      </c>
      <c r="R160" s="26" t="n">
        <f aca="false">IF(L160="Yes",F160,0)</f>
        <v>0</v>
      </c>
      <c r="S160" s="27" t="n">
        <f aca="false">'Control Panel'!$B$112+0.15</f>
        <v>0.15</v>
      </c>
      <c r="T160" s="26" t="n">
        <f aca="false">R160*S160</f>
        <v>0</v>
      </c>
      <c r="U160" s="26" t="n">
        <f aca="false">R160-T160</f>
        <v>0</v>
      </c>
    </row>
    <row r="161" customFormat="false" ht="15" hidden="false" customHeight="true" outlineLevel="0" collapsed="false">
      <c r="A161" s="13" t="n">
        <v>156</v>
      </c>
      <c r="B161" s="13" t="s">
        <v>182</v>
      </c>
      <c r="C161" s="13" t="s">
        <v>177</v>
      </c>
      <c r="D161" s="13" t="s">
        <v>165</v>
      </c>
      <c r="E161" s="25" t="n">
        <v>5</v>
      </c>
      <c r="F161" s="9" t="n">
        <v>59713</v>
      </c>
      <c r="G161" s="9" t="n">
        <v>11942.6</v>
      </c>
      <c r="H161" s="13" t="n">
        <v>8.5</v>
      </c>
      <c r="I161" s="25" t="n">
        <v>207500</v>
      </c>
      <c r="J161" s="13" t="n">
        <v>350</v>
      </c>
      <c r="K161" s="13" t="s">
        <v>170</v>
      </c>
      <c r="L161" s="13" t="s">
        <v>21</v>
      </c>
      <c r="M161" s="13" t="s">
        <v>21</v>
      </c>
      <c r="N161" s="13" t="s">
        <v>21</v>
      </c>
      <c r="O161" s="26" t="n">
        <f aca="false">G161*(1+P161)</f>
        <v>11942.6</v>
      </c>
      <c r="P161" s="27" t="n">
        <f aca="false">'Control Panel'!$B$95</f>
        <v>0</v>
      </c>
      <c r="Q161" s="9" t="n">
        <v>1194.26</v>
      </c>
      <c r="R161" s="26" t="n">
        <f aca="false">IF(L161="Yes",F161,0)</f>
        <v>0</v>
      </c>
      <c r="S161" s="27" t="n">
        <f aca="false">'Control Panel'!$B$112+0.15</f>
        <v>0.15</v>
      </c>
      <c r="T161" s="26" t="n">
        <f aca="false">R161*S161</f>
        <v>0</v>
      </c>
      <c r="U161" s="26" t="n">
        <f aca="false">R161-T161</f>
        <v>0</v>
      </c>
    </row>
    <row r="162" customFormat="false" ht="15" hidden="false" customHeight="true" outlineLevel="0" collapsed="false">
      <c r="A162" s="13" t="n">
        <v>157</v>
      </c>
      <c r="B162" s="13" t="s">
        <v>182</v>
      </c>
      <c r="C162" s="13" t="s">
        <v>177</v>
      </c>
      <c r="D162" s="13" t="s">
        <v>167</v>
      </c>
      <c r="E162" s="25" t="n">
        <v>4</v>
      </c>
      <c r="F162" s="9" t="n">
        <v>45599</v>
      </c>
      <c r="G162" s="9" t="n">
        <v>11399.75</v>
      </c>
      <c r="H162" s="13" t="n">
        <v>8.5</v>
      </c>
      <c r="I162" s="25" t="n">
        <v>207500</v>
      </c>
      <c r="J162" s="13" t="n">
        <v>350</v>
      </c>
      <c r="K162" s="13" t="s">
        <v>170</v>
      </c>
      <c r="L162" s="13" t="s">
        <v>21</v>
      </c>
      <c r="M162" s="13" t="s">
        <v>21</v>
      </c>
      <c r="N162" s="13" t="s">
        <v>21</v>
      </c>
      <c r="O162" s="26" t="n">
        <f aca="false">G162*(1+P162)</f>
        <v>11399.75</v>
      </c>
      <c r="P162" s="27" t="n">
        <f aca="false">'Control Panel'!$B$95</f>
        <v>0</v>
      </c>
      <c r="Q162" s="9" t="n">
        <v>911.98</v>
      </c>
      <c r="R162" s="26" t="n">
        <f aca="false">IF(L162="Yes",F162,0)</f>
        <v>0</v>
      </c>
      <c r="S162" s="27" t="n">
        <f aca="false">'Control Panel'!$B$112+0.15</f>
        <v>0.15</v>
      </c>
      <c r="T162" s="26" t="n">
        <f aca="false">R162*S162</f>
        <v>0</v>
      </c>
      <c r="U162" s="26" t="n">
        <f aca="false">R162-T162</f>
        <v>0</v>
      </c>
    </row>
    <row r="164" customFormat="false" ht="15" hidden="false" customHeight="true" outlineLevel="0" collapsed="false">
      <c r="A164" s="6" t="s">
        <v>183</v>
      </c>
      <c r="E164" s="28" t="n">
        <f aca="false">SUM(E6:E162)</f>
        <v>70886</v>
      </c>
      <c r="F164" s="28" t="n">
        <f aca="false">SUM(F6:F162)</f>
        <v>723765780</v>
      </c>
      <c r="Q164" s="28" t="n">
        <f aca="false">SUM(Q6:Q162)</f>
        <v>14475315.6</v>
      </c>
      <c r="R164" s="28" t="n">
        <f aca="false">SUM(R6:R162)</f>
        <v>720177210</v>
      </c>
      <c r="T164" s="28" t="n">
        <f aca="false">SUM(T6:T162)</f>
        <v>11942634.15</v>
      </c>
      <c r="U164" s="28" t="n">
        <f aca="false">SUM(U6:U162)</f>
        <v>708234575.85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20"/>
    <col collapsed="false" customWidth="true" hidden="false" outlineLevel="0" max="3" min="3" style="1" width="10"/>
  </cols>
  <sheetData>
    <row r="1" customFormat="false" ht="17.25" hidden="false" customHeight="true" outlineLevel="0" collapsed="false">
      <c r="A1" s="21" t="s">
        <v>184</v>
      </c>
    </row>
    <row r="3" customFormat="false" ht="15" hidden="false" customHeight="true" outlineLevel="0" collapsed="false">
      <c r="A3" s="29" t="s">
        <v>185</v>
      </c>
      <c r="B3" s="29" t="s">
        <v>186</v>
      </c>
      <c r="C3" s="29" t="s">
        <v>187</v>
      </c>
    </row>
    <row r="4" customFormat="false" ht="15" hidden="false" customHeight="true" outlineLevel="0" collapsed="false">
      <c r="A4" s="1" t="s">
        <v>188</v>
      </c>
      <c r="B4" s="30" t="n">
        <f aca="false">'Vehicle Pool'!E164</f>
        <v>70886</v>
      </c>
      <c r="C4" s="1" t="s">
        <v>69</v>
      </c>
    </row>
    <row r="5" customFormat="false" ht="15" hidden="false" customHeight="true" outlineLevel="0" collapsed="false">
      <c r="A5" s="1" t="s">
        <v>189</v>
      </c>
      <c r="B5" s="30" t="n">
        <f aca="false">COUNTIF('Vehicle Pool'!L:L,"Yes")</f>
        <v>135</v>
      </c>
      <c r="C5" s="1" t="s">
        <v>69</v>
      </c>
    </row>
    <row r="6" customFormat="false" ht="15" hidden="false" customHeight="true" outlineLevel="0" collapsed="false">
      <c r="A6" s="1" t="s">
        <v>190</v>
      </c>
      <c r="B6" s="26" t="n">
        <f aca="false">'Vehicle Pool'!F164</f>
        <v>723765780</v>
      </c>
      <c r="C6" s="1" t="s">
        <v>191</v>
      </c>
    </row>
    <row r="7" customFormat="false" ht="15" hidden="false" customHeight="true" outlineLevel="0" collapsed="false">
      <c r="A7" s="1" t="s">
        <v>192</v>
      </c>
      <c r="B7" s="26" t="n">
        <f aca="false">SUMIF('Vehicle Pool'!L:L,"Yes",'Vehicle Pool'!F:F)</f>
        <v>720177210</v>
      </c>
      <c r="C7" s="1" t="s">
        <v>191</v>
      </c>
    </row>
    <row r="8" customFormat="false" ht="15" hidden="false" customHeight="true" outlineLevel="0" collapsed="false">
      <c r="A8" s="1" t="s">
        <v>193</v>
      </c>
      <c r="B8" s="31" t="n">
        <f aca="false">SUMPRODUCT('Vehicle Pool'!J6:J163,'Vehicle Pool'!F6:F163)/'Vehicle Pool'!F164</f>
        <v>63.9129729164592</v>
      </c>
      <c r="C8" s="1" t="s">
        <v>73</v>
      </c>
    </row>
    <row r="9" customFormat="false" ht="15" hidden="false" customHeight="true" outlineLevel="0" collapsed="false">
      <c r="A9" s="1" t="s">
        <v>194</v>
      </c>
      <c r="B9" s="26" t="n">
        <f aca="false">'Vehicle Pool'!Q164</f>
        <v>14475315.6</v>
      </c>
      <c r="C9" s="1" t="s">
        <v>191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7.25" hidden="false" customHeight="true" outlineLevel="0" collapsed="false">
      <c r="A1" s="21" t="s">
        <v>195</v>
      </c>
    </row>
    <row r="3" customFormat="false" ht="15" hidden="false" customHeight="true" outlineLevel="0" collapsed="false">
      <c r="A3" s="32" t="s">
        <v>196</v>
      </c>
    </row>
    <row r="5" customFormat="false" ht="15" hidden="false" customHeight="true" outlineLevel="0" collapsed="false">
      <c r="A5" s="1" t="s">
        <v>197</v>
      </c>
      <c r="B5" s="26" t="n">
        <f aca="false">'Vehicle Pool'!U164</f>
        <v>708234575.85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7.25" hidden="false" customHeight="true" outlineLevel="0" collapsed="false">
      <c r="A1" s="21" t="s">
        <v>198</v>
      </c>
    </row>
    <row r="3" customFormat="false" ht="15" hidden="false" customHeight="true" outlineLevel="0" collapsed="false">
      <c r="A3" s="32" t="s">
        <v>196</v>
      </c>
    </row>
    <row r="5" customFormat="false" ht="15" hidden="false" customHeight="true" outlineLevel="0" collapsed="false">
      <c r="A5" s="1" t="s">
        <v>199</v>
      </c>
      <c r="B5" s="26" t="n">
        <v>693767267</v>
      </c>
    </row>
    <row r="6" customFormat="false" ht="15" hidden="false" customHeight="true" outlineLevel="0" collapsed="false">
      <c r="A6" s="1" t="s">
        <v>200</v>
      </c>
      <c r="B6" s="26" t="n">
        <f aca="false">'Control Panel'!B11</f>
        <v>400000000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7.25" hidden="false" customHeight="true" outlineLevel="0" collapsed="false">
      <c r="A1" s="21" t="s">
        <v>201</v>
      </c>
    </row>
    <row r="3" customFormat="false" ht="15" hidden="false" customHeight="true" outlineLevel="0" collapsed="false">
      <c r="A3" s="32" t="s">
        <v>196</v>
      </c>
    </row>
    <row r="5" customFormat="false" ht="15" hidden="false" customHeight="true" outlineLevel="0" collapsed="false">
      <c r="A5" s="1" t="s">
        <v>202</v>
      </c>
      <c r="B5" s="33" t="n">
        <f aca="false">1-'Control Panel'!B11/'Borrowing Base - Daily'!B5</f>
        <v>0.435215374058894</v>
      </c>
    </row>
    <row r="6" customFormat="false" ht="15" hidden="false" customHeight="true" outlineLevel="0" collapsed="false">
      <c r="A6" s="1" t="s">
        <v>203</v>
      </c>
      <c r="B6" s="33" t="n">
        <f aca="false">'Control Panel'!$B$41</f>
        <v>0</v>
      </c>
    </row>
    <row r="7" customFormat="false" ht="15" hidden="false" customHeight="true" outlineLevel="0" collapsed="false">
      <c r="A7" s="1" t="s">
        <v>204</v>
      </c>
      <c r="B7" s="13" t="str">
        <f aca="false">IF(B5&gt;=B6,"✓ YES","⚠ NO")</f>
        <v>✓ YES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5"/>
    <col collapsed="false" customWidth="true" hidden="false" outlineLevel="0" max="4" min="2" style="1" width="18"/>
  </cols>
  <sheetData>
    <row r="1" customFormat="false" ht="17.25" hidden="false" customHeight="true" outlineLevel="0" collapsed="false">
      <c r="A1" s="21" t="s">
        <v>205</v>
      </c>
    </row>
    <row r="3" customFormat="false" ht="15" hidden="false" customHeight="true" outlineLevel="0" collapsed="false">
      <c r="A3" s="29" t="s">
        <v>206</v>
      </c>
      <c r="B3" s="29" t="s">
        <v>207</v>
      </c>
      <c r="C3" s="29" t="s">
        <v>208</v>
      </c>
      <c r="D3" s="29" t="s">
        <v>209</v>
      </c>
    </row>
    <row r="4" customFormat="false" ht="15" hidden="false" customHeight="true" outlineLevel="0" collapsed="false">
      <c r="A4" s="1" t="s">
        <v>210</v>
      </c>
      <c r="B4" s="34" t="n">
        <v>5000000</v>
      </c>
      <c r="C4" s="26" t="n">
        <v>5460000</v>
      </c>
      <c r="D4" s="9" t="n">
        <f aca="false">B4-C4</f>
        <v>-460000</v>
      </c>
    </row>
    <row r="5" customFormat="false" ht="15" hidden="false" customHeight="true" outlineLevel="0" collapsed="false">
      <c r="A5" s="1" t="s">
        <v>211</v>
      </c>
      <c r="B5" s="34" t="n">
        <v>1500000</v>
      </c>
      <c r="C5" s="26" t="n">
        <v>1200000</v>
      </c>
      <c r="D5" s="9" t="n">
        <f aca="false">B5-C5</f>
        <v>300000</v>
      </c>
    </row>
    <row r="6" customFormat="false" ht="15" hidden="false" customHeight="true" outlineLevel="0" collapsed="false">
      <c r="A6" s="1" t="s">
        <v>212</v>
      </c>
      <c r="B6" s="34" t="n">
        <v>10000000</v>
      </c>
      <c r="C6" s="26" t="n">
        <f aca="false">'Eligibility &amp; Concentration'!B7*0.015</f>
        <v>10802658.15</v>
      </c>
      <c r="D6" s="9" t="n">
        <f aca="false">B6-C6</f>
        <v>-802658.15</v>
      </c>
    </row>
    <row r="7" customFormat="false" ht="15" hidden="false" customHeight="true" outlineLevel="0" collapsed="false">
      <c r="A7" s="1" t="s">
        <v>213</v>
      </c>
      <c r="B7" s="34" t="n">
        <v>500000</v>
      </c>
      <c r="C7" s="34" t="n">
        <v>1000000</v>
      </c>
      <c r="D7" s="9" t="n">
        <f aca="false">B7-C7</f>
        <v>-500000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35"/>
    <col collapsed="false" customWidth="true" hidden="false" outlineLevel="0" max="2" min="2" style="1" width="20"/>
    <col collapsed="false" customWidth="true" hidden="false" outlineLevel="0" max="3" min="3" style="1" width="10"/>
  </cols>
  <sheetData>
    <row r="1" customFormat="false" ht="17.25" hidden="false" customHeight="true" outlineLevel="0" collapsed="false">
      <c r="A1" s="21" t="s">
        <v>214</v>
      </c>
    </row>
    <row r="3" customFormat="false" ht="15" hidden="false" customHeight="true" outlineLevel="0" collapsed="false">
      <c r="A3" s="35" t="s">
        <v>215</v>
      </c>
    </row>
    <row r="5" customFormat="false" ht="15" hidden="false" customHeight="true" outlineLevel="0" collapsed="false">
      <c r="A5" s="1" t="s">
        <v>216</v>
      </c>
      <c r="B5" s="36" t="n">
        <f aca="false">'Eligibility &amp; Concentration'!B8</f>
        <v>63.9129729164592</v>
      </c>
      <c r="C5" s="1" t="s">
        <v>73</v>
      </c>
    </row>
    <row r="6" customFormat="false" ht="15" hidden="false" customHeight="true" outlineLevel="0" collapsed="false">
      <c r="A6" s="1" t="s">
        <v>217</v>
      </c>
      <c r="B6" s="20" t="n">
        <f aca="false">30/B5</f>
        <v>0.469388273319926</v>
      </c>
    </row>
    <row r="7" customFormat="false" ht="15" hidden="false" customHeight="true" outlineLevel="0" collapsed="false">
      <c r="A7" s="1" t="s">
        <v>218</v>
      </c>
      <c r="B7" s="26" t="n">
        <f aca="false">'Eligibility &amp; Concentration'!B7</f>
        <v>720177210</v>
      </c>
    </row>
    <row r="8" customFormat="false" ht="15" hidden="false" customHeight="true" outlineLevel="0" collapsed="false">
      <c r="A8" s="1" t="s">
        <v>219</v>
      </c>
      <c r="B8" s="9" t="n">
        <v>723796269</v>
      </c>
    </row>
    <row r="9" customFormat="false" ht="15" hidden="false" customHeight="true" outlineLevel="0" collapsed="false">
      <c r="A9" s="1" t="s">
        <v>220</v>
      </c>
      <c r="B9" s="27" t="n">
        <f aca="false">'Control Panel'!B95</f>
        <v>0</v>
      </c>
    </row>
    <row r="10" customFormat="false" ht="15" hidden="false" customHeight="true" outlineLevel="0" collapsed="false">
      <c r="A10" s="1" t="s">
        <v>221</v>
      </c>
      <c r="B10" s="9" t="n">
        <f aca="false">'Control Panel'!B95</f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35"/>
    <col collapsed="false" customWidth="true" hidden="false" outlineLevel="0" max="4" min="3" style="1" width="18"/>
  </cols>
  <sheetData>
    <row r="1" customFormat="false" ht="17.25" hidden="false" customHeight="true" outlineLevel="0" collapsed="false">
      <c r="A1" s="21" t="s">
        <v>222</v>
      </c>
    </row>
    <row r="3" customFormat="false" ht="15" hidden="false" customHeight="true" outlineLevel="0" collapsed="false">
      <c r="A3" s="1" t="s">
        <v>223</v>
      </c>
      <c r="B3" s="26" t="n">
        <f aca="false">'Collections &amp; Sales'!B11</f>
        <v>0</v>
      </c>
    </row>
    <row r="5" customFormat="false" ht="15" hidden="false" customHeight="true" outlineLevel="0" collapsed="false">
      <c r="A5" s="29" t="s">
        <v>224</v>
      </c>
      <c r="B5" s="29" t="s">
        <v>225</v>
      </c>
      <c r="C5" s="29" t="s">
        <v>226</v>
      </c>
      <c r="D5" s="29" t="s">
        <v>227</v>
      </c>
    </row>
    <row r="6" customFormat="false" ht="15" hidden="false" customHeight="true" outlineLevel="0" collapsed="false">
      <c r="A6" s="1" t="s">
        <v>228</v>
      </c>
      <c r="B6" s="1" t="s">
        <v>229</v>
      </c>
      <c r="C6" s="9" t="n">
        <v>50000</v>
      </c>
      <c r="D6" s="9" t="n">
        <f aca="false">B3-C6</f>
        <v>-50000</v>
      </c>
    </row>
    <row r="7" customFormat="false" ht="15" hidden="false" customHeight="true" outlineLevel="0" collapsed="false">
      <c r="A7" s="1" t="s">
        <v>230</v>
      </c>
      <c r="B7" s="1" t="s">
        <v>231</v>
      </c>
      <c r="C7" s="26" t="n">
        <v>7000000</v>
      </c>
      <c r="D7" s="9" t="n">
        <f aca="false">B3-C7</f>
        <v>-7000000</v>
      </c>
    </row>
    <row r="8" customFormat="false" ht="15" hidden="false" customHeight="true" outlineLevel="0" collapsed="false">
      <c r="A8" s="1" t="s">
        <v>232</v>
      </c>
      <c r="B8" s="1" t="s">
        <v>233</v>
      </c>
      <c r="C8" s="26" t="n">
        <v>2000000</v>
      </c>
      <c r="D8" s="9" t="n">
        <f aca="false">D7-C8</f>
        <v>-9000000</v>
      </c>
    </row>
    <row r="9" customFormat="false" ht="15" hidden="false" customHeight="true" outlineLevel="0" collapsed="false">
      <c r="A9" s="1" t="s">
        <v>234</v>
      </c>
      <c r="B9" s="1" t="s">
        <v>235</v>
      </c>
      <c r="C9" s="26" t="n">
        <v>4000000</v>
      </c>
      <c r="D9" s="9" t="n">
        <f aca="false">D8-C9</f>
        <v>-13000000</v>
      </c>
    </row>
    <row r="10" customFormat="false" ht="15" hidden="false" customHeight="true" outlineLevel="0" collapsed="false">
      <c r="A10" s="1" t="s">
        <v>236</v>
      </c>
      <c r="B10" s="1" t="s">
        <v>237</v>
      </c>
      <c r="C10" s="34" t="n">
        <v>0</v>
      </c>
      <c r="D10" s="9" t="n">
        <f aca="false">D9-C10</f>
        <v>-13000000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2025-10-28T19:35:45Z</dcterms:created>
  <dc:creator>openpyxl</dc:creator>
  <dc:description/>
  <dc:language>en-US</dc:language>
  <cp:lastModifiedBy/>
  <dcterms:modified xsi:type="dcterms:W3CDTF">2025-10-28T19:38:21Z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