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hidePivotFieldList="1" autoCompressPictures="0"/>
  <bookViews>
    <workbookView xWindow="1060" yWindow="1360" windowWidth="31300" windowHeight="17620" tabRatio="500" activeTab="1"/>
  </bookViews>
  <sheets>
    <sheet name="Data" sheetId="1" r:id="rId1"/>
    <sheet name="Distances" sheetId="2" r:id="rId2"/>
    <sheet name="buildtime" sheetId="7" r:id="rId3"/>
    <sheet name="partialcf" sheetId="4" r:id="rId4"/>
    <sheet name="fullcf" sheetId="5" r:id="rId5"/>
    <sheet name="df" sheetId="6" r:id="rId6"/>
    <sheet name="SLA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D80" i="2"/>
  <c r="E80" i="2"/>
  <c r="F80" i="2"/>
  <c r="G80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7" i="2"/>
  <c r="E87" i="2"/>
  <c r="F87" i="2"/>
  <c r="G8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D102" i="2"/>
  <c r="E102" i="2"/>
  <c r="F102" i="2"/>
  <c r="G102" i="2"/>
  <c r="D103" i="2"/>
  <c r="E103" i="2"/>
  <c r="F103" i="2"/>
  <c r="G103" i="2"/>
  <c r="D104" i="2"/>
  <c r="E104" i="2"/>
  <c r="F104" i="2"/>
  <c r="G104" i="2"/>
  <c r="D105" i="2"/>
  <c r="E105" i="2"/>
  <c r="F105" i="2"/>
  <c r="G105" i="2"/>
  <c r="D106" i="2"/>
  <c r="E106" i="2"/>
  <c r="F106" i="2"/>
  <c r="G106" i="2"/>
  <c r="D107" i="2"/>
  <c r="E107" i="2"/>
  <c r="F107" i="2"/>
  <c r="G107" i="2"/>
  <c r="D108" i="2"/>
  <c r="E108" i="2"/>
  <c r="F108" i="2"/>
  <c r="G108" i="2"/>
  <c r="D109" i="2"/>
  <c r="E109" i="2"/>
  <c r="F109" i="2"/>
  <c r="G109" i="2"/>
  <c r="D110" i="2"/>
  <c r="E110" i="2"/>
  <c r="F110" i="2"/>
  <c r="G110" i="2"/>
  <c r="D111" i="2"/>
  <c r="E111" i="2"/>
  <c r="F111" i="2"/>
  <c r="G111" i="2"/>
  <c r="D112" i="2"/>
  <c r="E112" i="2"/>
  <c r="F112" i="2"/>
  <c r="G112" i="2"/>
  <c r="D113" i="2"/>
  <c r="E113" i="2"/>
  <c r="F113" i="2"/>
  <c r="G113" i="2"/>
  <c r="D114" i="2"/>
  <c r="E114" i="2"/>
  <c r="F114" i="2"/>
  <c r="G114" i="2"/>
  <c r="D115" i="2"/>
  <c r="E115" i="2"/>
  <c r="F115" i="2"/>
  <c r="G115" i="2"/>
  <c r="D116" i="2"/>
  <c r="E116" i="2"/>
  <c r="F116" i="2"/>
  <c r="G116" i="2"/>
  <c r="D117" i="2"/>
  <c r="E117" i="2"/>
  <c r="F117" i="2"/>
  <c r="G117" i="2"/>
  <c r="D118" i="2"/>
  <c r="E118" i="2"/>
  <c r="F118" i="2"/>
  <c r="G118" i="2"/>
  <c r="D119" i="2"/>
  <c r="E119" i="2"/>
  <c r="F119" i="2"/>
  <c r="G119" i="2"/>
  <c r="D120" i="2"/>
  <c r="E120" i="2"/>
  <c r="F120" i="2"/>
  <c r="G120" i="2"/>
  <c r="D121" i="2"/>
  <c r="E121" i="2"/>
  <c r="F121" i="2"/>
  <c r="G121" i="2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G126" i="2"/>
  <c r="D127" i="2"/>
  <c r="E127" i="2"/>
  <c r="F127" i="2"/>
  <c r="G127" i="2"/>
  <c r="D128" i="2"/>
  <c r="E128" i="2"/>
  <c r="F128" i="2"/>
  <c r="G128" i="2"/>
  <c r="D129" i="2"/>
  <c r="E129" i="2"/>
  <c r="F129" i="2"/>
  <c r="G129" i="2"/>
  <c r="D130" i="2"/>
  <c r="E130" i="2"/>
  <c r="F130" i="2"/>
  <c r="G130" i="2"/>
  <c r="D131" i="2"/>
  <c r="E131" i="2"/>
  <c r="F131" i="2"/>
  <c r="G131" i="2"/>
  <c r="D132" i="2"/>
  <c r="E132" i="2"/>
  <c r="F132" i="2"/>
  <c r="G132" i="2"/>
  <c r="D133" i="2"/>
  <c r="E133" i="2"/>
  <c r="F133" i="2"/>
  <c r="G133" i="2"/>
  <c r="D134" i="2"/>
  <c r="E134" i="2"/>
  <c r="F134" i="2"/>
  <c r="G134" i="2"/>
  <c r="D135" i="2"/>
  <c r="E135" i="2"/>
  <c r="F135" i="2"/>
  <c r="G135" i="2"/>
  <c r="D136" i="2"/>
  <c r="E136" i="2"/>
  <c r="F136" i="2"/>
  <c r="G136" i="2"/>
  <c r="D137" i="2"/>
  <c r="E137" i="2"/>
  <c r="F137" i="2"/>
  <c r="G137" i="2"/>
  <c r="D138" i="2"/>
  <c r="E138" i="2"/>
  <c r="F138" i="2"/>
  <c r="G138" i="2"/>
  <c r="D139" i="2"/>
  <c r="E139" i="2"/>
  <c r="F139" i="2"/>
  <c r="G139" i="2"/>
  <c r="D140" i="2"/>
  <c r="E140" i="2"/>
  <c r="F140" i="2"/>
  <c r="G140" i="2"/>
  <c r="D141" i="2"/>
  <c r="E141" i="2"/>
  <c r="F141" i="2"/>
  <c r="G141" i="2"/>
  <c r="D142" i="2"/>
  <c r="E142" i="2"/>
  <c r="F142" i="2"/>
  <c r="G142" i="2"/>
  <c r="D143" i="2"/>
  <c r="E143" i="2"/>
  <c r="F143" i="2"/>
  <c r="G143" i="2"/>
  <c r="D144" i="2"/>
  <c r="E144" i="2"/>
  <c r="F144" i="2"/>
  <c r="G144" i="2"/>
  <c r="D145" i="2"/>
  <c r="E145" i="2"/>
  <c r="F145" i="2"/>
  <c r="G145" i="2"/>
  <c r="D146" i="2"/>
  <c r="E146" i="2"/>
  <c r="F146" i="2"/>
  <c r="G146" i="2"/>
  <c r="D147" i="2"/>
  <c r="E147" i="2"/>
  <c r="F147" i="2"/>
  <c r="G147" i="2"/>
  <c r="D148" i="2"/>
  <c r="E148" i="2"/>
  <c r="F148" i="2"/>
  <c r="G148" i="2"/>
  <c r="D149" i="2"/>
  <c r="E149" i="2"/>
  <c r="F149" i="2"/>
  <c r="G149" i="2"/>
  <c r="D150" i="2"/>
  <c r="E150" i="2"/>
  <c r="F150" i="2"/>
  <c r="G150" i="2"/>
  <c r="D151" i="2"/>
  <c r="E151" i="2"/>
  <c r="F151" i="2"/>
  <c r="G151" i="2"/>
  <c r="D152" i="2"/>
  <c r="E152" i="2"/>
  <c r="F152" i="2"/>
  <c r="G152" i="2"/>
  <c r="D153" i="2"/>
  <c r="E153" i="2"/>
  <c r="F153" i="2"/>
  <c r="G153" i="2"/>
  <c r="D154" i="2"/>
  <c r="E154" i="2"/>
  <c r="F154" i="2"/>
  <c r="G154" i="2"/>
  <c r="D155" i="2"/>
  <c r="E155" i="2"/>
  <c r="F155" i="2"/>
  <c r="G155" i="2"/>
  <c r="D156" i="2"/>
  <c r="E156" i="2"/>
  <c r="F156" i="2"/>
  <c r="G156" i="2"/>
  <c r="D157" i="2"/>
  <c r="E157" i="2"/>
  <c r="F157" i="2"/>
  <c r="G157" i="2"/>
  <c r="D158" i="2"/>
  <c r="E158" i="2"/>
  <c r="F158" i="2"/>
  <c r="G158" i="2"/>
  <c r="D159" i="2"/>
  <c r="E159" i="2"/>
  <c r="F159" i="2"/>
  <c r="G159" i="2"/>
  <c r="D160" i="2"/>
  <c r="E160" i="2"/>
  <c r="F160" i="2"/>
  <c r="G160" i="2"/>
  <c r="D161" i="2"/>
  <c r="E161" i="2"/>
  <c r="F161" i="2"/>
  <c r="G161" i="2"/>
  <c r="D162" i="2"/>
  <c r="E162" i="2"/>
  <c r="F162" i="2"/>
  <c r="G162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3" i="2"/>
  <c r="E173" i="2"/>
  <c r="F173" i="2"/>
  <c r="G173" i="2"/>
  <c r="D174" i="2"/>
  <c r="E174" i="2"/>
  <c r="F174" i="2"/>
  <c r="G174" i="2"/>
  <c r="D175" i="2"/>
  <c r="E175" i="2"/>
  <c r="F175" i="2"/>
  <c r="G175" i="2"/>
  <c r="D176" i="2"/>
  <c r="E176" i="2"/>
  <c r="F176" i="2"/>
  <c r="G176" i="2"/>
  <c r="H10" i="2"/>
  <c r="U120" i="1"/>
  <c r="S10" i="2"/>
  <c r="V120" i="1"/>
  <c r="T10" i="2"/>
  <c r="W120" i="1"/>
  <c r="U10" i="2"/>
  <c r="V10" i="2"/>
  <c r="U171" i="1"/>
  <c r="S11" i="2"/>
  <c r="V171" i="1"/>
  <c r="T11" i="2"/>
  <c r="W171" i="1"/>
  <c r="U11" i="2"/>
  <c r="V11" i="2"/>
  <c r="U147" i="1"/>
  <c r="S12" i="2"/>
  <c r="V147" i="1"/>
  <c r="T12" i="2"/>
  <c r="W147" i="1"/>
  <c r="U12" i="2"/>
  <c r="V12" i="2"/>
  <c r="U64" i="1"/>
  <c r="S13" i="2"/>
  <c r="V64" i="1"/>
  <c r="T13" i="2"/>
  <c r="W64" i="1"/>
  <c r="U13" i="2"/>
  <c r="V13" i="2"/>
  <c r="U24" i="1"/>
  <c r="S14" i="2"/>
  <c r="V24" i="1"/>
  <c r="T14" i="2"/>
  <c r="W24" i="1"/>
  <c r="U14" i="2"/>
  <c r="V14" i="2"/>
  <c r="U34" i="1"/>
  <c r="S15" i="2"/>
  <c r="V34" i="1"/>
  <c r="T15" i="2"/>
  <c r="W34" i="1"/>
  <c r="U15" i="2"/>
  <c r="V15" i="2"/>
  <c r="U29" i="1"/>
  <c r="S16" i="2"/>
  <c r="V29" i="1"/>
  <c r="T16" i="2"/>
  <c r="W29" i="1"/>
  <c r="U16" i="2"/>
  <c r="V16" i="2"/>
  <c r="U149" i="1"/>
  <c r="S17" i="2"/>
  <c r="V149" i="1"/>
  <c r="T17" i="2"/>
  <c r="W149" i="1"/>
  <c r="U17" i="2"/>
  <c r="V17" i="2"/>
  <c r="U115" i="1"/>
  <c r="S18" i="2"/>
  <c r="V115" i="1"/>
  <c r="T18" i="2"/>
  <c r="W115" i="1"/>
  <c r="U18" i="2"/>
  <c r="V18" i="2"/>
  <c r="U116" i="1"/>
  <c r="S19" i="2"/>
  <c r="V116" i="1"/>
  <c r="T19" i="2"/>
  <c r="W116" i="1"/>
  <c r="U19" i="2"/>
  <c r="V19" i="2"/>
  <c r="U21" i="1"/>
  <c r="S20" i="2"/>
  <c r="V21" i="1"/>
  <c r="T20" i="2"/>
  <c r="W21" i="1"/>
  <c r="U20" i="2"/>
  <c r="V20" i="2"/>
  <c r="U85" i="1"/>
  <c r="S21" i="2"/>
  <c r="V85" i="1"/>
  <c r="T21" i="2"/>
  <c r="W85" i="1"/>
  <c r="U21" i="2"/>
  <c r="V21" i="2"/>
  <c r="U63" i="1"/>
  <c r="S22" i="2"/>
  <c r="V63" i="1"/>
  <c r="T22" i="2"/>
  <c r="W63" i="1"/>
  <c r="U22" i="2"/>
  <c r="V22" i="2"/>
  <c r="U87" i="1"/>
  <c r="S23" i="2"/>
  <c r="V87" i="1"/>
  <c r="T23" i="2"/>
  <c r="W87" i="1"/>
  <c r="U23" i="2"/>
  <c r="V23" i="2"/>
  <c r="U98" i="1"/>
  <c r="S24" i="2"/>
  <c r="V98" i="1"/>
  <c r="T24" i="2"/>
  <c r="W98" i="1"/>
  <c r="U24" i="2"/>
  <c r="V24" i="2"/>
  <c r="U103" i="1"/>
  <c r="S25" i="2"/>
  <c r="V103" i="1"/>
  <c r="T25" i="2"/>
  <c r="W103" i="1"/>
  <c r="U25" i="2"/>
  <c r="V25" i="2"/>
  <c r="U117" i="1"/>
  <c r="S26" i="2"/>
  <c r="V117" i="1"/>
  <c r="T26" i="2"/>
  <c r="W117" i="1"/>
  <c r="U26" i="2"/>
  <c r="V26" i="2"/>
  <c r="U50" i="1"/>
  <c r="S27" i="2"/>
  <c r="V50" i="1"/>
  <c r="T27" i="2"/>
  <c r="W50" i="1"/>
  <c r="U27" i="2"/>
  <c r="V27" i="2"/>
  <c r="U61" i="1"/>
  <c r="S28" i="2"/>
  <c r="V61" i="1"/>
  <c r="T28" i="2"/>
  <c r="W61" i="1"/>
  <c r="U28" i="2"/>
  <c r="V28" i="2"/>
  <c r="U74" i="1"/>
  <c r="S29" i="2"/>
  <c r="V74" i="1"/>
  <c r="T29" i="2"/>
  <c r="W74" i="1"/>
  <c r="U29" i="2"/>
  <c r="V29" i="2"/>
  <c r="U105" i="1"/>
  <c r="S30" i="2"/>
  <c r="V105" i="1"/>
  <c r="T30" i="2"/>
  <c r="W105" i="1"/>
  <c r="U30" i="2"/>
  <c r="V30" i="2"/>
  <c r="U114" i="1"/>
  <c r="S31" i="2"/>
  <c r="V114" i="1"/>
  <c r="T31" i="2"/>
  <c r="W114" i="1"/>
  <c r="U31" i="2"/>
  <c r="V31" i="2"/>
  <c r="U136" i="1"/>
  <c r="S32" i="2"/>
  <c r="V136" i="1"/>
  <c r="T32" i="2"/>
  <c r="W136" i="1"/>
  <c r="U32" i="2"/>
  <c r="V32" i="2"/>
  <c r="U13" i="1"/>
  <c r="S33" i="2"/>
  <c r="V13" i="1"/>
  <c r="T33" i="2"/>
  <c r="W13" i="1"/>
  <c r="U33" i="2"/>
  <c r="V33" i="2"/>
  <c r="U151" i="1"/>
  <c r="S34" i="2"/>
  <c r="V151" i="1"/>
  <c r="T34" i="2"/>
  <c r="W151" i="1"/>
  <c r="U34" i="2"/>
  <c r="V34" i="2"/>
  <c r="U28" i="1"/>
  <c r="S35" i="2"/>
  <c r="V28" i="1"/>
  <c r="T35" i="2"/>
  <c r="W28" i="1"/>
  <c r="U35" i="2"/>
  <c r="V35" i="2"/>
  <c r="U16" i="1"/>
  <c r="S36" i="2"/>
  <c r="V16" i="1"/>
  <c r="T36" i="2"/>
  <c r="W16" i="1"/>
  <c r="U36" i="2"/>
  <c r="V36" i="2"/>
  <c r="U125" i="1"/>
  <c r="S37" i="2"/>
  <c r="V125" i="1"/>
  <c r="T37" i="2"/>
  <c r="W125" i="1"/>
  <c r="U37" i="2"/>
  <c r="V37" i="2"/>
  <c r="U130" i="1"/>
  <c r="S38" i="2"/>
  <c r="V130" i="1"/>
  <c r="T38" i="2"/>
  <c r="W130" i="1"/>
  <c r="U38" i="2"/>
  <c r="V38" i="2"/>
  <c r="U137" i="1"/>
  <c r="S39" i="2"/>
  <c r="V137" i="1"/>
  <c r="T39" i="2"/>
  <c r="W137" i="1"/>
  <c r="U39" i="2"/>
  <c r="V39" i="2"/>
  <c r="U158" i="1"/>
  <c r="S40" i="2"/>
  <c r="V158" i="1"/>
  <c r="T40" i="2"/>
  <c r="W158" i="1"/>
  <c r="U40" i="2"/>
  <c r="V40" i="2"/>
  <c r="U160" i="1"/>
  <c r="S41" i="2"/>
  <c r="V160" i="1"/>
  <c r="T41" i="2"/>
  <c r="W160" i="1"/>
  <c r="U41" i="2"/>
  <c r="V41" i="2"/>
  <c r="U107" i="1"/>
  <c r="S42" i="2"/>
  <c r="V107" i="1"/>
  <c r="T42" i="2"/>
  <c r="W107" i="1"/>
  <c r="U42" i="2"/>
  <c r="V42" i="2"/>
  <c r="U135" i="1"/>
  <c r="S43" i="2"/>
  <c r="V135" i="1"/>
  <c r="T43" i="2"/>
  <c r="W135" i="1"/>
  <c r="U43" i="2"/>
  <c r="V43" i="2"/>
  <c r="U140" i="1"/>
  <c r="S44" i="2"/>
  <c r="V140" i="1"/>
  <c r="T44" i="2"/>
  <c r="W140" i="1"/>
  <c r="U44" i="2"/>
  <c r="V44" i="2"/>
  <c r="U39" i="1"/>
  <c r="S45" i="2"/>
  <c r="V39" i="1"/>
  <c r="T45" i="2"/>
  <c r="W39" i="1"/>
  <c r="U45" i="2"/>
  <c r="V45" i="2"/>
  <c r="U53" i="1"/>
  <c r="S46" i="2"/>
  <c r="V53" i="1"/>
  <c r="T46" i="2"/>
  <c r="W53" i="1"/>
  <c r="U46" i="2"/>
  <c r="V46" i="2"/>
  <c r="U100" i="1"/>
  <c r="S47" i="2"/>
  <c r="V100" i="1"/>
  <c r="T47" i="2"/>
  <c r="W100" i="1"/>
  <c r="U47" i="2"/>
  <c r="V47" i="2"/>
  <c r="U162" i="1"/>
  <c r="S48" i="2"/>
  <c r="V162" i="1"/>
  <c r="T48" i="2"/>
  <c r="W162" i="1"/>
  <c r="U48" i="2"/>
  <c r="V48" i="2"/>
  <c r="U170" i="1"/>
  <c r="S49" i="2"/>
  <c r="V170" i="1"/>
  <c r="T49" i="2"/>
  <c r="W170" i="1"/>
  <c r="U49" i="2"/>
  <c r="V49" i="2"/>
  <c r="U54" i="1"/>
  <c r="S50" i="2"/>
  <c r="V54" i="1"/>
  <c r="T50" i="2"/>
  <c r="W54" i="1"/>
  <c r="U50" i="2"/>
  <c r="V50" i="2"/>
  <c r="U55" i="1"/>
  <c r="S51" i="2"/>
  <c r="V55" i="1"/>
  <c r="T51" i="2"/>
  <c r="W55" i="1"/>
  <c r="U51" i="2"/>
  <c r="V51" i="2"/>
  <c r="U60" i="1"/>
  <c r="S52" i="2"/>
  <c r="V60" i="1"/>
  <c r="T52" i="2"/>
  <c r="W60" i="1"/>
  <c r="U52" i="2"/>
  <c r="V52" i="2"/>
  <c r="U65" i="1"/>
  <c r="S53" i="2"/>
  <c r="V65" i="1"/>
  <c r="T53" i="2"/>
  <c r="W65" i="1"/>
  <c r="U53" i="2"/>
  <c r="V53" i="2"/>
  <c r="U17" i="1"/>
  <c r="S54" i="2"/>
  <c r="V17" i="1"/>
  <c r="T54" i="2"/>
  <c r="W17" i="1"/>
  <c r="U54" i="2"/>
  <c r="V54" i="2"/>
  <c r="U42" i="1"/>
  <c r="S55" i="2"/>
  <c r="V42" i="1"/>
  <c r="T55" i="2"/>
  <c r="W42" i="1"/>
  <c r="U55" i="2"/>
  <c r="V55" i="2"/>
  <c r="U68" i="1"/>
  <c r="S56" i="2"/>
  <c r="V68" i="1"/>
  <c r="T56" i="2"/>
  <c r="W68" i="1"/>
  <c r="U56" i="2"/>
  <c r="V56" i="2"/>
  <c r="U93" i="1"/>
  <c r="S57" i="2"/>
  <c r="V93" i="1"/>
  <c r="T57" i="2"/>
  <c r="W93" i="1"/>
  <c r="U57" i="2"/>
  <c r="V57" i="2"/>
  <c r="U119" i="1"/>
  <c r="S58" i="2"/>
  <c r="V119" i="1"/>
  <c r="T58" i="2"/>
  <c r="W119" i="1"/>
  <c r="U58" i="2"/>
  <c r="V58" i="2"/>
  <c r="U155" i="1"/>
  <c r="S59" i="2"/>
  <c r="V155" i="1"/>
  <c r="T59" i="2"/>
  <c r="W155" i="1"/>
  <c r="U59" i="2"/>
  <c r="V59" i="2"/>
  <c r="U22" i="1"/>
  <c r="S60" i="2"/>
  <c r="V22" i="1"/>
  <c r="T60" i="2"/>
  <c r="W22" i="1"/>
  <c r="U60" i="2"/>
  <c r="V60" i="2"/>
  <c r="U89" i="1"/>
  <c r="S61" i="2"/>
  <c r="V89" i="1"/>
  <c r="T61" i="2"/>
  <c r="W89" i="1"/>
  <c r="U61" i="2"/>
  <c r="V61" i="2"/>
  <c r="U118" i="1"/>
  <c r="S62" i="2"/>
  <c r="V118" i="1"/>
  <c r="T62" i="2"/>
  <c r="W118" i="1"/>
  <c r="U62" i="2"/>
  <c r="V62" i="2"/>
  <c r="U127" i="1"/>
  <c r="S63" i="2"/>
  <c r="V127" i="1"/>
  <c r="T63" i="2"/>
  <c r="W127" i="1"/>
  <c r="U63" i="2"/>
  <c r="V63" i="2"/>
  <c r="U163" i="1"/>
  <c r="S64" i="2"/>
  <c r="V163" i="1"/>
  <c r="T64" i="2"/>
  <c r="W163" i="1"/>
  <c r="U64" i="2"/>
  <c r="V64" i="2"/>
  <c r="U153" i="1"/>
  <c r="S65" i="2"/>
  <c r="V153" i="1"/>
  <c r="T65" i="2"/>
  <c r="W153" i="1"/>
  <c r="U65" i="2"/>
  <c r="V65" i="2"/>
  <c r="U67" i="1"/>
  <c r="S66" i="2"/>
  <c r="V67" i="1"/>
  <c r="T66" i="2"/>
  <c r="W67" i="1"/>
  <c r="U66" i="2"/>
  <c r="V66" i="2"/>
  <c r="U72" i="1"/>
  <c r="S67" i="2"/>
  <c r="V72" i="1"/>
  <c r="T67" i="2"/>
  <c r="W72" i="1"/>
  <c r="U67" i="2"/>
  <c r="V67" i="2"/>
  <c r="U77" i="1"/>
  <c r="S68" i="2"/>
  <c r="V77" i="1"/>
  <c r="T68" i="2"/>
  <c r="W77" i="1"/>
  <c r="U68" i="2"/>
  <c r="V68" i="2"/>
  <c r="U44" i="1"/>
  <c r="S69" i="2"/>
  <c r="V44" i="1"/>
  <c r="T69" i="2"/>
  <c r="W44" i="1"/>
  <c r="U69" i="2"/>
  <c r="V69" i="2"/>
  <c r="U11" i="1"/>
  <c r="S70" i="2"/>
  <c r="V11" i="1"/>
  <c r="T70" i="2"/>
  <c r="W11" i="1"/>
  <c r="U70" i="2"/>
  <c r="V70" i="2"/>
  <c r="U123" i="1"/>
  <c r="S71" i="2"/>
  <c r="V123" i="1"/>
  <c r="T71" i="2"/>
  <c r="W123" i="1"/>
  <c r="U71" i="2"/>
  <c r="V71" i="2"/>
  <c r="U15" i="1"/>
  <c r="S72" i="2"/>
  <c r="V15" i="1"/>
  <c r="T72" i="2"/>
  <c r="W15" i="1"/>
  <c r="U72" i="2"/>
  <c r="V72" i="2"/>
  <c r="U154" i="1"/>
  <c r="S73" i="2"/>
  <c r="V154" i="1"/>
  <c r="T73" i="2"/>
  <c r="W154" i="1"/>
  <c r="U73" i="2"/>
  <c r="V73" i="2"/>
  <c r="U12" i="1"/>
  <c r="S74" i="2"/>
  <c r="V12" i="1"/>
  <c r="T74" i="2"/>
  <c r="W12" i="1"/>
  <c r="U74" i="2"/>
  <c r="V74" i="2"/>
  <c r="U152" i="1"/>
  <c r="S75" i="2"/>
  <c r="V152" i="1"/>
  <c r="T75" i="2"/>
  <c r="W152" i="1"/>
  <c r="U75" i="2"/>
  <c r="V75" i="2"/>
  <c r="U157" i="1"/>
  <c r="S76" i="2"/>
  <c r="V157" i="1"/>
  <c r="T76" i="2"/>
  <c r="W157" i="1"/>
  <c r="U76" i="2"/>
  <c r="V76" i="2"/>
  <c r="U31" i="1"/>
  <c r="S77" i="2"/>
  <c r="V31" i="1"/>
  <c r="T77" i="2"/>
  <c r="W31" i="1"/>
  <c r="U77" i="2"/>
  <c r="V77" i="2"/>
  <c r="U58" i="1"/>
  <c r="S78" i="2"/>
  <c r="V58" i="1"/>
  <c r="T78" i="2"/>
  <c r="W58" i="1"/>
  <c r="U78" i="2"/>
  <c r="V78" i="2"/>
  <c r="U169" i="1"/>
  <c r="S79" i="2"/>
  <c r="V169" i="1"/>
  <c r="T79" i="2"/>
  <c r="W169" i="1"/>
  <c r="U79" i="2"/>
  <c r="V79" i="2"/>
  <c r="U102" i="1"/>
  <c r="S80" i="2"/>
  <c r="V102" i="1"/>
  <c r="T80" i="2"/>
  <c r="W102" i="1"/>
  <c r="U80" i="2"/>
  <c r="V80" i="2"/>
  <c r="U56" i="1"/>
  <c r="S81" i="2"/>
  <c r="V56" i="1"/>
  <c r="T81" i="2"/>
  <c r="W56" i="1"/>
  <c r="U81" i="2"/>
  <c r="V81" i="2"/>
  <c r="U88" i="1"/>
  <c r="S82" i="2"/>
  <c r="V88" i="1"/>
  <c r="T82" i="2"/>
  <c r="W88" i="1"/>
  <c r="U82" i="2"/>
  <c r="V82" i="2"/>
  <c r="U101" i="1"/>
  <c r="S83" i="2"/>
  <c r="V101" i="1"/>
  <c r="T83" i="2"/>
  <c r="W101" i="1"/>
  <c r="U83" i="2"/>
  <c r="V83" i="2"/>
  <c r="U106" i="1"/>
  <c r="S84" i="2"/>
  <c r="V106" i="1"/>
  <c r="T84" i="2"/>
  <c r="W106" i="1"/>
  <c r="U84" i="2"/>
  <c r="V84" i="2"/>
  <c r="U78" i="1"/>
  <c r="S85" i="2"/>
  <c r="V78" i="1"/>
  <c r="T85" i="2"/>
  <c r="W78" i="1"/>
  <c r="U85" i="2"/>
  <c r="V85" i="2"/>
  <c r="U90" i="1"/>
  <c r="S86" i="2"/>
  <c r="V90" i="1"/>
  <c r="T86" i="2"/>
  <c r="W90" i="1"/>
  <c r="U86" i="2"/>
  <c r="V86" i="2"/>
  <c r="U97" i="1"/>
  <c r="S87" i="2"/>
  <c r="V97" i="1"/>
  <c r="T87" i="2"/>
  <c r="W97" i="1"/>
  <c r="U87" i="2"/>
  <c r="V87" i="2"/>
  <c r="U112" i="1"/>
  <c r="S88" i="2"/>
  <c r="V112" i="1"/>
  <c r="T88" i="2"/>
  <c r="W112" i="1"/>
  <c r="U88" i="2"/>
  <c r="V88" i="2"/>
  <c r="U49" i="1"/>
  <c r="S89" i="2"/>
  <c r="V49" i="1"/>
  <c r="T89" i="2"/>
  <c r="W49" i="1"/>
  <c r="U89" i="2"/>
  <c r="V89" i="2"/>
  <c r="U38" i="1"/>
  <c r="S90" i="2"/>
  <c r="V38" i="1"/>
  <c r="T90" i="2"/>
  <c r="W38" i="1"/>
  <c r="U90" i="2"/>
  <c r="V90" i="2"/>
  <c r="U59" i="1"/>
  <c r="S91" i="2"/>
  <c r="V59" i="1"/>
  <c r="T91" i="2"/>
  <c r="W59" i="1"/>
  <c r="U91" i="2"/>
  <c r="V91" i="2"/>
  <c r="U164" i="1"/>
  <c r="S92" i="2"/>
  <c r="V164" i="1"/>
  <c r="T92" i="2"/>
  <c r="W164" i="1"/>
  <c r="U92" i="2"/>
  <c r="V92" i="2"/>
  <c r="U167" i="1"/>
  <c r="S93" i="2"/>
  <c r="V167" i="1"/>
  <c r="T93" i="2"/>
  <c r="W167" i="1"/>
  <c r="U93" i="2"/>
  <c r="V93" i="2"/>
  <c r="U73" i="1"/>
  <c r="S94" i="2"/>
  <c r="V73" i="1"/>
  <c r="T94" i="2"/>
  <c r="W73" i="1"/>
  <c r="U94" i="2"/>
  <c r="V94" i="2"/>
  <c r="U43" i="1"/>
  <c r="S95" i="2"/>
  <c r="V43" i="1"/>
  <c r="T95" i="2"/>
  <c r="W43" i="1"/>
  <c r="U95" i="2"/>
  <c r="V95" i="2"/>
  <c r="U95" i="1"/>
  <c r="S96" i="2"/>
  <c r="V95" i="1"/>
  <c r="T96" i="2"/>
  <c r="W95" i="1"/>
  <c r="U96" i="2"/>
  <c r="V96" i="2"/>
  <c r="U141" i="1"/>
  <c r="S97" i="2"/>
  <c r="V141" i="1"/>
  <c r="T97" i="2"/>
  <c r="W141" i="1"/>
  <c r="U97" i="2"/>
  <c r="V97" i="2"/>
  <c r="U14" i="1"/>
  <c r="S98" i="2"/>
  <c r="V14" i="1"/>
  <c r="T98" i="2"/>
  <c r="W14" i="1"/>
  <c r="U98" i="2"/>
  <c r="V98" i="2"/>
  <c r="U32" i="1"/>
  <c r="S99" i="2"/>
  <c r="V32" i="1"/>
  <c r="T99" i="2"/>
  <c r="W32" i="1"/>
  <c r="U99" i="2"/>
  <c r="V99" i="2"/>
  <c r="U25" i="1"/>
  <c r="S100" i="2"/>
  <c r="V25" i="1"/>
  <c r="T100" i="2"/>
  <c r="W25" i="1"/>
  <c r="U100" i="2"/>
  <c r="V100" i="2"/>
  <c r="U99" i="1"/>
  <c r="S101" i="2"/>
  <c r="V99" i="1"/>
  <c r="T101" i="2"/>
  <c r="W99" i="1"/>
  <c r="U101" i="2"/>
  <c r="V101" i="2"/>
  <c r="U48" i="1"/>
  <c r="S102" i="2"/>
  <c r="V48" i="1"/>
  <c r="T102" i="2"/>
  <c r="W48" i="1"/>
  <c r="U102" i="2"/>
  <c r="V102" i="2"/>
  <c r="U10" i="1"/>
  <c r="S103" i="2"/>
  <c r="V10" i="1"/>
  <c r="T103" i="2"/>
  <c r="W10" i="1"/>
  <c r="U103" i="2"/>
  <c r="V103" i="2"/>
  <c r="U159" i="1"/>
  <c r="S104" i="2"/>
  <c r="V159" i="1"/>
  <c r="T104" i="2"/>
  <c r="W159" i="1"/>
  <c r="U104" i="2"/>
  <c r="V104" i="2"/>
  <c r="U111" i="1"/>
  <c r="S105" i="2"/>
  <c r="V111" i="1"/>
  <c r="T105" i="2"/>
  <c r="W111" i="1"/>
  <c r="U105" i="2"/>
  <c r="V105" i="2"/>
  <c r="U110" i="1"/>
  <c r="S106" i="2"/>
  <c r="V110" i="1"/>
  <c r="T106" i="2"/>
  <c r="W110" i="1"/>
  <c r="U106" i="2"/>
  <c r="V106" i="2"/>
  <c r="U168" i="1"/>
  <c r="S107" i="2"/>
  <c r="V168" i="1"/>
  <c r="T107" i="2"/>
  <c r="W168" i="1"/>
  <c r="U107" i="2"/>
  <c r="V107" i="2"/>
  <c r="U133" i="1"/>
  <c r="S108" i="2"/>
  <c r="V133" i="1"/>
  <c r="T108" i="2"/>
  <c r="W133" i="1"/>
  <c r="U108" i="2"/>
  <c r="V108" i="2"/>
  <c r="U94" i="1"/>
  <c r="S109" i="2"/>
  <c r="V94" i="1"/>
  <c r="T109" i="2"/>
  <c r="W94" i="1"/>
  <c r="U109" i="2"/>
  <c r="V109" i="2"/>
  <c r="U148" i="1"/>
  <c r="S110" i="2"/>
  <c r="V148" i="1"/>
  <c r="T110" i="2"/>
  <c r="W148" i="1"/>
  <c r="U110" i="2"/>
  <c r="V110" i="2"/>
  <c r="U81" i="1"/>
  <c r="S111" i="2"/>
  <c r="V81" i="1"/>
  <c r="T111" i="2"/>
  <c r="W81" i="1"/>
  <c r="U111" i="2"/>
  <c r="V111" i="2"/>
  <c r="U124" i="1"/>
  <c r="S112" i="2"/>
  <c r="V124" i="1"/>
  <c r="T112" i="2"/>
  <c r="W124" i="1"/>
  <c r="U112" i="2"/>
  <c r="V112" i="2"/>
  <c r="U36" i="1"/>
  <c r="S113" i="2"/>
  <c r="V36" i="1"/>
  <c r="T113" i="2"/>
  <c r="W36" i="1"/>
  <c r="U113" i="2"/>
  <c r="V113" i="2"/>
  <c r="U139" i="1"/>
  <c r="S114" i="2"/>
  <c r="V139" i="1"/>
  <c r="T114" i="2"/>
  <c r="W139" i="1"/>
  <c r="U114" i="2"/>
  <c r="V114" i="2"/>
  <c r="U145" i="1"/>
  <c r="S115" i="2"/>
  <c r="V145" i="1"/>
  <c r="T115" i="2"/>
  <c r="W145" i="1"/>
  <c r="U115" i="2"/>
  <c r="V115" i="2"/>
  <c r="U113" i="1"/>
  <c r="S116" i="2"/>
  <c r="V113" i="1"/>
  <c r="T116" i="2"/>
  <c r="W113" i="1"/>
  <c r="U116" i="2"/>
  <c r="V116" i="2"/>
  <c r="U80" i="1"/>
  <c r="S117" i="2"/>
  <c r="V80" i="1"/>
  <c r="T117" i="2"/>
  <c r="W80" i="1"/>
  <c r="U117" i="2"/>
  <c r="V117" i="2"/>
  <c r="U161" i="1"/>
  <c r="S118" i="2"/>
  <c r="V161" i="1"/>
  <c r="T118" i="2"/>
  <c r="W161" i="1"/>
  <c r="U118" i="2"/>
  <c r="V118" i="2"/>
  <c r="U41" i="1"/>
  <c r="S119" i="2"/>
  <c r="V41" i="1"/>
  <c r="T119" i="2"/>
  <c r="W41" i="1"/>
  <c r="U119" i="2"/>
  <c r="V119" i="2"/>
  <c r="U144" i="1"/>
  <c r="S120" i="2"/>
  <c r="V144" i="1"/>
  <c r="T120" i="2"/>
  <c r="W144" i="1"/>
  <c r="U120" i="2"/>
  <c r="V120" i="2"/>
  <c r="U23" i="1"/>
  <c r="S121" i="2"/>
  <c r="V23" i="1"/>
  <c r="T121" i="2"/>
  <c r="W23" i="1"/>
  <c r="U121" i="2"/>
  <c r="V121" i="2"/>
  <c r="U46" i="1"/>
  <c r="S122" i="2"/>
  <c r="V46" i="1"/>
  <c r="T122" i="2"/>
  <c r="W46" i="1"/>
  <c r="U122" i="2"/>
  <c r="V122" i="2"/>
  <c r="U82" i="1"/>
  <c r="S123" i="2"/>
  <c r="V82" i="1"/>
  <c r="T123" i="2"/>
  <c r="W82" i="1"/>
  <c r="U123" i="2"/>
  <c r="V123" i="2"/>
  <c r="U126" i="1"/>
  <c r="S124" i="2"/>
  <c r="V126" i="1"/>
  <c r="T124" i="2"/>
  <c r="W126" i="1"/>
  <c r="U124" i="2"/>
  <c r="V124" i="2"/>
  <c r="U51" i="1"/>
  <c r="S125" i="2"/>
  <c r="V51" i="1"/>
  <c r="T125" i="2"/>
  <c r="W51" i="1"/>
  <c r="U125" i="2"/>
  <c r="V125" i="2"/>
  <c r="U79" i="1"/>
  <c r="S126" i="2"/>
  <c r="V79" i="1"/>
  <c r="T126" i="2"/>
  <c r="W79" i="1"/>
  <c r="U126" i="2"/>
  <c r="V126" i="2"/>
  <c r="U52" i="1"/>
  <c r="S127" i="2"/>
  <c r="V52" i="1"/>
  <c r="T127" i="2"/>
  <c r="W52" i="1"/>
  <c r="U127" i="2"/>
  <c r="V127" i="2"/>
  <c r="U20" i="1"/>
  <c r="S128" i="2"/>
  <c r="V20" i="1"/>
  <c r="T128" i="2"/>
  <c r="W20" i="1"/>
  <c r="U128" i="2"/>
  <c r="V128" i="2"/>
  <c r="U150" i="1"/>
  <c r="S129" i="2"/>
  <c r="V150" i="1"/>
  <c r="T129" i="2"/>
  <c r="W150" i="1"/>
  <c r="U129" i="2"/>
  <c r="V129" i="2"/>
  <c r="U27" i="1"/>
  <c r="S130" i="2"/>
  <c r="V27" i="1"/>
  <c r="T130" i="2"/>
  <c r="W27" i="1"/>
  <c r="U130" i="2"/>
  <c r="V130" i="2"/>
  <c r="U37" i="1"/>
  <c r="S131" i="2"/>
  <c r="V37" i="1"/>
  <c r="T131" i="2"/>
  <c r="W37" i="1"/>
  <c r="U131" i="2"/>
  <c r="V131" i="2"/>
  <c r="U71" i="1"/>
  <c r="S132" i="2"/>
  <c r="V71" i="1"/>
  <c r="T132" i="2"/>
  <c r="W71" i="1"/>
  <c r="U132" i="2"/>
  <c r="V132" i="2"/>
  <c r="U132" i="1"/>
  <c r="S133" i="2"/>
  <c r="V132" i="1"/>
  <c r="T133" i="2"/>
  <c r="W132" i="1"/>
  <c r="U133" i="2"/>
  <c r="V133" i="2"/>
  <c r="U26" i="1"/>
  <c r="S134" i="2"/>
  <c r="V26" i="1"/>
  <c r="T134" i="2"/>
  <c r="W26" i="1"/>
  <c r="U134" i="2"/>
  <c r="V134" i="2"/>
  <c r="U6" i="1"/>
  <c r="S135" i="2"/>
  <c r="V6" i="1"/>
  <c r="T135" i="2"/>
  <c r="W6" i="1"/>
  <c r="U135" i="2"/>
  <c r="V135" i="2"/>
  <c r="U84" i="1"/>
  <c r="S136" i="2"/>
  <c r="V84" i="1"/>
  <c r="T136" i="2"/>
  <c r="W84" i="1"/>
  <c r="U136" i="2"/>
  <c r="V136" i="2"/>
  <c r="U143" i="1"/>
  <c r="S137" i="2"/>
  <c r="V143" i="1"/>
  <c r="T137" i="2"/>
  <c r="W143" i="1"/>
  <c r="U137" i="2"/>
  <c r="V137" i="2"/>
  <c r="U86" i="1"/>
  <c r="S138" i="2"/>
  <c r="V86" i="1"/>
  <c r="T138" i="2"/>
  <c r="W86" i="1"/>
  <c r="U138" i="2"/>
  <c r="V138" i="2"/>
  <c r="U165" i="1"/>
  <c r="S139" i="2"/>
  <c r="V165" i="1"/>
  <c r="T139" i="2"/>
  <c r="W165" i="1"/>
  <c r="U139" i="2"/>
  <c r="V139" i="2"/>
  <c r="U45" i="1"/>
  <c r="S140" i="2"/>
  <c r="V45" i="1"/>
  <c r="T140" i="2"/>
  <c r="W45" i="1"/>
  <c r="U140" i="2"/>
  <c r="V140" i="2"/>
  <c r="U146" i="1"/>
  <c r="S141" i="2"/>
  <c r="V146" i="1"/>
  <c r="T141" i="2"/>
  <c r="W146" i="1"/>
  <c r="U141" i="2"/>
  <c r="V141" i="2"/>
  <c r="U75" i="1"/>
  <c r="S142" i="2"/>
  <c r="V75" i="1"/>
  <c r="T142" i="2"/>
  <c r="W75" i="1"/>
  <c r="U142" i="2"/>
  <c r="V142" i="2"/>
  <c r="U91" i="1"/>
  <c r="S143" i="2"/>
  <c r="V91" i="1"/>
  <c r="T143" i="2"/>
  <c r="W91" i="1"/>
  <c r="U143" i="2"/>
  <c r="V143" i="2"/>
  <c r="U142" i="1"/>
  <c r="S144" i="2"/>
  <c r="V142" i="1"/>
  <c r="T144" i="2"/>
  <c r="W142" i="1"/>
  <c r="U144" i="2"/>
  <c r="V144" i="2"/>
  <c r="U156" i="1"/>
  <c r="S145" i="2"/>
  <c r="V156" i="1"/>
  <c r="T145" i="2"/>
  <c r="W156" i="1"/>
  <c r="U145" i="2"/>
  <c r="V145" i="2"/>
  <c r="U5" i="1"/>
  <c r="S146" i="2"/>
  <c r="V5" i="1"/>
  <c r="T146" i="2"/>
  <c r="W5" i="1"/>
  <c r="U146" i="2"/>
  <c r="V146" i="2"/>
  <c r="U83" i="1"/>
  <c r="S147" i="2"/>
  <c r="V83" i="1"/>
  <c r="T147" i="2"/>
  <c r="W83" i="1"/>
  <c r="U147" i="2"/>
  <c r="V147" i="2"/>
  <c r="U66" i="1"/>
  <c r="S148" i="2"/>
  <c r="V66" i="1"/>
  <c r="T148" i="2"/>
  <c r="W66" i="1"/>
  <c r="U148" i="2"/>
  <c r="V148" i="2"/>
  <c r="U121" i="1"/>
  <c r="S149" i="2"/>
  <c r="V121" i="1"/>
  <c r="T149" i="2"/>
  <c r="W121" i="1"/>
  <c r="U149" i="2"/>
  <c r="V149" i="2"/>
  <c r="U122" i="1"/>
  <c r="S150" i="2"/>
  <c r="V122" i="1"/>
  <c r="T150" i="2"/>
  <c r="W122" i="1"/>
  <c r="U150" i="2"/>
  <c r="V150" i="2"/>
  <c r="U18" i="1"/>
  <c r="S151" i="2"/>
  <c r="V18" i="1"/>
  <c r="T151" i="2"/>
  <c r="W18" i="1"/>
  <c r="U151" i="2"/>
  <c r="V151" i="2"/>
  <c r="U19" i="1"/>
  <c r="S152" i="2"/>
  <c r="V19" i="1"/>
  <c r="T152" i="2"/>
  <c r="W19" i="1"/>
  <c r="U152" i="2"/>
  <c r="V152" i="2"/>
  <c r="U129" i="1"/>
  <c r="S153" i="2"/>
  <c r="V129" i="1"/>
  <c r="T153" i="2"/>
  <c r="W129" i="1"/>
  <c r="U153" i="2"/>
  <c r="V153" i="2"/>
  <c r="U76" i="1"/>
  <c r="S154" i="2"/>
  <c r="V76" i="1"/>
  <c r="T154" i="2"/>
  <c r="W76" i="1"/>
  <c r="U154" i="2"/>
  <c r="V154" i="2"/>
  <c r="U128" i="1"/>
  <c r="S155" i="2"/>
  <c r="V128" i="1"/>
  <c r="T155" i="2"/>
  <c r="W128" i="1"/>
  <c r="U155" i="2"/>
  <c r="V155" i="2"/>
  <c r="U7" i="1"/>
  <c r="S156" i="2"/>
  <c r="V7" i="1"/>
  <c r="T156" i="2"/>
  <c r="W7" i="1"/>
  <c r="U156" i="2"/>
  <c r="V156" i="2"/>
  <c r="U92" i="1"/>
  <c r="S157" i="2"/>
  <c r="V92" i="1"/>
  <c r="T157" i="2"/>
  <c r="W92" i="1"/>
  <c r="U157" i="2"/>
  <c r="V157" i="2"/>
  <c r="U33" i="1"/>
  <c r="S158" i="2"/>
  <c r="V33" i="1"/>
  <c r="T158" i="2"/>
  <c r="W33" i="1"/>
  <c r="U158" i="2"/>
  <c r="V158" i="2"/>
  <c r="U47" i="1"/>
  <c r="S159" i="2"/>
  <c r="V47" i="1"/>
  <c r="T159" i="2"/>
  <c r="W47" i="1"/>
  <c r="U159" i="2"/>
  <c r="V159" i="2"/>
  <c r="U166" i="1"/>
  <c r="S160" i="2"/>
  <c r="V166" i="1"/>
  <c r="T160" i="2"/>
  <c r="W166" i="1"/>
  <c r="U160" i="2"/>
  <c r="V160" i="2"/>
  <c r="U9" i="1"/>
  <c r="S161" i="2"/>
  <c r="V9" i="1"/>
  <c r="T161" i="2"/>
  <c r="W9" i="1"/>
  <c r="U161" i="2"/>
  <c r="V161" i="2"/>
  <c r="U96" i="1"/>
  <c r="S162" i="2"/>
  <c r="V96" i="1"/>
  <c r="T162" i="2"/>
  <c r="W96" i="1"/>
  <c r="U162" i="2"/>
  <c r="V162" i="2"/>
  <c r="U40" i="1"/>
  <c r="S163" i="2"/>
  <c r="V40" i="1"/>
  <c r="T163" i="2"/>
  <c r="W40" i="1"/>
  <c r="U163" i="2"/>
  <c r="V163" i="2"/>
  <c r="U104" i="1"/>
  <c r="S164" i="2"/>
  <c r="V104" i="1"/>
  <c r="T164" i="2"/>
  <c r="W104" i="1"/>
  <c r="U164" i="2"/>
  <c r="V164" i="2"/>
  <c r="U30" i="1"/>
  <c r="S165" i="2"/>
  <c r="V30" i="1"/>
  <c r="T165" i="2"/>
  <c r="W30" i="1"/>
  <c r="U165" i="2"/>
  <c r="V165" i="2"/>
  <c r="U57" i="1"/>
  <c r="S166" i="2"/>
  <c r="V57" i="1"/>
  <c r="T166" i="2"/>
  <c r="W57" i="1"/>
  <c r="U166" i="2"/>
  <c r="V166" i="2"/>
  <c r="U131" i="1"/>
  <c r="S167" i="2"/>
  <c r="V131" i="1"/>
  <c r="T167" i="2"/>
  <c r="W131" i="1"/>
  <c r="U167" i="2"/>
  <c r="V167" i="2"/>
  <c r="U134" i="1"/>
  <c r="S168" i="2"/>
  <c r="V134" i="1"/>
  <c r="T168" i="2"/>
  <c r="W134" i="1"/>
  <c r="U168" i="2"/>
  <c r="V168" i="2"/>
  <c r="U69" i="1"/>
  <c r="S169" i="2"/>
  <c r="V69" i="1"/>
  <c r="T169" i="2"/>
  <c r="W69" i="1"/>
  <c r="U169" i="2"/>
  <c r="V169" i="2"/>
  <c r="U138" i="1"/>
  <c r="S170" i="2"/>
  <c r="V138" i="1"/>
  <c r="T170" i="2"/>
  <c r="W138" i="1"/>
  <c r="U170" i="2"/>
  <c r="V170" i="2"/>
  <c r="U8" i="1"/>
  <c r="S171" i="2"/>
  <c r="V8" i="1"/>
  <c r="T171" i="2"/>
  <c r="W8" i="1"/>
  <c r="U171" i="2"/>
  <c r="V171" i="2"/>
  <c r="U108" i="1"/>
  <c r="S172" i="2"/>
  <c r="V108" i="1"/>
  <c r="T172" i="2"/>
  <c r="W108" i="1"/>
  <c r="U172" i="2"/>
  <c r="V172" i="2"/>
  <c r="U109" i="1"/>
  <c r="S173" i="2"/>
  <c r="V109" i="1"/>
  <c r="T173" i="2"/>
  <c r="W109" i="1"/>
  <c r="U173" i="2"/>
  <c r="V173" i="2"/>
  <c r="U35" i="1"/>
  <c r="S174" i="2"/>
  <c r="V35" i="1"/>
  <c r="T174" i="2"/>
  <c r="W35" i="1"/>
  <c r="U174" i="2"/>
  <c r="V174" i="2"/>
  <c r="U62" i="1"/>
  <c r="S175" i="2"/>
  <c r="V62" i="1"/>
  <c r="T175" i="2"/>
  <c r="W62" i="1"/>
  <c r="U175" i="2"/>
  <c r="V175" i="2"/>
  <c r="U70" i="1"/>
  <c r="S176" i="2"/>
  <c r="V70" i="1"/>
  <c r="T176" i="2"/>
  <c r="W70" i="1"/>
  <c r="U176" i="2"/>
  <c r="V176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BA6" i="2"/>
  <c r="AZ6" i="2"/>
  <c r="BA10" i="2"/>
  <c r="BB10" i="2"/>
  <c r="BF10" i="2"/>
  <c r="H11" i="2"/>
  <c r="BA11" i="2"/>
  <c r="BB11" i="2"/>
  <c r="BF11" i="2"/>
  <c r="H12" i="2"/>
  <c r="BA12" i="2"/>
  <c r="BB12" i="2"/>
  <c r="BF12" i="2"/>
  <c r="H13" i="2"/>
  <c r="BA13" i="2"/>
  <c r="BB13" i="2"/>
  <c r="BF13" i="2"/>
  <c r="H14" i="2"/>
  <c r="BA14" i="2"/>
  <c r="BB14" i="2"/>
  <c r="BF14" i="2"/>
  <c r="H15" i="2"/>
  <c r="BA15" i="2"/>
  <c r="BB15" i="2"/>
  <c r="BF15" i="2"/>
  <c r="H16" i="2"/>
  <c r="BA16" i="2"/>
  <c r="BB16" i="2"/>
  <c r="BF16" i="2"/>
  <c r="H17" i="2"/>
  <c r="BA17" i="2"/>
  <c r="BB17" i="2"/>
  <c r="BF17" i="2"/>
  <c r="H18" i="2"/>
  <c r="BA18" i="2"/>
  <c r="BB18" i="2"/>
  <c r="BF18" i="2"/>
  <c r="H19" i="2"/>
  <c r="BA19" i="2"/>
  <c r="BB19" i="2"/>
  <c r="BF19" i="2"/>
  <c r="H20" i="2"/>
  <c r="BA20" i="2"/>
  <c r="BB20" i="2"/>
  <c r="BF20" i="2"/>
  <c r="H21" i="2"/>
  <c r="BA21" i="2"/>
  <c r="BB21" i="2"/>
  <c r="BF21" i="2"/>
  <c r="H22" i="2"/>
  <c r="BA22" i="2"/>
  <c r="BB22" i="2"/>
  <c r="BF22" i="2"/>
  <c r="H23" i="2"/>
  <c r="BA23" i="2"/>
  <c r="BB23" i="2"/>
  <c r="BF23" i="2"/>
  <c r="H24" i="2"/>
  <c r="BA24" i="2"/>
  <c r="BB24" i="2"/>
  <c r="BF24" i="2"/>
  <c r="H25" i="2"/>
  <c r="BA25" i="2"/>
  <c r="BB25" i="2"/>
  <c r="BF25" i="2"/>
  <c r="H26" i="2"/>
  <c r="BA26" i="2"/>
  <c r="BB26" i="2"/>
  <c r="BF26" i="2"/>
  <c r="H27" i="2"/>
  <c r="BA27" i="2"/>
  <c r="BB27" i="2"/>
  <c r="BF27" i="2"/>
  <c r="H28" i="2"/>
  <c r="BA28" i="2"/>
  <c r="BB28" i="2"/>
  <c r="BF28" i="2"/>
  <c r="H29" i="2"/>
  <c r="BA29" i="2"/>
  <c r="BB29" i="2"/>
  <c r="BF29" i="2"/>
  <c r="H30" i="2"/>
  <c r="BA30" i="2"/>
  <c r="BB30" i="2"/>
  <c r="BF30" i="2"/>
  <c r="H31" i="2"/>
  <c r="BA31" i="2"/>
  <c r="BB31" i="2"/>
  <c r="BF31" i="2"/>
  <c r="H32" i="2"/>
  <c r="BA32" i="2"/>
  <c r="BB32" i="2"/>
  <c r="BF32" i="2"/>
  <c r="H33" i="2"/>
  <c r="BA33" i="2"/>
  <c r="BB33" i="2"/>
  <c r="BF33" i="2"/>
  <c r="H34" i="2"/>
  <c r="BA34" i="2"/>
  <c r="BB34" i="2"/>
  <c r="BF34" i="2"/>
  <c r="H35" i="2"/>
  <c r="BA35" i="2"/>
  <c r="BB35" i="2"/>
  <c r="BF35" i="2"/>
  <c r="H36" i="2"/>
  <c r="BA36" i="2"/>
  <c r="BB36" i="2"/>
  <c r="BF36" i="2"/>
  <c r="H37" i="2"/>
  <c r="BA37" i="2"/>
  <c r="BB37" i="2"/>
  <c r="BF37" i="2"/>
  <c r="H38" i="2"/>
  <c r="BA38" i="2"/>
  <c r="BB38" i="2"/>
  <c r="BF38" i="2"/>
  <c r="H39" i="2"/>
  <c r="BA39" i="2"/>
  <c r="BB39" i="2"/>
  <c r="BF39" i="2"/>
  <c r="H40" i="2"/>
  <c r="BA40" i="2"/>
  <c r="BB40" i="2"/>
  <c r="BF40" i="2"/>
  <c r="H41" i="2"/>
  <c r="BA41" i="2"/>
  <c r="BB41" i="2"/>
  <c r="BF41" i="2"/>
  <c r="H42" i="2"/>
  <c r="BA42" i="2"/>
  <c r="BB42" i="2"/>
  <c r="BF42" i="2"/>
  <c r="H43" i="2"/>
  <c r="BA43" i="2"/>
  <c r="BB43" i="2"/>
  <c r="BF43" i="2"/>
  <c r="H44" i="2"/>
  <c r="BA44" i="2"/>
  <c r="BB44" i="2"/>
  <c r="BF44" i="2"/>
  <c r="H45" i="2"/>
  <c r="BA45" i="2"/>
  <c r="BB45" i="2"/>
  <c r="BF45" i="2"/>
  <c r="H46" i="2"/>
  <c r="BA46" i="2"/>
  <c r="BB46" i="2"/>
  <c r="BF46" i="2"/>
  <c r="H47" i="2"/>
  <c r="BA47" i="2"/>
  <c r="BB47" i="2"/>
  <c r="BF47" i="2"/>
  <c r="H48" i="2"/>
  <c r="BA48" i="2"/>
  <c r="BB48" i="2"/>
  <c r="BF48" i="2"/>
  <c r="H49" i="2"/>
  <c r="BA49" i="2"/>
  <c r="BB49" i="2"/>
  <c r="BF49" i="2"/>
  <c r="H50" i="2"/>
  <c r="BA50" i="2"/>
  <c r="BB50" i="2"/>
  <c r="BF50" i="2"/>
  <c r="H51" i="2"/>
  <c r="BA51" i="2"/>
  <c r="BB51" i="2"/>
  <c r="BF51" i="2"/>
  <c r="H52" i="2"/>
  <c r="BA52" i="2"/>
  <c r="BB52" i="2"/>
  <c r="BF52" i="2"/>
  <c r="H53" i="2"/>
  <c r="BA53" i="2"/>
  <c r="BB53" i="2"/>
  <c r="BF53" i="2"/>
  <c r="H54" i="2"/>
  <c r="BA54" i="2"/>
  <c r="BB54" i="2"/>
  <c r="BF54" i="2"/>
  <c r="H55" i="2"/>
  <c r="BA55" i="2"/>
  <c r="BB55" i="2"/>
  <c r="BF55" i="2"/>
  <c r="H56" i="2"/>
  <c r="BA56" i="2"/>
  <c r="BB56" i="2"/>
  <c r="BF56" i="2"/>
  <c r="H57" i="2"/>
  <c r="BA57" i="2"/>
  <c r="BB57" i="2"/>
  <c r="BF57" i="2"/>
  <c r="H58" i="2"/>
  <c r="BA58" i="2"/>
  <c r="BB58" i="2"/>
  <c r="BF58" i="2"/>
  <c r="H59" i="2"/>
  <c r="BA59" i="2"/>
  <c r="BB59" i="2"/>
  <c r="BF59" i="2"/>
  <c r="H60" i="2"/>
  <c r="BA60" i="2"/>
  <c r="BB60" i="2"/>
  <c r="BF60" i="2"/>
  <c r="H61" i="2"/>
  <c r="BA61" i="2"/>
  <c r="BB61" i="2"/>
  <c r="BF61" i="2"/>
  <c r="H62" i="2"/>
  <c r="BA62" i="2"/>
  <c r="BB62" i="2"/>
  <c r="BF62" i="2"/>
  <c r="H63" i="2"/>
  <c r="BA63" i="2"/>
  <c r="BB63" i="2"/>
  <c r="BF63" i="2"/>
  <c r="H64" i="2"/>
  <c r="BA64" i="2"/>
  <c r="BB64" i="2"/>
  <c r="BF64" i="2"/>
  <c r="H65" i="2"/>
  <c r="BA65" i="2"/>
  <c r="BB65" i="2"/>
  <c r="BF65" i="2"/>
  <c r="H66" i="2"/>
  <c r="BA66" i="2"/>
  <c r="BB66" i="2"/>
  <c r="BF66" i="2"/>
  <c r="H67" i="2"/>
  <c r="BA67" i="2"/>
  <c r="BB67" i="2"/>
  <c r="BF67" i="2"/>
  <c r="H68" i="2"/>
  <c r="BA68" i="2"/>
  <c r="BB68" i="2"/>
  <c r="BF68" i="2"/>
  <c r="H69" i="2"/>
  <c r="BA69" i="2"/>
  <c r="BB69" i="2"/>
  <c r="BF69" i="2"/>
  <c r="H70" i="2"/>
  <c r="BA70" i="2"/>
  <c r="BB70" i="2"/>
  <c r="BF70" i="2"/>
  <c r="H71" i="2"/>
  <c r="BA71" i="2"/>
  <c r="BB71" i="2"/>
  <c r="BF71" i="2"/>
  <c r="H72" i="2"/>
  <c r="BA72" i="2"/>
  <c r="BB72" i="2"/>
  <c r="BF72" i="2"/>
  <c r="H73" i="2"/>
  <c r="BA73" i="2"/>
  <c r="BB73" i="2"/>
  <c r="BF73" i="2"/>
  <c r="H74" i="2"/>
  <c r="BA74" i="2"/>
  <c r="BB74" i="2"/>
  <c r="BF74" i="2"/>
  <c r="H75" i="2"/>
  <c r="BA75" i="2"/>
  <c r="BB75" i="2"/>
  <c r="BF75" i="2"/>
  <c r="H76" i="2"/>
  <c r="BA76" i="2"/>
  <c r="BB76" i="2"/>
  <c r="BF76" i="2"/>
  <c r="H77" i="2"/>
  <c r="BA77" i="2"/>
  <c r="BB77" i="2"/>
  <c r="BF77" i="2"/>
  <c r="H78" i="2"/>
  <c r="BA78" i="2"/>
  <c r="BB78" i="2"/>
  <c r="BF78" i="2"/>
  <c r="H79" i="2"/>
  <c r="BA79" i="2"/>
  <c r="BB79" i="2"/>
  <c r="BF79" i="2"/>
  <c r="H80" i="2"/>
  <c r="BA80" i="2"/>
  <c r="BB80" i="2"/>
  <c r="BF80" i="2"/>
  <c r="H81" i="2"/>
  <c r="BA81" i="2"/>
  <c r="BB81" i="2"/>
  <c r="BF81" i="2"/>
  <c r="H82" i="2"/>
  <c r="BA82" i="2"/>
  <c r="BB82" i="2"/>
  <c r="BF82" i="2"/>
  <c r="H83" i="2"/>
  <c r="BA83" i="2"/>
  <c r="BB83" i="2"/>
  <c r="BF83" i="2"/>
  <c r="H84" i="2"/>
  <c r="BA84" i="2"/>
  <c r="BB84" i="2"/>
  <c r="BF84" i="2"/>
  <c r="H85" i="2"/>
  <c r="BA85" i="2"/>
  <c r="BB85" i="2"/>
  <c r="BF85" i="2"/>
  <c r="H86" i="2"/>
  <c r="BA86" i="2"/>
  <c r="BB86" i="2"/>
  <c r="BF86" i="2"/>
  <c r="H87" i="2"/>
  <c r="BA87" i="2"/>
  <c r="BB87" i="2"/>
  <c r="BF87" i="2"/>
  <c r="H88" i="2"/>
  <c r="BA88" i="2"/>
  <c r="BB88" i="2"/>
  <c r="BF88" i="2"/>
  <c r="H89" i="2"/>
  <c r="BA89" i="2"/>
  <c r="BB89" i="2"/>
  <c r="BF89" i="2"/>
  <c r="H90" i="2"/>
  <c r="BA90" i="2"/>
  <c r="BB90" i="2"/>
  <c r="BF90" i="2"/>
  <c r="H91" i="2"/>
  <c r="BA91" i="2"/>
  <c r="BB91" i="2"/>
  <c r="BF91" i="2"/>
  <c r="H92" i="2"/>
  <c r="BA92" i="2"/>
  <c r="BB92" i="2"/>
  <c r="BF92" i="2"/>
  <c r="H93" i="2"/>
  <c r="BA93" i="2"/>
  <c r="BB93" i="2"/>
  <c r="BF93" i="2"/>
  <c r="H94" i="2"/>
  <c r="BA94" i="2"/>
  <c r="BB94" i="2"/>
  <c r="BF94" i="2"/>
  <c r="H95" i="2"/>
  <c r="BA95" i="2"/>
  <c r="BB95" i="2"/>
  <c r="BF95" i="2"/>
  <c r="H96" i="2"/>
  <c r="BA96" i="2"/>
  <c r="BB96" i="2"/>
  <c r="BF96" i="2"/>
  <c r="H97" i="2"/>
  <c r="BA97" i="2"/>
  <c r="BB97" i="2"/>
  <c r="BF97" i="2"/>
  <c r="H98" i="2"/>
  <c r="BA98" i="2"/>
  <c r="BB98" i="2"/>
  <c r="BF98" i="2"/>
  <c r="H99" i="2"/>
  <c r="BA99" i="2"/>
  <c r="BB99" i="2"/>
  <c r="BF99" i="2"/>
  <c r="H100" i="2"/>
  <c r="BA100" i="2"/>
  <c r="BB100" i="2"/>
  <c r="BF100" i="2"/>
  <c r="H101" i="2"/>
  <c r="BA101" i="2"/>
  <c r="BB101" i="2"/>
  <c r="BF101" i="2"/>
  <c r="H102" i="2"/>
  <c r="BA102" i="2"/>
  <c r="BB102" i="2"/>
  <c r="BF102" i="2"/>
  <c r="H103" i="2"/>
  <c r="BA103" i="2"/>
  <c r="BB103" i="2"/>
  <c r="BF103" i="2"/>
  <c r="H104" i="2"/>
  <c r="BA104" i="2"/>
  <c r="BB104" i="2"/>
  <c r="BF104" i="2"/>
  <c r="H105" i="2"/>
  <c r="BA105" i="2"/>
  <c r="BB105" i="2"/>
  <c r="BF105" i="2"/>
  <c r="H106" i="2"/>
  <c r="BA106" i="2"/>
  <c r="BB106" i="2"/>
  <c r="BF106" i="2"/>
  <c r="H107" i="2"/>
  <c r="BA107" i="2"/>
  <c r="BB107" i="2"/>
  <c r="BF107" i="2"/>
  <c r="H108" i="2"/>
  <c r="BA108" i="2"/>
  <c r="BB108" i="2"/>
  <c r="BF108" i="2"/>
  <c r="H109" i="2"/>
  <c r="BA109" i="2"/>
  <c r="BB109" i="2"/>
  <c r="BF109" i="2"/>
  <c r="H110" i="2"/>
  <c r="BA110" i="2"/>
  <c r="BB110" i="2"/>
  <c r="BF110" i="2"/>
  <c r="H111" i="2"/>
  <c r="BA111" i="2"/>
  <c r="BB111" i="2"/>
  <c r="BF111" i="2"/>
  <c r="H112" i="2"/>
  <c r="BA112" i="2"/>
  <c r="BB112" i="2"/>
  <c r="BF112" i="2"/>
  <c r="H113" i="2"/>
  <c r="BA113" i="2"/>
  <c r="BB113" i="2"/>
  <c r="BF113" i="2"/>
  <c r="H114" i="2"/>
  <c r="BA114" i="2"/>
  <c r="BB114" i="2"/>
  <c r="BF114" i="2"/>
  <c r="H115" i="2"/>
  <c r="BA115" i="2"/>
  <c r="BB115" i="2"/>
  <c r="BF115" i="2"/>
  <c r="H116" i="2"/>
  <c r="BA116" i="2"/>
  <c r="BB116" i="2"/>
  <c r="BF116" i="2"/>
  <c r="H117" i="2"/>
  <c r="BA117" i="2"/>
  <c r="BB117" i="2"/>
  <c r="BF117" i="2"/>
  <c r="H118" i="2"/>
  <c r="BA118" i="2"/>
  <c r="BB118" i="2"/>
  <c r="BF118" i="2"/>
  <c r="H119" i="2"/>
  <c r="BA119" i="2"/>
  <c r="BB119" i="2"/>
  <c r="BF119" i="2"/>
  <c r="H120" i="2"/>
  <c r="BA120" i="2"/>
  <c r="BB120" i="2"/>
  <c r="BF120" i="2"/>
  <c r="H121" i="2"/>
  <c r="BA121" i="2"/>
  <c r="BB121" i="2"/>
  <c r="BF121" i="2"/>
  <c r="H122" i="2"/>
  <c r="BA122" i="2"/>
  <c r="BB122" i="2"/>
  <c r="BF122" i="2"/>
  <c r="H123" i="2"/>
  <c r="BA123" i="2"/>
  <c r="BB123" i="2"/>
  <c r="BF123" i="2"/>
  <c r="H124" i="2"/>
  <c r="BA124" i="2"/>
  <c r="BB124" i="2"/>
  <c r="BF124" i="2"/>
  <c r="H125" i="2"/>
  <c r="BA125" i="2"/>
  <c r="BB125" i="2"/>
  <c r="BF125" i="2"/>
  <c r="H126" i="2"/>
  <c r="BA126" i="2"/>
  <c r="BB126" i="2"/>
  <c r="BF126" i="2"/>
  <c r="H127" i="2"/>
  <c r="BA127" i="2"/>
  <c r="BB127" i="2"/>
  <c r="BF127" i="2"/>
  <c r="H128" i="2"/>
  <c r="BA128" i="2"/>
  <c r="BB128" i="2"/>
  <c r="BF128" i="2"/>
  <c r="H129" i="2"/>
  <c r="BA129" i="2"/>
  <c r="BB129" i="2"/>
  <c r="BF129" i="2"/>
  <c r="H130" i="2"/>
  <c r="BA130" i="2"/>
  <c r="BB130" i="2"/>
  <c r="BF130" i="2"/>
  <c r="H131" i="2"/>
  <c r="BA131" i="2"/>
  <c r="BB131" i="2"/>
  <c r="BF131" i="2"/>
  <c r="H132" i="2"/>
  <c r="BA132" i="2"/>
  <c r="BB132" i="2"/>
  <c r="BF132" i="2"/>
  <c r="H133" i="2"/>
  <c r="BA133" i="2"/>
  <c r="BB133" i="2"/>
  <c r="BF133" i="2"/>
  <c r="H134" i="2"/>
  <c r="BA134" i="2"/>
  <c r="BB134" i="2"/>
  <c r="BF134" i="2"/>
  <c r="H135" i="2"/>
  <c r="BA135" i="2"/>
  <c r="BB135" i="2"/>
  <c r="BF135" i="2"/>
  <c r="H136" i="2"/>
  <c r="BA136" i="2"/>
  <c r="BB136" i="2"/>
  <c r="BF136" i="2"/>
  <c r="H137" i="2"/>
  <c r="BA137" i="2"/>
  <c r="BB137" i="2"/>
  <c r="BF137" i="2"/>
  <c r="H138" i="2"/>
  <c r="BA138" i="2"/>
  <c r="BB138" i="2"/>
  <c r="BF138" i="2"/>
  <c r="H139" i="2"/>
  <c r="BA139" i="2"/>
  <c r="BB139" i="2"/>
  <c r="BF139" i="2"/>
  <c r="H140" i="2"/>
  <c r="BA140" i="2"/>
  <c r="BB140" i="2"/>
  <c r="BF140" i="2"/>
  <c r="H141" i="2"/>
  <c r="BA141" i="2"/>
  <c r="BB141" i="2"/>
  <c r="BF141" i="2"/>
  <c r="H142" i="2"/>
  <c r="BA142" i="2"/>
  <c r="BB142" i="2"/>
  <c r="BF142" i="2"/>
  <c r="H143" i="2"/>
  <c r="BA143" i="2"/>
  <c r="BB143" i="2"/>
  <c r="BF143" i="2"/>
  <c r="H144" i="2"/>
  <c r="BA144" i="2"/>
  <c r="BB144" i="2"/>
  <c r="BF144" i="2"/>
  <c r="H145" i="2"/>
  <c r="BA145" i="2"/>
  <c r="BB145" i="2"/>
  <c r="BF145" i="2"/>
  <c r="B146" i="2"/>
  <c r="AY146" i="2"/>
  <c r="H146" i="2"/>
  <c r="BA146" i="2"/>
  <c r="BB146" i="2"/>
  <c r="BF146" i="2"/>
  <c r="H147" i="2"/>
  <c r="BA147" i="2"/>
  <c r="BB147" i="2"/>
  <c r="BF147" i="2"/>
  <c r="H148" i="2"/>
  <c r="BA148" i="2"/>
  <c r="BB148" i="2"/>
  <c r="BF148" i="2"/>
  <c r="H149" i="2"/>
  <c r="BA149" i="2"/>
  <c r="BB149" i="2"/>
  <c r="BF149" i="2"/>
  <c r="H150" i="2"/>
  <c r="BA150" i="2"/>
  <c r="BB150" i="2"/>
  <c r="BF150" i="2"/>
  <c r="H151" i="2"/>
  <c r="BA151" i="2"/>
  <c r="BB151" i="2"/>
  <c r="BF151" i="2"/>
  <c r="H152" i="2"/>
  <c r="BA152" i="2"/>
  <c r="BB152" i="2"/>
  <c r="BF152" i="2"/>
  <c r="H153" i="2"/>
  <c r="BA153" i="2"/>
  <c r="BB153" i="2"/>
  <c r="BF153" i="2"/>
  <c r="H154" i="2"/>
  <c r="BA154" i="2"/>
  <c r="BB154" i="2"/>
  <c r="BF154" i="2"/>
  <c r="H155" i="2"/>
  <c r="BA155" i="2"/>
  <c r="BB155" i="2"/>
  <c r="BF155" i="2"/>
  <c r="H156" i="2"/>
  <c r="BA156" i="2"/>
  <c r="BB156" i="2"/>
  <c r="BF156" i="2"/>
  <c r="H157" i="2"/>
  <c r="BA157" i="2"/>
  <c r="BB157" i="2"/>
  <c r="BF157" i="2"/>
  <c r="H158" i="2"/>
  <c r="BA158" i="2"/>
  <c r="BB158" i="2"/>
  <c r="BF158" i="2"/>
  <c r="H159" i="2"/>
  <c r="BA159" i="2"/>
  <c r="BB159" i="2"/>
  <c r="BF159" i="2"/>
  <c r="H160" i="2"/>
  <c r="BA160" i="2"/>
  <c r="BB160" i="2"/>
  <c r="BF160" i="2"/>
  <c r="H161" i="2"/>
  <c r="BA161" i="2"/>
  <c r="BB161" i="2"/>
  <c r="BF161" i="2"/>
  <c r="H162" i="2"/>
  <c r="BA162" i="2"/>
  <c r="BB162" i="2"/>
  <c r="BF162" i="2"/>
  <c r="H163" i="2"/>
  <c r="BA163" i="2"/>
  <c r="BB163" i="2"/>
  <c r="BF163" i="2"/>
  <c r="H164" i="2"/>
  <c r="BA164" i="2"/>
  <c r="BB164" i="2"/>
  <c r="BF164" i="2"/>
  <c r="H165" i="2"/>
  <c r="BA165" i="2"/>
  <c r="BB165" i="2"/>
  <c r="BF165" i="2"/>
  <c r="H166" i="2"/>
  <c r="BA166" i="2"/>
  <c r="BB166" i="2"/>
  <c r="BF166" i="2"/>
  <c r="H167" i="2"/>
  <c r="BA167" i="2"/>
  <c r="BB167" i="2"/>
  <c r="BF167" i="2"/>
  <c r="H168" i="2"/>
  <c r="BA168" i="2"/>
  <c r="BB168" i="2"/>
  <c r="BF168" i="2"/>
  <c r="H169" i="2"/>
  <c r="BA169" i="2"/>
  <c r="BB169" i="2"/>
  <c r="BF169" i="2"/>
  <c r="H170" i="2"/>
  <c r="BA170" i="2"/>
  <c r="BB170" i="2"/>
  <c r="BF170" i="2"/>
  <c r="H171" i="2"/>
  <c r="BA171" i="2"/>
  <c r="BB171" i="2"/>
  <c r="BF171" i="2"/>
  <c r="H172" i="2"/>
  <c r="BA172" i="2"/>
  <c r="BB172" i="2"/>
  <c r="BF172" i="2"/>
  <c r="H173" i="2"/>
  <c r="BA173" i="2"/>
  <c r="BB173" i="2"/>
  <c r="BF173" i="2"/>
  <c r="H174" i="2"/>
  <c r="BA174" i="2"/>
  <c r="BB174" i="2"/>
  <c r="BF174" i="2"/>
  <c r="H175" i="2"/>
  <c r="BA175" i="2"/>
  <c r="BB175" i="2"/>
  <c r="BF175" i="2"/>
  <c r="H176" i="2"/>
  <c r="BA176" i="2"/>
  <c r="BB176" i="2"/>
  <c r="BF176" i="2"/>
  <c r="BF8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8" i="2"/>
  <c r="BD4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8" i="2"/>
  <c r="BC4" i="2"/>
  <c r="C171" i="1"/>
  <c r="D171" i="1"/>
  <c r="E171" i="1"/>
  <c r="C120" i="1"/>
  <c r="D120" i="1"/>
  <c r="E120" i="1"/>
  <c r="C147" i="1"/>
  <c r="D147" i="1"/>
  <c r="E147" i="1"/>
  <c r="C64" i="1"/>
  <c r="D64" i="1"/>
  <c r="E64" i="1"/>
  <c r="C24" i="1"/>
  <c r="D24" i="1"/>
  <c r="E24" i="1"/>
  <c r="C34" i="1"/>
  <c r="D34" i="1"/>
  <c r="E34" i="1"/>
  <c r="C29" i="1"/>
  <c r="D29" i="1"/>
  <c r="E29" i="1"/>
  <c r="C149" i="1"/>
  <c r="D149" i="1"/>
  <c r="E149" i="1"/>
  <c r="C85" i="1"/>
  <c r="D85" i="1"/>
  <c r="E85" i="1"/>
  <c r="C21" i="1"/>
  <c r="D21" i="1"/>
  <c r="E21" i="1"/>
  <c r="C115" i="1"/>
  <c r="D115" i="1"/>
  <c r="E115" i="1"/>
  <c r="C116" i="1"/>
  <c r="D116" i="1"/>
  <c r="E116" i="1"/>
  <c r="C63" i="1"/>
  <c r="D63" i="1"/>
  <c r="E63" i="1"/>
  <c r="C98" i="1"/>
  <c r="D98" i="1"/>
  <c r="E98" i="1"/>
  <c r="C87" i="1"/>
  <c r="D87" i="1"/>
  <c r="E87" i="1"/>
  <c r="C103" i="1"/>
  <c r="D103" i="1"/>
  <c r="E103" i="1"/>
  <c r="C117" i="1"/>
  <c r="D117" i="1"/>
  <c r="E117" i="1"/>
  <c r="C50" i="1"/>
  <c r="D50" i="1"/>
  <c r="E50" i="1"/>
  <c r="C61" i="1"/>
  <c r="D61" i="1"/>
  <c r="E61" i="1"/>
  <c r="C74" i="1"/>
  <c r="D74" i="1"/>
  <c r="E74" i="1"/>
  <c r="C105" i="1"/>
  <c r="D105" i="1"/>
  <c r="E105" i="1"/>
  <c r="C114" i="1"/>
  <c r="D114" i="1"/>
  <c r="E114" i="1"/>
  <c r="C13" i="1"/>
  <c r="D13" i="1"/>
  <c r="E13" i="1"/>
  <c r="C136" i="1"/>
  <c r="D136" i="1"/>
  <c r="E136" i="1"/>
  <c r="C28" i="1"/>
  <c r="D28" i="1"/>
  <c r="E28" i="1"/>
  <c r="C151" i="1"/>
  <c r="D151" i="1"/>
  <c r="E151" i="1"/>
  <c r="C130" i="1"/>
  <c r="D130" i="1"/>
  <c r="E130" i="1"/>
  <c r="C160" i="1"/>
  <c r="D160" i="1"/>
  <c r="E160" i="1"/>
  <c r="C158" i="1"/>
  <c r="D158" i="1"/>
  <c r="E158" i="1"/>
  <c r="C137" i="1"/>
  <c r="D137" i="1"/>
  <c r="E137" i="1"/>
  <c r="C125" i="1"/>
  <c r="D125" i="1"/>
  <c r="E125" i="1"/>
  <c r="C16" i="1"/>
  <c r="D16" i="1"/>
  <c r="E16" i="1"/>
  <c r="C100" i="1"/>
  <c r="D100" i="1"/>
  <c r="E100" i="1"/>
  <c r="C140" i="1"/>
  <c r="D140" i="1"/>
  <c r="E140" i="1"/>
  <c r="C107" i="1"/>
  <c r="D107" i="1"/>
  <c r="E107" i="1"/>
  <c r="C39" i="1"/>
  <c r="D39" i="1"/>
  <c r="E39" i="1"/>
  <c r="C53" i="1"/>
  <c r="D53" i="1"/>
  <c r="E53" i="1"/>
  <c r="C135" i="1"/>
  <c r="D135" i="1"/>
  <c r="E135" i="1"/>
  <c r="C170" i="1"/>
  <c r="D170" i="1"/>
  <c r="E170" i="1"/>
  <c r="C54" i="1"/>
  <c r="D54" i="1"/>
  <c r="E54" i="1"/>
  <c r="C60" i="1"/>
  <c r="D60" i="1"/>
  <c r="E60" i="1"/>
  <c r="C65" i="1"/>
  <c r="D65" i="1"/>
  <c r="E65" i="1"/>
  <c r="C55" i="1"/>
  <c r="D55" i="1"/>
  <c r="E55" i="1"/>
  <c r="C162" i="1"/>
  <c r="D162" i="1"/>
  <c r="E162" i="1"/>
  <c r="C17" i="1"/>
  <c r="D17" i="1"/>
  <c r="E17" i="1"/>
  <c r="C42" i="1"/>
  <c r="D42" i="1"/>
  <c r="E42" i="1"/>
  <c r="C68" i="1"/>
  <c r="D68" i="1"/>
  <c r="E68" i="1"/>
  <c r="C93" i="1"/>
  <c r="D93" i="1"/>
  <c r="E93" i="1"/>
  <c r="C119" i="1"/>
  <c r="D119" i="1"/>
  <c r="E119" i="1"/>
  <c r="C89" i="1"/>
  <c r="D89" i="1"/>
  <c r="E89" i="1"/>
  <c r="C155" i="1"/>
  <c r="D155" i="1"/>
  <c r="E155" i="1"/>
  <c r="C22" i="1"/>
  <c r="D22" i="1"/>
  <c r="E22" i="1"/>
  <c r="C118" i="1"/>
  <c r="D118" i="1"/>
  <c r="E118" i="1"/>
  <c r="C163" i="1"/>
  <c r="D163" i="1"/>
  <c r="E163" i="1"/>
  <c r="C127" i="1"/>
  <c r="D127" i="1"/>
  <c r="E127" i="1"/>
  <c r="C153" i="1"/>
  <c r="D153" i="1"/>
  <c r="E153" i="1"/>
  <c r="C67" i="1"/>
  <c r="D67" i="1"/>
  <c r="E67" i="1"/>
  <c r="C77" i="1"/>
  <c r="D77" i="1"/>
  <c r="E77" i="1"/>
  <c r="C72" i="1"/>
  <c r="D72" i="1"/>
  <c r="E72" i="1"/>
  <c r="C44" i="1"/>
  <c r="D44" i="1"/>
  <c r="E44" i="1"/>
  <c r="C11" i="1"/>
  <c r="D11" i="1"/>
  <c r="E11" i="1"/>
  <c r="C123" i="1"/>
  <c r="D123" i="1"/>
  <c r="E123" i="1"/>
  <c r="C15" i="1"/>
  <c r="D15" i="1"/>
  <c r="E15" i="1"/>
  <c r="C154" i="1"/>
  <c r="D154" i="1"/>
  <c r="E154" i="1"/>
  <c r="C12" i="1"/>
  <c r="D12" i="1"/>
  <c r="E12" i="1"/>
  <c r="C58" i="1"/>
  <c r="D58" i="1"/>
  <c r="E58" i="1"/>
  <c r="C31" i="1"/>
  <c r="D31" i="1"/>
  <c r="E31" i="1"/>
  <c r="C152" i="1"/>
  <c r="D152" i="1"/>
  <c r="E152" i="1"/>
  <c r="C157" i="1"/>
  <c r="D157" i="1"/>
  <c r="E157" i="1"/>
  <c r="C102" i="1"/>
  <c r="D102" i="1"/>
  <c r="E102" i="1"/>
  <c r="C169" i="1"/>
  <c r="D169" i="1"/>
  <c r="E169" i="1"/>
  <c r="C56" i="1"/>
  <c r="D56" i="1"/>
  <c r="E56" i="1"/>
  <c r="C101" i="1"/>
  <c r="D101" i="1"/>
  <c r="E101" i="1"/>
  <c r="C88" i="1"/>
  <c r="D88" i="1"/>
  <c r="E88" i="1"/>
  <c r="C106" i="1"/>
  <c r="D106" i="1"/>
  <c r="E106" i="1"/>
  <c r="C78" i="1"/>
  <c r="D78" i="1"/>
  <c r="E78" i="1"/>
  <c r="C97" i="1"/>
  <c r="D97" i="1"/>
  <c r="E97" i="1"/>
  <c r="C90" i="1"/>
  <c r="D90" i="1"/>
  <c r="E90" i="1"/>
  <c r="C49" i="1"/>
  <c r="D49" i="1"/>
  <c r="E49" i="1"/>
  <c r="C112" i="1"/>
  <c r="D112" i="1"/>
  <c r="E112" i="1"/>
  <c r="C38" i="1"/>
  <c r="D38" i="1"/>
  <c r="E38" i="1"/>
  <c r="C59" i="1"/>
  <c r="D59" i="1"/>
  <c r="E59" i="1"/>
  <c r="C164" i="1"/>
  <c r="D164" i="1"/>
  <c r="E164" i="1"/>
  <c r="C167" i="1"/>
  <c r="D167" i="1"/>
  <c r="E167" i="1"/>
  <c r="C73" i="1"/>
  <c r="D73" i="1"/>
  <c r="E73" i="1"/>
  <c r="C43" i="1"/>
  <c r="D43" i="1"/>
  <c r="E43" i="1"/>
  <c r="C95" i="1"/>
  <c r="D95" i="1"/>
  <c r="E95" i="1"/>
  <c r="C141" i="1"/>
  <c r="D141" i="1"/>
  <c r="E141" i="1"/>
  <c r="C14" i="1"/>
  <c r="D14" i="1"/>
  <c r="E14" i="1"/>
  <c r="C32" i="1"/>
  <c r="D32" i="1"/>
  <c r="E32" i="1"/>
  <c r="C99" i="1"/>
  <c r="D99" i="1"/>
  <c r="E99" i="1"/>
  <c r="C25" i="1"/>
  <c r="D25" i="1"/>
  <c r="E25" i="1"/>
  <c r="C48" i="1"/>
  <c r="D48" i="1"/>
  <c r="E48" i="1"/>
  <c r="C10" i="1"/>
  <c r="D10" i="1"/>
  <c r="E10" i="1"/>
  <c r="C159" i="1"/>
  <c r="D159" i="1"/>
  <c r="E159" i="1"/>
  <c r="C111" i="1"/>
  <c r="D111" i="1"/>
  <c r="E111" i="1"/>
  <c r="C110" i="1"/>
  <c r="D110" i="1"/>
  <c r="E110" i="1"/>
  <c r="C168" i="1"/>
  <c r="D168" i="1"/>
  <c r="E168" i="1"/>
  <c r="C133" i="1"/>
  <c r="D133" i="1"/>
  <c r="E133" i="1"/>
  <c r="C94" i="1"/>
  <c r="D94" i="1"/>
  <c r="E94" i="1"/>
  <c r="C148" i="1"/>
  <c r="D148" i="1"/>
  <c r="E148" i="1"/>
  <c r="C81" i="1"/>
  <c r="D81" i="1"/>
  <c r="E81" i="1"/>
  <c r="C124" i="1"/>
  <c r="D124" i="1"/>
  <c r="E124" i="1"/>
  <c r="C36" i="1"/>
  <c r="D36" i="1"/>
  <c r="E36" i="1"/>
  <c r="C139" i="1"/>
  <c r="D139" i="1"/>
  <c r="E139" i="1"/>
  <c r="C145" i="1"/>
  <c r="D145" i="1"/>
  <c r="E145" i="1"/>
  <c r="C113" i="1"/>
  <c r="D113" i="1"/>
  <c r="E113" i="1"/>
  <c r="C80" i="1"/>
  <c r="D80" i="1"/>
  <c r="E80" i="1"/>
  <c r="C41" i="1"/>
  <c r="D41" i="1"/>
  <c r="E41" i="1"/>
  <c r="C161" i="1"/>
  <c r="D161" i="1"/>
  <c r="E161" i="1"/>
  <c r="C23" i="1"/>
  <c r="D23" i="1"/>
  <c r="E23" i="1"/>
  <c r="C144" i="1"/>
  <c r="D144" i="1"/>
  <c r="E144" i="1"/>
  <c r="C46" i="1"/>
  <c r="D46" i="1"/>
  <c r="E46" i="1"/>
  <c r="C82" i="1"/>
  <c r="D82" i="1"/>
  <c r="E82" i="1"/>
  <c r="C79" i="1"/>
  <c r="D79" i="1"/>
  <c r="E79" i="1"/>
  <c r="C126" i="1"/>
  <c r="D126" i="1"/>
  <c r="E126" i="1"/>
  <c r="C51" i="1"/>
  <c r="D51" i="1"/>
  <c r="E51" i="1"/>
  <c r="C52" i="1"/>
  <c r="D52" i="1"/>
  <c r="E52" i="1"/>
  <c r="C20" i="1"/>
  <c r="D20" i="1"/>
  <c r="E20" i="1"/>
  <c r="C150" i="1"/>
  <c r="D150" i="1"/>
  <c r="E150" i="1"/>
  <c r="C27" i="1"/>
  <c r="D27" i="1"/>
  <c r="E27" i="1"/>
  <c r="C37" i="1"/>
  <c r="D37" i="1"/>
  <c r="E37" i="1"/>
  <c r="C71" i="1"/>
  <c r="D71" i="1"/>
  <c r="E71" i="1"/>
  <c r="C132" i="1"/>
  <c r="D132" i="1"/>
  <c r="E132" i="1"/>
  <c r="C26" i="1"/>
  <c r="D26" i="1"/>
  <c r="E26" i="1"/>
  <c r="C6" i="1"/>
  <c r="D6" i="1"/>
  <c r="E6" i="1"/>
  <c r="C84" i="1"/>
  <c r="D84" i="1"/>
  <c r="E84" i="1"/>
  <c r="C143" i="1"/>
  <c r="D143" i="1"/>
  <c r="E143" i="1"/>
  <c r="C86" i="1"/>
  <c r="D86" i="1"/>
  <c r="E86" i="1"/>
  <c r="C165" i="1"/>
  <c r="D165" i="1"/>
  <c r="E165" i="1"/>
  <c r="C45" i="1"/>
  <c r="D45" i="1"/>
  <c r="E45" i="1"/>
  <c r="C146" i="1"/>
  <c r="D146" i="1"/>
  <c r="E146" i="1"/>
  <c r="C75" i="1"/>
  <c r="D75" i="1"/>
  <c r="E75" i="1"/>
  <c r="C91" i="1"/>
  <c r="D91" i="1"/>
  <c r="E91" i="1"/>
  <c r="C142" i="1"/>
  <c r="D142" i="1"/>
  <c r="E142" i="1"/>
  <c r="C156" i="1"/>
  <c r="D156" i="1"/>
  <c r="E156" i="1"/>
  <c r="C5" i="1"/>
  <c r="D5" i="1"/>
  <c r="E5" i="1"/>
  <c r="C83" i="1"/>
  <c r="D83" i="1"/>
  <c r="E83" i="1"/>
  <c r="C66" i="1"/>
  <c r="D66" i="1"/>
  <c r="E66" i="1"/>
  <c r="C121" i="1"/>
  <c r="D121" i="1"/>
  <c r="E121" i="1"/>
  <c r="C122" i="1"/>
  <c r="D122" i="1"/>
  <c r="E122" i="1"/>
  <c r="C18" i="1"/>
  <c r="D18" i="1"/>
  <c r="E18" i="1"/>
  <c r="C19" i="1"/>
  <c r="D19" i="1"/>
  <c r="E19" i="1"/>
  <c r="C129" i="1"/>
  <c r="D129" i="1"/>
  <c r="E129" i="1"/>
  <c r="C76" i="1"/>
  <c r="D76" i="1"/>
  <c r="E76" i="1"/>
  <c r="C128" i="1"/>
  <c r="D128" i="1"/>
  <c r="E128" i="1"/>
  <c r="C7" i="1"/>
  <c r="D7" i="1"/>
  <c r="E7" i="1"/>
  <c r="C92" i="1"/>
  <c r="D92" i="1"/>
  <c r="E92" i="1"/>
  <c r="C134" i="1"/>
  <c r="D134" i="1"/>
  <c r="E134" i="1"/>
  <c r="C69" i="1"/>
  <c r="D69" i="1"/>
  <c r="E69" i="1"/>
  <c r="C131" i="1"/>
  <c r="D131" i="1"/>
  <c r="E131" i="1"/>
  <c r="C33" i="1"/>
  <c r="D33" i="1"/>
  <c r="E33" i="1"/>
  <c r="C47" i="1"/>
  <c r="D47" i="1"/>
  <c r="E47" i="1"/>
  <c r="C166" i="1"/>
  <c r="D166" i="1"/>
  <c r="E166" i="1"/>
  <c r="C9" i="1"/>
  <c r="D9" i="1"/>
  <c r="E9" i="1"/>
  <c r="C96" i="1"/>
  <c r="D96" i="1"/>
  <c r="E96" i="1"/>
  <c r="C40" i="1"/>
  <c r="D40" i="1"/>
  <c r="E40" i="1"/>
  <c r="C104" i="1"/>
  <c r="D104" i="1"/>
  <c r="E104" i="1"/>
  <c r="C30" i="1"/>
  <c r="D30" i="1"/>
  <c r="E30" i="1"/>
  <c r="C57" i="1"/>
  <c r="D57" i="1"/>
  <c r="E57" i="1"/>
  <c r="C8" i="1"/>
  <c r="D8" i="1"/>
  <c r="E8" i="1"/>
  <c r="C138" i="1"/>
  <c r="D138" i="1"/>
  <c r="E138" i="1"/>
  <c r="C108" i="1"/>
  <c r="D108" i="1"/>
  <c r="E108" i="1"/>
  <c r="C109" i="1"/>
  <c r="D109" i="1"/>
  <c r="E109" i="1"/>
  <c r="C35" i="1"/>
  <c r="D35" i="1"/>
  <c r="E35" i="1"/>
  <c r="C62" i="1"/>
  <c r="D62" i="1"/>
  <c r="E62" i="1"/>
  <c r="C70" i="1"/>
  <c r="D70" i="1"/>
  <c r="E70" i="1"/>
  <c r="BA7" i="2"/>
  <c r="AZ7" i="2"/>
  <c r="AA6" i="2"/>
  <c r="AA7" i="2"/>
  <c r="AA8" i="2"/>
  <c r="AH6" i="2"/>
  <c r="AI6" i="2"/>
  <c r="AH7" i="2"/>
  <c r="AI7" i="2"/>
  <c r="AH8" i="2"/>
  <c r="AI8" i="2"/>
  <c r="AC6" i="2"/>
  <c r="AC7" i="2"/>
  <c r="AC8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8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R120" i="1"/>
  <c r="S120" i="1"/>
  <c r="T120" i="1"/>
  <c r="R147" i="1"/>
  <c r="S147" i="1"/>
  <c r="T147" i="1"/>
  <c r="R64" i="1"/>
  <c r="S64" i="1"/>
  <c r="T64" i="1"/>
  <c r="R24" i="1"/>
  <c r="S24" i="1"/>
  <c r="T24" i="1"/>
  <c r="R34" i="1"/>
  <c r="S34" i="1"/>
  <c r="T34" i="1"/>
  <c r="R29" i="1"/>
  <c r="S29" i="1"/>
  <c r="T29" i="1"/>
  <c r="R149" i="1"/>
  <c r="S149" i="1"/>
  <c r="T149" i="1"/>
  <c r="R85" i="1"/>
  <c r="S85" i="1"/>
  <c r="T85" i="1"/>
  <c r="R21" i="1"/>
  <c r="S21" i="1"/>
  <c r="T21" i="1"/>
  <c r="R115" i="1"/>
  <c r="S115" i="1"/>
  <c r="T115" i="1"/>
  <c r="R116" i="1"/>
  <c r="S116" i="1"/>
  <c r="T116" i="1"/>
  <c r="R63" i="1"/>
  <c r="S63" i="1"/>
  <c r="T63" i="1"/>
  <c r="R98" i="1"/>
  <c r="S98" i="1"/>
  <c r="T98" i="1"/>
  <c r="R87" i="1"/>
  <c r="S87" i="1"/>
  <c r="T87" i="1"/>
  <c r="R103" i="1"/>
  <c r="S103" i="1"/>
  <c r="T103" i="1"/>
  <c r="R117" i="1"/>
  <c r="S117" i="1"/>
  <c r="T117" i="1"/>
  <c r="R50" i="1"/>
  <c r="S50" i="1"/>
  <c r="T50" i="1"/>
  <c r="R61" i="1"/>
  <c r="S61" i="1"/>
  <c r="T61" i="1"/>
  <c r="R74" i="1"/>
  <c r="S74" i="1"/>
  <c r="T74" i="1"/>
  <c r="R105" i="1"/>
  <c r="S105" i="1"/>
  <c r="T105" i="1"/>
  <c r="R114" i="1"/>
  <c r="S114" i="1"/>
  <c r="T114" i="1"/>
  <c r="R13" i="1"/>
  <c r="S13" i="1"/>
  <c r="T13" i="1"/>
  <c r="R136" i="1"/>
  <c r="S136" i="1"/>
  <c r="T136" i="1"/>
  <c r="R28" i="1"/>
  <c r="S28" i="1"/>
  <c r="T28" i="1"/>
  <c r="R151" i="1"/>
  <c r="S151" i="1"/>
  <c r="T151" i="1"/>
  <c r="R111" i="1"/>
  <c r="S111" i="1"/>
  <c r="T111" i="1"/>
  <c r="R110" i="1"/>
  <c r="S110" i="1"/>
  <c r="T110" i="1"/>
  <c r="R168" i="1"/>
  <c r="S168" i="1"/>
  <c r="T168" i="1"/>
  <c r="R133" i="1"/>
  <c r="S133" i="1"/>
  <c r="T133" i="1"/>
  <c r="R94" i="1"/>
  <c r="S94" i="1"/>
  <c r="T94" i="1"/>
  <c r="R148" i="1"/>
  <c r="S148" i="1"/>
  <c r="T148" i="1"/>
  <c r="R81" i="1"/>
  <c r="S81" i="1"/>
  <c r="T81" i="1"/>
  <c r="R124" i="1"/>
  <c r="S124" i="1"/>
  <c r="T124" i="1"/>
  <c r="R36" i="1"/>
  <c r="S36" i="1"/>
  <c r="T36" i="1"/>
  <c r="R165" i="1"/>
  <c r="S165" i="1"/>
  <c r="T165" i="1"/>
  <c r="R139" i="1"/>
  <c r="S139" i="1"/>
  <c r="T139" i="1"/>
  <c r="R145" i="1"/>
  <c r="S145" i="1"/>
  <c r="T145" i="1"/>
  <c r="R130" i="1"/>
  <c r="S130" i="1"/>
  <c r="T130" i="1"/>
  <c r="R160" i="1"/>
  <c r="S160" i="1"/>
  <c r="T160" i="1"/>
  <c r="R158" i="1"/>
  <c r="S158" i="1"/>
  <c r="T158" i="1"/>
  <c r="R137" i="1"/>
  <c r="S137" i="1"/>
  <c r="T137" i="1"/>
  <c r="R125" i="1"/>
  <c r="S125" i="1"/>
  <c r="T125" i="1"/>
  <c r="R16" i="1"/>
  <c r="S16" i="1"/>
  <c r="T16" i="1"/>
  <c r="R100" i="1"/>
  <c r="S100" i="1"/>
  <c r="T100" i="1"/>
  <c r="R140" i="1"/>
  <c r="S140" i="1"/>
  <c r="T140" i="1"/>
  <c r="R107" i="1"/>
  <c r="S107" i="1"/>
  <c r="T107" i="1"/>
  <c r="R39" i="1"/>
  <c r="S39" i="1"/>
  <c r="T39" i="1"/>
  <c r="R53" i="1"/>
  <c r="S53" i="1"/>
  <c r="T53" i="1"/>
  <c r="R135" i="1"/>
  <c r="S135" i="1"/>
  <c r="T135" i="1"/>
  <c r="R170" i="1"/>
  <c r="S170" i="1"/>
  <c r="T170" i="1"/>
  <c r="R54" i="1"/>
  <c r="S54" i="1"/>
  <c r="T54" i="1"/>
  <c r="R60" i="1"/>
  <c r="S60" i="1"/>
  <c r="T60" i="1"/>
  <c r="R65" i="1"/>
  <c r="S65" i="1"/>
  <c r="T65" i="1"/>
  <c r="R55" i="1"/>
  <c r="S55" i="1"/>
  <c r="T55" i="1"/>
  <c r="R162" i="1"/>
  <c r="S162" i="1"/>
  <c r="T162" i="1"/>
  <c r="R113" i="1"/>
  <c r="S113" i="1"/>
  <c r="T113" i="1"/>
  <c r="R80" i="1"/>
  <c r="S80" i="1"/>
  <c r="T80" i="1"/>
  <c r="R41" i="1"/>
  <c r="S41" i="1"/>
  <c r="T41" i="1"/>
  <c r="R161" i="1"/>
  <c r="S161" i="1"/>
  <c r="T161" i="1"/>
  <c r="R23" i="1"/>
  <c r="S23" i="1"/>
  <c r="T23" i="1"/>
  <c r="R144" i="1"/>
  <c r="S144" i="1"/>
  <c r="T144" i="1"/>
  <c r="R46" i="1"/>
  <c r="S46" i="1"/>
  <c r="T46" i="1"/>
  <c r="R82" i="1"/>
  <c r="S82" i="1"/>
  <c r="T82" i="1"/>
  <c r="R45" i="1"/>
  <c r="S45" i="1"/>
  <c r="T45" i="1"/>
  <c r="R17" i="1"/>
  <c r="S17" i="1"/>
  <c r="T17" i="1"/>
  <c r="R42" i="1"/>
  <c r="S42" i="1"/>
  <c r="T42" i="1"/>
  <c r="R68" i="1"/>
  <c r="S68" i="1"/>
  <c r="T68" i="1"/>
  <c r="R93" i="1"/>
  <c r="S93" i="1"/>
  <c r="T93" i="1"/>
  <c r="R119" i="1"/>
  <c r="S119" i="1"/>
  <c r="T119" i="1"/>
  <c r="R89" i="1"/>
  <c r="S89" i="1"/>
  <c r="T89" i="1"/>
  <c r="R155" i="1"/>
  <c r="S155" i="1"/>
  <c r="T155" i="1"/>
  <c r="R22" i="1"/>
  <c r="S22" i="1"/>
  <c r="T22" i="1"/>
  <c r="R79" i="1"/>
  <c r="S79" i="1"/>
  <c r="T79" i="1"/>
  <c r="R126" i="1"/>
  <c r="S126" i="1"/>
  <c r="T126" i="1"/>
  <c r="R51" i="1"/>
  <c r="S51" i="1"/>
  <c r="T51" i="1"/>
  <c r="R52" i="1"/>
  <c r="S52" i="1"/>
  <c r="T52" i="1"/>
  <c r="R20" i="1"/>
  <c r="S20" i="1"/>
  <c r="T20" i="1"/>
  <c r="R118" i="1"/>
  <c r="S118" i="1"/>
  <c r="T118" i="1"/>
  <c r="R163" i="1"/>
  <c r="S163" i="1"/>
  <c r="T163" i="1"/>
  <c r="R127" i="1"/>
  <c r="S127" i="1"/>
  <c r="T127" i="1"/>
  <c r="R153" i="1"/>
  <c r="S153" i="1"/>
  <c r="T153" i="1"/>
  <c r="R67" i="1"/>
  <c r="S67" i="1"/>
  <c r="T67" i="1"/>
  <c r="R77" i="1"/>
  <c r="S77" i="1"/>
  <c r="T77" i="1"/>
  <c r="R72" i="1"/>
  <c r="S72" i="1"/>
  <c r="T72" i="1"/>
  <c r="R44" i="1"/>
  <c r="S44" i="1"/>
  <c r="T44" i="1"/>
  <c r="R11" i="1"/>
  <c r="S11" i="1"/>
  <c r="T11" i="1"/>
  <c r="R123" i="1"/>
  <c r="S123" i="1"/>
  <c r="T123" i="1"/>
  <c r="R15" i="1"/>
  <c r="S15" i="1"/>
  <c r="T15" i="1"/>
  <c r="R154" i="1"/>
  <c r="S154" i="1"/>
  <c r="T154" i="1"/>
  <c r="R12" i="1"/>
  <c r="S12" i="1"/>
  <c r="T12" i="1"/>
  <c r="R58" i="1"/>
  <c r="S58" i="1"/>
  <c r="T58" i="1"/>
  <c r="R31" i="1"/>
  <c r="S31" i="1"/>
  <c r="T31" i="1"/>
  <c r="R152" i="1"/>
  <c r="S152" i="1"/>
  <c r="T152" i="1"/>
  <c r="R157" i="1"/>
  <c r="S157" i="1"/>
  <c r="T157" i="1"/>
  <c r="R102" i="1"/>
  <c r="S102" i="1"/>
  <c r="T102" i="1"/>
  <c r="R169" i="1"/>
  <c r="S169" i="1"/>
  <c r="T169" i="1"/>
  <c r="R56" i="1"/>
  <c r="S56" i="1"/>
  <c r="T56" i="1"/>
  <c r="R101" i="1"/>
  <c r="S101" i="1"/>
  <c r="T101" i="1"/>
  <c r="R88" i="1"/>
  <c r="S88" i="1"/>
  <c r="T88" i="1"/>
  <c r="R106" i="1"/>
  <c r="S106" i="1"/>
  <c r="T106" i="1"/>
  <c r="R78" i="1"/>
  <c r="S78" i="1"/>
  <c r="T78" i="1"/>
  <c r="R97" i="1"/>
  <c r="S97" i="1"/>
  <c r="T97" i="1"/>
  <c r="R90" i="1"/>
  <c r="S90" i="1"/>
  <c r="T90" i="1"/>
  <c r="R49" i="1"/>
  <c r="S49" i="1"/>
  <c r="T49" i="1"/>
  <c r="R112" i="1"/>
  <c r="S112" i="1"/>
  <c r="T112" i="1"/>
  <c r="R38" i="1"/>
  <c r="S38" i="1"/>
  <c r="T38" i="1"/>
  <c r="R59" i="1"/>
  <c r="S59" i="1"/>
  <c r="T59" i="1"/>
  <c r="R164" i="1"/>
  <c r="S164" i="1"/>
  <c r="T164" i="1"/>
  <c r="R167" i="1"/>
  <c r="S167" i="1"/>
  <c r="T167" i="1"/>
  <c r="R73" i="1"/>
  <c r="S73" i="1"/>
  <c r="T73" i="1"/>
  <c r="R43" i="1"/>
  <c r="S43" i="1"/>
  <c r="T43" i="1"/>
  <c r="R95" i="1"/>
  <c r="S95" i="1"/>
  <c r="T95" i="1"/>
  <c r="R141" i="1"/>
  <c r="S141" i="1"/>
  <c r="T141" i="1"/>
  <c r="R14" i="1"/>
  <c r="S14" i="1"/>
  <c r="T14" i="1"/>
  <c r="R32" i="1"/>
  <c r="S32" i="1"/>
  <c r="T32" i="1"/>
  <c r="R99" i="1"/>
  <c r="S99" i="1"/>
  <c r="T99" i="1"/>
  <c r="R25" i="1"/>
  <c r="S25" i="1"/>
  <c r="T25" i="1"/>
  <c r="R48" i="1"/>
  <c r="S48" i="1"/>
  <c r="T48" i="1"/>
  <c r="R10" i="1"/>
  <c r="S10" i="1"/>
  <c r="T10" i="1"/>
  <c r="R159" i="1"/>
  <c r="S159" i="1"/>
  <c r="T159" i="1"/>
  <c r="R150" i="1"/>
  <c r="S150" i="1"/>
  <c r="T150" i="1"/>
  <c r="R27" i="1"/>
  <c r="S27" i="1"/>
  <c r="T27" i="1"/>
  <c r="R146" i="1"/>
  <c r="S146" i="1"/>
  <c r="T146" i="1"/>
  <c r="R75" i="1"/>
  <c r="S75" i="1"/>
  <c r="T75" i="1"/>
  <c r="R37" i="1"/>
  <c r="S37" i="1"/>
  <c r="T37" i="1"/>
  <c r="R71" i="1"/>
  <c r="S71" i="1"/>
  <c r="T71" i="1"/>
  <c r="R132" i="1"/>
  <c r="S132" i="1"/>
  <c r="T132" i="1"/>
  <c r="R26" i="1"/>
  <c r="S26" i="1"/>
  <c r="T26" i="1"/>
  <c r="R91" i="1"/>
  <c r="S91" i="1"/>
  <c r="T91" i="1"/>
  <c r="R6" i="1"/>
  <c r="S6" i="1"/>
  <c r="T6" i="1"/>
  <c r="R84" i="1"/>
  <c r="S84" i="1"/>
  <c r="T84" i="1"/>
  <c r="R142" i="1"/>
  <c r="S142" i="1"/>
  <c r="T142" i="1"/>
  <c r="R156" i="1"/>
  <c r="S156" i="1"/>
  <c r="T156" i="1"/>
  <c r="R5" i="1"/>
  <c r="S5" i="1"/>
  <c r="T5" i="1"/>
  <c r="R83" i="1"/>
  <c r="S83" i="1"/>
  <c r="T83" i="1"/>
  <c r="R66" i="1"/>
  <c r="S66" i="1"/>
  <c r="T66" i="1"/>
  <c r="R121" i="1"/>
  <c r="S121" i="1"/>
  <c r="T121" i="1"/>
  <c r="R122" i="1"/>
  <c r="S122" i="1"/>
  <c r="T122" i="1"/>
  <c r="R18" i="1"/>
  <c r="S18" i="1"/>
  <c r="T18" i="1"/>
  <c r="R33" i="1"/>
  <c r="S33" i="1"/>
  <c r="T33" i="1"/>
  <c r="R47" i="1"/>
  <c r="S47" i="1"/>
  <c r="T47" i="1"/>
  <c r="R19" i="1"/>
  <c r="S19" i="1"/>
  <c r="T19" i="1"/>
  <c r="R134" i="1"/>
  <c r="S134" i="1"/>
  <c r="T134" i="1"/>
  <c r="R69" i="1"/>
  <c r="S69" i="1"/>
  <c r="T69" i="1"/>
  <c r="R131" i="1"/>
  <c r="S131" i="1"/>
  <c r="T131" i="1"/>
  <c r="R143" i="1"/>
  <c r="S143" i="1"/>
  <c r="T143" i="1"/>
  <c r="R86" i="1"/>
  <c r="S86" i="1"/>
  <c r="T86" i="1"/>
  <c r="R129" i="1"/>
  <c r="S129" i="1"/>
  <c r="T129" i="1"/>
  <c r="R76" i="1"/>
  <c r="S76" i="1"/>
  <c r="T76" i="1"/>
  <c r="R104" i="1"/>
  <c r="S104" i="1"/>
  <c r="T104" i="1"/>
  <c r="R30" i="1"/>
  <c r="S30" i="1"/>
  <c r="T30" i="1"/>
  <c r="R8" i="1"/>
  <c r="S8" i="1"/>
  <c r="T8" i="1"/>
  <c r="R138" i="1"/>
  <c r="S138" i="1"/>
  <c r="T138" i="1"/>
  <c r="R57" i="1"/>
  <c r="S57" i="1"/>
  <c r="T57" i="1"/>
  <c r="R108" i="1"/>
  <c r="S108" i="1"/>
  <c r="T108" i="1"/>
  <c r="R109" i="1"/>
  <c r="S109" i="1"/>
  <c r="T109" i="1"/>
  <c r="R35" i="1"/>
  <c r="S35" i="1"/>
  <c r="T35" i="1"/>
  <c r="R62" i="1"/>
  <c r="S62" i="1"/>
  <c r="T62" i="1"/>
  <c r="R70" i="1"/>
  <c r="S70" i="1"/>
  <c r="T70" i="1"/>
  <c r="R128" i="1"/>
  <c r="S128" i="1"/>
  <c r="T128" i="1"/>
  <c r="R7" i="1"/>
  <c r="S7" i="1"/>
  <c r="T7" i="1"/>
  <c r="R92" i="1"/>
  <c r="S92" i="1"/>
  <c r="T92" i="1"/>
  <c r="R166" i="1"/>
  <c r="S166" i="1"/>
  <c r="T166" i="1"/>
  <c r="R9" i="1"/>
  <c r="S9" i="1"/>
  <c r="T9" i="1"/>
  <c r="R96" i="1"/>
  <c r="S96" i="1"/>
  <c r="T96" i="1"/>
  <c r="R40" i="1"/>
  <c r="S40" i="1"/>
  <c r="T40" i="1"/>
  <c r="T171" i="1"/>
  <c r="S171" i="1"/>
  <c r="R171" i="1"/>
  <c r="A1" i="2"/>
  <c r="L134" i="1"/>
  <c r="O134" i="1"/>
  <c r="N168" i="2"/>
  <c r="M134" i="1"/>
  <c r="P134" i="1"/>
  <c r="O168" i="2"/>
  <c r="N134" i="1"/>
  <c r="Q134" i="1"/>
  <c r="H134" i="1"/>
  <c r="K134" i="1"/>
  <c r="P168" i="2"/>
  <c r="Q168" i="2"/>
  <c r="L69" i="1"/>
  <c r="O69" i="1"/>
  <c r="N169" i="2"/>
  <c r="M69" i="1"/>
  <c r="P69" i="1"/>
  <c r="O169" i="2"/>
  <c r="N69" i="1"/>
  <c r="Q69" i="1"/>
  <c r="H69" i="1"/>
  <c r="K69" i="1"/>
  <c r="P169" i="2"/>
  <c r="Q169" i="2"/>
  <c r="L5" i="1"/>
  <c r="O5" i="1"/>
  <c r="N146" i="2"/>
  <c r="M5" i="1"/>
  <c r="P5" i="1"/>
  <c r="O146" i="2"/>
  <c r="N5" i="1"/>
  <c r="Q5" i="1"/>
  <c r="H5" i="1"/>
  <c r="K5" i="1"/>
  <c r="P146" i="2"/>
  <c r="Q146" i="2"/>
  <c r="L121" i="1"/>
  <c r="O121" i="1"/>
  <c r="N149" i="2"/>
  <c r="M121" i="1"/>
  <c r="P121" i="1"/>
  <c r="O149" i="2"/>
  <c r="N121" i="1"/>
  <c r="Q121" i="1"/>
  <c r="H121" i="1"/>
  <c r="K121" i="1"/>
  <c r="P149" i="2"/>
  <c r="Q149" i="2"/>
  <c r="L122" i="1"/>
  <c r="O122" i="1"/>
  <c r="N150" i="2"/>
  <c r="M122" i="1"/>
  <c r="P122" i="1"/>
  <c r="O150" i="2"/>
  <c r="N122" i="1"/>
  <c r="Q122" i="1"/>
  <c r="H122" i="1"/>
  <c r="K122" i="1"/>
  <c r="P150" i="2"/>
  <c r="Q150" i="2"/>
  <c r="L128" i="1"/>
  <c r="O128" i="1"/>
  <c r="N155" i="2"/>
  <c r="M128" i="1"/>
  <c r="P128" i="1"/>
  <c r="O155" i="2"/>
  <c r="N128" i="1"/>
  <c r="Q128" i="1"/>
  <c r="H128" i="1"/>
  <c r="K128" i="1"/>
  <c r="P155" i="2"/>
  <c r="Q155" i="2"/>
  <c r="L129" i="1"/>
  <c r="O129" i="1"/>
  <c r="N153" i="2"/>
  <c r="M129" i="1"/>
  <c r="P129" i="1"/>
  <c r="O153" i="2"/>
  <c r="N129" i="1"/>
  <c r="Q129" i="1"/>
  <c r="H129" i="1"/>
  <c r="K129" i="1"/>
  <c r="P153" i="2"/>
  <c r="Q153" i="2"/>
  <c r="L142" i="1"/>
  <c r="O142" i="1"/>
  <c r="N144" i="2"/>
  <c r="M142" i="1"/>
  <c r="P142" i="1"/>
  <c r="O144" i="2"/>
  <c r="N142" i="1"/>
  <c r="Q142" i="1"/>
  <c r="H142" i="1"/>
  <c r="K142" i="1"/>
  <c r="P144" i="2"/>
  <c r="Q144" i="2"/>
  <c r="L18" i="1"/>
  <c r="O18" i="1"/>
  <c r="N151" i="2"/>
  <c r="M18" i="1"/>
  <c r="P18" i="1"/>
  <c r="O151" i="2"/>
  <c r="N18" i="1"/>
  <c r="Q18" i="1"/>
  <c r="H18" i="1"/>
  <c r="K18" i="1"/>
  <c r="P151" i="2"/>
  <c r="Q151" i="2"/>
  <c r="L146" i="1"/>
  <c r="O146" i="1"/>
  <c r="N141" i="2"/>
  <c r="M146" i="1"/>
  <c r="P146" i="1"/>
  <c r="O141" i="2"/>
  <c r="N146" i="1"/>
  <c r="Q146" i="1"/>
  <c r="H146" i="1"/>
  <c r="K146" i="1"/>
  <c r="P141" i="2"/>
  <c r="Q141" i="2"/>
  <c r="L19" i="1"/>
  <c r="O19" i="1"/>
  <c r="N152" i="2"/>
  <c r="M19" i="1"/>
  <c r="P19" i="1"/>
  <c r="O152" i="2"/>
  <c r="N19" i="1"/>
  <c r="Q19" i="1"/>
  <c r="H19" i="1"/>
  <c r="K19" i="1"/>
  <c r="P152" i="2"/>
  <c r="Q152" i="2"/>
  <c r="L156" i="1"/>
  <c r="O156" i="1"/>
  <c r="N145" i="2"/>
  <c r="M156" i="1"/>
  <c r="P156" i="1"/>
  <c r="O145" i="2"/>
  <c r="N156" i="1"/>
  <c r="Q156" i="1"/>
  <c r="H156" i="1"/>
  <c r="K156" i="1"/>
  <c r="P145" i="2"/>
  <c r="Q145" i="2"/>
  <c r="L165" i="1"/>
  <c r="O165" i="1"/>
  <c r="N139" i="2"/>
  <c r="M165" i="1"/>
  <c r="P165" i="1"/>
  <c r="O139" i="2"/>
  <c r="N165" i="1"/>
  <c r="Q165" i="1"/>
  <c r="H165" i="1"/>
  <c r="K165" i="1"/>
  <c r="P139" i="2"/>
  <c r="Q139" i="2"/>
  <c r="L7" i="1"/>
  <c r="O7" i="1"/>
  <c r="N156" i="2"/>
  <c r="M7" i="1"/>
  <c r="P7" i="1"/>
  <c r="O156" i="2"/>
  <c r="N7" i="1"/>
  <c r="Q7" i="1"/>
  <c r="H7" i="1"/>
  <c r="K7" i="1"/>
  <c r="P156" i="2"/>
  <c r="Q156" i="2"/>
  <c r="L45" i="1"/>
  <c r="O45" i="1"/>
  <c r="N140" i="2"/>
  <c r="M45" i="1"/>
  <c r="P45" i="1"/>
  <c r="O140" i="2"/>
  <c r="N45" i="1"/>
  <c r="Q45" i="1"/>
  <c r="H45" i="1"/>
  <c r="K45" i="1"/>
  <c r="P140" i="2"/>
  <c r="Q140" i="2"/>
  <c r="L66" i="1"/>
  <c r="O66" i="1"/>
  <c r="N148" i="2"/>
  <c r="M66" i="1"/>
  <c r="P66" i="1"/>
  <c r="O148" i="2"/>
  <c r="N66" i="1"/>
  <c r="Q66" i="1"/>
  <c r="H66" i="1"/>
  <c r="K66" i="1"/>
  <c r="P148" i="2"/>
  <c r="Q148" i="2"/>
  <c r="L75" i="1"/>
  <c r="O75" i="1"/>
  <c r="N142" i="2"/>
  <c r="M75" i="1"/>
  <c r="P75" i="1"/>
  <c r="O142" i="2"/>
  <c r="N75" i="1"/>
  <c r="Q75" i="1"/>
  <c r="H75" i="1"/>
  <c r="K75" i="1"/>
  <c r="P142" i="2"/>
  <c r="Q142" i="2"/>
  <c r="L76" i="1"/>
  <c r="O76" i="1"/>
  <c r="N154" i="2"/>
  <c r="M76" i="1"/>
  <c r="P76" i="1"/>
  <c r="O154" i="2"/>
  <c r="N76" i="1"/>
  <c r="Q76" i="1"/>
  <c r="H76" i="1"/>
  <c r="K76" i="1"/>
  <c r="P154" i="2"/>
  <c r="Q154" i="2"/>
  <c r="L83" i="1"/>
  <c r="O83" i="1"/>
  <c r="N147" i="2"/>
  <c r="M83" i="1"/>
  <c r="P83" i="1"/>
  <c r="O147" i="2"/>
  <c r="N83" i="1"/>
  <c r="Q83" i="1"/>
  <c r="H83" i="1"/>
  <c r="K83" i="1"/>
  <c r="P147" i="2"/>
  <c r="Q147" i="2"/>
  <c r="L91" i="1"/>
  <c r="O91" i="1"/>
  <c r="N143" i="2"/>
  <c r="M91" i="1"/>
  <c r="P91" i="1"/>
  <c r="O143" i="2"/>
  <c r="N91" i="1"/>
  <c r="Q91" i="1"/>
  <c r="H91" i="1"/>
  <c r="K91" i="1"/>
  <c r="P143" i="2"/>
  <c r="Q143" i="2"/>
  <c r="L92" i="1"/>
  <c r="O92" i="1"/>
  <c r="N157" i="2"/>
  <c r="M92" i="1"/>
  <c r="P92" i="1"/>
  <c r="O157" i="2"/>
  <c r="N92" i="1"/>
  <c r="Q92" i="1"/>
  <c r="H92" i="1"/>
  <c r="K92" i="1"/>
  <c r="P157" i="2"/>
  <c r="Q157" i="2"/>
  <c r="L166" i="1"/>
  <c r="O166" i="1"/>
  <c r="N160" i="2"/>
  <c r="M166" i="1"/>
  <c r="P166" i="1"/>
  <c r="O160" i="2"/>
  <c r="N166" i="1"/>
  <c r="Q166" i="1"/>
  <c r="H166" i="1"/>
  <c r="K166" i="1"/>
  <c r="P160" i="2"/>
  <c r="Q160" i="2"/>
  <c r="L33" i="1"/>
  <c r="O33" i="1"/>
  <c r="N158" i="2"/>
  <c r="M33" i="1"/>
  <c r="P33" i="1"/>
  <c r="O158" i="2"/>
  <c r="N33" i="1"/>
  <c r="Q33" i="1"/>
  <c r="H33" i="1"/>
  <c r="K33" i="1"/>
  <c r="P158" i="2"/>
  <c r="Q158" i="2"/>
  <c r="L40" i="1"/>
  <c r="O40" i="1"/>
  <c r="N163" i="2"/>
  <c r="M40" i="1"/>
  <c r="P40" i="1"/>
  <c r="O163" i="2"/>
  <c r="N40" i="1"/>
  <c r="Q40" i="1"/>
  <c r="H40" i="1"/>
  <c r="K40" i="1"/>
  <c r="P163" i="2"/>
  <c r="Q163" i="2"/>
  <c r="L47" i="1"/>
  <c r="O47" i="1"/>
  <c r="N159" i="2"/>
  <c r="M47" i="1"/>
  <c r="P47" i="1"/>
  <c r="O159" i="2"/>
  <c r="N47" i="1"/>
  <c r="Q47" i="1"/>
  <c r="H47" i="1"/>
  <c r="K47" i="1"/>
  <c r="P159" i="2"/>
  <c r="Q159" i="2"/>
  <c r="L9" i="1"/>
  <c r="O9" i="1"/>
  <c r="N161" i="2"/>
  <c r="M9" i="1"/>
  <c r="P9" i="1"/>
  <c r="O161" i="2"/>
  <c r="N9" i="1"/>
  <c r="Q9" i="1"/>
  <c r="H9" i="1"/>
  <c r="K9" i="1"/>
  <c r="P161" i="2"/>
  <c r="Q161" i="2"/>
  <c r="L96" i="1"/>
  <c r="O96" i="1"/>
  <c r="N162" i="2"/>
  <c r="M96" i="1"/>
  <c r="P96" i="1"/>
  <c r="O162" i="2"/>
  <c r="N96" i="1"/>
  <c r="Q96" i="1"/>
  <c r="H96" i="1"/>
  <c r="K96" i="1"/>
  <c r="P162" i="2"/>
  <c r="Q162" i="2"/>
  <c r="L110" i="1"/>
  <c r="O110" i="1"/>
  <c r="N106" i="2"/>
  <c r="M110" i="1"/>
  <c r="P110" i="1"/>
  <c r="O106" i="2"/>
  <c r="N110" i="1"/>
  <c r="Q110" i="1"/>
  <c r="H110" i="1"/>
  <c r="K110" i="1"/>
  <c r="P106" i="2"/>
  <c r="Q106" i="2"/>
  <c r="L111" i="1"/>
  <c r="O111" i="1"/>
  <c r="N105" i="2"/>
  <c r="M111" i="1"/>
  <c r="P111" i="1"/>
  <c r="O105" i="2"/>
  <c r="N111" i="1"/>
  <c r="Q111" i="1"/>
  <c r="H111" i="1"/>
  <c r="K111" i="1"/>
  <c r="P105" i="2"/>
  <c r="Q105" i="2"/>
  <c r="L113" i="1"/>
  <c r="O113" i="1"/>
  <c r="N116" i="2"/>
  <c r="M113" i="1"/>
  <c r="P113" i="1"/>
  <c r="O116" i="2"/>
  <c r="N113" i="1"/>
  <c r="Q113" i="1"/>
  <c r="H113" i="1"/>
  <c r="K113" i="1"/>
  <c r="P116" i="2"/>
  <c r="Q116" i="2"/>
  <c r="L124" i="1"/>
  <c r="O124" i="1"/>
  <c r="N112" i="2"/>
  <c r="M124" i="1"/>
  <c r="P124" i="1"/>
  <c r="O112" i="2"/>
  <c r="N124" i="1"/>
  <c r="Q124" i="1"/>
  <c r="H124" i="1"/>
  <c r="K124" i="1"/>
  <c r="P112" i="2"/>
  <c r="Q112" i="2"/>
  <c r="L126" i="1"/>
  <c r="O126" i="1"/>
  <c r="N124" i="2"/>
  <c r="M126" i="1"/>
  <c r="P126" i="1"/>
  <c r="O124" i="2"/>
  <c r="N126" i="1"/>
  <c r="Q126" i="1"/>
  <c r="H126" i="1"/>
  <c r="K126" i="1"/>
  <c r="P124" i="2"/>
  <c r="Q124" i="2"/>
  <c r="L132" i="1"/>
  <c r="O132" i="1"/>
  <c r="N133" i="2"/>
  <c r="M132" i="1"/>
  <c r="P132" i="1"/>
  <c r="O133" i="2"/>
  <c r="N132" i="1"/>
  <c r="Q132" i="1"/>
  <c r="H132" i="1"/>
  <c r="K132" i="1"/>
  <c r="P133" i="2"/>
  <c r="Q133" i="2"/>
  <c r="L133" i="1"/>
  <c r="O133" i="1"/>
  <c r="N108" i="2"/>
  <c r="M133" i="1"/>
  <c r="P133" i="1"/>
  <c r="O108" i="2"/>
  <c r="N133" i="1"/>
  <c r="Q133" i="1"/>
  <c r="H133" i="1"/>
  <c r="K133" i="1"/>
  <c r="P108" i="2"/>
  <c r="Q108" i="2"/>
  <c r="L139" i="1"/>
  <c r="O139" i="1"/>
  <c r="N114" i="2"/>
  <c r="M139" i="1"/>
  <c r="P139" i="1"/>
  <c r="O114" i="2"/>
  <c r="N139" i="1"/>
  <c r="Q139" i="1"/>
  <c r="H139" i="1"/>
  <c r="K139" i="1"/>
  <c r="P114" i="2"/>
  <c r="Q114" i="2"/>
  <c r="L143" i="1"/>
  <c r="O143" i="1"/>
  <c r="N137" i="2"/>
  <c r="M143" i="1"/>
  <c r="P143" i="1"/>
  <c r="O137" i="2"/>
  <c r="N143" i="1"/>
  <c r="Q143" i="1"/>
  <c r="H143" i="1"/>
  <c r="K143" i="1"/>
  <c r="P137" i="2"/>
  <c r="Q137" i="2"/>
  <c r="L144" i="1"/>
  <c r="O144" i="1"/>
  <c r="N120" i="2"/>
  <c r="M144" i="1"/>
  <c r="P144" i="1"/>
  <c r="O120" i="2"/>
  <c r="N144" i="1"/>
  <c r="Q144" i="1"/>
  <c r="H144" i="1"/>
  <c r="K144" i="1"/>
  <c r="P120" i="2"/>
  <c r="Q120" i="2"/>
  <c r="L145" i="1"/>
  <c r="O145" i="1"/>
  <c r="N115" i="2"/>
  <c r="M145" i="1"/>
  <c r="P145" i="1"/>
  <c r="O115" i="2"/>
  <c r="N145" i="1"/>
  <c r="Q145" i="1"/>
  <c r="H145" i="1"/>
  <c r="K145" i="1"/>
  <c r="P115" i="2"/>
  <c r="Q115" i="2"/>
  <c r="L148" i="1"/>
  <c r="O148" i="1"/>
  <c r="N110" i="2"/>
  <c r="M148" i="1"/>
  <c r="P148" i="1"/>
  <c r="O110" i="2"/>
  <c r="N148" i="1"/>
  <c r="Q148" i="1"/>
  <c r="H148" i="1"/>
  <c r="K148" i="1"/>
  <c r="P110" i="2"/>
  <c r="Q110" i="2"/>
  <c r="L150" i="1"/>
  <c r="O150" i="1"/>
  <c r="N129" i="2"/>
  <c r="M150" i="1"/>
  <c r="P150" i="1"/>
  <c r="O129" i="2"/>
  <c r="N150" i="1"/>
  <c r="Q150" i="1"/>
  <c r="H150" i="1"/>
  <c r="K150" i="1"/>
  <c r="P129" i="2"/>
  <c r="Q129" i="2"/>
  <c r="L161" i="1"/>
  <c r="O161" i="1"/>
  <c r="N118" i="2"/>
  <c r="M161" i="1"/>
  <c r="P161" i="1"/>
  <c r="O118" i="2"/>
  <c r="N161" i="1"/>
  <c r="Q161" i="1"/>
  <c r="H161" i="1"/>
  <c r="K161" i="1"/>
  <c r="P118" i="2"/>
  <c r="Q118" i="2"/>
  <c r="L20" i="1"/>
  <c r="O20" i="1"/>
  <c r="N128" i="2"/>
  <c r="M20" i="1"/>
  <c r="P20" i="1"/>
  <c r="O128" i="2"/>
  <c r="N20" i="1"/>
  <c r="Q20" i="1"/>
  <c r="H20" i="1"/>
  <c r="K20" i="1"/>
  <c r="P128" i="2"/>
  <c r="Q128" i="2"/>
  <c r="L168" i="1"/>
  <c r="O168" i="1"/>
  <c r="N107" i="2"/>
  <c r="M168" i="1"/>
  <c r="P168" i="1"/>
  <c r="O107" i="2"/>
  <c r="N168" i="1"/>
  <c r="Q168" i="1"/>
  <c r="H168" i="1"/>
  <c r="K168" i="1"/>
  <c r="P107" i="2"/>
  <c r="Q107" i="2"/>
  <c r="L23" i="1"/>
  <c r="O23" i="1"/>
  <c r="N121" i="2"/>
  <c r="M23" i="1"/>
  <c r="P23" i="1"/>
  <c r="O121" i="2"/>
  <c r="N23" i="1"/>
  <c r="Q23" i="1"/>
  <c r="H23" i="1"/>
  <c r="K23" i="1"/>
  <c r="P121" i="2"/>
  <c r="Q121" i="2"/>
  <c r="L6" i="1"/>
  <c r="O6" i="1"/>
  <c r="N135" i="2"/>
  <c r="M6" i="1"/>
  <c r="P6" i="1"/>
  <c r="O135" i="2"/>
  <c r="N6" i="1"/>
  <c r="Q6" i="1"/>
  <c r="H6" i="1"/>
  <c r="K6" i="1"/>
  <c r="P135" i="2"/>
  <c r="Q135" i="2"/>
  <c r="L26" i="1"/>
  <c r="O26" i="1"/>
  <c r="N134" i="2"/>
  <c r="M26" i="1"/>
  <c r="P26" i="1"/>
  <c r="O134" i="2"/>
  <c r="N26" i="1"/>
  <c r="Q26" i="1"/>
  <c r="H26" i="1"/>
  <c r="K26" i="1"/>
  <c r="P134" i="2"/>
  <c r="Q134" i="2"/>
  <c r="L27" i="1"/>
  <c r="O27" i="1"/>
  <c r="N130" i="2"/>
  <c r="M27" i="1"/>
  <c r="P27" i="1"/>
  <c r="O130" i="2"/>
  <c r="N27" i="1"/>
  <c r="Q27" i="1"/>
  <c r="H27" i="1"/>
  <c r="K27" i="1"/>
  <c r="P130" i="2"/>
  <c r="Q130" i="2"/>
  <c r="L36" i="1"/>
  <c r="O36" i="1"/>
  <c r="N113" i="2"/>
  <c r="M36" i="1"/>
  <c r="P36" i="1"/>
  <c r="O113" i="2"/>
  <c r="N36" i="1"/>
  <c r="Q36" i="1"/>
  <c r="H36" i="1"/>
  <c r="K36" i="1"/>
  <c r="P113" i="2"/>
  <c r="Q113" i="2"/>
  <c r="L37" i="1"/>
  <c r="O37" i="1"/>
  <c r="N131" i="2"/>
  <c r="M37" i="1"/>
  <c r="P37" i="1"/>
  <c r="O131" i="2"/>
  <c r="N37" i="1"/>
  <c r="Q37" i="1"/>
  <c r="H37" i="1"/>
  <c r="K37" i="1"/>
  <c r="P131" i="2"/>
  <c r="Q131" i="2"/>
  <c r="L41" i="1"/>
  <c r="O41" i="1"/>
  <c r="N119" i="2"/>
  <c r="M41" i="1"/>
  <c r="P41" i="1"/>
  <c r="O119" i="2"/>
  <c r="N41" i="1"/>
  <c r="Q41" i="1"/>
  <c r="H41" i="1"/>
  <c r="K41" i="1"/>
  <c r="P119" i="2"/>
  <c r="Q119" i="2"/>
  <c r="L46" i="1"/>
  <c r="O46" i="1"/>
  <c r="N122" i="2"/>
  <c r="M46" i="1"/>
  <c r="P46" i="1"/>
  <c r="O122" i="2"/>
  <c r="N46" i="1"/>
  <c r="Q46" i="1"/>
  <c r="H46" i="1"/>
  <c r="K46" i="1"/>
  <c r="P122" i="2"/>
  <c r="Q122" i="2"/>
  <c r="L51" i="1"/>
  <c r="O51" i="1"/>
  <c r="N125" i="2"/>
  <c r="M51" i="1"/>
  <c r="P51" i="1"/>
  <c r="O125" i="2"/>
  <c r="N51" i="1"/>
  <c r="Q51" i="1"/>
  <c r="H51" i="1"/>
  <c r="K51" i="1"/>
  <c r="P125" i="2"/>
  <c r="Q125" i="2"/>
  <c r="L52" i="1"/>
  <c r="O52" i="1"/>
  <c r="N127" i="2"/>
  <c r="M52" i="1"/>
  <c r="P52" i="1"/>
  <c r="O127" i="2"/>
  <c r="N52" i="1"/>
  <c r="Q52" i="1"/>
  <c r="H52" i="1"/>
  <c r="K52" i="1"/>
  <c r="P127" i="2"/>
  <c r="Q127" i="2"/>
  <c r="L71" i="1"/>
  <c r="O71" i="1"/>
  <c r="N132" i="2"/>
  <c r="M71" i="1"/>
  <c r="P71" i="1"/>
  <c r="O132" i="2"/>
  <c r="N71" i="1"/>
  <c r="Q71" i="1"/>
  <c r="H71" i="1"/>
  <c r="K71" i="1"/>
  <c r="P132" i="2"/>
  <c r="Q132" i="2"/>
  <c r="L79" i="1"/>
  <c r="O79" i="1"/>
  <c r="N126" i="2"/>
  <c r="M79" i="1"/>
  <c r="P79" i="1"/>
  <c r="O126" i="2"/>
  <c r="N79" i="1"/>
  <c r="Q79" i="1"/>
  <c r="H79" i="1"/>
  <c r="K79" i="1"/>
  <c r="P126" i="2"/>
  <c r="Q126" i="2"/>
  <c r="L80" i="1"/>
  <c r="O80" i="1"/>
  <c r="N117" i="2"/>
  <c r="M80" i="1"/>
  <c r="P80" i="1"/>
  <c r="O117" i="2"/>
  <c r="N80" i="1"/>
  <c r="Q80" i="1"/>
  <c r="H80" i="1"/>
  <c r="K80" i="1"/>
  <c r="P117" i="2"/>
  <c r="Q117" i="2"/>
  <c r="L81" i="1"/>
  <c r="O81" i="1"/>
  <c r="N111" i="2"/>
  <c r="M81" i="1"/>
  <c r="P81" i="1"/>
  <c r="O111" i="2"/>
  <c r="N81" i="1"/>
  <c r="Q81" i="1"/>
  <c r="H81" i="1"/>
  <c r="K81" i="1"/>
  <c r="P111" i="2"/>
  <c r="Q111" i="2"/>
  <c r="L82" i="1"/>
  <c r="O82" i="1"/>
  <c r="N123" i="2"/>
  <c r="M82" i="1"/>
  <c r="P82" i="1"/>
  <c r="O123" i="2"/>
  <c r="N82" i="1"/>
  <c r="Q82" i="1"/>
  <c r="H82" i="1"/>
  <c r="K82" i="1"/>
  <c r="P123" i="2"/>
  <c r="Q123" i="2"/>
  <c r="L84" i="1"/>
  <c r="O84" i="1"/>
  <c r="N136" i="2"/>
  <c r="M84" i="1"/>
  <c r="P84" i="1"/>
  <c r="O136" i="2"/>
  <c r="N84" i="1"/>
  <c r="Q84" i="1"/>
  <c r="H84" i="1"/>
  <c r="K84" i="1"/>
  <c r="P136" i="2"/>
  <c r="Q136" i="2"/>
  <c r="L86" i="1"/>
  <c r="O86" i="1"/>
  <c r="N138" i="2"/>
  <c r="M86" i="1"/>
  <c r="P86" i="1"/>
  <c r="O138" i="2"/>
  <c r="N86" i="1"/>
  <c r="Q86" i="1"/>
  <c r="H86" i="1"/>
  <c r="K86" i="1"/>
  <c r="P138" i="2"/>
  <c r="Q138" i="2"/>
  <c r="L94" i="1"/>
  <c r="O94" i="1"/>
  <c r="N109" i="2"/>
  <c r="M94" i="1"/>
  <c r="P94" i="1"/>
  <c r="O109" i="2"/>
  <c r="N94" i="1"/>
  <c r="Q94" i="1"/>
  <c r="H94" i="1"/>
  <c r="K94" i="1"/>
  <c r="P109" i="2"/>
  <c r="Q109" i="2"/>
  <c r="L104" i="1"/>
  <c r="O104" i="1"/>
  <c r="N164" i="2"/>
  <c r="M104" i="1"/>
  <c r="P104" i="1"/>
  <c r="O164" i="2"/>
  <c r="N104" i="1"/>
  <c r="Q104" i="1"/>
  <c r="H104" i="1"/>
  <c r="K104" i="1"/>
  <c r="P164" i="2"/>
  <c r="Q164" i="2"/>
  <c r="L30" i="1"/>
  <c r="O30" i="1"/>
  <c r="N165" i="2"/>
  <c r="M30" i="1"/>
  <c r="P30" i="1"/>
  <c r="O165" i="2"/>
  <c r="N30" i="1"/>
  <c r="Q30" i="1"/>
  <c r="H30" i="1"/>
  <c r="K30" i="1"/>
  <c r="P165" i="2"/>
  <c r="Q165" i="2"/>
  <c r="L57" i="1"/>
  <c r="O57" i="1"/>
  <c r="N166" i="2"/>
  <c r="M57" i="1"/>
  <c r="P57" i="1"/>
  <c r="O166" i="2"/>
  <c r="N57" i="1"/>
  <c r="Q57" i="1"/>
  <c r="H57" i="1"/>
  <c r="K57" i="1"/>
  <c r="P166" i="2"/>
  <c r="Q166" i="2"/>
  <c r="L14" i="1"/>
  <c r="O14" i="1"/>
  <c r="N98" i="2"/>
  <c r="M14" i="1"/>
  <c r="P14" i="1"/>
  <c r="O98" i="2"/>
  <c r="N14" i="1"/>
  <c r="Q14" i="1"/>
  <c r="H14" i="1"/>
  <c r="K14" i="1"/>
  <c r="P98" i="2"/>
  <c r="Q98" i="2"/>
  <c r="L105" i="1"/>
  <c r="O105" i="1"/>
  <c r="N30" i="2"/>
  <c r="M105" i="1"/>
  <c r="P105" i="1"/>
  <c r="O30" i="2"/>
  <c r="N105" i="1"/>
  <c r="Q105" i="1"/>
  <c r="H105" i="1"/>
  <c r="K105" i="1"/>
  <c r="P30" i="2"/>
  <c r="Q30" i="2"/>
  <c r="L106" i="1"/>
  <c r="O106" i="1"/>
  <c r="N84" i="2"/>
  <c r="M106" i="1"/>
  <c r="P106" i="1"/>
  <c r="O84" i="2"/>
  <c r="N106" i="1"/>
  <c r="Q106" i="1"/>
  <c r="H106" i="1"/>
  <c r="K106" i="1"/>
  <c r="P84" i="2"/>
  <c r="Q84" i="2"/>
  <c r="L107" i="1"/>
  <c r="O107" i="1"/>
  <c r="N42" i="2"/>
  <c r="M107" i="1"/>
  <c r="P107" i="1"/>
  <c r="O42" i="2"/>
  <c r="N107" i="1"/>
  <c r="Q107" i="1"/>
  <c r="H107" i="1"/>
  <c r="K107" i="1"/>
  <c r="P42" i="2"/>
  <c r="Q42" i="2"/>
  <c r="L112" i="1"/>
  <c r="O112" i="1"/>
  <c r="N88" i="2"/>
  <c r="M112" i="1"/>
  <c r="P112" i="1"/>
  <c r="O88" i="2"/>
  <c r="N112" i="1"/>
  <c r="Q112" i="1"/>
  <c r="H112" i="1"/>
  <c r="K112" i="1"/>
  <c r="P88" i="2"/>
  <c r="Q88" i="2"/>
  <c r="L15" i="1"/>
  <c r="O15" i="1"/>
  <c r="N72" i="2"/>
  <c r="M15" i="1"/>
  <c r="P15" i="1"/>
  <c r="O72" i="2"/>
  <c r="N15" i="1"/>
  <c r="Q15" i="1"/>
  <c r="H15" i="1"/>
  <c r="K15" i="1"/>
  <c r="P72" i="2"/>
  <c r="Q72" i="2"/>
  <c r="L114" i="1"/>
  <c r="O114" i="1"/>
  <c r="N31" i="2"/>
  <c r="M114" i="1"/>
  <c r="P114" i="1"/>
  <c r="O31" i="2"/>
  <c r="N114" i="1"/>
  <c r="Q114" i="1"/>
  <c r="H114" i="1"/>
  <c r="K114" i="1"/>
  <c r="P31" i="2"/>
  <c r="Q31" i="2"/>
  <c r="L115" i="1"/>
  <c r="O115" i="1"/>
  <c r="N18" i="2"/>
  <c r="M115" i="1"/>
  <c r="P115" i="1"/>
  <c r="O18" i="2"/>
  <c r="N115" i="1"/>
  <c r="Q115" i="1"/>
  <c r="H115" i="1"/>
  <c r="K115" i="1"/>
  <c r="P18" i="2"/>
  <c r="Q18" i="2"/>
  <c r="L116" i="1"/>
  <c r="O116" i="1"/>
  <c r="N19" i="2"/>
  <c r="M116" i="1"/>
  <c r="P116" i="1"/>
  <c r="O19" i="2"/>
  <c r="N116" i="1"/>
  <c r="Q116" i="1"/>
  <c r="H116" i="1"/>
  <c r="K116" i="1"/>
  <c r="P19" i="2"/>
  <c r="Q19" i="2"/>
  <c r="L117" i="1"/>
  <c r="O117" i="1"/>
  <c r="N26" i="2"/>
  <c r="M117" i="1"/>
  <c r="P117" i="1"/>
  <c r="O26" i="2"/>
  <c r="N117" i="1"/>
  <c r="Q117" i="1"/>
  <c r="H117" i="1"/>
  <c r="K117" i="1"/>
  <c r="P26" i="2"/>
  <c r="Q26" i="2"/>
  <c r="L118" i="1"/>
  <c r="O118" i="1"/>
  <c r="N62" i="2"/>
  <c r="M118" i="1"/>
  <c r="P118" i="1"/>
  <c r="O62" i="2"/>
  <c r="N118" i="1"/>
  <c r="Q118" i="1"/>
  <c r="H118" i="1"/>
  <c r="K118" i="1"/>
  <c r="P62" i="2"/>
  <c r="Q62" i="2"/>
  <c r="L119" i="1"/>
  <c r="O119" i="1"/>
  <c r="N58" i="2"/>
  <c r="M119" i="1"/>
  <c r="P119" i="1"/>
  <c r="O58" i="2"/>
  <c r="N119" i="1"/>
  <c r="Q119" i="1"/>
  <c r="H119" i="1"/>
  <c r="K119" i="1"/>
  <c r="P58" i="2"/>
  <c r="Q58" i="2"/>
  <c r="L120" i="1"/>
  <c r="O120" i="1"/>
  <c r="N10" i="2"/>
  <c r="M120" i="1"/>
  <c r="P120" i="1"/>
  <c r="O10" i="2"/>
  <c r="N120" i="1"/>
  <c r="Q120" i="1"/>
  <c r="H120" i="1"/>
  <c r="K120" i="1"/>
  <c r="P10" i="2"/>
  <c r="Q10" i="2"/>
  <c r="L123" i="1"/>
  <c r="O123" i="1"/>
  <c r="N71" i="2"/>
  <c r="M123" i="1"/>
  <c r="P123" i="1"/>
  <c r="O71" i="2"/>
  <c r="N123" i="1"/>
  <c r="Q123" i="1"/>
  <c r="H123" i="1"/>
  <c r="K123" i="1"/>
  <c r="P71" i="2"/>
  <c r="Q71" i="2"/>
  <c r="L16" i="1"/>
  <c r="O16" i="1"/>
  <c r="N36" i="2"/>
  <c r="M16" i="1"/>
  <c r="P16" i="1"/>
  <c r="O36" i="2"/>
  <c r="N16" i="1"/>
  <c r="Q16" i="1"/>
  <c r="H16" i="1"/>
  <c r="K16" i="1"/>
  <c r="P36" i="2"/>
  <c r="Q36" i="2"/>
  <c r="L125" i="1"/>
  <c r="O125" i="1"/>
  <c r="N37" i="2"/>
  <c r="M125" i="1"/>
  <c r="P125" i="1"/>
  <c r="O37" i="2"/>
  <c r="N125" i="1"/>
  <c r="Q125" i="1"/>
  <c r="H125" i="1"/>
  <c r="K125" i="1"/>
  <c r="P37" i="2"/>
  <c r="Q37" i="2"/>
  <c r="L127" i="1"/>
  <c r="O127" i="1"/>
  <c r="N63" i="2"/>
  <c r="M127" i="1"/>
  <c r="P127" i="1"/>
  <c r="O63" i="2"/>
  <c r="N127" i="1"/>
  <c r="Q127" i="1"/>
  <c r="H127" i="1"/>
  <c r="K127" i="1"/>
  <c r="P63" i="2"/>
  <c r="Q63" i="2"/>
  <c r="L130" i="1"/>
  <c r="O130" i="1"/>
  <c r="N38" i="2"/>
  <c r="M130" i="1"/>
  <c r="P130" i="1"/>
  <c r="O38" i="2"/>
  <c r="N130" i="1"/>
  <c r="Q130" i="1"/>
  <c r="H130" i="1"/>
  <c r="K130" i="1"/>
  <c r="P38" i="2"/>
  <c r="Q38" i="2"/>
  <c r="L17" i="1"/>
  <c r="O17" i="1"/>
  <c r="N54" i="2"/>
  <c r="M17" i="1"/>
  <c r="P17" i="1"/>
  <c r="O54" i="2"/>
  <c r="N17" i="1"/>
  <c r="Q17" i="1"/>
  <c r="H17" i="1"/>
  <c r="K17" i="1"/>
  <c r="P54" i="2"/>
  <c r="Q54" i="2"/>
  <c r="L135" i="1"/>
  <c r="O135" i="1"/>
  <c r="N43" i="2"/>
  <c r="M135" i="1"/>
  <c r="P135" i="1"/>
  <c r="O43" i="2"/>
  <c r="N135" i="1"/>
  <c r="Q135" i="1"/>
  <c r="H135" i="1"/>
  <c r="K135" i="1"/>
  <c r="P43" i="2"/>
  <c r="Q43" i="2"/>
  <c r="L136" i="1"/>
  <c r="O136" i="1"/>
  <c r="N32" i="2"/>
  <c r="M136" i="1"/>
  <c r="P136" i="1"/>
  <c r="O32" i="2"/>
  <c r="N136" i="1"/>
  <c r="Q136" i="1"/>
  <c r="H136" i="1"/>
  <c r="K136" i="1"/>
  <c r="P32" i="2"/>
  <c r="Q32" i="2"/>
  <c r="L137" i="1"/>
  <c r="O137" i="1"/>
  <c r="N39" i="2"/>
  <c r="M137" i="1"/>
  <c r="P137" i="1"/>
  <c r="O39" i="2"/>
  <c r="N137" i="1"/>
  <c r="Q137" i="1"/>
  <c r="H137" i="1"/>
  <c r="K137" i="1"/>
  <c r="P39" i="2"/>
  <c r="Q39" i="2"/>
  <c r="L140" i="1"/>
  <c r="O140" i="1"/>
  <c r="N44" i="2"/>
  <c r="M140" i="1"/>
  <c r="P140" i="1"/>
  <c r="O44" i="2"/>
  <c r="N140" i="1"/>
  <c r="Q140" i="1"/>
  <c r="H140" i="1"/>
  <c r="K140" i="1"/>
  <c r="P44" i="2"/>
  <c r="Q44" i="2"/>
  <c r="L141" i="1"/>
  <c r="O141" i="1"/>
  <c r="N97" i="2"/>
  <c r="M141" i="1"/>
  <c r="P141" i="1"/>
  <c r="O97" i="2"/>
  <c r="N141" i="1"/>
  <c r="Q141" i="1"/>
  <c r="H141" i="1"/>
  <c r="K141" i="1"/>
  <c r="P97" i="2"/>
  <c r="Q97" i="2"/>
  <c r="L147" i="1"/>
  <c r="O147" i="1"/>
  <c r="N12" i="2"/>
  <c r="M147" i="1"/>
  <c r="P147" i="1"/>
  <c r="O12" i="2"/>
  <c r="N147" i="1"/>
  <c r="Q147" i="1"/>
  <c r="H147" i="1"/>
  <c r="K147" i="1"/>
  <c r="P12" i="2"/>
  <c r="Q12" i="2"/>
  <c r="L149" i="1"/>
  <c r="O149" i="1"/>
  <c r="N17" i="2"/>
  <c r="M149" i="1"/>
  <c r="P149" i="1"/>
  <c r="O17" i="2"/>
  <c r="N149" i="1"/>
  <c r="Q149" i="1"/>
  <c r="H149" i="1"/>
  <c r="K149" i="1"/>
  <c r="P17" i="2"/>
  <c r="Q17" i="2"/>
  <c r="L151" i="1"/>
  <c r="O151" i="1"/>
  <c r="N34" i="2"/>
  <c r="M151" i="1"/>
  <c r="P151" i="1"/>
  <c r="O34" i="2"/>
  <c r="N151" i="1"/>
  <c r="Q151" i="1"/>
  <c r="H151" i="1"/>
  <c r="K151" i="1"/>
  <c r="P34" i="2"/>
  <c r="Q34" i="2"/>
  <c r="L152" i="1"/>
  <c r="O152" i="1"/>
  <c r="N75" i="2"/>
  <c r="M152" i="1"/>
  <c r="P152" i="1"/>
  <c r="O75" i="2"/>
  <c r="N152" i="1"/>
  <c r="Q152" i="1"/>
  <c r="H152" i="1"/>
  <c r="K152" i="1"/>
  <c r="P75" i="2"/>
  <c r="Q75" i="2"/>
  <c r="L153" i="1"/>
  <c r="O153" i="1"/>
  <c r="N65" i="2"/>
  <c r="M153" i="1"/>
  <c r="P153" i="1"/>
  <c r="O65" i="2"/>
  <c r="N153" i="1"/>
  <c r="Q153" i="1"/>
  <c r="H153" i="1"/>
  <c r="K153" i="1"/>
  <c r="P65" i="2"/>
  <c r="Q65" i="2"/>
  <c r="L154" i="1"/>
  <c r="O154" i="1"/>
  <c r="N73" i="2"/>
  <c r="M154" i="1"/>
  <c r="P154" i="1"/>
  <c r="O73" i="2"/>
  <c r="N154" i="1"/>
  <c r="Q154" i="1"/>
  <c r="H154" i="1"/>
  <c r="K154" i="1"/>
  <c r="P73" i="2"/>
  <c r="Q73" i="2"/>
  <c r="L155" i="1"/>
  <c r="O155" i="1"/>
  <c r="N59" i="2"/>
  <c r="M155" i="1"/>
  <c r="P155" i="1"/>
  <c r="O59" i="2"/>
  <c r="N155" i="1"/>
  <c r="Q155" i="1"/>
  <c r="H155" i="1"/>
  <c r="K155" i="1"/>
  <c r="P59" i="2"/>
  <c r="Q59" i="2"/>
  <c r="L157" i="1"/>
  <c r="O157" i="1"/>
  <c r="N76" i="2"/>
  <c r="M157" i="1"/>
  <c r="P157" i="1"/>
  <c r="O76" i="2"/>
  <c r="N157" i="1"/>
  <c r="Q157" i="1"/>
  <c r="H157" i="1"/>
  <c r="K157" i="1"/>
  <c r="P76" i="2"/>
  <c r="Q76" i="2"/>
  <c r="L158" i="1"/>
  <c r="O158" i="1"/>
  <c r="N40" i="2"/>
  <c r="M158" i="1"/>
  <c r="P158" i="1"/>
  <c r="O40" i="2"/>
  <c r="N158" i="1"/>
  <c r="Q158" i="1"/>
  <c r="H158" i="1"/>
  <c r="K158" i="1"/>
  <c r="P40" i="2"/>
  <c r="Q40" i="2"/>
  <c r="L159" i="1"/>
  <c r="O159" i="1"/>
  <c r="N104" i="2"/>
  <c r="M159" i="1"/>
  <c r="P159" i="1"/>
  <c r="O104" i="2"/>
  <c r="N159" i="1"/>
  <c r="Q159" i="1"/>
  <c r="H159" i="1"/>
  <c r="K159" i="1"/>
  <c r="P104" i="2"/>
  <c r="Q104" i="2"/>
  <c r="L160" i="1"/>
  <c r="O160" i="1"/>
  <c r="N41" i="2"/>
  <c r="M160" i="1"/>
  <c r="P160" i="1"/>
  <c r="O41" i="2"/>
  <c r="N160" i="1"/>
  <c r="Q160" i="1"/>
  <c r="H160" i="1"/>
  <c r="K160" i="1"/>
  <c r="P41" i="2"/>
  <c r="Q41" i="2"/>
  <c r="L162" i="1"/>
  <c r="O162" i="1"/>
  <c r="N48" i="2"/>
  <c r="M162" i="1"/>
  <c r="P162" i="1"/>
  <c r="O48" i="2"/>
  <c r="N162" i="1"/>
  <c r="Q162" i="1"/>
  <c r="H162" i="1"/>
  <c r="K162" i="1"/>
  <c r="P48" i="2"/>
  <c r="Q48" i="2"/>
  <c r="L163" i="1"/>
  <c r="O163" i="1"/>
  <c r="N64" i="2"/>
  <c r="M163" i="1"/>
  <c r="P163" i="1"/>
  <c r="O64" i="2"/>
  <c r="N163" i="1"/>
  <c r="Q163" i="1"/>
  <c r="H163" i="1"/>
  <c r="K163" i="1"/>
  <c r="P64" i="2"/>
  <c r="Q64" i="2"/>
  <c r="L164" i="1"/>
  <c r="O164" i="1"/>
  <c r="N92" i="2"/>
  <c r="M164" i="1"/>
  <c r="P164" i="1"/>
  <c r="O92" i="2"/>
  <c r="N164" i="1"/>
  <c r="Q164" i="1"/>
  <c r="H164" i="1"/>
  <c r="K164" i="1"/>
  <c r="P92" i="2"/>
  <c r="Q92" i="2"/>
  <c r="L167" i="1"/>
  <c r="O167" i="1"/>
  <c r="N93" i="2"/>
  <c r="M167" i="1"/>
  <c r="P167" i="1"/>
  <c r="O93" i="2"/>
  <c r="N167" i="1"/>
  <c r="Q167" i="1"/>
  <c r="H167" i="1"/>
  <c r="K167" i="1"/>
  <c r="P93" i="2"/>
  <c r="Q93" i="2"/>
  <c r="L169" i="1"/>
  <c r="O169" i="1"/>
  <c r="N79" i="2"/>
  <c r="M169" i="1"/>
  <c r="P169" i="1"/>
  <c r="O79" i="2"/>
  <c r="N169" i="1"/>
  <c r="Q169" i="1"/>
  <c r="H169" i="1"/>
  <c r="K169" i="1"/>
  <c r="P79" i="2"/>
  <c r="Q79" i="2"/>
  <c r="L170" i="1"/>
  <c r="O170" i="1"/>
  <c r="N49" i="2"/>
  <c r="M170" i="1"/>
  <c r="P170" i="1"/>
  <c r="O49" i="2"/>
  <c r="N170" i="1"/>
  <c r="Q170" i="1"/>
  <c r="H170" i="1"/>
  <c r="K170" i="1"/>
  <c r="P49" i="2"/>
  <c r="Q49" i="2"/>
  <c r="L171" i="1"/>
  <c r="O171" i="1"/>
  <c r="N11" i="2"/>
  <c r="M171" i="1"/>
  <c r="P171" i="1"/>
  <c r="O11" i="2"/>
  <c r="N171" i="1"/>
  <c r="Q171" i="1"/>
  <c r="H171" i="1"/>
  <c r="K171" i="1"/>
  <c r="P11" i="2"/>
  <c r="Q11" i="2"/>
  <c r="L21" i="1"/>
  <c r="O21" i="1"/>
  <c r="N20" i="2"/>
  <c r="M21" i="1"/>
  <c r="P21" i="1"/>
  <c r="O20" i="2"/>
  <c r="N21" i="1"/>
  <c r="Q21" i="1"/>
  <c r="H21" i="1"/>
  <c r="K21" i="1"/>
  <c r="P20" i="2"/>
  <c r="Q20" i="2"/>
  <c r="L22" i="1"/>
  <c r="O22" i="1"/>
  <c r="N60" i="2"/>
  <c r="M22" i="1"/>
  <c r="P22" i="1"/>
  <c r="O60" i="2"/>
  <c r="N22" i="1"/>
  <c r="Q22" i="1"/>
  <c r="H22" i="1"/>
  <c r="K22" i="1"/>
  <c r="P60" i="2"/>
  <c r="Q60" i="2"/>
  <c r="L24" i="1"/>
  <c r="O24" i="1"/>
  <c r="N14" i="2"/>
  <c r="M24" i="1"/>
  <c r="P24" i="1"/>
  <c r="O14" i="2"/>
  <c r="N24" i="1"/>
  <c r="Q24" i="1"/>
  <c r="H24" i="1"/>
  <c r="K24" i="1"/>
  <c r="P14" i="2"/>
  <c r="Q14" i="2"/>
  <c r="L25" i="1"/>
  <c r="O25" i="1"/>
  <c r="N100" i="2"/>
  <c r="M25" i="1"/>
  <c r="P25" i="1"/>
  <c r="O100" i="2"/>
  <c r="N25" i="1"/>
  <c r="Q25" i="1"/>
  <c r="H25" i="1"/>
  <c r="K25" i="1"/>
  <c r="P100" i="2"/>
  <c r="Q100" i="2"/>
  <c r="L28" i="1"/>
  <c r="O28" i="1"/>
  <c r="N35" i="2"/>
  <c r="M28" i="1"/>
  <c r="P28" i="1"/>
  <c r="O35" i="2"/>
  <c r="N28" i="1"/>
  <c r="Q28" i="1"/>
  <c r="H28" i="1"/>
  <c r="K28" i="1"/>
  <c r="P35" i="2"/>
  <c r="Q35" i="2"/>
  <c r="L29" i="1"/>
  <c r="O29" i="1"/>
  <c r="N16" i="2"/>
  <c r="M29" i="1"/>
  <c r="P29" i="1"/>
  <c r="O16" i="2"/>
  <c r="N29" i="1"/>
  <c r="Q29" i="1"/>
  <c r="H29" i="1"/>
  <c r="K29" i="1"/>
  <c r="P16" i="2"/>
  <c r="Q16" i="2"/>
  <c r="L31" i="1"/>
  <c r="O31" i="1"/>
  <c r="N77" i="2"/>
  <c r="M31" i="1"/>
  <c r="P31" i="1"/>
  <c r="O77" i="2"/>
  <c r="N31" i="1"/>
  <c r="Q31" i="1"/>
  <c r="H31" i="1"/>
  <c r="K31" i="1"/>
  <c r="P77" i="2"/>
  <c r="Q77" i="2"/>
  <c r="L32" i="1"/>
  <c r="O32" i="1"/>
  <c r="N99" i="2"/>
  <c r="M32" i="1"/>
  <c r="P32" i="1"/>
  <c r="O99" i="2"/>
  <c r="N32" i="1"/>
  <c r="Q32" i="1"/>
  <c r="H32" i="1"/>
  <c r="K32" i="1"/>
  <c r="P99" i="2"/>
  <c r="Q99" i="2"/>
  <c r="L34" i="1"/>
  <c r="O34" i="1"/>
  <c r="N15" i="2"/>
  <c r="M34" i="1"/>
  <c r="P34" i="1"/>
  <c r="O15" i="2"/>
  <c r="N34" i="1"/>
  <c r="Q34" i="1"/>
  <c r="H34" i="1"/>
  <c r="K34" i="1"/>
  <c r="P15" i="2"/>
  <c r="Q15" i="2"/>
  <c r="L38" i="1"/>
  <c r="O38" i="1"/>
  <c r="N90" i="2"/>
  <c r="M38" i="1"/>
  <c r="P38" i="1"/>
  <c r="O90" i="2"/>
  <c r="N38" i="1"/>
  <c r="Q38" i="1"/>
  <c r="H38" i="1"/>
  <c r="K38" i="1"/>
  <c r="P90" i="2"/>
  <c r="Q90" i="2"/>
  <c r="L39" i="1"/>
  <c r="O39" i="1"/>
  <c r="N45" i="2"/>
  <c r="M39" i="1"/>
  <c r="P39" i="1"/>
  <c r="O45" i="2"/>
  <c r="N39" i="1"/>
  <c r="Q39" i="1"/>
  <c r="H39" i="1"/>
  <c r="K39" i="1"/>
  <c r="P45" i="2"/>
  <c r="Q45" i="2"/>
  <c r="L42" i="1"/>
  <c r="O42" i="1"/>
  <c r="N55" i="2"/>
  <c r="M42" i="1"/>
  <c r="P42" i="1"/>
  <c r="O55" i="2"/>
  <c r="N42" i="1"/>
  <c r="Q42" i="1"/>
  <c r="H42" i="1"/>
  <c r="K42" i="1"/>
  <c r="P55" i="2"/>
  <c r="Q55" i="2"/>
  <c r="L43" i="1"/>
  <c r="O43" i="1"/>
  <c r="N95" i="2"/>
  <c r="M43" i="1"/>
  <c r="P43" i="1"/>
  <c r="O95" i="2"/>
  <c r="N43" i="1"/>
  <c r="Q43" i="1"/>
  <c r="H43" i="1"/>
  <c r="K43" i="1"/>
  <c r="P95" i="2"/>
  <c r="Q95" i="2"/>
  <c r="L44" i="1"/>
  <c r="O44" i="1"/>
  <c r="N69" i="2"/>
  <c r="M44" i="1"/>
  <c r="P44" i="1"/>
  <c r="O69" i="2"/>
  <c r="N44" i="1"/>
  <c r="Q44" i="1"/>
  <c r="H44" i="1"/>
  <c r="K44" i="1"/>
  <c r="P69" i="2"/>
  <c r="Q69" i="2"/>
  <c r="L48" i="1"/>
  <c r="O48" i="1"/>
  <c r="N102" i="2"/>
  <c r="M48" i="1"/>
  <c r="P48" i="1"/>
  <c r="O102" i="2"/>
  <c r="N48" i="1"/>
  <c r="Q48" i="1"/>
  <c r="H48" i="1"/>
  <c r="K48" i="1"/>
  <c r="P102" i="2"/>
  <c r="Q102" i="2"/>
  <c r="L49" i="1"/>
  <c r="O49" i="1"/>
  <c r="N89" i="2"/>
  <c r="M49" i="1"/>
  <c r="P49" i="1"/>
  <c r="O89" i="2"/>
  <c r="N49" i="1"/>
  <c r="Q49" i="1"/>
  <c r="H49" i="1"/>
  <c r="K49" i="1"/>
  <c r="P89" i="2"/>
  <c r="Q89" i="2"/>
  <c r="L50" i="1"/>
  <c r="O50" i="1"/>
  <c r="N27" i="2"/>
  <c r="M50" i="1"/>
  <c r="P50" i="1"/>
  <c r="O27" i="2"/>
  <c r="N50" i="1"/>
  <c r="Q50" i="1"/>
  <c r="H50" i="1"/>
  <c r="K50" i="1"/>
  <c r="P27" i="2"/>
  <c r="Q27" i="2"/>
  <c r="L53" i="1"/>
  <c r="O53" i="1"/>
  <c r="N46" i="2"/>
  <c r="M53" i="1"/>
  <c r="P53" i="1"/>
  <c r="O46" i="2"/>
  <c r="N53" i="1"/>
  <c r="Q53" i="1"/>
  <c r="H53" i="1"/>
  <c r="K53" i="1"/>
  <c r="P46" i="2"/>
  <c r="Q46" i="2"/>
  <c r="L54" i="1"/>
  <c r="O54" i="1"/>
  <c r="N50" i="2"/>
  <c r="M54" i="1"/>
  <c r="P54" i="1"/>
  <c r="O50" i="2"/>
  <c r="N54" i="1"/>
  <c r="Q54" i="1"/>
  <c r="H54" i="1"/>
  <c r="K54" i="1"/>
  <c r="P50" i="2"/>
  <c r="Q50" i="2"/>
  <c r="L55" i="1"/>
  <c r="O55" i="1"/>
  <c r="N51" i="2"/>
  <c r="M55" i="1"/>
  <c r="P55" i="1"/>
  <c r="O51" i="2"/>
  <c r="N55" i="1"/>
  <c r="Q55" i="1"/>
  <c r="H55" i="1"/>
  <c r="K55" i="1"/>
  <c r="P51" i="2"/>
  <c r="Q51" i="2"/>
  <c r="L56" i="1"/>
  <c r="O56" i="1"/>
  <c r="N81" i="2"/>
  <c r="M56" i="1"/>
  <c r="P56" i="1"/>
  <c r="O81" i="2"/>
  <c r="N56" i="1"/>
  <c r="Q56" i="1"/>
  <c r="H56" i="1"/>
  <c r="K56" i="1"/>
  <c r="P81" i="2"/>
  <c r="Q81" i="2"/>
  <c r="L58" i="1"/>
  <c r="O58" i="1"/>
  <c r="N78" i="2"/>
  <c r="M58" i="1"/>
  <c r="P58" i="1"/>
  <c r="O78" i="2"/>
  <c r="N58" i="1"/>
  <c r="Q58" i="1"/>
  <c r="H58" i="1"/>
  <c r="K58" i="1"/>
  <c r="P78" i="2"/>
  <c r="Q78" i="2"/>
  <c r="L59" i="1"/>
  <c r="O59" i="1"/>
  <c r="N91" i="2"/>
  <c r="M59" i="1"/>
  <c r="P59" i="1"/>
  <c r="O91" i="2"/>
  <c r="N59" i="1"/>
  <c r="Q59" i="1"/>
  <c r="H59" i="1"/>
  <c r="K59" i="1"/>
  <c r="P91" i="2"/>
  <c r="Q91" i="2"/>
  <c r="L60" i="1"/>
  <c r="O60" i="1"/>
  <c r="N52" i="2"/>
  <c r="M60" i="1"/>
  <c r="P60" i="1"/>
  <c r="O52" i="2"/>
  <c r="N60" i="1"/>
  <c r="Q60" i="1"/>
  <c r="H60" i="1"/>
  <c r="K60" i="1"/>
  <c r="P52" i="2"/>
  <c r="Q52" i="2"/>
  <c r="L61" i="1"/>
  <c r="O61" i="1"/>
  <c r="N28" i="2"/>
  <c r="M61" i="1"/>
  <c r="P61" i="1"/>
  <c r="O28" i="2"/>
  <c r="N61" i="1"/>
  <c r="Q61" i="1"/>
  <c r="H61" i="1"/>
  <c r="K61" i="1"/>
  <c r="P28" i="2"/>
  <c r="Q28" i="2"/>
  <c r="L63" i="1"/>
  <c r="O63" i="1"/>
  <c r="N22" i="2"/>
  <c r="M63" i="1"/>
  <c r="P63" i="1"/>
  <c r="O22" i="2"/>
  <c r="N63" i="1"/>
  <c r="Q63" i="1"/>
  <c r="H63" i="1"/>
  <c r="K63" i="1"/>
  <c r="P22" i="2"/>
  <c r="Q22" i="2"/>
  <c r="L10" i="1"/>
  <c r="O10" i="1"/>
  <c r="N103" i="2"/>
  <c r="M10" i="1"/>
  <c r="P10" i="1"/>
  <c r="O103" i="2"/>
  <c r="N10" i="1"/>
  <c r="Q10" i="1"/>
  <c r="H10" i="1"/>
  <c r="K10" i="1"/>
  <c r="P103" i="2"/>
  <c r="Q103" i="2"/>
  <c r="L64" i="1"/>
  <c r="O64" i="1"/>
  <c r="N13" i="2"/>
  <c r="M64" i="1"/>
  <c r="P64" i="1"/>
  <c r="O13" i="2"/>
  <c r="N64" i="1"/>
  <c r="Q64" i="1"/>
  <c r="H64" i="1"/>
  <c r="K64" i="1"/>
  <c r="P13" i="2"/>
  <c r="Q13" i="2"/>
  <c r="L65" i="1"/>
  <c r="O65" i="1"/>
  <c r="N53" i="2"/>
  <c r="M65" i="1"/>
  <c r="P65" i="1"/>
  <c r="O53" i="2"/>
  <c r="N65" i="1"/>
  <c r="Q65" i="1"/>
  <c r="H65" i="1"/>
  <c r="K65" i="1"/>
  <c r="P53" i="2"/>
  <c r="Q53" i="2"/>
  <c r="L67" i="1"/>
  <c r="O67" i="1"/>
  <c r="N66" i="2"/>
  <c r="M67" i="1"/>
  <c r="P67" i="1"/>
  <c r="O66" i="2"/>
  <c r="N67" i="1"/>
  <c r="Q67" i="1"/>
  <c r="H67" i="1"/>
  <c r="K67" i="1"/>
  <c r="P66" i="2"/>
  <c r="Q66" i="2"/>
  <c r="L68" i="1"/>
  <c r="O68" i="1"/>
  <c r="N56" i="2"/>
  <c r="M68" i="1"/>
  <c r="P68" i="1"/>
  <c r="O56" i="2"/>
  <c r="N68" i="1"/>
  <c r="Q68" i="1"/>
  <c r="H68" i="1"/>
  <c r="K68" i="1"/>
  <c r="P56" i="2"/>
  <c r="Q56" i="2"/>
  <c r="L72" i="1"/>
  <c r="O72" i="1"/>
  <c r="N67" i="2"/>
  <c r="M72" i="1"/>
  <c r="P72" i="1"/>
  <c r="O67" i="2"/>
  <c r="N72" i="1"/>
  <c r="Q72" i="1"/>
  <c r="H72" i="1"/>
  <c r="K72" i="1"/>
  <c r="P67" i="2"/>
  <c r="Q67" i="2"/>
  <c r="L73" i="1"/>
  <c r="O73" i="1"/>
  <c r="N94" i="2"/>
  <c r="M73" i="1"/>
  <c r="P73" i="1"/>
  <c r="O94" i="2"/>
  <c r="N73" i="1"/>
  <c r="Q73" i="1"/>
  <c r="H73" i="1"/>
  <c r="K73" i="1"/>
  <c r="P94" i="2"/>
  <c r="Q94" i="2"/>
  <c r="L11" i="1"/>
  <c r="O11" i="1"/>
  <c r="N70" i="2"/>
  <c r="M11" i="1"/>
  <c r="P11" i="1"/>
  <c r="O70" i="2"/>
  <c r="N11" i="1"/>
  <c r="Q11" i="1"/>
  <c r="H11" i="1"/>
  <c r="K11" i="1"/>
  <c r="P70" i="2"/>
  <c r="Q70" i="2"/>
  <c r="L74" i="1"/>
  <c r="O74" i="1"/>
  <c r="N29" i="2"/>
  <c r="M74" i="1"/>
  <c r="P74" i="1"/>
  <c r="O29" i="2"/>
  <c r="N74" i="1"/>
  <c r="Q74" i="1"/>
  <c r="H74" i="1"/>
  <c r="K74" i="1"/>
  <c r="P29" i="2"/>
  <c r="Q29" i="2"/>
  <c r="L77" i="1"/>
  <c r="O77" i="1"/>
  <c r="N68" i="2"/>
  <c r="M77" i="1"/>
  <c r="P77" i="1"/>
  <c r="O68" i="2"/>
  <c r="N77" i="1"/>
  <c r="Q77" i="1"/>
  <c r="H77" i="1"/>
  <c r="K77" i="1"/>
  <c r="P68" i="2"/>
  <c r="Q68" i="2"/>
  <c r="L78" i="1"/>
  <c r="O78" i="1"/>
  <c r="N85" i="2"/>
  <c r="M78" i="1"/>
  <c r="P78" i="1"/>
  <c r="O85" i="2"/>
  <c r="N78" i="1"/>
  <c r="Q78" i="1"/>
  <c r="H78" i="1"/>
  <c r="K78" i="1"/>
  <c r="P85" i="2"/>
  <c r="Q85" i="2"/>
  <c r="L12" i="1"/>
  <c r="O12" i="1"/>
  <c r="N74" i="2"/>
  <c r="M12" i="1"/>
  <c r="P12" i="1"/>
  <c r="O74" i="2"/>
  <c r="N12" i="1"/>
  <c r="Q12" i="1"/>
  <c r="H12" i="1"/>
  <c r="K12" i="1"/>
  <c r="P74" i="2"/>
  <c r="Q74" i="2"/>
  <c r="L85" i="1"/>
  <c r="O85" i="1"/>
  <c r="N21" i="2"/>
  <c r="M85" i="1"/>
  <c r="P85" i="1"/>
  <c r="O21" i="2"/>
  <c r="N85" i="1"/>
  <c r="Q85" i="1"/>
  <c r="H85" i="1"/>
  <c r="K85" i="1"/>
  <c r="P21" i="2"/>
  <c r="Q21" i="2"/>
  <c r="L87" i="1"/>
  <c r="O87" i="1"/>
  <c r="N23" i="2"/>
  <c r="M87" i="1"/>
  <c r="P87" i="1"/>
  <c r="O23" i="2"/>
  <c r="N87" i="1"/>
  <c r="Q87" i="1"/>
  <c r="H87" i="1"/>
  <c r="K87" i="1"/>
  <c r="P23" i="2"/>
  <c r="Q23" i="2"/>
  <c r="L88" i="1"/>
  <c r="O88" i="1"/>
  <c r="N82" i="2"/>
  <c r="M88" i="1"/>
  <c r="P88" i="1"/>
  <c r="O82" i="2"/>
  <c r="N88" i="1"/>
  <c r="Q88" i="1"/>
  <c r="H88" i="1"/>
  <c r="K88" i="1"/>
  <c r="P82" i="2"/>
  <c r="Q82" i="2"/>
  <c r="L89" i="1"/>
  <c r="O89" i="1"/>
  <c r="N61" i="2"/>
  <c r="M89" i="1"/>
  <c r="P89" i="1"/>
  <c r="O61" i="2"/>
  <c r="N89" i="1"/>
  <c r="Q89" i="1"/>
  <c r="H89" i="1"/>
  <c r="K89" i="1"/>
  <c r="P61" i="2"/>
  <c r="Q61" i="2"/>
  <c r="L90" i="1"/>
  <c r="O90" i="1"/>
  <c r="N86" i="2"/>
  <c r="M90" i="1"/>
  <c r="P90" i="1"/>
  <c r="O86" i="2"/>
  <c r="N90" i="1"/>
  <c r="Q90" i="1"/>
  <c r="H90" i="1"/>
  <c r="K90" i="1"/>
  <c r="P86" i="2"/>
  <c r="Q86" i="2"/>
  <c r="L93" i="1"/>
  <c r="O93" i="1"/>
  <c r="N57" i="2"/>
  <c r="M93" i="1"/>
  <c r="P93" i="1"/>
  <c r="O57" i="2"/>
  <c r="N93" i="1"/>
  <c r="Q93" i="1"/>
  <c r="H93" i="1"/>
  <c r="K93" i="1"/>
  <c r="P57" i="2"/>
  <c r="Q57" i="2"/>
  <c r="L13" i="1"/>
  <c r="O13" i="1"/>
  <c r="N33" i="2"/>
  <c r="M13" i="1"/>
  <c r="P13" i="1"/>
  <c r="O33" i="2"/>
  <c r="N13" i="1"/>
  <c r="Q13" i="1"/>
  <c r="H13" i="1"/>
  <c r="K13" i="1"/>
  <c r="P33" i="2"/>
  <c r="Q33" i="2"/>
  <c r="L95" i="1"/>
  <c r="O95" i="1"/>
  <c r="N96" i="2"/>
  <c r="M95" i="1"/>
  <c r="P95" i="1"/>
  <c r="O96" i="2"/>
  <c r="N95" i="1"/>
  <c r="Q95" i="1"/>
  <c r="H95" i="1"/>
  <c r="K95" i="1"/>
  <c r="P96" i="2"/>
  <c r="Q96" i="2"/>
  <c r="L97" i="1"/>
  <c r="O97" i="1"/>
  <c r="N87" i="2"/>
  <c r="M97" i="1"/>
  <c r="P97" i="1"/>
  <c r="O87" i="2"/>
  <c r="N97" i="1"/>
  <c r="Q97" i="1"/>
  <c r="H97" i="1"/>
  <c r="K97" i="1"/>
  <c r="P87" i="2"/>
  <c r="Q87" i="2"/>
  <c r="L98" i="1"/>
  <c r="O98" i="1"/>
  <c r="N24" i="2"/>
  <c r="M98" i="1"/>
  <c r="P98" i="1"/>
  <c r="O24" i="2"/>
  <c r="N98" i="1"/>
  <c r="Q98" i="1"/>
  <c r="H98" i="1"/>
  <c r="K98" i="1"/>
  <c r="P24" i="2"/>
  <c r="Q24" i="2"/>
  <c r="L99" i="1"/>
  <c r="O99" i="1"/>
  <c r="N101" i="2"/>
  <c r="M99" i="1"/>
  <c r="P99" i="1"/>
  <c r="O101" i="2"/>
  <c r="N99" i="1"/>
  <c r="Q99" i="1"/>
  <c r="H99" i="1"/>
  <c r="K99" i="1"/>
  <c r="P101" i="2"/>
  <c r="Q101" i="2"/>
  <c r="L100" i="1"/>
  <c r="O100" i="1"/>
  <c r="N47" i="2"/>
  <c r="M100" i="1"/>
  <c r="P100" i="1"/>
  <c r="O47" i="2"/>
  <c r="N100" i="1"/>
  <c r="Q100" i="1"/>
  <c r="H100" i="1"/>
  <c r="K100" i="1"/>
  <c r="P47" i="2"/>
  <c r="Q47" i="2"/>
  <c r="L101" i="1"/>
  <c r="O101" i="1"/>
  <c r="N83" i="2"/>
  <c r="M101" i="1"/>
  <c r="P101" i="1"/>
  <c r="O83" i="2"/>
  <c r="N101" i="1"/>
  <c r="Q101" i="1"/>
  <c r="H101" i="1"/>
  <c r="K101" i="1"/>
  <c r="P83" i="2"/>
  <c r="Q83" i="2"/>
  <c r="L102" i="1"/>
  <c r="O102" i="1"/>
  <c r="N80" i="2"/>
  <c r="M102" i="1"/>
  <c r="P102" i="1"/>
  <c r="O80" i="2"/>
  <c r="N102" i="1"/>
  <c r="Q102" i="1"/>
  <c r="H102" i="1"/>
  <c r="K102" i="1"/>
  <c r="P80" i="2"/>
  <c r="Q80" i="2"/>
  <c r="L103" i="1"/>
  <c r="O103" i="1"/>
  <c r="N25" i="2"/>
  <c r="M103" i="1"/>
  <c r="P103" i="1"/>
  <c r="O25" i="2"/>
  <c r="N103" i="1"/>
  <c r="Q103" i="1"/>
  <c r="H103" i="1"/>
  <c r="K103" i="1"/>
  <c r="P25" i="2"/>
  <c r="Q25" i="2"/>
  <c r="L108" i="1"/>
  <c r="O108" i="1"/>
  <c r="N172" i="2"/>
  <c r="M108" i="1"/>
  <c r="P108" i="1"/>
  <c r="O172" i="2"/>
  <c r="N108" i="1"/>
  <c r="Q108" i="1"/>
  <c r="H108" i="1"/>
  <c r="K108" i="1"/>
  <c r="P172" i="2"/>
  <c r="Q172" i="2"/>
  <c r="L109" i="1"/>
  <c r="O109" i="1"/>
  <c r="N173" i="2"/>
  <c r="M109" i="1"/>
  <c r="P109" i="1"/>
  <c r="O173" i="2"/>
  <c r="N109" i="1"/>
  <c r="Q109" i="1"/>
  <c r="H109" i="1"/>
  <c r="K109" i="1"/>
  <c r="P173" i="2"/>
  <c r="Q173" i="2"/>
  <c r="L138" i="1"/>
  <c r="O138" i="1"/>
  <c r="N170" i="2"/>
  <c r="M138" i="1"/>
  <c r="P138" i="1"/>
  <c r="O170" i="2"/>
  <c r="N138" i="1"/>
  <c r="Q138" i="1"/>
  <c r="H138" i="1"/>
  <c r="K138" i="1"/>
  <c r="P170" i="2"/>
  <c r="Q170" i="2"/>
  <c r="L8" i="1"/>
  <c r="O8" i="1"/>
  <c r="N171" i="2"/>
  <c r="M8" i="1"/>
  <c r="P8" i="1"/>
  <c r="O171" i="2"/>
  <c r="N8" i="1"/>
  <c r="Q8" i="1"/>
  <c r="H8" i="1"/>
  <c r="K8" i="1"/>
  <c r="P171" i="2"/>
  <c r="Q171" i="2"/>
  <c r="L35" i="1"/>
  <c r="O35" i="1"/>
  <c r="N174" i="2"/>
  <c r="M35" i="1"/>
  <c r="P35" i="1"/>
  <c r="O174" i="2"/>
  <c r="N35" i="1"/>
  <c r="Q35" i="1"/>
  <c r="H35" i="1"/>
  <c r="K35" i="1"/>
  <c r="P174" i="2"/>
  <c r="Q174" i="2"/>
  <c r="L62" i="1"/>
  <c r="O62" i="1"/>
  <c r="N175" i="2"/>
  <c r="M62" i="1"/>
  <c r="P62" i="1"/>
  <c r="O175" i="2"/>
  <c r="N62" i="1"/>
  <c r="Q62" i="1"/>
  <c r="H62" i="1"/>
  <c r="K62" i="1"/>
  <c r="P175" i="2"/>
  <c r="Q175" i="2"/>
  <c r="L70" i="1"/>
  <c r="O70" i="1"/>
  <c r="N176" i="2"/>
  <c r="M70" i="1"/>
  <c r="P70" i="1"/>
  <c r="O176" i="2"/>
  <c r="N70" i="1"/>
  <c r="Q70" i="1"/>
  <c r="H70" i="1"/>
  <c r="K70" i="1"/>
  <c r="P176" i="2"/>
  <c r="Q176" i="2"/>
  <c r="L131" i="1"/>
  <c r="O131" i="1"/>
  <c r="N167" i="2"/>
  <c r="M131" i="1"/>
  <c r="P131" i="1"/>
  <c r="O167" i="2"/>
  <c r="N131" i="1"/>
  <c r="Q131" i="1"/>
  <c r="H131" i="1"/>
  <c r="K131" i="1"/>
  <c r="P167" i="2"/>
  <c r="Q167" i="2"/>
  <c r="F134" i="1"/>
  <c r="I134" i="1"/>
  <c r="I168" i="2"/>
  <c r="G134" i="1"/>
  <c r="J134" i="1"/>
  <c r="J168" i="2"/>
  <c r="K168" i="2"/>
  <c r="L168" i="2"/>
  <c r="F69" i="1"/>
  <c r="I69" i="1"/>
  <c r="I169" i="2"/>
  <c r="G69" i="1"/>
  <c r="J69" i="1"/>
  <c r="J169" i="2"/>
  <c r="K169" i="2"/>
  <c r="L169" i="2"/>
  <c r="F5" i="1"/>
  <c r="I5" i="1"/>
  <c r="I146" i="2"/>
  <c r="G5" i="1"/>
  <c r="J5" i="1"/>
  <c r="J146" i="2"/>
  <c r="K146" i="2"/>
  <c r="L146" i="2"/>
  <c r="F121" i="1"/>
  <c r="I121" i="1"/>
  <c r="I149" i="2"/>
  <c r="G121" i="1"/>
  <c r="J121" i="1"/>
  <c r="J149" i="2"/>
  <c r="K149" i="2"/>
  <c r="L149" i="2"/>
  <c r="F122" i="1"/>
  <c r="I122" i="1"/>
  <c r="I150" i="2"/>
  <c r="G122" i="1"/>
  <c r="J122" i="1"/>
  <c r="J150" i="2"/>
  <c r="K150" i="2"/>
  <c r="L150" i="2"/>
  <c r="F128" i="1"/>
  <c r="I128" i="1"/>
  <c r="I155" i="2"/>
  <c r="G128" i="1"/>
  <c r="J128" i="1"/>
  <c r="J155" i="2"/>
  <c r="K155" i="2"/>
  <c r="L155" i="2"/>
  <c r="F129" i="1"/>
  <c r="I129" i="1"/>
  <c r="I153" i="2"/>
  <c r="G129" i="1"/>
  <c r="J129" i="1"/>
  <c r="J153" i="2"/>
  <c r="K153" i="2"/>
  <c r="L153" i="2"/>
  <c r="F142" i="1"/>
  <c r="I142" i="1"/>
  <c r="I144" i="2"/>
  <c r="G142" i="1"/>
  <c r="J142" i="1"/>
  <c r="J144" i="2"/>
  <c r="K144" i="2"/>
  <c r="L144" i="2"/>
  <c r="F18" i="1"/>
  <c r="I18" i="1"/>
  <c r="I151" i="2"/>
  <c r="G18" i="1"/>
  <c r="J18" i="1"/>
  <c r="J151" i="2"/>
  <c r="K151" i="2"/>
  <c r="L151" i="2"/>
  <c r="F146" i="1"/>
  <c r="I146" i="1"/>
  <c r="I141" i="2"/>
  <c r="G146" i="1"/>
  <c r="J146" i="1"/>
  <c r="J141" i="2"/>
  <c r="K141" i="2"/>
  <c r="L141" i="2"/>
  <c r="F19" i="1"/>
  <c r="I19" i="1"/>
  <c r="I152" i="2"/>
  <c r="G19" i="1"/>
  <c r="J19" i="1"/>
  <c r="J152" i="2"/>
  <c r="K152" i="2"/>
  <c r="L152" i="2"/>
  <c r="F156" i="1"/>
  <c r="I156" i="1"/>
  <c r="I145" i="2"/>
  <c r="G156" i="1"/>
  <c r="J156" i="1"/>
  <c r="J145" i="2"/>
  <c r="K145" i="2"/>
  <c r="L145" i="2"/>
  <c r="F165" i="1"/>
  <c r="I165" i="1"/>
  <c r="I139" i="2"/>
  <c r="G165" i="1"/>
  <c r="J165" i="1"/>
  <c r="J139" i="2"/>
  <c r="K139" i="2"/>
  <c r="L139" i="2"/>
  <c r="F7" i="1"/>
  <c r="I7" i="1"/>
  <c r="I156" i="2"/>
  <c r="G7" i="1"/>
  <c r="J7" i="1"/>
  <c r="J156" i="2"/>
  <c r="K156" i="2"/>
  <c r="L156" i="2"/>
  <c r="F45" i="1"/>
  <c r="I45" i="1"/>
  <c r="I140" i="2"/>
  <c r="G45" i="1"/>
  <c r="J45" i="1"/>
  <c r="J140" i="2"/>
  <c r="K140" i="2"/>
  <c r="L140" i="2"/>
  <c r="F66" i="1"/>
  <c r="I66" i="1"/>
  <c r="I148" i="2"/>
  <c r="G66" i="1"/>
  <c r="J66" i="1"/>
  <c r="J148" i="2"/>
  <c r="K148" i="2"/>
  <c r="L148" i="2"/>
  <c r="F75" i="1"/>
  <c r="I75" i="1"/>
  <c r="I142" i="2"/>
  <c r="G75" i="1"/>
  <c r="J75" i="1"/>
  <c r="J142" i="2"/>
  <c r="K142" i="2"/>
  <c r="L142" i="2"/>
  <c r="F76" i="1"/>
  <c r="I76" i="1"/>
  <c r="I154" i="2"/>
  <c r="G76" i="1"/>
  <c r="J76" i="1"/>
  <c r="J154" i="2"/>
  <c r="K154" i="2"/>
  <c r="L154" i="2"/>
  <c r="F83" i="1"/>
  <c r="I83" i="1"/>
  <c r="I147" i="2"/>
  <c r="G83" i="1"/>
  <c r="J83" i="1"/>
  <c r="J147" i="2"/>
  <c r="K147" i="2"/>
  <c r="L147" i="2"/>
  <c r="F91" i="1"/>
  <c r="I91" i="1"/>
  <c r="I143" i="2"/>
  <c r="G91" i="1"/>
  <c r="J91" i="1"/>
  <c r="J143" i="2"/>
  <c r="K143" i="2"/>
  <c r="L143" i="2"/>
  <c r="F92" i="1"/>
  <c r="I92" i="1"/>
  <c r="I157" i="2"/>
  <c r="G92" i="1"/>
  <c r="J92" i="1"/>
  <c r="J157" i="2"/>
  <c r="K157" i="2"/>
  <c r="L157" i="2"/>
  <c r="F166" i="1"/>
  <c r="I166" i="1"/>
  <c r="I160" i="2"/>
  <c r="G166" i="1"/>
  <c r="J166" i="1"/>
  <c r="J160" i="2"/>
  <c r="K160" i="2"/>
  <c r="L160" i="2"/>
  <c r="F33" i="1"/>
  <c r="I33" i="1"/>
  <c r="I158" i="2"/>
  <c r="G33" i="1"/>
  <c r="J33" i="1"/>
  <c r="J158" i="2"/>
  <c r="K158" i="2"/>
  <c r="L158" i="2"/>
  <c r="F40" i="1"/>
  <c r="I40" i="1"/>
  <c r="I163" i="2"/>
  <c r="G40" i="1"/>
  <c r="J40" i="1"/>
  <c r="J163" i="2"/>
  <c r="K163" i="2"/>
  <c r="L163" i="2"/>
  <c r="F47" i="1"/>
  <c r="I47" i="1"/>
  <c r="I159" i="2"/>
  <c r="G47" i="1"/>
  <c r="J47" i="1"/>
  <c r="J159" i="2"/>
  <c r="K159" i="2"/>
  <c r="L159" i="2"/>
  <c r="F9" i="1"/>
  <c r="I9" i="1"/>
  <c r="I161" i="2"/>
  <c r="G9" i="1"/>
  <c r="J9" i="1"/>
  <c r="J161" i="2"/>
  <c r="K161" i="2"/>
  <c r="L161" i="2"/>
  <c r="F96" i="1"/>
  <c r="I96" i="1"/>
  <c r="I162" i="2"/>
  <c r="G96" i="1"/>
  <c r="J96" i="1"/>
  <c r="J162" i="2"/>
  <c r="K162" i="2"/>
  <c r="L162" i="2"/>
  <c r="F110" i="1"/>
  <c r="I110" i="1"/>
  <c r="I106" i="2"/>
  <c r="G110" i="1"/>
  <c r="J110" i="1"/>
  <c r="J106" i="2"/>
  <c r="K106" i="2"/>
  <c r="L106" i="2"/>
  <c r="F111" i="1"/>
  <c r="I111" i="1"/>
  <c r="I105" i="2"/>
  <c r="G111" i="1"/>
  <c r="J111" i="1"/>
  <c r="J105" i="2"/>
  <c r="K105" i="2"/>
  <c r="L105" i="2"/>
  <c r="F113" i="1"/>
  <c r="I113" i="1"/>
  <c r="I116" i="2"/>
  <c r="G113" i="1"/>
  <c r="J113" i="1"/>
  <c r="J116" i="2"/>
  <c r="K116" i="2"/>
  <c r="L116" i="2"/>
  <c r="F124" i="1"/>
  <c r="I124" i="1"/>
  <c r="I112" i="2"/>
  <c r="G124" i="1"/>
  <c r="J124" i="1"/>
  <c r="J112" i="2"/>
  <c r="K112" i="2"/>
  <c r="L112" i="2"/>
  <c r="F126" i="1"/>
  <c r="I126" i="1"/>
  <c r="I124" i="2"/>
  <c r="G126" i="1"/>
  <c r="J126" i="1"/>
  <c r="J124" i="2"/>
  <c r="K124" i="2"/>
  <c r="L124" i="2"/>
  <c r="F132" i="1"/>
  <c r="I132" i="1"/>
  <c r="I133" i="2"/>
  <c r="G132" i="1"/>
  <c r="J132" i="1"/>
  <c r="J133" i="2"/>
  <c r="K133" i="2"/>
  <c r="L133" i="2"/>
  <c r="F133" i="1"/>
  <c r="I133" i="1"/>
  <c r="I108" i="2"/>
  <c r="G133" i="1"/>
  <c r="J133" i="1"/>
  <c r="J108" i="2"/>
  <c r="K108" i="2"/>
  <c r="L108" i="2"/>
  <c r="F139" i="1"/>
  <c r="I139" i="1"/>
  <c r="I114" i="2"/>
  <c r="G139" i="1"/>
  <c r="J139" i="1"/>
  <c r="J114" i="2"/>
  <c r="K114" i="2"/>
  <c r="L114" i="2"/>
  <c r="F143" i="1"/>
  <c r="I143" i="1"/>
  <c r="I137" i="2"/>
  <c r="G143" i="1"/>
  <c r="J143" i="1"/>
  <c r="J137" i="2"/>
  <c r="K137" i="2"/>
  <c r="L137" i="2"/>
  <c r="F144" i="1"/>
  <c r="I144" i="1"/>
  <c r="I120" i="2"/>
  <c r="G144" i="1"/>
  <c r="J144" i="1"/>
  <c r="J120" i="2"/>
  <c r="K120" i="2"/>
  <c r="L120" i="2"/>
  <c r="F145" i="1"/>
  <c r="I145" i="1"/>
  <c r="I115" i="2"/>
  <c r="G145" i="1"/>
  <c r="J145" i="1"/>
  <c r="J115" i="2"/>
  <c r="K115" i="2"/>
  <c r="L115" i="2"/>
  <c r="F148" i="1"/>
  <c r="I148" i="1"/>
  <c r="I110" i="2"/>
  <c r="G148" i="1"/>
  <c r="J148" i="1"/>
  <c r="J110" i="2"/>
  <c r="K110" i="2"/>
  <c r="L110" i="2"/>
  <c r="F150" i="1"/>
  <c r="I150" i="1"/>
  <c r="I129" i="2"/>
  <c r="G150" i="1"/>
  <c r="J150" i="1"/>
  <c r="J129" i="2"/>
  <c r="K129" i="2"/>
  <c r="L129" i="2"/>
  <c r="F161" i="1"/>
  <c r="I161" i="1"/>
  <c r="I118" i="2"/>
  <c r="G161" i="1"/>
  <c r="J161" i="1"/>
  <c r="J118" i="2"/>
  <c r="K118" i="2"/>
  <c r="L118" i="2"/>
  <c r="F20" i="1"/>
  <c r="I20" i="1"/>
  <c r="I128" i="2"/>
  <c r="G20" i="1"/>
  <c r="J20" i="1"/>
  <c r="J128" i="2"/>
  <c r="K128" i="2"/>
  <c r="L128" i="2"/>
  <c r="F168" i="1"/>
  <c r="I168" i="1"/>
  <c r="I107" i="2"/>
  <c r="G168" i="1"/>
  <c r="J168" i="1"/>
  <c r="J107" i="2"/>
  <c r="K107" i="2"/>
  <c r="L107" i="2"/>
  <c r="F23" i="1"/>
  <c r="I23" i="1"/>
  <c r="I121" i="2"/>
  <c r="G23" i="1"/>
  <c r="J23" i="1"/>
  <c r="J121" i="2"/>
  <c r="K121" i="2"/>
  <c r="L121" i="2"/>
  <c r="F6" i="1"/>
  <c r="I6" i="1"/>
  <c r="I135" i="2"/>
  <c r="G6" i="1"/>
  <c r="J6" i="1"/>
  <c r="J135" i="2"/>
  <c r="K135" i="2"/>
  <c r="L135" i="2"/>
  <c r="F26" i="1"/>
  <c r="I26" i="1"/>
  <c r="I134" i="2"/>
  <c r="G26" i="1"/>
  <c r="J26" i="1"/>
  <c r="J134" i="2"/>
  <c r="K134" i="2"/>
  <c r="L134" i="2"/>
  <c r="F27" i="1"/>
  <c r="I27" i="1"/>
  <c r="I130" i="2"/>
  <c r="G27" i="1"/>
  <c r="J27" i="1"/>
  <c r="J130" i="2"/>
  <c r="K130" i="2"/>
  <c r="L130" i="2"/>
  <c r="F36" i="1"/>
  <c r="I36" i="1"/>
  <c r="I113" i="2"/>
  <c r="G36" i="1"/>
  <c r="J36" i="1"/>
  <c r="J113" i="2"/>
  <c r="K113" i="2"/>
  <c r="L113" i="2"/>
  <c r="F37" i="1"/>
  <c r="I37" i="1"/>
  <c r="I131" i="2"/>
  <c r="G37" i="1"/>
  <c r="J37" i="1"/>
  <c r="J131" i="2"/>
  <c r="K131" i="2"/>
  <c r="L131" i="2"/>
  <c r="F41" i="1"/>
  <c r="I41" i="1"/>
  <c r="I119" i="2"/>
  <c r="G41" i="1"/>
  <c r="J41" i="1"/>
  <c r="J119" i="2"/>
  <c r="K119" i="2"/>
  <c r="L119" i="2"/>
  <c r="F46" i="1"/>
  <c r="I46" i="1"/>
  <c r="I122" i="2"/>
  <c r="G46" i="1"/>
  <c r="J46" i="1"/>
  <c r="J122" i="2"/>
  <c r="K122" i="2"/>
  <c r="L122" i="2"/>
  <c r="F51" i="1"/>
  <c r="I51" i="1"/>
  <c r="I125" i="2"/>
  <c r="G51" i="1"/>
  <c r="J51" i="1"/>
  <c r="J125" i="2"/>
  <c r="K125" i="2"/>
  <c r="L125" i="2"/>
  <c r="F52" i="1"/>
  <c r="I52" i="1"/>
  <c r="I127" i="2"/>
  <c r="G52" i="1"/>
  <c r="J52" i="1"/>
  <c r="J127" i="2"/>
  <c r="K127" i="2"/>
  <c r="L127" i="2"/>
  <c r="F71" i="1"/>
  <c r="I71" i="1"/>
  <c r="I132" i="2"/>
  <c r="G71" i="1"/>
  <c r="J71" i="1"/>
  <c r="J132" i="2"/>
  <c r="K132" i="2"/>
  <c r="L132" i="2"/>
  <c r="F79" i="1"/>
  <c r="I79" i="1"/>
  <c r="I126" i="2"/>
  <c r="G79" i="1"/>
  <c r="J79" i="1"/>
  <c r="J126" i="2"/>
  <c r="K126" i="2"/>
  <c r="L126" i="2"/>
  <c r="F80" i="1"/>
  <c r="I80" i="1"/>
  <c r="I117" i="2"/>
  <c r="G80" i="1"/>
  <c r="J80" i="1"/>
  <c r="J117" i="2"/>
  <c r="K117" i="2"/>
  <c r="L117" i="2"/>
  <c r="F81" i="1"/>
  <c r="I81" i="1"/>
  <c r="I111" i="2"/>
  <c r="G81" i="1"/>
  <c r="J81" i="1"/>
  <c r="J111" i="2"/>
  <c r="K111" i="2"/>
  <c r="L111" i="2"/>
  <c r="F82" i="1"/>
  <c r="I82" i="1"/>
  <c r="I123" i="2"/>
  <c r="G82" i="1"/>
  <c r="J82" i="1"/>
  <c r="J123" i="2"/>
  <c r="K123" i="2"/>
  <c r="L123" i="2"/>
  <c r="F84" i="1"/>
  <c r="I84" i="1"/>
  <c r="I136" i="2"/>
  <c r="G84" i="1"/>
  <c r="J84" i="1"/>
  <c r="J136" i="2"/>
  <c r="K136" i="2"/>
  <c r="L136" i="2"/>
  <c r="F86" i="1"/>
  <c r="I86" i="1"/>
  <c r="I138" i="2"/>
  <c r="G86" i="1"/>
  <c r="J86" i="1"/>
  <c r="J138" i="2"/>
  <c r="K138" i="2"/>
  <c r="L138" i="2"/>
  <c r="F94" i="1"/>
  <c r="I94" i="1"/>
  <c r="I109" i="2"/>
  <c r="G94" i="1"/>
  <c r="J94" i="1"/>
  <c r="J109" i="2"/>
  <c r="K109" i="2"/>
  <c r="L109" i="2"/>
  <c r="F104" i="1"/>
  <c r="I104" i="1"/>
  <c r="I164" i="2"/>
  <c r="G104" i="1"/>
  <c r="J104" i="1"/>
  <c r="J164" i="2"/>
  <c r="K164" i="2"/>
  <c r="L164" i="2"/>
  <c r="F30" i="1"/>
  <c r="I30" i="1"/>
  <c r="I165" i="2"/>
  <c r="G30" i="1"/>
  <c r="J30" i="1"/>
  <c r="J165" i="2"/>
  <c r="K165" i="2"/>
  <c r="L165" i="2"/>
  <c r="F57" i="1"/>
  <c r="I57" i="1"/>
  <c r="I166" i="2"/>
  <c r="G57" i="1"/>
  <c r="J57" i="1"/>
  <c r="J166" i="2"/>
  <c r="K166" i="2"/>
  <c r="L166" i="2"/>
  <c r="F14" i="1"/>
  <c r="I14" i="1"/>
  <c r="I98" i="2"/>
  <c r="G14" i="1"/>
  <c r="J14" i="1"/>
  <c r="J98" i="2"/>
  <c r="K98" i="2"/>
  <c r="L98" i="2"/>
  <c r="F105" i="1"/>
  <c r="I105" i="1"/>
  <c r="I30" i="2"/>
  <c r="G105" i="1"/>
  <c r="J105" i="1"/>
  <c r="J30" i="2"/>
  <c r="K30" i="2"/>
  <c r="L30" i="2"/>
  <c r="F106" i="1"/>
  <c r="I106" i="1"/>
  <c r="I84" i="2"/>
  <c r="G106" i="1"/>
  <c r="J106" i="1"/>
  <c r="J84" i="2"/>
  <c r="K84" i="2"/>
  <c r="L84" i="2"/>
  <c r="F107" i="1"/>
  <c r="I107" i="1"/>
  <c r="I42" i="2"/>
  <c r="G107" i="1"/>
  <c r="J107" i="1"/>
  <c r="J42" i="2"/>
  <c r="K42" i="2"/>
  <c r="L42" i="2"/>
  <c r="F112" i="1"/>
  <c r="I112" i="1"/>
  <c r="I88" i="2"/>
  <c r="G112" i="1"/>
  <c r="J112" i="1"/>
  <c r="J88" i="2"/>
  <c r="K88" i="2"/>
  <c r="L88" i="2"/>
  <c r="F15" i="1"/>
  <c r="I15" i="1"/>
  <c r="I72" i="2"/>
  <c r="G15" i="1"/>
  <c r="J15" i="1"/>
  <c r="J72" i="2"/>
  <c r="K72" i="2"/>
  <c r="L72" i="2"/>
  <c r="F114" i="1"/>
  <c r="I114" i="1"/>
  <c r="I31" i="2"/>
  <c r="G114" i="1"/>
  <c r="J114" i="1"/>
  <c r="J31" i="2"/>
  <c r="K31" i="2"/>
  <c r="L31" i="2"/>
  <c r="F115" i="1"/>
  <c r="I115" i="1"/>
  <c r="I18" i="2"/>
  <c r="G115" i="1"/>
  <c r="J115" i="1"/>
  <c r="J18" i="2"/>
  <c r="K18" i="2"/>
  <c r="L18" i="2"/>
  <c r="F116" i="1"/>
  <c r="I116" i="1"/>
  <c r="I19" i="2"/>
  <c r="G116" i="1"/>
  <c r="J116" i="1"/>
  <c r="J19" i="2"/>
  <c r="K19" i="2"/>
  <c r="L19" i="2"/>
  <c r="F117" i="1"/>
  <c r="I117" i="1"/>
  <c r="I26" i="2"/>
  <c r="G117" i="1"/>
  <c r="J117" i="1"/>
  <c r="J26" i="2"/>
  <c r="K26" i="2"/>
  <c r="L26" i="2"/>
  <c r="F118" i="1"/>
  <c r="I118" i="1"/>
  <c r="I62" i="2"/>
  <c r="G118" i="1"/>
  <c r="J118" i="1"/>
  <c r="J62" i="2"/>
  <c r="K62" i="2"/>
  <c r="L62" i="2"/>
  <c r="F119" i="1"/>
  <c r="I119" i="1"/>
  <c r="I58" i="2"/>
  <c r="G119" i="1"/>
  <c r="J119" i="1"/>
  <c r="J58" i="2"/>
  <c r="K58" i="2"/>
  <c r="L58" i="2"/>
  <c r="F120" i="1"/>
  <c r="I120" i="1"/>
  <c r="I10" i="2"/>
  <c r="G120" i="1"/>
  <c r="J120" i="1"/>
  <c r="J10" i="2"/>
  <c r="K10" i="2"/>
  <c r="L10" i="2"/>
  <c r="F123" i="1"/>
  <c r="I123" i="1"/>
  <c r="I71" i="2"/>
  <c r="G123" i="1"/>
  <c r="J123" i="1"/>
  <c r="J71" i="2"/>
  <c r="K71" i="2"/>
  <c r="L71" i="2"/>
  <c r="F16" i="1"/>
  <c r="I16" i="1"/>
  <c r="I36" i="2"/>
  <c r="G16" i="1"/>
  <c r="J16" i="1"/>
  <c r="J36" i="2"/>
  <c r="K36" i="2"/>
  <c r="L36" i="2"/>
  <c r="F125" i="1"/>
  <c r="I125" i="1"/>
  <c r="I37" i="2"/>
  <c r="G125" i="1"/>
  <c r="J125" i="1"/>
  <c r="J37" i="2"/>
  <c r="K37" i="2"/>
  <c r="L37" i="2"/>
  <c r="F127" i="1"/>
  <c r="I127" i="1"/>
  <c r="I63" i="2"/>
  <c r="G127" i="1"/>
  <c r="J127" i="1"/>
  <c r="J63" i="2"/>
  <c r="K63" i="2"/>
  <c r="L63" i="2"/>
  <c r="F130" i="1"/>
  <c r="I130" i="1"/>
  <c r="I38" i="2"/>
  <c r="G130" i="1"/>
  <c r="J130" i="1"/>
  <c r="J38" i="2"/>
  <c r="K38" i="2"/>
  <c r="L38" i="2"/>
  <c r="F17" i="1"/>
  <c r="I17" i="1"/>
  <c r="I54" i="2"/>
  <c r="G17" i="1"/>
  <c r="J17" i="1"/>
  <c r="J54" i="2"/>
  <c r="K54" i="2"/>
  <c r="L54" i="2"/>
  <c r="F135" i="1"/>
  <c r="I135" i="1"/>
  <c r="I43" i="2"/>
  <c r="G135" i="1"/>
  <c r="J135" i="1"/>
  <c r="J43" i="2"/>
  <c r="K43" i="2"/>
  <c r="L43" i="2"/>
  <c r="F136" i="1"/>
  <c r="I136" i="1"/>
  <c r="I32" i="2"/>
  <c r="G136" i="1"/>
  <c r="J136" i="1"/>
  <c r="J32" i="2"/>
  <c r="K32" i="2"/>
  <c r="L32" i="2"/>
  <c r="F137" i="1"/>
  <c r="I137" i="1"/>
  <c r="I39" i="2"/>
  <c r="G137" i="1"/>
  <c r="J137" i="1"/>
  <c r="J39" i="2"/>
  <c r="K39" i="2"/>
  <c r="L39" i="2"/>
  <c r="F140" i="1"/>
  <c r="I140" i="1"/>
  <c r="I44" i="2"/>
  <c r="G140" i="1"/>
  <c r="J140" i="1"/>
  <c r="J44" i="2"/>
  <c r="K44" i="2"/>
  <c r="L44" i="2"/>
  <c r="F141" i="1"/>
  <c r="I141" i="1"/>
  <c r="I97" i="2"/>
  <c r="G141" i="1"/>
  <c r="J141" i="1"/>
  <c r="J97" i="2"/>
  <c r="K97" i="2"/>
  <c r="L97" i="2"/>
  <c r="F147" i="1"/>
  <c r="I147" i="1"/>
  <c r="I12" i="2"/>
  <c r="G147" i="1"/>
  <c r="J147" i="1"/>
  <c r="J12" i="2"/>
  <c r="K12" i="2"/>
  <c r="L12" i="2"/>
  <c r="F149" i="1"/>
  <c r="I149" i="1"/>
  <c r="I17" i="2"/>
  <c r="G149" i="1"/>
  <c r="J149" i="1"/>
  <c r="J17" i="2"/>
  <c r="K17" i="2"/>
  <c r="L17" i="2"/>
  <c r="F151" i="1"/>
  <c r="I151" i="1"/>
  <c r="I34" i="2"/>
  <c r="G151" i="1"/>
  <c r="J151" i="1"/>
  <c r="J34" i="2"/>
  <c r="K34" i="2"/>
  <c r="L34" i="2"/>
  <c r="F152" i="1"/>
  <c r="I152" i="1"/>
  <c r="I75" i="2"/>
  <c r="G152" i="1"/>
  <c r="J152" i="1"/>
  <c r="J75" i="2"/>
  <c r="K75" i="2"/>
  <c r="L75" i="2"/>
  <c r="F153" i="1"/>
  <c r="I153" i="1"/>
  <c r="I65" i="2"/>
  <c r="G153" i="1"/>
  <c r="J153" i="1"/>
  <c r="J65" i="2"/>
  <c r="K65" i="2"/>
  <c r="L65" i="2"/>
  <c r="F154" i="1"/>
  <c r="I154" i="1"/>
  <c r="I73" i="2"/>
  <c r="G154" i="1"/>
  <c r="J154" i="1"/>
  <c r="J73" i="2"/>
  <c r="K73" i="2"/>
  <c r="L73" i="2"/>
  <c r="F155" i="1"/>
  <c r="I155" i="1"/>
  <c r="I59" i="2"/>
  <c r="G155" i="1"/>
  <c r="J155" i="1"/>
  <c r="J59" i="2"/>
  <c r="K59" i="2"/>
  <c r="L59" i="2"/>
  <c r="F157" i="1"/>
  <c r="I157" i="1"/>
  <c r="I76" i="2"/>
  <c r="G157" i="1"/>
  <c r="J157" i="1"/>
  <c r="J76" i="2"/>
  <c r="K76" i="2"/>
  <c r="L76" i="2"/>
  <c r="F158" i="1"/>
  <c r="I158" i="1"/>
  <c r="I40" i="2"/>
  <c r="G158" i="1"/>
  <c r="J158" i="1"/>
  <c r="J40" i="2"/>
  <c r="K40" i="2"/>
  <c r="L40" i="2"/>
  <c r="F159" i="1"/>
  <c r="I159" i="1"/>
  <c r="I104" i="2"/>
  <c r="G159" i="1"/>
  <c r="J159" i="1"/>
  <c r="J104" i="2"/>
  <c r="K104" i="2"/>
  <c r="L104" i="2"/>
  <c r="F160" i="1"/>
  <c r="I160" i="1"/>
  <c r="I41" i="2"/>
  <c r="G160" i="1"/>
  <c r="J160" i="1"/>
  <c r="J41" i="2"/>
  <c r="K41" i="2"/>
  <c r="L41" i="2"/>
  <c r="F162" i="1"/>
  <c r="I162" i="1"/>
  <c r="I48" i="2"/>
  <c r="G162" i="1"/>
  <c r="J162" i="1"/>
  <c r="J48" i="2"/>
  <c r="K48" i="2"/>
  <c r="L48" i="2"/>
  <c r="F163" i="1"/>
  <c r="I163" i="1"/>
  <c r="I64" i="2"/>
  <c r="G163" i="1"/>
  <c r="J163" i="1"/>
  <c r="J64" i="2"/>
  <c r="K64" i="2"/>
  <c r="L64" i="2"/>
  <c r="F164" i="1"/>
  <c r="I164" i="1"/>
  <c r="I92" i="2"/>
  <c r="G164" i="1"/>
  <c r="J164" i="1"/>
  <c r="J92" i="2"/>
  <c r="K92" i="2"/>
  <c r="L92" i="2"/>
  <c r="F167" i="1"/>
  <c r="I167" i="1"/>
  <c r="I93" i="2"/>
  <c r="G167" i="1"/>
  <c r="J167" i="1"/>
  <c r="J93" i="2"/>
  <c r="K93" i="2"/>
  <c r="L93" i="2"/>
  <c r="F169" i="1"/>
  <c r="I169" i="1"/>
  <c r="I79" i="2"/>
  <c r="G169" i="1"/>
  <c r="J169" i="1"/>
  <c r="J79" i="2"/>
  <c r="K79" i="2"/>
  <c r="L79" i="2"/>
  <c r="F170" i="1"/>
  <c r="I170" i="1"/>
  <c r="I49" i="2"/>
  <c r="G170" i="1"/>
  <c r="J170" i="1"/>
  <c r="J49" i="2"/>
  <c r="K49" i="2"/>
  <c r="L49" i="2"/>
  <c r="F171" i="1"/>
  <c r="I171" i="1"/>
  <c r="I11" i="2"/>
  <c r="G171" i="1"/>
  <c r="J171" i="1"/>
  <c r="J11" i="2"/>
  <c r="K11" i="2"/>
  <c r="L11" i="2"/>
  <c r="F21" i="1"/>
  <c r="I21" i="1"/>
  <c r="I20" i="2"/>
  <c r="G21" i="1"/>
  <c r="J21" i="1"/>
  <c r="J20" i="2"/>
  <c r="K20" i="2"/>
  <c r="L20" i="2"/>
  <c r="F22" i="1"/>
  <c r="I22" i="1"/>
  <c r="I60" i="2"/>
  <c r="G22" i="1"/>
  <c r="J22" i="1"/>
  <c r="J60" i="2"/>
  <c r="K60" i="2"/>
  <c r="L60" i="2"/>
  <c r="F24" i="1"/>
  <c r="I24" i="1"/>
  <c r="I14" i="2"/>
  <c r="G24" i="1"/>
  <c r="J24" i="1"/>
  <c r="J14" i="2"/>
  <c r="K14" i="2"/>
  <c r="L14" i="2"/>
  <c r="F25" i="1"/>
  <c r="I25" i="1"/>
  <c r="I100" i="2"/>
  <c r="G25" i="1"/>
  <c r="J25" i="1"/>
  <c r="J100" i="2"/>
  <c r="K100" i="2"/>
  <c r="L100" i="2"/>
  <c r="F28" i="1"/>
  <c r="I28" i="1"/>
  <c r="I35" i="2"/>
  <c r="G28" i="1"/>
  <c r="J28" i="1"/>
  <c r="J35" i="2"/>
  <c r="K35" i="2"/>
  <c r="L35" i="2"/>
  <c r="F29" i="1"/>
  <c r="I29" i="1"/>
  <c r="I16" i="2"/>
  <c r="G29" i="1"/>
  <c r="J29" i="1"/>
  <c r="J16" i="2"/>
  <c r="K16" i="2"/>
  <c r="L16" i="2"/>
  <c r="F31" i="1"/>
  <c r="I31" i="1"/>
  <c r="I77" i="2"/>
  <c r="G31" i="1"/>
  <c r="J31" i="1"/>
  <c r="J77" i="2"/>
  <c r="K77" i="2"/>
  <c r="L77" i="2"/>
  <c r="F32" i="1"/>
  <c r="I32" i="1"/>
  <c r="I99" i="2"/>
  <c r="G32" i="1"/>
  <c r="J32" i="1"/>
  <c r="J99" i="2"/>
  <c r="K99" i="2"/>
  <c r="L99" i="2"/>
  <c r="F34" i="1"/>
  <c r="I34" i="1"/>
  <c r="I15" i="2"/>
  <c r="G34" i="1"/>
  <c r="J34" i="1"/>
  <c r="J15" i="2"/>
  <c r="K15" i="2"/>
  <c r="L15" i="2"/>
  <c r="F38" i="1"/>
  <c r="I38" i="1"/>
  <c r="I90" i="2"/>
  <c r="G38" i="1"/>
  <c r="J38" i="1"/>
  <c r="J90" i="2"/>
  <c r="K90" i="2"/>
  <c r="L90" i="2"/>
  <c r="F39" i="1"/>
  <c r="I39" i="1"/>
  <c r="I45" i="2"/>
  <c r="G39" i="1"/>
  <c r="J39" i="1"/>
  <c r="J45" i="2"/>
  <c r="K45" i="2"/>
  <c r="L45" i="2"/>
  <c r="F42" i="1"/>
  <c r="I42" i="1"/>
  <c r="I55" i="2"/>
  <c r="G42" i="1"/>
  <c r="J42" i="1"/>
  <c r="J55" i="2"/>
  <c r="K55" i="2"/>
  <c r="L55" i="2"/>
  <c r="F43" i="1"/>
  <c r="I43" i="1"/>
  <c r="I95" i="2"/>
  <c r="G43" i="1"/>
  <c r="J43" i="1"/>
  <c r="J95" i="2"/>
  <c r="K95" i="2"/>
  <c r="L95" i="2"/>
  <c r="F44" i="1"/>
  <c r="I44" i="1"/>
  <c r="I69" i="2"/>
  <c r="G44" i="1"/>
  <c r="J44" i="1"/>
  <c r="J69" i="2"/>
  <c r="K69" i="2"/>
  <c r="L69" i="2"/>
  <c r="F48" i="1"/>
  <c r="I48" i="1"/>
  <c r="I102" i="2"/>
  <c r="G48" i="1"/>
  <c r="J48" i="1"/>
  <c r="J102" i="2"/>
  <c r="K102" i="2"/>
  <c r="L102" i="2"/>
  <c r="F49" i="1"/>
  <c r="I49" i="1"/>
  <c r="I89" i="2"/>
  <c r="G49" i="1"/>
  <c r="J49" i="1"/>
  <c r="J89" i="2"/>
  <c r="K89" i="2"/>
  <c r="L89" i="2"/>
  <c r="F50" i="1"/>
  <c r="I50" i="1"/>
  <c r="I27" i="2"/>
  <c r="G50" i="1"/>
  <c r="J50" i="1"/>
  <c r="J27" i="2"/>
  <c r="K27" i="2"/>
  <c r="L27" i="2"/>
  <c r="F53" i="1"/>
  <c r="I53" i="1"/>
  <c r="I46" i="2"/>
  <c r="G53" i="1"/>
  <c r="J53" i="1"/>
  <c r="J46" i="2"/>
  <c r="K46" i="2"/>
  <c r="L46" i="2"/>
  <c r="F54" i="1"/>
  <c r="I54" i="1"/>
  <c r="I50" i="2"/>
  <c r="G54" i="1"/>
  <c r="J54" i="1"/>
  <c r="J50" i="2"/>
  <c r="K50" i="2"/>
  <c r="L50" i="2"/>
  <c r="F55" i="1"/>
  <c r="I55" i="1"/>
  <c r="I51" i="2"/>
  <c r="G55" i="1"/>
  <c r="J55" i="1"/>
  <c r="J51" i="2"/>
  <c r="K51" i="2"/>
  <c r="L51" i="2"/>
  <c r="F56" i="1"/>
  <c r="I56" i="1"/>
  <c r="I81" i="2"/>
  <c r="G56" i="1"/>
  <c r="J56" i="1"/>
  <c r="J81" i="2"/>
  <c r="K81" i="2"/>
  <c r="L81" i="2"/>
  <c r="F58" i="1"/>
  <c r="I58" i="1"/>
  <c r="I78" i="2"/>
  <c r="G58" i="1"/>
  <c r="J58" i="1"/>
  <c r="J78" i="2"/>
  <c r="K78" i="2"/>
  <c r="L78" i="2"/>
  <c r="F59" i="1"/>
  <c r="I59" i="1"/>
  <c r="I91" i="2"/>
  <c r="G59" i="1"/>
  <c r="J59" i="1"/>
  <c r="J91" i="2"/>
  <c r="K91" i="2"/>
  <c r="L91" i="2"/>
  <c r="F60" i="1"/>
  <c r="I60" i="1"/>
  <c r="I52" i="2"/>
  <c r="G60" i="1"/>
  <c r="J60" i="1"/>
  <c r="J52" i="2"/>
  <c r="K52" i="2"/>
  <c r="L52" i="2"/>
  <c r="F61" i="1"/>
  <c r="I61" i="1"/>
  <c r="I28" i="2"/>
  <c r="G61" i="1"/>
  <c r="J61" i="1"/>
  <c r="J28" i="2"/>
  <c r="K28" i="2"/>
  <c r="L28" i="2"/>
  <c r="F63" i="1"/>
  <c r="I63" i="1"/>
  <c r="I22" i="2"/>
  <c r="G63" i="1"/>
  <c r="J63" i="1"/>
  <c r="J22" i="2"/>
  <c r="K22" i="2"/>
  <c r="L22" i="2"/>
  <c r="F10" i="1"/>
  <c r="I10" i="1"/>
  <c r="I103" i="2"/>
  <c r="G10" i="1"/>
  <c r="J10" i="1"/>
  <c r="J103" i="2"/>
  <c r="K103" i="2"/>
  <c r="L103" i="2"/>
  <c r="F64" i="1"/>
  <c r="I64" i="1"/>
  <c r="I13" i="2"/>
  <c r="G64" i="1"/>
  <c r="J64" i="1"/>
  <c r="J13" i="2"/>
  <c r="K13" i="2"/>
  <c r="L13" i="2"/>
  <c r="F65" i="1"/>
  <c r="I65" i="1"/>
  <c r="I53" i="2"/>
  <c r="G65" i="1"/>
  <c r="J65" i="1"/>
  <c r="J53" i="2"/>
  <c r="K53" i="2"/>
  <c r="L53" i="2"/>
  <c r="F67" i="1"/>
  <c r="I67" i="1"/>
  <c r="I66" i="2"/>
  <c r="G67" i="1"/>
  <c r="J67" i="1"/>
  <c r="J66" i="2"/>
  <c r="K66" i="2"/>
  <c r="L66" i="2"/>
  <c r="F68" i="1"/>
  <c r="I68" i="1"/>
  <c r="I56" i="2"/>
  <c r="G68" i="1"/>
  <c r="J68" i="1"/>
  <c r="J56" i="2"/>
  <c r="K56" i="2"/>
  <c r="L56" i="2"/>
  <c r="F72" i="1"/>
  <c r="I72" i="1"/>
  <c r="I67" i="2"/>
  <c r="G72" i="1"/>
  <c r="J72" i="1"/>
  <c r="J67" i="2"/>
  <c r="K67" i="2"/>
  <c r="L67" i="2"/>
  <c r="F73" i="1"/>
  <c r="I73" i="1"/>
  <c r="I94" i="2"/>
  <c r="G73" i="1"/>
  <c r="J73" i="1"/>
  <c r="J94" i="2"/>
  <c r="K94" i="2"/>
  <c r="L94" i="2"/>
  <c r="F11" i="1"/>
  <c r="I11" i="1"/>
  <c r="I70" i="2"/>
  <c r="G11" i="1"/>
  <c r="J11" i="1"/>
  <c r="J70" i="2"/>
  <c r="K70" i="2"/>
  <c r="L70" i="2"/>
  <c r="F74" i="1"/>
  <c r="I74" i="1"/>
  <c r="I29" i="2"/>
  <c r="G74" i="1"/>
  <c r="J74" i="1"/>
  <c r="J29" i="2"/>
  <c r="K29" i="2"/>
  <c r="L29" i="2"/>
  <c r="F77" i="1"/>
  <c r="I77" i="1"/>
  <c r="I68" i="2"/>
  <c r="G77" i="1"/>
  <c r="J77" i="1"/>
  <c r="J68" i="2"/>
  <c r="K68" i="2"/>
  <c r="L68" i="2"/>
  <c r="F78" i="1"/>
  <c r="I78" i="1"/>
  <c r="I85" i="2"/>
  <c r="G78" i="1"/>
  <c r="J78" i="1"/>
  <c r="J85" i="2"/>
  <c r="K85" i="2"/>
  <c r="L85" i="2"/>
  <c r="F12" i="1"/>
  <c r="I12" i="1"/>
  <c r="I74" i="2"/>
  <c r="G12" i="1"/>
  <c r="J12" i="1"/>
  <c r="J74" i="2"/>
  <c r="K74" i="2"/>
  <c r="L74" i="2"/>
  <c r="F85" i="1"/>
  <c r="I85" i="1"/>
  <c r="I21" i="2"/>
  <c r="G85" i="1"/>
  <c r="J85" i="1"/>
  <c r="J21" i="2"/>
  <c r="K21" i="2"/>
  <c r="L21" i="2"/>
  <c r="F87" i="1"/>
  <c r="I87" i="1"/>
  <c r="I23" i="2"/>
  <c r="G87" i="1"/>
  <c r="J87" i="1"/>
  <c r="J23" i="2"/>
  <c r="K23" i="2"/>
  <c r="L23" i="2"/>
  <c r="F88" i="1"/>
  <c r="I88" i="1"/>
  <c r="I82" i="2"/>
  <c r="G88" i="1"/>
  <c r="J88" i="1"/>
  <c r="J82" i="2"/>
  <c r="K82" i="2"/>
  <c r="L82" i="2"/>
  <c r="F89" i="1"/>
  <c r="I89" i="1"/>
  <c r="I61" i="2"/>
  <c r="G89" i="1"/>
  <c r="J89" i="1"/>
  <c r="J61" i="2"/>
  <c r="K61" i="2"/>
  <c r="L61" i="2"/>
  <c r="F90" i="1"/>
  <c r="I90" i="1"/>
  <c r="I86" i="2"/>
  <c r="G90" i="1"/>
  <c r="J90" i="1"/>
  <c r="J86" i="2"/>
  <c r="K86" i="2"/>
  <c r="L86" i="2"/>
  <c r="F93" i="1"/>
  <c r="I93" i="1"/>
  <c r="I57" i="2"/>
  <c r="G93" i="1"/>
  <c r="J93" i="1"/>
  <c r="J57" i="2"/>
  <c r="K57" i="2"/>
  <c r="L57" i="2"/>
  <c r="F13" i="1"/>
  <c r="I13" i="1"/>
  <c r="I33" i="2"/>
  <c r="G13" i="1"/>
  <c r="J13" i="1"/>
  <c r="J33" i="2"/>
  <c r="K33" i="2"/>
  <c r="L33" i="2"/>
  <c r="F95" i="1"/>
  <c r="I95" i="1"/>
  <c r="I96" i="2"/>
  <c r="G95" i="1"/>
  <c r="J95" i="1"/>
  <c r="J96" i="2"/>
  <c r="K96" i="2"/>
  <c r="L96" i="2"/>
  <c r="F97" i="1"/>
  <c r="I97" i="1"/>
  <c r="I87" i="2"/>
  <c r="G97" i="1"/>
  <c r="J97" i="1"/>
  <c r="J87" i="2"/>
  <c r="K87" i="2"/>
  <c r="L87" i="2"/>
  <c r="F98" i="1"/>
  <c r="I98" i="1"/>
  <c r="I24" i="2"/>
  <c r="G98" i="1"/>
  <c r="J98" i="1"/>
  <c r="J24" i="2"/>
  <c r="K24" i="2"/>
  <c r="L24" i="2"/>
  <c r="F99" i="1"/>
  <c r="I99" i="1"/>
  <c r="I101" i="2"/>
  <c r="G99" i="1"/>
  <c r="J99" i="1"/>
  <c r="J101" i="2"/>
  <c r="K101" i="2"/>
  <c r="L101" i="2"/>
  <c r="F100" i="1"/>
  <c r="I100" i="1"/>
  <c r="I47" i="2"/>
  <c r="G100" i="1"/>
  <c r="J100" i="1"/>
  <c r="J47" i="2"/>
  <c r="K47" i="2"/>
  <c r="L47" i="2"/>
  <c r="F101" i="1"/>
  <c r="I101" i="1"/>
  <c r="I83" i="2"/>
  <c r="G101" i="1"/>
  <c r="J101" i="1"/>
  <c r="J83" i="2"/>
  <c r="K83" i="2"/>
  <c r="L83" i="2"/>
  <c r="F102" i="1"/>
  <c r="I102" i="1"/>
  <c r="I80" i="2"/>
  <c r="G102" i="1"/>
  <c r="J102" i="1"/>
  <c r="J80" i="2"/>
  <c r="K80" i="2"/>
  <c r="L80" i="2"/>
  <c r="F103" i="1"/>
  <c r="I103" i="1"/>
  <c r="I25" i="2"/>
  <c r="G103" i="1"/>
  <c r="J103" i="1"/>
  <c r="J25" i="2"/>
  <c r="K25" i="2"/>
  <c r="L25" i="2"/>
  <c r="F108" i="1"/>
  <c r="I108" i="1"/>
  <c r="I172" i="2"/>
  <c r="G108" i="1"/>
  <c r="J108" i="1"/>
  <c r="J172" i="2"/>
  <c r="K172" i="2"/>
  <c r="L172" i="2"/>
  <c r="F109" i="1"/>
  <c r="I109" i="1"/>
  <c r="I173" i="2"/>
  <c r="G109" i="1"/>
  <c r="J109" i="1"/>
  <c r="J173" i="2"/>
  <c r="K173" i="2"/>
  <c r="L173" i="2"/>
  <c r="F138" i="1"/>
  <c r="I138" i="1"/>
  <c r="I170" i="2"/>
  <c r="G138" i="1"/>
  <c r="J138" i="1"/>
  <c r="J170" i="2"/>
  <c r="K170" i="2"/>
  <c r="L170" i="2"/>
  <c r="F8" i="1"/>
  <c r="I8" i="1"/>
  <c r="I171" i="2"/>
  <c r="G8" i="1"/>
  <c r="J8" i="1"/>
  <c r="J171" i="2"/>
  <c r="K171" i="2"/>
  <c r="L171" i="2"/>
  <c r="F35" i="1"/>
  <c r="I35" i="1"/>
  <c r="I174" i="2"/>
  <c r="G35" i="1"/>
  <c r="J35" i="1"/>
  <c r="J174" i="2"/>
  <c r="K174" i="2"/>
  <c r="L174" i="2"/>
  <c r="F62" i="1"/>
  <c r="I62" i="1"/>
  <c r="I175" i="2"/>
  <c r="G62" i="1"/>
  <c r="J62" i="1"/>
  <c r="J175" i="2"/>
  <c r="K175" i="2"/>
  <c r="L175" i="2"/>
  <c r="F70" i="1"/>
  <c r="I70" i="1"/>
  <c r="I176" i="2"/>
  <c r="G70" i="1"/>
  <c r="J70" i="1"/>
  <c r="J176" i="2"/>
  <c r="K176" i="2"/>
  <c r="L176" i="2"/>
  <c r="F131" i="1"/>
  <c r="I131" i="1"/>
  <c r="I167" i="2"/>
  <c r="G131" i="1"/>
  <c r="J131" i="1"/>
  <c r="J167" i="2"/>
  <c r="K167" i="2"/>
  <c r="L167" i="2"/>
  <c r="R10" i="2"/>
  <c r="R11" i="2"/>
  <c r="R13" i="2"/>
  <c r="R12" i="2"/>
  <c r="R14" i="2"/>
  <c r="R15" i="2"/>
  <c r="R16" i="2"/>
  <c r="R17" i="2"/>
  <c r="R19" i="2"/>
  <c r="R18" i="2"/>
  <c r="R20" i="2"/>
  <c r="R21" i="2"/>
  <c r="R25" i="2"/>
  <c r="R23" i="2"/>
  <c r="R24" i="2"/>
  <c r="R22" i="2"/>
  <c r="R29" i="2"/>
  <c r="R28" i="2"/>
  <c r="R27" i="2"/>
  <c r="R26" i="2"/>
  <c r="R31" i="2"/>
  <c r="R30" i="2"/>
  <c r="R32" i="2"/>
  <c r="R33" i="2"/>
  <c r="R34" i="2"/>
  <c r="R35" i="2"/>
  <c r="R36" i="2"/>
  <c r="R37" i="2"/>
  <c r="R39" i="2"/>
  <c r="R40" i="2"/>
  <c r="R41" i="2"/>
  <c r="R38" i="2"/>
  <c r="R43" i="2"/>
  <c r="R46" i="2"/>
  <c r="R45" i="2"/>
  <c r="R42" i="2"/>
  <c r="R44" i="2"/>
  <c r="R47" i="2"/>
  <c r="R48" i="2"/>
  <c r="R51" i="2"/>
  <c r="R50" i="2"/>
  <c r="R49" i="2"/>
  <c r="R53" i="2"/>
  <c r="R52" i="2"/>
  <c r="R57" i="2"/>
  <c r="R56" i="2"/>
  <c r="R55" i="2"/>
  <c r="R54" i="2"/>
  <c r="R60" i="2"/>
  <c r="R59" i="2"/>
  <c r="R61" i="2"/>
  <c r="R58" i="2"/>
  <c r="R62" i="2"/>
  <c r="R63" i="2"/>
  <c r="R64" i="2"/>
  <c r="R66" i="2"/>
  <c r="R65" i="2"/>
  <c r="R67" i="2"/>
  <c r="R68" i="2"/>
  <c r="R69" i="2"/>
  <c r="R70" i="2"/>
  <c r="R71" i="2"/>
  <c r="R72" i="2"/>
  <c r="R73" i="2"/>
  <c r="R74" i="2"/>
  <c r="R78" i="2"/>
  <c r="R77" i="2"/>
  <c r="R75" i="2"/>
  <c r="R76" i="2"/>
  <c r="R80" i="2"/>
  <c r="R79" i="2"/>
  <c r="R81" i="2"/>
  <c r="R83" i="2"/>
  <c r="R82" i="2"/>
  <c r="R84" i="2"/>
  <c r="R85" i="2"/>
  <c r="R87" i="2"/>
  <c r="R86" i="2"/>
  <c r="R89" i="2"/>
  <c r="R88" i="2"/>
  <c r="R90" i="2"/>
  <c r="R91" i="2"/>
  <c r="R92" i="2"/>
  <c r="R93" i="2"/>
  <c r="R94" i="2"/>
  <c r="R95" i="2"/>
  <c r="R96" i="2"/>
  <c r="R97" i="2"/>
  <c r="R98" i="2"/>
  <c r="R99" i="2"/>
  <c r="R101" i="2"/>
  <c r="R100" i="2"/>
  <c r="R102" i="2"/>
  <c r="R103" i="2"/>
  <c r="R104" i="2"/>
  <c r="R105" i="2"/>
  <c r="R106" i="2"/>
  <c r="R107" i="2"/>
  <c r="R108" i="2"/>
  <c r="R109" i="2"/>
  <c r="R111" i="2"/>
  <c r="R110" i="2"/>
  <c r="R113" i="2"/>
  <c r="R112" i="2"/>
  <c r="R115" i="2"/>
  <c r="R114" i="2"/>
  <c r="R117" i="2"/>
  <c r="R116" i="2"/>
  <c r="R118" i="2"/>
  <c r="R119" i="2"/>
  <c r="R120" i="2"/>
  <c r="R121" i="2"/>
  <c r="R123" i="2"/>
  <c r="R122" i="2"/>
  <c r="R125" i="2"/>
  <c r="R124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2" i="2"/>
  <c r="R141" i="2"/>
  <c r="R143" i="2"/>
  <c r="R144" i="2"/>
  <c r="R145" i="2"/>
  <c r="R146" i="2"/>
  <c r="R147" i="2"/>
  <c r="R148" i="2"/>
  <c r="R149" i="2"/>
  <c r="R150" i="2"/>
  <c r="R151" i="2"/>
  <c r="R152" i="2"/>
  <c r="R154" i="2"/>
  <c r="R153" i="2"/>
  <c r="R156" i="2"/>
  <c r="R155" i="2"/>
  <c r="R157" i="2"/>
  <c r="R169" i="2"/>
  <c r="R167" i="2"/>
  <c r="R168" i="2"/>
  <c r="R158" i="2"/>
  <c r="R159" i="2"/>
  <c r="R160" i="2"/>
  <c r="R161" i="2"/>
  <c r="R162" i="2"/>
  <c r="R163" i="2"/>
  <c r="R165" i="2"/>
  <c r="R164" i="2"/>
  <c r="R166" i="2"/>
  <c r="R171" i="2"/>
  <c r="R170" i="2"/>
  <c r="R172" i="2"/>
  <c r="R173" i="2"/>
  <c r="R174" i="2"/>
  <c r="R175" i="2"/>
  <c r="R176" i="2"/>
  <c r="M10" i="2"/>
  <c r="M11" i="2"/>
  <c r="M13" i="2"/>
  <c r="M12" i="2"/>
  <c r="M14" i="2"/>
  <c r="M15" i="2"/>
  <c r="M16" i="2"/>
  <c r="M17" i="2"/>
  <c r="M19" i="2"/>
  <c r="M18" i="2"/>
  <c r="M20" i="2"/>
  <c r="M21" i="2"/>
  <c r="M25" i="2"/>
  <c r="M23" i="2"/>
  <c r="M24" i="2"/>
  <c r="M22" i="2"/>
  <c r="M29" i="2"/>
  <c r="M28" i="2"/>
  <c r="M27" i="2"/>
  <c r="M26" i="2"/>
  <c r="M31" i="2"/>
  <c r="M30" i="2"/>
  <c r="M32" i="2"/>
  <c r="M33" i="2"/>
  <c r="M34" i="2"/>
  <c r="M35" i="2"/>
  <c r="M36" i="2"/>
  <c r="M37" i="2"/>
  <c r="M39" i="2"/>
  <c r="M40" i="2"/>
  <c r="M41" i="2"/>
  <c r="M38" i="2"/>
  <c r="M43" i="2"/>
  <c r="M46" i="2"/>
  <c r="M45" i="2"/>
  <c r="M42" i="2"/>
  <c r="M44" i="2"/>
  <c r="M47" i="2"/>
  <c r="M48" i="2"/>
  <c r="M51" i="2"/>
  <c r="M50" i="2"/>
  <c r="M49" i="2"/>
  <c r="M53" i="2"/>
  <c r="M52" i="2"/>
  <c r="M57" i="2"/>
  <c r="M56" i="2"/>
  <c r="M55" i="2"/>
  <c r="M54" i="2"/>
  <c r="M60" i="2"/>
  <c r="M59" i="2"/>
  <c r="M61" i="2"/>
  <c r="M58" i="2"/>
  <c r="M62" i="2"/>
  <c r="M63" i="2"/>
  <c r="M64" i="2"/>
  <c r="M66" i="2"/>
  <c r="M65" i="2"/>
  <c r="M67" i="2"/>
  <c r="M68" i="2"/>
  <c r="M69" i="2"/>
  <c r="M70" i="2"/>
  <c r="M71" i="2"/>
  <c r="M72" i="2"/>
  <c r="M73" i="2"/>
  <c r="M74" i="2"/>
  <c r="M78" i="2"/>
  <c r="M77" i="2"/>
  <c r="M75" i="2"/>
  <c r="M76" i="2"/>
  <c r="M80" i="2"/>
  <c r="M79" i="2"/>
  <c r="M81" i="2"/>
  <c r="M83" i="2"/>
  <c r="M82" i="2"/>
  <c r="M84" i="2"/>
  <c r="M85" i="2"/>
  <c r="M87" i="2"/>
  <c r="M86" i="2"/>
  <c r="M89" i="2"/>
  <c r="M88" i="2"/>
  <c r="M90" i="2"/>
  <c r="M91" i="2"/>
  <c r="M92" i="2"/>
  <c r="M93" i="2"/>
  <c r="M94" i="2"/>
  <c r="M95" i="2"/>
  <c r="M96" i="2"/>
  <c r="M97" i="2"/>
  <c r="M98" i="2"/>
  <c r="M99" i="2"/>
  <c r="M101" i="2"/>
  <c r="M100" i="2"/>
  <c r="M102" i="2"/>
  <c r="M103" i="2"/>
  <c r="M104" i="2"/>
  <c r="M105" i="2"/>
  <c r="M106" i="2"/>
  <c r="M107" i="2"/>
  <c r="M108" i="2"/>
  <c r="M109" i="2"/>
  <c r="M111" i="2"/>
  <c r="M110" i="2"/>
  <c r="M113" i="2"/>
  <c r="M112" i="2"/>
  <c r="M115" i="2"/>
  <c r="M114" i="2"/>
  <c r="M117" i="2"/>
  <c r="M116" i="2"/>
  <c r="M118" i="2"/>
  <c r="M119" i="2"/>
  <c r="M120" i="2"/>
  <c r="M121" i="2"/>
  <c r="M123" i="2"/>
  <c r="M122" i="2"/>
  <c r="M125" i="2"/>
  <c r="M124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2" i="2"/>
  <c r="M141" i="2"/>
  <c r="M143" i="2"/>
  <c r="M144" i="2"/>
  <c r="M145" i="2"/>
  <c r="M146" i="2"/>
  <c r="M147" i="2"/>
  <c r="M148" i="2"/>
  <c r="M149" i="2"/>
  <c r="M150" i="2"/>
  <c r="M151" i="2"/>
  <c r="M152" i="2"/>
  <c r="M154" i="2"/>
  <c r="M153" i="2"/>
  <c r="M156" i="2"/>
  <c r="M155" i="2"/>
  <c r="M157" i="2"/>
  <c r="M169" i="2"/>
  <c r="M167" i="2"/>
  <c r="M168" i="2"/>
  <c r="M158" i="2"/>
  <c r="M159" i="2"/>
  <c r="M160" i="2"/>
  <c r="M161" i="2"/>
  <c r="M162" i="2"/>
  <c r="M163" i="2"/>
  <c r="M165" i="2"/>
  <c r="M164" i="2"/>
  <c r="M166" i="2"/>
  <c r="M171" i="2"/>
  <c r="M170" i="2"/>
  <c r="M172" i="2"/>
  <c r="M173" i="2"/>
  <c r="M174" i="2"/>
  <c r="M175" i="2"/>
  <c r="M176" i="2"/>
</calcChain>
</file>

<file path=xl/sharedStrings.xml><?xml version="1.0" encoding="utf-8"?>
<sst xmlns="http://schemas.openxmlformats.org/spreadsheetml/2006/main" count="1464" uniqueCount="403">
  <si>
    <t>buildtime</t>
  </si>
  <si>
    <t>runtime</t>
  </si>
  <si>
    <t>time</t>
  </si>
  <si>
    <t>price</t>
  </si>
  <si>
    <t>energy</t>
  </si>
  <si>
    <t>scale</t>
  </si>
  <si>
    <t>score</t>
  </si>
  <si>
    <t>loss</t>
  </si>
  <si>
    <t>runtime-small</t>
  </si>
  <si>
    <t>qw1</t>
  </si>
  <si>
    <t>qw2</t>
  </si>
  <si>
    <t>qw3</t>
  </si>
  <si>
    <t>qw4</t>
  </si>
  <si>
    <t>qw5</t>
  </si>
  <si>
    <t>qw6</t>
  </si>
  <si>
    <t>qw7</t>
  </si>
  <si>
    <t>qw8</t>
  </si>
  <si>
    <t>qw9</t>
  </si>
  <si>
    <t>qw10</t>
  </si>
  <si>
    <t>qw11</t>
  </si>
  <si>
    <t>qw12</t>
  </si>
  <si>
    <t>qw13</t>
  </si>
  <si>
    <t>qw14</t>
  </si>
  <si>
    <t>qw15</t>
  </si>
  <si>
    <t>qw16</t>
  </si>
  <si>
    <t>qw17</t>
  </si>
  <si>
    <t>qw18</t>
  </si>
  <si>
    <t>qw19</t>
  </si>
  <si>
    <t>qw20</t>
  </si>
  <si>
    <t>qw21</t>
  </si>
  <si>
    <t>qw22</t>
  </si>
  <si>
    <t>qw23</t>
  </si>
  <si>
    <t>qw24</t>
  </si>
  <si>
    <t>qw25</t>
  </si>
  <si>
    <t>qw26</t>
  </si>
  <si>
    <t>qw27</t>
  </si>
  <si>
    <t>qw28</t>
  </si>
  <si>
    <t>qw29</t>
  </si>
  <si>
    <t>qw30</t>
  </si>
  <si>
    <t>qw31</t>
  </si>
  <si>
    <t>qw32</t>
  </si>
  <si>
    <t>qw33</t>
  </si>
  <si>
    <t>qw34</t>
  </si>
  <si>
    <t>qw35</t>
  </si>
  <si>
    <t>qw36</t>
  </si>
  <si>
    <t>qw37</t>
  </si>
  <si>
    <t>qw38</t>
  </si>
  <si>
    <t>5733f04cda6896e9f2ddeda526fe0da9</t>
  </si>
  <si>
    <t>882aabd4e81c2ce4a70825d9a9ea72a2</t>
  </si>
  <si>
    <t>b38d8766716eeff14622cf935b605d4c</t>
  </si>
  <si>
    <t>e3e0cac04be951905654122f4460d3d1</t>
  </si>
  <si>
    <t>07cc884682cf3cb48dff220f97cb8989</t>
  </si>
  <si>
    <t>a1ba309f670566f0bfdc824e410d9c14</t>
  </si>
  <si>
    <t>4fd5b16daed1c26c2bc7204aa3dd35e6</t>
  </si>
  <si>
    <t>9dd069a89346ba5ce68b3ea461ee14b1</t>
  </si>
  <si>
    <t>6c126acc9a6bdefc030f4fa23231d71a</t>
  </si>
  <si>
    <t>5db729e7545a037e1953ea90a7db018b</t>
  </si>
  <si>
    <t>b5e6ade5de09cf971cde12d6940d2efa</t>
  </si>
  <si>
    <t>a1a7ebfda616de9a79d28fb1668e9a7f</t>
  </si>
  <si>
    <t>0584a05e3defee40ae1219998e89bdef</t>
  </si>
  <si>
    <t>050b32c27623321ce94db146bb7df854</t>
  </si>
  <si>
    <t>4e103c2b842424a5b4e9f13f457407fa</t>
  </si>
  <si>
    <t>3c58f373c2d735cd90fc1f8f417eeade</t>
  </si>
  <si>
    <t>9f6bcbf45841a3489be322d79177d9ca</t>
  </si>
  <si>
    <t>b95faee0d7c4caa214fb0a3bee636adb</t>
  </si>
  <si>
    <t>d8da303d1685bf1a6bc98025de81c0c0</t>
  </si>
  <si>
    <t>8e7ce4d03aa79c562b0af4327172ab65</t>
  </si>
  <si>
    <t>a7889ad7d0ec5a61597f16714b4907bf</t>
  </si>
  <si>
    <t>3f5c6842bebd6fe1148d51a4c4145f72</t>
  </si>
  <si>
    <t>f682a180263fc4f6a519635222201b9e</t>
  </si>
  <si>
    <t>f28151d8cd45822f6fb5e6412c7823d8</t>
  </si>
  <si>
    <t>ba83934d7e09f4ef0bb2d3b957d5b540</t>
  </si>
  <si>
    <t>466f347faaff19aca911f6d966faf3ab</t>
  </si>
  <si>
    <t>0816e5dec58e73bf4e1f680000c82f39</t>
  </si>
  <si>
    <t>5aec146b0d73c3cabd2ab05ebdc1721a</t>
  </si>
  <si>
    <t>ee3718a556a22947897fb82c8cdc5381</t>
  </si>
  <si>
    <t>c6efe53695aac2f3f4ce1aaaf648d68d</t>
  </si>
  <si>
    <t>dc2214783205c31d9542e8e0bd101afc</t>
  </si>
  <si>
    <t>67058165eac5e10c56a3c02521aaf850</t>
  </si>
  <si>
    <t>0caee4bd87fccc93bd0c3db3891b708b</t>
  </si>
  <si>
    <t>af265e378e9513ac2d500b5066a83dd8</t>
  </si>
  <si>
    <t>05ec5bf40ff8d12ea5691be70f7759c6</t>
  </si>
  <si>
    <t>4a8d2635fbe0d5631fd013ecb191525f</t>
  </si>
  <si>
    <t>98cc9358ee76117871251b5c85efe0be</t>
  </si>
  <si>
    <t>c1de5c2b28f36d3945bf5730e8f07d42</t>
  </si>
  <si>
    <t>91d430c82e26f84e4a83b3757688ff04</t>
  </si>
  <si>
    <t>4ea4cbfec370e410afaea16c670a342b</t>
  </si>
  <si>
    <t>5ab1255f2dbe87ecb288d8b4e1b6b373</t>
  </si>
  <si>
    <t>206051490d53e58236d46c20bd9f4f5c</t>
  </si>
  <si>
    <t>c21dc51a217ec056e015f9a4a51c1be9</t>
  </si>
  <si>
    <t>e924a406455e8513bdeb7982006c69a9</t>
  </si>
  <si>
    <t>43319d31fedeb83cbedcfafd82f9b5bb</t>
  </si>
  <si>
    <t>3a4fe8b316c365a6263907d1f56fd19d</t>
  </si>
  <si>
    <t>334a98cdddf1e03e9cfa8fbd90aa9950</t>
  </si>
  <si>
    <t>03cbe50868934440f858261672b98856</t>
  </si>
  <si>
    <t>2cc1e94b87e81078dfde8a0106b5059d</t>
  </si>
  <si>
    <t>b637837b23460825105c727ff364dcc9</t>
  </si>
  <si>
    <t>56ef255425c8bef0aad720467607b9be</t>
  </si>
  <si>
    <t>1f2aad63ed8965818d657bd6f52c4bf0</t>
  </si>
  <si>
    <t>41110c65f3a111cabdc45f3a3b00704e</t>
  </si>
  <si>
    <t>1fb342321dce8e53624bf818d8a1dc0b</t>
  </si>
  <si>
    <t>c45e2acf2fcfe543de3377d90e36b60a</t>
  </si>
  <si>
    <t>439d66ed4c4ceeee4193aa9d948d0137</t>
  </si>
  <si>
    <t>1983dd3dee9c860ef396491b4e58b247</t>
  </si>
  <si>
    <t>ac98fee50961a94e822a76d29fb5e7e0</t>
  </si>
  <si>
    <t>0218d44871290ac3e5695123d974a043</t>
  </si>
  <si>
    <t>86f1ad9c276a54b3cb1be3b5dff8e2e9</t>
  </si>
  <si>
    <t>170fb3036587c7b352f86a02ef9519ae</t>
  </si>
  <si>
    <t>1c9b6f3930dc25a9c49f9163948b8f25</t>
  </si>
  <si>
    <t>9b379e9d430753e6613f6f02357768c3</t>
  </si>
  <si>
    <t>8af0580ae3d1137b0919e5d7620930d1</t>
  </si>
  <si>
    <t>34234bb6bcb13cd702b8dc62ebf7a6f9</t>
  </si>
  <si>
    <t>c0c07aaf59ad0f74391d217b1e947236</t>
  </si>
  <si>
    <t>fa8ee8fe1df07150b82926b3d085e5e8</t>
  </si>
  <si>
    <t>c39672d8981ed20214dec297797ec85b</t>
  </si>
  <si>
    <t>e03f7a57b17aca1eb1415d586be72e2e</t>
  </si>
  <si>
    <t>2188a41d261b6f1cd903b6f1c00803ad</t>
  </si>
  <si>
    <t>47de40075d8963b6845508ed320d1693</t>
  </si>
  <si>
    <t>977cd6b658527083513dd290e42f8c83</t>
  </si>
  <si>
    <t>6cf17f6364662e35e45a31c5746aad11</t>
  </si>
  <si>
    <t>563bad0e66c5ecec41740deb946e54d2</t>
  </si>
  <si>
    <t>15025148fdb7dd00728fcf147cac5553</t>
  </si>
  <si>
    <t>7c475bf3cc9a9226d019b2f387b3e9b2</t>
  </si>
  <si>
    <t>12c3764158e4a6f4f4e000baa1432ef9</t>
  </si>
  <si>
    <t>348961373ddba57393e722ae8b491a02</t>
  </si>
  <si>
    <t>17997a8fccf2149f3821243cc22e9c46</t>
  </si>
  <si>
    <t>295607dce0fb888a4d8742be79b47e14</t>
  </si>
  <si>
    <t>9b72cf3dc9d867340ba8d9f2351f73b7</t>
  </si>
  <si>
    <t>8e387595963ff12b0a7e621cd89073b7</t>
  </si>
  <si>
    <t>3546f4605ff5137190df875004787e0c</t>
  </si>
  <si>
    <t>52025c8b9cfb883d54e2c97bcb147fa5</t>
  </si>
  <si>
    <t>7380fd9023f92e8cbbd944b6c752be5e</t>
  </si>
  <si>
    <t>fef1e1af8f96d605fe2b0d012291bb0c</t>
  </si>
  <si>
    <t>68cebd0deb9e0dbeafdc45d4347352fd</t>
  </si>
  <si>
    <t>a4f9f0c2bd1eef084f6312a61803957c</t>
  </si>
  <si>
    <t>bbe2c0866d5a539a8a31d276e8fcc117</t>
  </si>
  <si>
    <t>5e953cde95780bf6ee80004f650a86a4</t>
  </si>
  <si>
    <t>6255d96e74c4303747cb327e546058df</t>
  </si>
  <si>
    <t>c6804f10906e8cc10a9f2728262d297a</t>
  </si>
  <si>
    <t>edd10409b0814458178eec7fcc0e3a40</t>
  </si>
  <si>
    <t>8943e9a60593e74faa6f765244edc206</t>
  </si>
  <si>
    <t>7b88db91a335068efbf4596ff5467978</t>
  </si>
  <si>
    <t>94401d547f6a6bbbdff22f21e439fce2</t>
  </si>
  <si>
    <t>ba8e6ac63fc015892e8addc114d5a76f</t>
  </si>
  <si>
    <t>97b3065ef345c5541604a04d109958fa</t>
  </si>
  <si>
    <t>49d00c65b6c3c8b6988f0f2f6e5eecbf</t>
  </si>
  <si>
    <t>670b006ca03dff5b90c6404857003877</t>
  </si>
  <si>
    <t>35f885b68b06206c910a0a43ec6d6614</t>
  </si>
  <si>
    <t>bc3b1e9b2deafa7a11cdcb51f7aa329e</t>
  </si>
  <si>
    <t>029fd3dde1e5c2d9d60e4105038f7739</t>
  </si>
  <si>
    <t>c7aac917d5ccc13634119ef065f44539</t>
  </si>
  <si>
    <t>9977a6cdbc39e8eaca59529cce51985b</t>
  </si>
  <si>
    <t>4e297046810025d3f6cc372a03237ebf</t>
  </si>
  <si>
    <t>fc9ef8875c95ab57a7b9f40c871eb61e</t>
  </si>
  <si>
    <t>bd5b6eab38c594b7241612531d80a13d</t>
  </si>
  <si>
    <t>6e6573855827d4bcfde6a70f6476fba2</t>
  </si>
  <si>
    <t>885c834c50087c0cc75b68ef41a57b8e</t>
  </si>
  <si>
    <t>684db1b58ca9006d06cd3301bf3f9fe7</t>
  </si>
  <si>
    <t>1a12dcaad03fe1bc5d2685c326aaa45b</t>
  </si>
  <si>
    <t>118a08374ae56f176d3104b75951912e</t>
  </si>
  <si>
    <t>d421d74a9b608713e02ebc0a0e8a3a8a</t>
  </si>
  <si>
    <t>04ca99438f8178f54836c6531bf8cd05</t>
  </si>
  <si>
    <t>30bea28c116d5c6a0d348a08cf58ce6f</t>
  </si>
  <si>
    <t>9774b74dd12e12ab48d0c9a438ab58cb</t>
  </si>
  <si>
    <t>bde7fe152f6fb4301f81b37713a43708</t>
  </si>
  <si>
    <t>adf81a3b223fd18b9608d48f8fffc1e7</t>
  </si>
  <si>
    <t>233024b37d92fc02003e5248328be140</t>
  </si>
  <si>
    <t>6fea4a10bd9abeb1846ad639e0508820</t>
  </si>
  <si>
    <t>6a7fb6d5f9a8d03a3b08e03891981d3a</t>
  </si>
  <si>
    <t>2331e1123d27fd1236b92dbd2881cef4</t>
  </si>
  <si>
    <t>86a9245cc29fd18af855199c6dc11cc1</t>
  </si>
  <si>
    <t>c977ffe1c79aa42e8144cfe9d926d9a4</t>
  </si>
  <si>
    <t>e7d8d3eabe1862c098a747d43462a741</t>
  </si>
  <si>
    <t>4ce040c229ce4f54e898cafeeb112b69</t>
  </si>
  <si>
    <t>99f8ef21f20d006bd37d703d00ce1c90</t>
  </si>
  <si>
    <t>decb06cfbc41edd8357142828784d415</t>
  </si>
  <si>
    <t>9a41e6afd77686bb6dd0f6c1436d71e0</t>
  </si>
  <si>
    <t>810b5f22911352450dfd92b2b58f0473</t>
  </si>
  <si>
    <t>d9d32b012b8f4b3a731452900485accb</t>
  </si>
  <si>
    <t>bf07a6f866c04cec098c3e9907f252aa</t>
  </si>
  <si>
    <t>3740cc995ef279788dcc9ec4ff88f6b8</t>
  </si>
  <si>
    <t>3160065ee36b6c26bf142ee07153f44c</t>
  </si>
  <si>
    <t>9ad040a777cb2824b099c9e66302af04</t>
  </si>
  <si>
    <t>8b57b1ab8c441386f126f1aa3ec60bed</t>
  </si>
  <si>
    <t>83b90543212a7b8678d59fde9c012d3b</t>
  </si>
  <si>
    <t>67e471a4941cd5711dd249eb36c218c3</t>
  </si>
  <si>
    <t>60995b261771d2cd3b77ad74e64033b3</t>
  </si>
  <si>
    <t>9b038b2718575a41e3c7f1640b62c31b</t>
  </si>
  <si>
    <t>1605d3a6a955f9c6e3ab24a8344a51f9</t>
  </si>
  <si>
    <t>6eccbe4f33c3ecd95cb7b2557ac90ff9</t>
  </si>
  <si>
    <t>2c3434e7fafe5fa4ec6a41033effd6c9</t>
  </si>
  <si>
    <t>4097de217f6afc4078b3201c486e6766</t>
  </si>
  <si>
    <t>9c6368b5a97410dd4c2297539895b763</t>
  </si>
  <si>
    <t>3c1123cc4551a66b7b4559ae4647ea14</t>
  </si>
  <si>
    <t>130d17fd2a9d69eac5d5b9b77b0121c7</t>
  </si>
  <si>
    <t>75275cd36e753391d1f9dd6d8a76a486</t>
  </si>
  <si>
    <t>6bf306c7f8eaecc65552fe7ee1eae2db</t>
  </si>
  <si>
    <t>2e40e32a076eb1825c8cb60bd7335582</t>
  </si>
  <si>
    <t>bc2e62f2925e0129579a91e0189e005e</t>
  </si>
  <si>
    <t>3243ca7fc3072e7c39e963bdeadaf735</t>
  </si>
  <si>
    <t>518b103260550a9bd0ea04b53b887a7c</t>
  </si>
  <si>
    <t>b4e11532aeb139f3bdb9711f508a6c61</t>
  </si>
  <si>
    <t>c8083da5cc8b4ca7b7f9b6d91550e35b</t>
  </si>
  <si>
    <t>96630b95bc7aaac2359c177bb486856d</t>
  </si>
  <si>
    <t>c0b117a6ec0c8b1d6512109a26350f59</t>
  </si>
  <si>
    <t>6484139818c60f4b3207fc1d5f7330b3</t>
  </si>
  <si>
    <t>df8792790319eeaae1870474df9504e2</t>
  </si>
  <si>
    <t>a7a5f571bf953b66bf57ff5a74f89872</t>
  </si>
  <si>
    <t>c01399b86900673979f402f858b1ea66</t>
  </si>
  <si>
    <t>71f3ad239b3a98e6fea16a118e7633ae</t>
  </si>
  <si>
    <t>13b9eb46d8dd81c84a30d88840091a6f</t>
  </si>
  <si>
    <t>56c86985043d1ca0cb5f8df29feefc1c</t>
  </si>
  <si>
    <t>5fb7061a42a2309806ceca6af7ca54fb</t>
  </si>
  <si>
    <t>1603d83bb945caa4847ea5b7feecf0d0</t>
  </si>
  <si>
    <t>partialcf</t>
  </si>
  <si>
    <t>fullcf</t>
  </si>
  <si>
    <t>df</t>
  </si>
  <si>
    <t>qw39</t>
  </si>
  <si>
    <t>qw40</t>
  </si>
  <si>
    <t>qw41</t>
  </si>
  <si>
    <t>qw42</t>
  </si>
  <si>
    <t>qw43</t>
  </si>
  <si>
    <t>qw44</t>
  </si>
  <si>
    <t>qw45</t>
  </si>
  <si>
    <t>qw46</t>
  </si>
  <si>
    <t>qw47</t>
  </si>
  <si>
    <t>qw48</t>
  </si>
  <si>
    <t>qw49</t>
  </si>
  <si>
    <t>qw50</t>
  </si>
  <si>
    <t>qw51</t>
  </si>
  <si>
    <t>qw52</t>
  </si>
  <si>
    <t>qw53</t>
  </si>
  <si>
    <t>qw54</t>
  </si>
  <si>
    <t>qw55</t>
  </si>
  <si>
    <t>qw56</t>
  </si>
  <si>
    <t>qw57</t>
  </si>
  <si>
    <t>qw58</t>
  </si>
  <si>
    <t>qw59</t>
  </si>
  <si>
    <t>qw60</t>
  </si>
  <si>
    <t>qw61</t>
  </si>
  <si>
    <t>qw62</t>
  </si>
  <si>
    <t>qw63</t>
  </si>
  <si>
    <t>qw64</t>
  </si>
  <si>
    <t>qw65</t>
  </si>
  <si>
    <t>qw66</t>
  </si>
  <si>
    <t>qw67</t>
  </si>
  <si>
    <t>qw68</t>
  </si>
  <si>
    <t>qw69</t>
  </si>
  <si>
    <t>qw70</t>
  </si>
  <si>
    <t>qw71</t>
  </si>
  <si>
    <t>qw72</t>
  </si>
  <si>
    <t>qw73</t>
  </si>
  <si>
    <t>qw74</t>
  </si>
  <si>
    <t>qw75</t>
  </si>
  <si>
    <t>qw76</t>
  </si>
  <si>
    <t>qw77</t>
  </si>
  <si>
    <t>qw78</t>
  </si>
  <si>
    <t>qw79</t>
  </si>
  <si>
    <t>qw80</t>
  </si>
  <si>
    <t>qw81</t>
  </si>
  <si>
    <t>qw82</t>
  </si>
  <si>
    <t>qw83</t>
  </si>
  <si>
    <t>qw84</t>
  </si>
  <si>
    <t>qw85</t>
  </si>
  <si>
    <t>qw86</t>
  </si>
  <si>
    <t>qw87</t>
  </si>
  <si>
    <t>qw88</t>
  </si>
  <si>
    <t>qw89</t>
  </si>
  <si>
    <t>qw90</t>
  </si>
  <si>
    <t>qw91</t>
  </si>
  <si>
    <t>qw92</t>
  </si>
  <si>
    <t>qw93</t>
  </si>
  <si>
    <t>qw94</t>
  </si>
  <si>
    <t>qw95</t>
  </si>
  <si>
    <t>qw96</t>
  </si>
  <si>
    <t>qw97</t>
  </si>
  <si>
    <t>qw98</t>
  </si>
  <si>
    <t>qw99</t>
  </si>
  <si>
    <t>qw100</t>
  </si>
  <si>
    <t>qw101</t>
  </si>
  <si>
    <t>qw102</t>
  </si>
  <si>
    <t>qw103</t>
  </si>
  <si>
    <t>qw104</t>
  </si>
  <si>
    <t>qw105</t>
  </si>
  <si>
    <t>qw106</t>
  </si>
  <si>
    <t>qw107</t>
  </si>
  <si>
    <t>qw108</t>
  </si>
  <si>
    <t>qw109</t>
  </si>
  <si>
    <t>qw110</t>
  </si>
  <si>
    <t>qw111</t>
  </si>
  <si>
    <t>qw112</t>
  </si>
  <si>
    <t>qw113</t>
  </si>
  <si>
    <t>qw114</t>
  </si>
  <si>
    <t>qw115</t>
  </si>
  <si>
    <t>qw116</t>
  </si>
  <si>
    <t>qw117</t>
  </si>
  <si>
    <t>qw118</t>
  </si>
  <si>
    <t>qw119</t>
  </si>
  <si>
    <t>qw120</t>
  </si>
  <si>
    <t>qw121</t>
  </si>
  <si>
    <t>qw122</t>
  </si>
  <si>
    <t>qw123</t>
  </si>
  <si>
    <t>qw124</t>
  </si>
  <si>
    <t>qw125</t>
  </si>
  <si>
    <t>qw126</t>
  </si>
  <si>
    <t>qw127</t>
  </si>
  <si>
    <t>qw128</t>
  </si>
  <si>
    <t>qw129</t>
  </si>
  <si>
    <t>qw130</t>
  </si>
  <si>
    <t>qw131</t>
  </si>
  <si>
    <t>qw132</t>
  </si>
  <si>
    <t>qw133</t>
  </si>
  <si>
    <t>qw134</t>
  </si>
  <si>
    <t>qw135</t>
  </si>
  <si>
    <t>qw136</t>
  </si>
  <si>
    <t>qw137</t>
  </si>
  <si>
    <t>qw138</t>
  </si>
  <si>
    <t>qw139</t>
  </si>
  <si>
    <t>qw140</t>
  </si>
  <si>
    <t>qw141</t>
  </si>
  <si>
    <t>qw142</t>
  </si>
  <si>
    <t>qw143</t>
  </si>
  <si>
    <t>qw144</t>
  </si>
  <si>
    <t>qw145</t>
  </si>
  <si>
    <t>qw146</t>
  </si>
  <si>
    <t>qw147</t>
  </si>
  <si>
    <t>qw148</t>
  </si>
  <si>
    <t>qw149</t>
  </si>
  <si>
    <t>qw150</t>
  </si>
  <si>
    <t>qw151</t>
  </si>
  <si>
    <t>qw152</t>
  </si>
  <si>
    <t>qw153</t>
  </si>
  <si>
    <t>qw154</t>
  </si>
  <si>
    <t>qw155</t>
  </si>
  <si>
    <t>qw156</t>
  </si>
  <si>
    <t>qw157</t>
  </si>
  <si>
    <t>qw158</t>
  </si>
  <si>
    <t>qw159</t>
  </si>
  <si>
    <t>qw160</t>
  </si>
  <si>
    <t>qw161</t>
  </si>
  <si>
    <t>qw162</t>
  </si>
  <si>
    <t>qw163</t>
  </si>
  <si>
    <t>qw164</t>
  </si>
  <si>
    <t>qw165</t>
  </si>
  <si>
    <t>qw166</t>
  </si>
  <si>
    <t>qw167</t>
  </si>
  <si>
    <t>time2</t>
  </si>
  <si>
    <t>price2</t>
  </si>
  <si>
    <t>energy2</t>
  </si>
  <si>
    <t>energy3</t>
  </si>
  <si>
    <t>time3</t>
  </si>
  <si>
    <t>price3</t>
  </si>
  <si>
    <t>energy4</t>
  </si>
  <si>
    <t>time'2</t>
  </si>
  <si>
    <t>price'2</t>
  </si>
  <si>
    <t>energy'3</t>
  </si>
  <si>
    <t>energy'2</t>
  </si>
  <si>
    <t>time'3</t>
  </si>
  <si>
    <t>price'3</t>
  </si>
  <si>
    <t>time4</t>
  </si>
  <si>
    <t>price4</t>
  </si>
  <si>
    <t>price'4</t>
  </si>
  <si>
    <t>time'4</t>
  </si>
  <si>
    <t>energy'4</t>
  </si>
  <si>
    <t>score-bt</t>
  </si>
  <si>
    <t>score-rt-partialcf</t>
  </si>
  <si>
    <t>score-rt-fullcf</t>
  </si>
  <si>
    <t>score-rt-df</t>
  </si>
  <si>
    <t>MD5</t>
  </si>
  <si>
    <t>QW#</t>
  </si>
  <si>
    <t>Run-time - partialfc</t>
  </si>
  <si>
    <t>Run-time - fullcf</t>
  </si>
  <si>
    <t>pride</t>
  </si>
  <si>
    <t>profit</t>
  </si>
  <si>
    <t>Time</t>
  </si>
  <si>
    <t>Price</t>
  </si>
  <si>
    <t>Energy</t>
  </si>
  <si>
    <t>type</t>
  </si>
  <si>
    <t>weight</t>
  </si>
  <si>
    <t>value</t>
  </si>
  <si>
    <t>weight'</t>
  </si>
  <si>
    <t>Colonne1</t>
  </si>
  <si>
    <t>norm-bt</t>
  </si>
  <si>
    <t>norm-rt-partialcf</t>
  </si>
  <si>
    <t>norm-rt-fullcf</t>
  </si>
  <si>
    <t>norm-rt-df</t>
  </si>
  <si>
    <t>Factor</t>
  </si>
  <si>
    <t>sign</t>
  </si>
  <si>
    <t>build-time</t>
  </si>
  <si>
    <t>run-time</t>
  </si>
  <si>
    <t>Relevant</t>
  </si>
  <si>
    <t>Retrieved</t>
  </si>
  <si>
    <t>Δrt</t>
  </si>
  <si>
    <t>Δbt</t>
  </si>
  <si>
    <t>TN</t>
  </si>
  <si>
    <t>FN</t>
  </si>
  <si>
    <t>FP</t>
  </si>
  <si>
    <t>TP</t>
  </si>
  <si>
    <t>bt</t>
  </si>
  <si>
    <t>rt</t>
  </si>
  <si>
    <t>Precision</t>
  </si>
  <si>
    <t>Recall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</si>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</sst>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"/>
  </numFmts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  <scheme val="minor"/>
    </font>
    <font>
      <sz val="9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rgb="FF000000"/>
      <name val="Geneva"/>
    </font>
    <font>
      <sz val="12"/>
      <color rgb="FFFFFF00"/>
      <name val="Calibri"/>
      <scheme val="minor"/>
    </font>
    <font>
      <sz val="12"/>
      <color theme="2"/>
      <name val="Calibri"/>
      <scheme val="minor"/>
    </font>
    <font>
      <sz val="12"/>
      <color theme="3"/>
      <name val="Calibri"/>
      <scheme val="minor"/>
    </font>
    <font>
      <sz val="12"/>
      <color theme="2" tint="-0.249977111117893"/>
      <name val="Calibri"/>
      <scheme val="minor"/>
    </font>
    <font>
      <b/>
      <sz val="11"/>
      <name val="Calibri"/>
      <scheme val="minor"/>
    </font>
    <font>
      <sz val="12"/>
      <color theme="5" tint="0.79998168889431442"/>
      <name val="Calibri"/>
      <scheme val="minor"/>
    </font>
    <font>
      <b/>
      <sz val="18"/>
      <color theme="1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11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right"/>
    </xf>
    <xf numFmtId="4" fontId="0" fillId="0" borderId="0" xfId="0" applyNumberFormat="1"/>
    <xf numFmtId="4" fontId="0" fillId="0" borderId="2" xfId="0" applyNumberFormat="1" applyBorder="1"/>
    <xf numFmtId="4" fontId="0" fillId="0" borderId="4" xfId="0" applyNumberForma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" fontId="0" fillId="0" borderId="14" xfId="0" applyNumberFormat="1" applyBorder="1"/>
    <xf numFmtId="4" fontId="0" fillId="0" borderId="0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4" fontId="0" fillId="0" borderId="17" xfId="0" applyNumberFormat="1" applyBorder="1"/>
    <xf numFmtId="4" fontId="0" fillId="0" borderId="18" xfId="0" applyNumberFormat="1" applyBorder="1"/>
    <xf numFmtId="0" fontId="7" fillId="0" borderId="0" xfId="0" applyFont="1" applyAlignment="1">
      <alignment horizontal="left"/>
    </xf>
    <xf numFmtId="11" fontId="7" fillId="0" borderId="0" xfId="0" applyNumberFormat="1" applyFont="1" applyAlignment="1">
      <alignment horizontal="left"/>
    </xf>
    <xf numFmtId="0" fontId="8" fillId="0" borderId="0" xfId="0" applyFont="1"/>
    <xf numFmtId="11" fontId="8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9" fillId="2" borderId="0" xfId="145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Font="1" applyBorder="1"/>
    <xf numFmtId="0" fontId="0" fillId="0" borderId="0" xfId="0" applyAlignment="1">
      <alignment horizontal="center"/>
    </xf>
    <xf numFmtId="0" fontId="9" fillId="2" borderId="0" xfId="145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9" fillId="2" borderId="0" xfId="145" applyAlignment="1"/>
    <xf numFmtId="0" fontId="9" fillId="0" borderId="0" xfId="145" applyFill="1" applyAlignment="1"/>
    <xf numFmtId="0" fontId="9" fillId="0" borderId="0" xfId="145" applyFill="1" applyAlignment="1">
      <alignment horizontal="center"/>
    </xf>
    <xf numFmtId="0" fontId="0" fillId="0" borderId="0" xfId="0" applyFill="1"/>
    <xf numFmtId="4" fontId="12" fillId="0" borderId="3" xfId="0" applyNumberFormat="1" applyFont="1" applyBorder="1"/>
    <xf numFmtId="4" fontId="13" fillId="3" borderId="3" xfId="0" applyNumberFormat="1" applyFont="1" applyFill="1" applyBorder="1"/>
    <xf numFmtId="0" fontId="6" fillId="0" borderId="1" xfId="0" applyFont="1" applyBorder="1" applyAlignment="1">
      <alignment horizontal="center"/>
    </xf>
    <xf numFmtId="4" fontId="11" fillId="3" borderId="3" xfId="0" applyNumberFormat="1" applyFont="1" applyFill="1" applyBorder="1"/>
    <xf numFmtId="4" fontId="14" fillId="0" borderId="3" xfId="0" applyNumberFormat="1" applyFont="1" applyBorder="1"/>
    <xf numFmtId="0" fontId="15" fillId="0" borderId="10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6" fillId="4" borderId="0" xfId="145" applyFont="1" applyFill="1" applyAlignment="1"/>
    <xf numFmtId="0" fontId="0" fillId="0" borderId="0" xfId="0" applyAlignment="1">
      <alignment vertical="top"/>
    </xf>
    <xf numFmtId="0" fontId="17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/>
    <xf numFmtId="0" fontId="19" fillId="0" borderId="0" xfId="0" applyFont="1"/>
    <xf numFmtId="0" fontId="5" fillId="0" borderId="0" xfId="0" applyFont="1" applyAlignment="1">
      <alignment horizontal="right" vertical="center"/>
    </xf>
    <xf numFmtId="164" fontId="18" fillId="0" borderId="0" xfId="0" applyNumberFormat="1" applyFont="1"/>
    <xf numFmtId="165" fontId="12" fillId="0" borderId="3" xfId="0" applyNumberFormat="1" applyFont="1" applyBorder="1"/>
    <xf numFmtId="0" fontId="5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0" xfId="0" applyNumberFormat="1"/>
    <xf numFmtId="2" fontId="5" fillId="0" borderId="0" xfId="0" applyNumberFormat="1" applyFont="1" applyAlignment="1">
      <alignment horizontal="center" wrapText="1"/>
    </xf>
    <xf numFmtId="2" fontId="0" fillId="0" borderId="0" xfId="0" applyNumberFormat="1"/>
    <xf numFmtId="0" fontId="20" fillId="5" borderId="0" xfId="0" applyFont="1" applyFill="1" applyAlignment="1">
      <alignment horizontal="center"/>
    </xf>
  </cellXfs>
  <cellStyles count="300">
    <cellStyle name="Bon" xfId="145" builtinId="26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Normal" xfId="0" builtinId="0"/>
  </cellStyles>
  <dxfs count="94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0"/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</dxf>
    <dxf>
      <font>
        <color theme="9" tint="0.79998168889431442"/>
      </font>
      <fill>
        <patternFill patternType="solid">
          <fgColor indexed="64"/>
          <bgColor theme="9" tint="-0.249977111117893"/>
        </patternFill>
      </fill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</dxf>
    <dxf>
      <font>
        <color theme="9" tint="0.79998168889431442"/>
      </font>
      <fill>
        <patternFill patternType="solid">
          <fgColor indexed="64"/>
          <bgColor theme="9" tint="-0.249977111117893"/>
        </patternFill>
      </fill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</dxf>
    <dxf>
      <font>
        <color theme="9" tint="0.79998168889431442"/>
      </font>
      <fill>
        <patternFill patternType="solid">
          <fgColor indexed="64"/>
          <bgColor theme="9" tint="-0.249977111117893"/>
        </patternFill>
      </fill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</dxf>
    <dxf>
      <font>
        <color theme="9" tint="0.79998168889431442"/>
      </font>
      <fill>
        <patternFill patternType="solid">
          <fgColor indexed="64"/>
          <bgColor theme="9" tint="-0.249977111117893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alignment horizontal="center" vertical="bottom" textRotation="0" wrapText="0" indent="0" justifyLastLine="0" shrinkToFit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0.79998168889431442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2"/>
        <name val="Calibri"/>
        <scheme val="minor"/>
      </font>
      <numFmt numFmtId="165" formatCode="#,##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dotted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2"/>
        <name val="Calibri"/>
        <scheme val="minor"/>
      </font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thin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2" tint="-0.249977111117893"/>
        <name val="Calibri"/>
        <scheme val="minor"/>
      </font>
      <numFmt numFmtId="4" formatCode="#,##0.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dotted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2" tint="-0.249977111117893"/>
        <name val="Calibri"/>
        <scheme val="minor"/>
      </font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/>
        <right style="dotted">
          <color auto="1"/>
        </right>
        <top style="thin">
          <color auto="1"/>
        </top>
        <bottom style="dotted">
          <color auto="1"/>
        </bottom>
      </border>
    </dxf>
    <dxf>
      <font>
        <color theme="3"/>
      </font>
      <numFmt numFmtId="4" formatCode="#,##0.00"/>
      <fill>
        <patternFill patternType="solid">
          <fgColor indexed="64"/>
          <bgColor theme="7" tint="0.39997558519241921"/>
        </patternFill>
      </fill>
      <border diagonalUp="0" diagonalDown="0">
        <left style="dotted">
          <color auto="1"/>
        </left>
        <right style="thin">
          <color auto="1"/>
        </right>
        <top style="thin">
          <color auto="1"/>
        </top>
        <bottom style="dotted">
          <color auto="1"/>
        </bottom>
        <vertical/>
        <horizontal/>
      </border>
    </dxf>
    <dxf>
      <font>
        <color theme="3"/>
      </font>
      <numFmt numFmtId="4" formatCode="#,##0.00"/>
      <fill>
        <patternFill patternType="solid">
          <fgColor indexed="64"/>
          <bgColor theme="7" tint="0.39997558519241921"/>
        </patternFill>
      </fill>
      <border diagonalUp="0" diagonalDown="0">
        <left style="dotted">
          <color auto="1"/>
        </left>
        <right style="thin">
          <color auto="1"/>
        </right>
        <top style="thin">
          <color auto="1"/>
        </top>
        <bottom style="dotted">
          <color auto="1"/>
        </bottom>
        <vertical/>
        <horizontal/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thin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FFFF00"/>
        <name val="Calibri"/>
        <scheme val="minor"/>
      </font>
      <numFmt numFmtId="4" formatCode="#,##0.00"/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dotted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FFFF00"/>
        <name val="Calibri"/>
        <scheme val="minor"/>
      </font>
      <numFmt numFmtId="4" formatCode="#,##0.00"/>
      <fill>
        <patternFill patternType="solid">
          <fgColor indexed="64"/>
          <bgColor theme="7" tint="0.39997558519241921"/>
        </patternFill>
      </fill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thin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alignment horizontal="left" vertical="bottom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numFmt numFmtId="4" formatCode="#,##0.00"/>
      <border diagonalUp="0" diagonalDown="0" outline="0">
        <left/>
        <right style="medium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border diagonalUp="0" diagonalDown="0" outline="0">
        <left style="medium">
          <color indexed="64"/>
        </left>
        <right/>
        <top/>
        <bottom/>
      </border>
    </dxf>
    <dxf>
      <numFmt numFmtId="4" formatCode="#,##0.00"/>
      <border diagonalUp="0" diagonalDown="0" outline="0">
        <left/>
        <right style="medium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border diagonalUp="0" diagonalDown="0" outline="0">
        <left style="medium">
          <color indexed="64"/>
        </left>
        <right/>
        <top/>
        <bottom/>
      </border>
    </dxf>
    <dxf>
      <numFmt numFmtId="4" formatCode="#,##0.00"/>
      <border diagonalUp="0" diagonalDown="0" outline="0">
        <left/>
        <right style="medium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border diagonalUp="0" diagonalDown="0" outline="0">
        <left style="medium">
          <color indexed="64"/>
        </left>
        <right/>
        <top/>
        <bottom/>
      </border>
    </dxf>
    <dxf>
      <numFmt numFmtId="4" formatCode="#,##0.00"/>
      <border diagonalUp="0" diagonalDown="0" outline="0">
        <left/>
        <right style="medium">
          <color indexed="64"/>
        </right>
        <top/>
        <bottom/>
      </border>
    </dxf>
    <dxf>
      <numFmt numFmtId="4" formatCode="#,##0.00"/>
    </dxf>
    <dxf>
      <numFmt numFmtId="4" formatCode="#,##0.00"/>
      <border diagonalUp="0" diagonalDown="0" outline="0">
        <left style="medium">
          <color indexed="64"/>
        </left>
        <right/>
        <top/>
        <bottom/>
      </border>
    </dxf>
    <dxf>
      <numFmt numFmtId="4" formatCode="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Distances!$H$9</c:f>
              <c:strCache>
                <c:ptCount val="1"/>
                <c:pt idx="0">
                  <c:v>norm-bt</c:v>
                </c:pt>
              </c:strCache>
            </c:strRef>
          </c:tx>
          <c:spPr>
            <a:ln w="9525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1">
                  <a:lumMod val="20000"/>
                  <a:lumOff val="80000"/>
                </a:schemeClr>
              </a:solidFill>
              <a:ln w="9525" cmpd="sng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txPr>
              <a:bodyPr rot="-5400000" vert="horz" anchor="ctr" anchorCtr="1"/>
              <a:lstStyle/>
              <a:p>
                <a:pPr>
                  <a:defRPr/>
                </a:pPr>
                <a:endParaRPr lang="fr-FR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Distances!$B$10:$B$176</c:f>
              <c:strCache>
                <c:ptCount val="167"/>
                <c:pt idx="0">
                  <c:v>qw116</c:v>
                </c:pt>
                <c:pt idx="1">
                  <c:v>qw167</c:v>
                </c:pt>
                <c:pt idx="2">
                  <c:v>qw143</c:v>
                </c:pt>
                <c:pt idx="3">
                  <c:v>qw60</c:v>
                </c:pt>
                <c:pt idx="4">
                  <c:v>qw20</c:v>
                </c:pt>
                <c:pt idx="5">
                  <c:v>qw30</c:v>
                </c:pt>
                <c:pt idx="6">
                  <c:v>qw25</c:v>
                </c:pt>
                <c:pt idx="7">
                  <c:v>qw145</c:v>
                </c:pt>
                <c:pt idx="8">
                  <c:v>qw111</c:v>
                </c:pt>
                <c:pt idx="9">
                  <c:v>qw112</c:v>
                </c:pt>
                <c:pt idx="10">
                  <c:v>qw17</c:v>
                </c:pt>
                <c:pt idx="11">
                  <c:v>qw81</c:v>
                </c:pt>
                <c:pt idx="12">
                  <c:v>qw59</c:v>
                </c:pt>
                <c:pt idx="13">
                  <c:v>qw83</c:v>
                </c:pt>
                <c:pt idx="14">
                  <c:v>qw94</c:v>
                </c:pt>
                <c:pt idx="15">
                  <c:v>qw99</c:v>
                </c:pt>
                <c:pt idx="16">
                  <c:v>qw113</c:v>
                </c:pt>
                <c:pt idx="17">
                  <c:v>qw46</c:v>
                </c:pt>
                <c:pt idx="18">
                  <c:v>qw57</c:v>
                </c:pt>
                <c:pt idx="19">
                  <c:v>qw70</c:v>
                </c:pt>
                <c:pt idx="20">
                  <c:v>qw101</c:v>
                </c:pt>
                <c:pt idx="21">
                  <c:v>qw110</c:v>
                </c:pt>
                <c:pt idx="22">
                  <c:v>qw132</c:v>
                </c:pt>
                <c:pt idx="23">
                  <c:v>qw9</c:v>
                </c:pt>
                <c:pt idx="24">
                  <c:v>qw147</c:v>
                </c:pt>
                <c:pt idx="25">
                  <c:v>qw24</c:v>
                </c:pt>
                <c:pt idx="26">
                  <c:v>qw12</c:v>
                </c:pt>
                <c:pt idx="27">
                  <c:v>qw121</c:v>
                </c:pt>
                <c:pt idx="28">
                  <c:v>qw126</c:v>
                </c:pt>
                <c:pt idx="29">
                  <c:v>qw133</c:v>
                </c:pt>
                <c:pt idx="30">
                  <c:v>qw154</c:v>
                </c:pt>
                <c:pt idx="31">
                  <c:v>qw156</c:v>
                </c:pt>
                <c:pt idx="32">
                  <c:v>qw103</c:v>
                </c:pt>
                <c:pt idx="33">
                  <c:v>qw131</c:v>
                </c:pt>
                <c:pt idx="34">
                  <c:v>qw136</c:v>
                </c:pt>
                <c:pt idx="35">
                  <c:v>qw35</c:v>
                </c:pt>
                <c:pt idx="36">
                  <c:v>qw49</c:v>
                </c:pt>
                <c:pt idx="37">
                  <c:v>qw96</c:v>
                </c:pt>
                <c:pt idx="38">
                  <c:v>qw158</c:v>
                </c:pt>
                <c:pt idx="39">
                  <c:v>qw166</c:v>
                </c:pt>
                <c:pt idx="40">
                  <c:v>qw50</c:v>
                </c:pt>
                <c:pt idx="41">
                  <c:v>qw51</c:v>
                </c:pt>
                <c:pt idx="42">
                  <c:v>qw56</c:v>
                </c:pt>
                <c:pt idx="43">
                  <c:v>qw61</c:v>
                </c:pt>
                <c:pt idx="44">
                  <c:v>qw13</c:v>
                </c:pt>
                <c:pt idx="45">
                  <c:v>qw38</c:v>
                </c:pt>
                <c:pt idx="46">
                  <c:v>qw64</c:v>
                </c:pt>
                <c:pt idx="47">
                  <c:v>qw89</c:v>
                </c:pt>
                <c:pt idx="48">
                  <c:v>qw115</c:v>
                </c:pt>
                <c:pt idx="49">
                  <c:v>qw151</c:v>
                </c:pt>
                <c:pt idx="50">
                  <c:v>qw18</c:v>
                </c:pt>
                <c:pt idx="51">
                  <c:v>qw85</c:v>
                </c:pt>
                <c:pt idx="52">
                  <c:v>qw114</c:v>
                </c:pt>
                <c:pt idx="53">
                  <c:v>qw123</c:v>
                </c:pt>
                <c:pt idx="54">
                  <c:v>qw159</c:v>
                </c:pt>
                <c:pt idx="55">
                  <c:v>qw149</c:v>
                </c:pt>
                <c:pt idx="56">
                  <c:v>qw63</c:v>
                </c:pt>
                <c:pt idx="57">
                  <c:v>qw68</c:v>
                </c:pt>
                <c:pt idx="58">
                  <c:v>qw73</c:v>
                </c:pt>
                <c:pt idx="59">
                  <c:v>qw40</c:v>
                </c:pt>
                <c:pt idx="60">
                  <c:v>qw7</c:v>
                </c:pt>
                <c:pt idx="61">
                  <c:v>qw119</c:v>
                </c:pt>
                <c:pt idx="62">
                  <c:v>qw11</c:v>
                </c:pt>
                <c:pt idx="63">
                  <c:v>qw150</c:v>
                </c:pt>
                <c:pt idx="64">
                  <c:v>qw8</c:v>
                </c:pt>
                <c:pt idx="65">
                  <c:v>qw148</c:v>
                </c:pt>
                <c:pt idx="66">
                  <c:v>qw153</c:v>
                </c:pt>
                <c:pt idx="67">
                  <c:v>qw27</c:v>
                </c:pt>
                <c:pt idx="68">
                  <c:v>qw54</c:v>
                </c:pt>
                <c:pt idx="69">
                  <c:v>qw165</c:v>
                </c:pt>
                <c:pt idx="70">
                  <c:v>qw98</c:v>
                </c:pt>
                <c:pt idx="71">
                  <c:v>qw52</c:v>
                </c:pt>
                <c:pt idx="72">
                  <c:v>qw84</c:v>
                </c:pt>
                <c:pt idx="73">
                  <c:v>qw97</c:v>
                </c:pt>
                <c:pt idx="74">
                  <c:v>qw102</c:v>
                </c:pt>
                <c:pt idx="75">
                  <c:v>qw74</c:v>
                </c:pt>
                <c:pt idx="76">
                  <c:v>qw86</c:v>
                </c:pt>
                <c:pt idx="77">
                  <c:v>qw93</c:v>
                </c:pt>
                <c:pt idx="78">
                  <c:v>qw108</c:v>
                </c:pt>
                <c:pt idx="79">
                  <c:v>qw45</c:v>
                </c:pt>
                <c:pt idx="80">
                  <c:v>qw34</c:v>
                </c:pt>
                <c:pt idx="81">
                  <c:v>qw55</c:v>
                </c:pt>
                <c:pt idx="82">
                  <c:v>qw160</c:v>
                </c:pt>
                <c:pt idx="83">
                  <c:v>qw163</c:v>
                </c:pt>
                <c:pt idx="84">
                  <c:v>qw69</c:v>
                </c:pt>
                <c:pt idx="85">
                  <c:v>qw39</c:v>
                </c:pt>
                <c:pt idx="86">
                  <c:v>qw91</c:v>
                </c:pt>
                <c:pt idx="87">
                  <c:v>qw137</c:v>
                </c:pt>
                <c:pt idx="88">
                  <c:v>qw10</c:v>
                </c:pt>
                <c:pt idx="89">
                  <c:v>qw28</c:v>
                </c:pt>
                <c:pt idx="90">
                  <c:v>qw21</c:v>
                </c:pt>
                <c:pt idx="91">
                  <c:v>qw95</c:v>
                </c:pt>
                <c:pt idx="92">
                  <c:v>qw44</c:v>
                </c:pt>
                <c:pt idx="93">
                  <c:v>qw6</c:v>
                </c:pt>
                <c:pt idx="94">
                  <c:v>qw155</c:v>
                </c:pt>
                <c:pt idx="95">
                  <c:v>qw107</c:v>
                </c:pt>
                <c:pt idx="96">
                  <c:v>qw106</c:v>
                </c:pt>
                <c:pt idx="97">
                  <c:v>qw164</c:v>
                </c:pt>
                <c:pt idx="98">
                  <c:v>qw129</c:v>
                </c:pt>
                <c:pt idx="99">
                  <c:v>qw90</c:v>
                </c:pt>
                <c:pt idx="100">
                  <c:v>qw144</c:v>
                </c:pt>
                <c:pt idx="101">
                  <c:v>qw77</c:v>
                </c:pt>
                <c:pt idx="102">
                  <c:v>qw120</c:v>
                </c:pt>
                <c:pt idx="103">
                  <c:v>qw32</c:v>
                </c:pt>
                <c:pt idx="104">
                  <c:v>qw135</c:v>
                </c:pt>
                <c:pt idx="105">
                  <c:v>qw141</c:v>
                </c:pt>
                <c:pt idx="106">
                  <c:v>qw109</c:v>
                </c:pt>
                <c:pt idx="107">
                  <c:v>qw76</c:v>
                </c:pt>
                <c:pt idx="108">
                  <c:v>qw157</c:v>
                </c:pt>
                <c:pt idx="109">
                  <c:v>qw37</c:v>
                </c:pt>
                <c:pt idx="110">
                  <c:v>qw140</c:v>
                </c:pt>
                <c:pt idx="111">
                  <c:v>qw19</c:v>
                </c:pt>
                <c:pt idx="112">
                  <c:v>qw42</c:v>
                </c:pt>
                <c:pt idx="113">
                  <c:v>qw78</c:v>
                </c:pt>
                <c:pt idx="114">
                  <c:v>qw122</c:v>
                </c:pt>
                <c:pt idx="115">
                  <c:v>qw47</c:v>
                </c:pt>
                <c:pt idx="116">
                  <c:v>qw75</c:v>
                </c:pt>
                <c:pt idx="117">
                  <c:v>qw48</c:v>
                </c:pt>
                <c:pt idx="118">
                  <c:v>qw16</c:v>
                </c:pt>
                <c:pt idx="119">
                  <c:v>qw146</c:v>
                </c:pt>
                <c:pt idx="120">
                  <c:v>qw23</c:v>
                </c:pt>
                <c:pt idx="121">
                  <c:v>qw33</c:v>
                </c:pt>
                <c:pt idx="122">
                  <c:v>qw67</c:v>
                </c:pt>
                <c:pt idx="123">
                  <c:v>qw128</c:v>
                </c:pt>
                <c:pt idx="124">
                  <c:v>qw22</c:v>
                </c:pt>
                <c:pt idx="125">
                  <c:v>qw2</c:v>
                </c:pt>
                <c:pt idx="126">
                  <c:v>qw80</c:v>
                </c:pt>
                <c:pt idx="127">
                  <c:v>qw139</c:v>
                </c:pt>
                <c:pt idx="128">
                  <c:v>qw82</c:v>
                </c:pt>
                <c:pt idx="129">
                  <c:v>qw161</c:v>
                </c:pt>
                <c:pt idx="130">
                  <c:v>qw41</c:v>
                </c:pt>
                <c:pt idx="131">
                  <c:v>qw142</c:v>
                </c:pt>
                <c:pt idx="132">
                  <c:v>qw71</c:v>
                </c:pt>
                <c:pt idx="133">
                  <c:v>qw87</c:v>
                </c:pt>
                <c:pt idx="134">
                  <c:v>qw138</c:v>
                </c:pt>
                <c:pt idx="135">
                  <c:v>qw152</c:v>
                </c:pt>
                <c:pt idx="136">
                  <c:v>qw1</c:v>
                </c:pt>
                <c:pt idx="137">
                  <c:v>qw79</c:v>
                </c:pt>
                <c:pt idx="138">
                  <c:v>qw62</c:v>
                </c:pt>
                <c:pt idx="139">
                  <c:v>qw117</c:v>
                </c:pt>
                <c:pt idx="140">
                  <c:v>qw118</c:v>
                </c:pt>
                <c:pt idx="141">
                  <c:v>qw14</c:v>
                </c:pt>
                <c:pt idx="142">
                  <c:v>qw15</c:v>
                </c:pt>
                <c:pt idx="143">
                  <c:v>qw125</c:v>
                </c:pt>
                <c:pt idx="144">
                  <c:v>qw72</c:v>
                </c:pt>
                <c:pt idx="145">
                  <c:v>qw124</c:v>
                </c:pt>
                <c:pt idx="146">
                  <c:v>qw3</c:v>
                </c:pt>
                <c:pt idx="147">
                  <c:v>qw88</c:v>
                </c:pt>
                <c:pt idx="148">
                  <c:v>qw29</c:v>
                </c:pt>
                <c:pt idx="149">
                  <c:v>qw43</c:v>
                </c:pt>
                <c:pt idx="150">
                  <c:v>qw162</c:v>
                </c:pt>
                <c:pt idx="151">
                  <c:v>qw5</c:v>
                </c:pt>
                <c:pt idx="152">
                  <c:v>qw92</c:v>
                </c:pt>
                <c:pt idx="153">
                  <c:v>qw36</c:v>
                </c:pt>
                <c:pt idx="154">
                  <c:v>qw100</c:v>
                </c:pt>
                <c:pt idx="155">
                  <c:v>qw26</c:v>
                </c:pt>
                <c:pt idx="156">
                  <c:v>qw53</c:v>
                </c:pt>
                <c:pt idx="157">
                  <c:v>qw127</c:v>
                </c:pt>
                <c:pt idx="158">
                  <c:v>qw130</c:v>
                </c:pt>
                <c:pt idx="159">
                  <c:v>qw65</c:v>
                </c:pt>
                <c:pt idx="160">
                  <c:v>qw134</c:v>
                </c:pt>
                <c:pt idx="161">
                  <c:v>qw4</c:v>
                </c:pt>
                <c:pt idx="162">
                  <c:v>qw104</c:v>
                </c:pt>
                <c:pt idx="163">
                  <c:v>qw105</c:v>
                </c:pt>
                <c:pt idx="164">
                  <c:v>qw31</c:v>
                </c:pt>
                <c:pt idx="165">
                  <c:v>qw58</c:v>
                </c:pt>
                <c:pt idx="166">
                  <c:v>qw66</c:v>
                </c:pt>
              </c:strCache>
            </c:strRef>
          </c:xVal>
          <c:yVal>
            <c:numRef>
              <c:f>Distances!$H$10:$H$176</c:f>
              <c:numCache>
                <c:formatCode>#,##0.00</c:formatCode>
                <c:ptCount val="1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0.0972232521913767</c:v>
                </c:pt>
                <c:pt idx="96">
                  <c:v>0.0972232521913767</c:v>
                </c:pt>
                <c:pt idx="97">
                  <c:v>0.0972232521913767</c:v>
                </c:pt>
                <c:pt idx="98">
                  <c:v>0.0972232521913767</c:v>
                </c:pt>
                <c:pt idx="99">
                  <c:v>0.0972232521913767</c:v>
                </c:pt>
                <c:pt idx="100">
                  <c:v>0.0972232521913767</c:v>
                </c:pt>
                <c:pt idx="101">
                  <c:v>0.0972232521913767</c:v>
                </c:pt>
                <c:pt idx="102">
                  <c:v>0.0972232521913767</c:v>
                </c:pt>
                <c:pt idx="103">
                  <c:v>0.0972232521913767</c:v>
                </c:pt>
                <c:pt idx="104">
                  <c:v>0.0972232521913767</c:v>
                </c:pt>
                <c:pt idx="105">
                  <c:v>0.0972232521913767</c:v>
                </c:pt>
                <c:pt idx="106">
                  <c:v>0.0972232521913767</c:v>
                </c:pt>
                <c:pt idx="107">
                  <c:v>0.0972232521913767</c:v>
                </c:pt>
                <c:pt idx="108">
                  <c:v>0.0972232521913767</c:v>
                </c:pt>
                <c:pt idx="109">
                  <c:v>0.0972232521913767</c:v>
                </c:pt>
                <c:pt idx="110">
                  <c:v>0.0972232521913767</c:v>
                </c:pt>
                <c:pt idx="111">
                  <c:v>0.0972232521913767</c:v>
                </c:pt>
                <c:pt idx="112">
                  <c:v>0.0972232521913767</c:v>
                </c:pt>
                <c:pt idx="113">
                  <c:v>0.0972232521913767</c:v>
                </c:pt>
                <c:pt idx="114">
                  <c:v>0.0972232521913767</c:v>
                </c:pt>
                <c:pt idx="115">
                  <c:v>0.0972232521913767</c:v>
                </c:pt>
                <c:pt idx="116">
                  <c:v>0.0972232521913767</c:v>
                </c:pt>
                <c:pt idx="117">
                  <c:v>0.0972232521913767</c:v>
                </c:pt>
                <c:pt idx="118">
                  <c:v>0.0972232521913767</c:v>
                </c:pt>
                <c:pt idx="119">
                  <c:v>0.0972232521913767</c:v>
                </c:pt>
                <c:pt idx="120">
                  <c:v>0.0972232521913767</c:v>
                </c:pt>
                <c:pt idx="121">
                  <c:v>0.0972232521913767</c:v>
                </c:pt>
                <c:pt idx="122">
                  <c:v>0.0972232521913767</c:v>
                </c:pt>
                <c:pt idx="123">
                  <c:v>0.0972232521913767</c:v>
                </c:pt>
                <c:pt idx="124">
                  <c:v>0.0972232521913767</c:v>
                </c:pt>
                <c:pt idx="125">
                  <c:v>0.0972232521913767</c:v>
                </c:pt>
                <c:pt idx="126">
                  <c:v>0.0972232521913767</c:v>
                </c:pt>
                <c:pt idx="127">
                  <c:v>0.0972232521913767</c:v>
                </c:pt>
                <c:pt idx="128">
                  <c:v>0.0972232521913767</c:v>
                </c:pt>
                <c:pt idx="129">
                  <c:v>0.176090264886184</c:v>
                </c:pt>
                <c:pt idx="130">
                  <c:v>0.176090264886184</c:v>
                </c:pt>
                <c:pt idx="131">
                  <c:v>0.176090264886184</c:v>
                </c:pt>
                <c:pt idx="132">
                  <c:v>0.176090264886184</c:v>
                </c:pt>
                <c:pt idx="133">
                  <c:v>0.176090264886184</c:v>
                </c:pt>
                <c:pt idx="134">
                  <c:v>0.176090264886184</c:v>
                </c:pt>
                <c:pt idx="135">
                  <c:v>0.176090264886184</c:v>
                </c:pt>
                <c:pt idx="136">
                  <c:v>0.176090264886184</c:v>
                </c:pt>
                <c:pt idx="137">
                  <c:v>0.176090264886184</c:v>
                </c:pt>
                <c:pt idx="138">
                  <c:v>0.176090264886184</c:v>
                </c:pt>
                <c:pt idx="139">
                  <c:v>0.176090264886184</c:v>
                </c:pt>
                <c:pt idx="140">
                  <c:v>0.176090264886184</c:v>
                </c:pt>
                <c:pt idx="141">
                  <c:v>0.176090264886184</c:v>
                </c:pt>
                <c:pt idx="142">
                  <c:v>0.176090264886184</c:v>
                </c:pt>
                <c:pt idx="143">
                  <c:v>0.176090264886184</c:v>
                </c:pt>
                <c:pt idx="144">
                  <c:v>0.176090264886184</c:v>
                </c:pt>
                <c:pt idx="145">
                  <c:v>0.176090264886184</c:v>
                </c:pt>
                <c:pt idx="146">
                  <c:v>0.176090264886184</c:v>
                </c:pt>
                <c:pt idx="147">
                  <c:v>0.176090264886184</c:v>
                </c:pt>
                <c:pt idx="148">
                  <c:v>0.292340800802741</c:v>
                </c:pt>
                <c:pt idx="149">
                  <c:v>0.292340800802741</c:v>
                </c:pt>
                <c:pt idx="150">
                  <c:v>0.292340800802741</c:v>
                </c:pt>
                <c:pt idx="151">
                  <c:v>0.292340800802741</c:v>
                </c:pt>
                <c:pt idx="152">
                  <c:v>0.292340800802741</c:v>
                </c:pt>
                <c:pt idx="153">
                  <c:v>0.292340800802741</c:v>
                </c:pt>
                <c:pt idx="154">
                  <c:v>0.409475870428916</c:v>
                </c:pt>
                <c:pt idx="155">
                  <c:v>0.409475870428916</c:v>
                </c:pt>
                <c:pt idx="156">
                  <c:v>0.409475870428916</c:v>
                </c:pt>
                <c:pt idx="157">
                  <c:v>0.464044148935627</c:v>
                </c:pt>
                <c:pt idx="158">
                  <c:v>0.464044148935627</c:v>
                </c:pt>
                <c:pt idx="159">
                  <c:v>0.464044148935627</c:v>
                </c:pt>
                <c:pt idx="160">
                  <c:v>0.527264869716876</c:v>
                </c:pt>
                <c:pt idx="161">
                  <c:v>0.527264869716876</c:v>
                </c:pt>
                <c:pt idx="162">
                  <c:v>0.527264869716876</c:v>
                </c:pt>
                <c:pt idx="163">
                  <c:v>0.527264869716876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Distances!$R$9</c:f>
              <c:strCache>
                <c:ptCount val="1"/>
                <c:pt idx="0">
                  <c:v>norm-rt-fullcf</c:v>
                </c:pt>
              </c:strCache>
            </c:strRef>
          </c:tx>
          <c:spPr>
            <a:ln w="9525" cmpd="sng"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20000"/>
                  <a:lumOff val="80000"/>
                </a:schemeClr>
              </a:solidFill>
              <a:ln w="9525" cmpd="sng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strRef>
              <c:f>Distances!$B$10:$B$176</c:f>
              <c:strCache>
                <c:ptCount val="167"/>
                <c:pt idx="0">
                  <c:v>qw116</c:v>
                </c:pt>
                <c:pt idx="1">
                  <c:v>qw167</c:v>
                </c:pt>
                <c:pt idx="2">
                  <c:v>qw143</c:v>
                </c:pt>
                <c:pt idx="3">
                  <c:v>qw60</c:v>
                </c:pt>
                <c:pt idx="4">
                  <c:v>qw20</c:v>
                </c:pt>
                <c:pt idx="5">
                  <c:v>qw30</c:v>
                </c:pt>
                <c:pt idx="6">
                  <c:v>qw25</c:v>
                </c:pt>
                <c:pt idx="7">
                  <c:v>qw145</c:v>
                </c:pt>
                <c:pt idx="8">
                  <c:v>qw111</c:v>
                </c:pt>
                <c:pt idx="9">
                  <c:v>qw112</c:v>
                </c:pt>
                <c:pt idx="10">
                  <c:v>qw17</c:v>
                </c:pt>
                <c:pt idx="11">
                  <c:v>qw81</c:v>
                </c:pt>
                <c:pt idx="12">
                  <c:v>qw59</c:v>
                </c:pt>
                <c:pt idx="13">
                  <c:v>qw83</c:v>
                </c:pt>
                <c:pt idx="14">
                  <c:v>qw94</c:v>
                </c:pt>
                <c:pt idx="15">
                  <c:v>qw99</c:v>
                </c:pt>
                <c:pt idx="16">
                  <c:v>qw113</c:v>
                </c:pt>
                <c:pt idx="17">
                  <c:v>qw46</c:v>
                </c:pt>
                <c:pt idx="18">
                  <c:v>qw57</c:v>
                </c:pt>
                <c:pt idx="19">
                  <c:v>qw70</c:v>
                </c:pt>
                <c:pt idx="20">
                  <c:v>qw101</c:v>
                </c:pt>
                <c:pt idx="21">
                  <c:v>qw110</c:v>
                </c:pt>
                <c:pt idx="22">
                  <c:v>qw132</c:v>
                </c:pt>
                <c:pt idx="23">
                  <c:v>qw9</c:v>
                </c:pt>
                <c:pt idx="24">
                  <c:v>qw147</c:v>
                </c:pt>
                <c:pt idx="25">
                  <c:v>qw24</c:v>
                </c:pt>
                <c:pt idx="26">
                  <c:v>qw12</c:v>
                </c:pt>
                <c:pt idx="27">
                  <c:v>qw121</c:v>
                </c:pt>
                <c:pt idx="28">
                  <c:v>qw126</c:v>
                </c:pt>
                <c:pt idx="29">
                  <c:v>qw133</c:v>
                </c:pt>
                <c:pt idx="30">
                  <c:v>qw154</c:v>
                </c:pt>
                <c:pt idx="31">
                  <c:v>qw156</c:v>
                </c:pt>
                <c:pt idx="32">
                  <c:v>qw103</c:v>
                </c:pt>
                <c:pt idx="33">
                  <c:v>qw131</c:v>
                </c:pt>
                <c:pt idx="34">
                  <c:v>qw136</c:v>
                </c:pt>
                <c:pt idx="35">
                  <c:v>qw35</c:v>
                </c:pt>
                <c:pt idx="36">
                  <c:v>qw49</c:v>
                </c:pt>
                <c:pt idx="37">
                  <c:v>qw96</c:v>
                </c:pt>
                <c:pt idx="38">
                  <c:v>qw158</c:v>
                </c:pt>
                <c:pt idx="39">
                  <c:v>qw166</c:v>
                </c:pt>
                <c:pt idx="40">
                  <c:v>qw50</c:v>
                </c:pt>
                <c:pt idx="41">
                  <c:v>qw51</c:v>
                </c:pt>
                <c:pt idx="42">
                  <c:v>qw56</c:v>
                </c:pt>
                <c:pt idx="43">
                  <c:v>qw61</c:v>
                </c:pt>
                <c:pt idx="44">
                  <c:v>qw13</c:v>
                </c:pt>
                <c:pt idx="45">
                  <c:v>qw38</c:v>
                </c:pt>
                <c:pt idx="46">
                  <c:v>qw64</c:v>
                </c:pt>
                <c:pt idx="47">
                  <c:v>qw89</c:v>
                </c:pt>
                <c:pt idx="48">
                  <c:v>qw115</c:v>
                </c:pt>
                <c:pt idx="49">
                  <c:v>qw151</c:v>
                </c:pt>
                <c:pt idx="50">
                  <c:v>qw18</c:v>
                </c:pt>
                <c:pt idx="51">
                  <c:v>qw85</c:v>
                </c:pt>
                <c:pt idx="52">
                  <c:v>qw114</c:v>
                </c:pt>
                <c:pt idx="53">
                  <c:v>qw123</c:v>
                </c:pt>
                <c:pt idx="54">
                  <c:v>qw159</c:v>
                </c:pt>
                <c:pt idx="55">
                  <c:v>qw149</c:v>
                </c:pt>
                <c:pt idx="56">
                  <c:v>qw63</c:v>
                </c:pt>
                <c:pt idx="57">
                  <c:v>qw68</c:v>
                </c:pt>
                <c:pt idx="58">
                  <c:v>qw73</c:v>
                </c:pt>
                <c:pt idx="59">
                  <c:v>qw40</c:v>
                </c:pt>
                <c:pt idx="60">
                  <c:v>qw7</c:v>
                </c:pt>
                <c:pt idx="61">
                  <c:v>qw119</c:v>
                </c:pt>
                <c:pt idx="62">
                  <c:v>qw11</c:v>
                </c:pt>
                <c:pt idx="63">
                  <c:v>qw150</c:v>
                </c:pt>
                <c:pt idx="64">
                  <c:v>qw8</c:v>
                </c:pt>
                <c:pt idx="65">
                  <c:v>qw148</c:v>
                </c:pt>
                <c:pt idx="66">
                  <c:v>qw153</c:v>
                </c:pt>
                <c:pt idx="67">
                  <c:v>qw27</c:v>
                </c:pt>
                <c:pt idx="68">
                  <c:v>qw54</c:v>
                </c:pt>
                <c:pt idx="69">
                  <c:v>qw165</c:v>
                </c:pt>
                <c:pt idx="70">
                  <c:v>qw98</c:v>
                </c:pt>
                <c:pt idx="71">
                  <c:v>qw52</c:v>
                </c:pt>
                <c:pt idx="72">
                  <c:v>qw84</c:v>
                </c:pt>
                <c:pt idx="73">
                  <c:v>qw97</c:v>
                </c:pt>
                <c:pt idx="74">
                  <c:v>qw102</c:v>
                </c:pt>
                <c:pt idx="75">
                  <c:v>qw74</c:v>
                </c:pt>
                <c:pt idx="76">
                  <c:v>qw86</c:v>
                </c:pt>
                <c:pt idx="77">
                  <c:v>qw93</c:v>
                </c:pt>
                <c:pt idx="78">
                  <c:v>qw108</c:v>
                </c:pt>
                <c:pt idx="79">
                  <c:v>qw45</c:v>
                </c:pt>
                <c:pt idx="80">
                  <c:v>qw34</c:v>
                </c:pt>
                <c:pt idx="81">
                  <c:v>qw55</c:v>
                </c:pt>
                <c:pt idx="82">
                  <c:v>qw160</c:v>
                </c:pt>
                <c:pt idx="83">
                  <c:v>qw163</c:v>
                </c:pt>
                <c:pt idx="84">
                  <c:v>qw69</c:v>
                </c:pt>
                <c:pt idx="85">
                  <c:v>qw39</c:v>
                </c:pt>
                <c:pt idx="86">
                  <c:v>qw91</c:v>
                </c:pt>
                <c:pt idx="87">
                  <c:v>qw137</c:v>
                </c:pt>
                <c:pt idx="88">
                  <c:v>qw10</c:v>
                </c:pt>
                <c:pt idx="89">
                  <c:v>qw28</c:v>
                </c:pt>
                <c:pt idx="90">
                  <c:v>qw21</c:v>
                </c:pt>
                <c:pt idx="91">
                  <c:v>qw95</c:v>
                </c:pt>
                <c:pt idx="92">
                  <c:v>qw44</c:v>
                </c:pt>
                <c:pt idx="93">
                  <c:v>qw6</c:v>
                </c:pt>
                <c:pt idx="94">
                  <c:v>qw155</c:v>
                </c:pt>
                <c:pt idx="95">
                  <c:v>qw107</c:v>
                </c:pt>
                <c:pt idx="96">
                  <c:v>qw106</c:v>
                </c:pt>
                <c:pt idx="97">
                  <c:v>qw164</c:v>
                </c:pt>
                <c:pt idx="98">
                  <c:v>qw129</c:v>
                </c:pt>
                <c:pt idx="99">
                  <c:v>qw90</c:v>
                </c:pt>
                <c:pt idx="100">
                  <c:v>qw144</c:v>
                </c:pt>
                <c:pt idx="101">
                  <c:v>qw77</c:v>
                </c:pt>
                <c:pt idx="102">
                  <c:v>qw120</c:v>
                </c:pt>
                <c:pt idx="103">
                  <c:v>qw32</c:v>
                </c:pt>
                <c:pt idx="104">
                  <c:v>qw135</c:v>
                </c:pt>
                <c:pt idx="105">
                  <c:v>qw141</c:v>
                </c:pt>
                <c:pt idx="106">
                  <c:v>qw109</c:v>
                </c:pt>
                <c:pt idx="107">
                  <c:v>qw76</c:v>
                </c:pt>
                <c:pt idx="108">
                  <c:v>qw157</c:v>
                </c:pt>
                <c:pt idx="109">
                  <c:v>qw37</c:v>
                </c:pt>
                <c:pt idx="110">
                  <c:v>qw140</c:v>
                </c:pt>
                <c:pt idx="111">
                  <c:v>qw19</c:v>
                </c:pt>
                <c:pt idx="112">
                  <c:v>qw42</c:v>
                </c:pt>
                <c:pt idx="113">
                  <c:v>qw78</c:v>
                </c:pt>
                <c:pt idx="114">
                  <c:v>qw122</c:v>
                </c:pt>
                <c:pt idx="115">
                  <c:v>qw47</c:v>
                </c:pt>
                <c:pt idx="116">
                  <c:v>qw75</c:v>
                </c:pt>
                <c:pt idx="117">
                  <c:v>qw48</c:v>
                </c:pt>
                <c:pt idx="118">
                  <c:v>qw16</c:v>
                </c:pt>
                <c:pt idx="119">
                  <c:v>qw146</c:v>
                </c:pt>
                <c:pt idx="120">
                  <c:v>qw23</c:v>
                </c:pt>
                <c:pt idx="121">
                  <c:v>qw33</c:v>
                </c:pt>
                <c:pt idx="122">
                  <c:v>qw67</c:v>
                </c:pt>
                <c:pt idx="123">
                  <c:v>qw128</c:v>
                </c:pt>
                <c:pt idx="124">
                  <c:v>qw22</c:v>
                </c:pt>
                <c:pt idx="125">
                  <c:v>qw2</c:v>
                </c:pt>
                <c:pt idx="126">
                  <c:v>qw80</c:v>
                </c:pt>
                <c:pt idx="127">
                  <c:v>qw139</c:v>
                </c:pt>
                <c:pt idx="128">
                  <c:v>qw82</c:v>
                </c:pt>
                <c:pt idx="129">
                  <c:v>qw161</c:v>
                </c:pt>
                <c:pt idx="130">
                  <c:v>qw41</c:v>
                </c:pt>
                <c:pt idx="131">
                  <c:v>qw142</c:v>
                </c:pt>
                <c:pt idx="132">
                  <c:v>qw71</c:v>
                </c:pt>
                <c:pt idx="133">
                  <c:v>qw87</c:v>
                </c:pt>
                <c:pt idx="134">
                  <c:v>qw138</c:v>
                </c:pt>
                <c:pt idx="135">
                  <c:v>qw152</c:v>
                </c:pt>
                <c:pt idx="136">
                  <c:v>qw1</c:v>
                </c:pt>
                <c:pt idx="137">
                  <c:v>qw79</c:v>
                </c:pt>
                <c:pt idx="138">
                  <c:v>qw62</c:v>
                </c:pt>
                <c:pt idx="139">
                  <c:v>qw117</c:v>
                </c:pt>
                <c:pt idx="140">
                  <c:v>qw118</c:v>
                </c:pt>
                <c:pt idx="141">
                  <c:v>qw14</c:v>
                </c:pt>
                <c:pt idx="142">
                  <c:v>qw15</c:v>
                </c:pt>
                <c:pt idx="143">
                  <c:v>qw125</c:v>
                </c:pt>
                <c:pt idx="144">
                  <c:v>qw72</c:v>
                </c:pt>
                <c:pt idx="145">
                  <c:v>qw124</c:v>
                </c:pt>
                <c:pt idx="146">
                  <c:v>qw3</c:v>
                </c:pt>
                <c:pt idx="147">
                  <c:v>qw88</c:v>
                </c:pt>
                <c:pt idx="148">
                  <c:v>qw29</c:v>
                </c:pt>
                <c:pt idx="149">
                  <c:v>qw43</c:v>
                </c:pt>
                <c:pt idx="150">
                  <c:v>qw162</c:v>
                </c:pt>
                <c:pt idx="151">
                  <c:v>qw5</c:v>
                </c:pt>
                <c:pt idx="152">
                  <c:v>qw92</c:v>
                </c:pt>
                <c:pt idx="153">
                  <c:v>qw36</c:v>
                </c:pt>
                <c:pt idx="154">
                  <c:v>qw100</c:v>
                </c:pt>
                <c:pt idx="155">
                  <c:v>qw26</c:v>
                </c:pt>
                <c:pt idx="156">
                  <c:v>qw53</c:v>
                </c:pt>
                <c:pt idx="157">
                  <c:v>qw127</c:v>
                </c:pt>
                <c:pt idx="158">
                  <c:v>qw130</c:v>
                </c:pt>
                <c:pt idx="159">
                  <c:v>qw65</c:v>
                </c:pt>
                <c:pt idx="160">
                  <c:v>qw134</c:v>
                </c:pt>
                <c:pt idx="161">
                  <c:v>qw4</c:v>
                </c:pt>
                <c:pt idx="162">
                  <c:v>qw104</c:v>
                </c:pt>
                <c:pt idx="163">
                  <c:v>qw105</c:v>
                </c:pt>
                <c:pt idx="164">
                  <c:v>qw31</c:v>
                </c:pt>
                <c:pt idx="165">
                  <c:v>qw58</c:v>
                </c:pt>
                <c:pt idx="166">
                  <c:v>qw66</c:v>
                </c:pt>
              </c:strCache>
            </c:strRef>
          </c:xVal>
          <c:yVal>
            <c:numRef>
              <c:f>Distances!$R$10:$R$176</c:f>
            </c:numRef>
          </c:yVal>
          <c:smooth val="1"/>
        </c:ser>
        <c:ser>
          <c:idx val="1"/>
          <c:order val="2"/>
          <c:tx>
            <c:strRef>
              <c:f>Table3[[#Headers],[norm-rt-partialcf]]</c:f>
              <c:strCache>
                <c:ptCount val="1"/>
                <c:pt idx="0">
                  <c:v>norm-rt-partialcf</c:v>
                </c:pt>
              </c:strCache>
            </c:strRef>
          </c:tx>
          <c:spPr>
            <a:ln w="9525" cmpd="sng">
              <a:solidFill>
                <a:schemeClr val="accent3"/>
              </a:solidFill>
            </a:ln>
          </c:spPr>
          <c:marker>
            <c:spPr>
              <a:solidFill>
                <a:schemeClr val="accent3">
                  <a:lumMod val="20000"/>
                  <a:lumOff val="80000"/>
                </a:schemeClr>
              </a:solidFill>
              <a:ln w="9525" cmpd="sng">
                <a:solidFill>
                  <a:schemeClr val="accent3"/>
                </a:solidFill>
              </a:ln>
            </c:spPr>
          </c:marker>
          <c:xVal>
            <c:strRef>
              <c:f>Table3[QW'#]</c:f>
              <c:strCache>
                <c:ptCount val="167"/>
                <c:pt idx="0">
                  <c:v>qw116</c:v>
                </c:pt>
                <c:pt idx="1">
                  <c:v>qw167</c:v>
                </c:pt>
                <c:pt idx="2">
                  <c:v>qw143</c:v>
                </c:pt>
                <c:pt idx="3">
                  <c:v>qw60</c:v>
                </c:pt>
                <c:pt idx="4">
                  <c:v>qw20</c:v>
                </c:pt>
                <c:pt idx="5">
                  <c:v>qw30</c:v>
                </c:pt>
                <c:pt idx="6">
                  <c:v>qw25</c:v>
                </c:pt>
                <c:pt idx="7">
                  <c:v>qw145</c:v>
                </c:pt>
                <c:pt idx="8">
                  <c:v>qw111</c:v>
                </c:pt>
                <c:pt idx="9">
                  <c:v>qw112</c:v>
                </c:pt>
                <c:pt idx="10">
                  <c:v>qw17</c:v>
                </c:pt>
                <c:pt idx="11">
                  <c:v>qw81</c:v>
                </c:pt>
                <c:pt idx="12">
                  <c:v>qw59</c:v>
                </c:pt>
                <c:pt idx="13">
                  <c:v>qw83</c:v>
                </c:pt>
                <c:pt idx="14">
                  <c:v>qw94</c:v>
                </c:pt>
                <c:pt idx="15">
                  <c:v>qw99</c:v>
                </c:pt>
                <c:pt idx="16">
                  <c:v>qw113</c:v>
                </c:pt>
                <c:pt idx="17">
                  <c:v>qw46</c:v>
                </c:pt>
                <c:pt idx="18">
                  <c:v>qw57</c:v>
                </c:pt>
                <c:pt idx="19">
                  <c:v>qw70</c:v>
                </c:pt>
                <c:pt idx="20">
                  <c:v>qw101</c:v>
                </c:pt>
                <c:pt idx="21">
                  <c:v>qw110</c:v>
                </c:pt>
                <c:pt idx="22">
                  <c:v>qw132</c:v>
                </c:pt>
                <c:pt idx="23">
                  <c:v>qw9</c:v>
                </c:pt>
                <c:pt idx="24">
                  <c:v>qw147</c:v>
                </c:pt>
                <c:pt idx="25">
                  <c:v>qw24</c:v>
                </c:pt>
                <c:pt idx="26">
                  <c:v>qw12</c:v>
                </c:pt>
                <c:pt idx="27">
                  <c:v>qw121</c:v>
                </c:pt>
                <c:pt idx="28">
                  <c:v>qw126</c:v>
                </c:pt>
                <c:pt idx="29">
                  <c:v>qw133</c:v>
                </c:pt>
                <c:pt idx="30">
                  <c:v>qw154</c:v>
                </c:pt>
                <c:pt idx="31">
                  <c:v>qw156</c:v>
                </c:pt>
                <c:pt idx="32">
                  <c:v>qw103</c:v>
                </c:pt>
                <c:pt idx="33">
                  <c:v>qw131</c:v>
                </c:pt>
                <c:pt idx="34">
                  <c:v>qw136</c:v>
                </c:pt>
                <c:pt idx="35">
                  <c:v>qw35</c:v>
                </c:pt>
                <c:pt idx="36">
                  <c:v>qw49</c:v>
                </c:pt>
                <c:pt idx="37">
                  <c:v>qw96</c:v>
                </c:pt>
                <c:pt idx="38">
                  <c:v>qw158</c:v>
                </c:pt>
                <c:pt idx="39">
                  <c:v>qw166</c:v>
                </c:pt>
                <c:pt idx="40">
                  <c:v>qw50</c:v>
                </c:pt>
                <c:pt idx="41">
                  <c:v>qw51</c:v>
                </c:pt>
                <c:pt idx="42">
                  <c:v>qw56</c:v>
                </c:pt>
                <c:pt idx="43">
                  <c:v>qw61</c:v>
                </c:pt>
                <c:pt idx="44">
                  <c:v>qw13</c:v>
                </c:pt>
                <c:pt idx="45">
                  <c:v>qw38</c:v>
                </c:pt>
                <c:pt idx="46">
                  <c:v>qw64</c:v>
                </c:pt>
                <c:pt idx="47">
                  <c:v>qw89</c:v>
                </c:pt>
                <c:pt idx="48">
                  <c:v>qw115</c:v>
                </c:pt>
                <c:pt idx="49">
                  <c:v>qw151</c:v>
                </c:pt>
                <c:pt idx="50">
                  <c:v>qw18</c:v>
                </c:pt>
                <c:pt idx="51">
                  <c:v>qw85</c:v>
                </c:pt>
                <c:pt idx="52">
                  <c:v>qw114</c:v>
                </c:pt>
                <c:pt idx="53">
                  <c:v>qw123</c:v>
                </c:pt>
                <c:pt idx="54">
                  <c:v>qw159</c:v>
                </c:pt>
                <c:pt idx="55">
                  <c:v>qw149</c:v>
                </c:pt>
                <c:pt idx="56">
                  <c:v>qw63</c:v>
                </c:pt>
                <c:pt idx="57">
                  <c:v>qw68</c:v>
                </c:pt>
                <c:pt idx="58">
                  <c:v>qw73</c:v>
                </c:pt>
                <c:pt idx="59">
                  <c:v>qw40</c:v>
                </c:pt>
                <c:pt idx="60">
                  <c:v>qw7</c:v>
                </c:pt>
                <c:pt idx="61">
                  <c:v>qw119</c:v>
                </c:pt>
                <c:pt idx="62">
                  <c:v>qw11</c:v>
                </c:pt>
                <c:pt idx="63">
                  <c:v>qw150</c:v>
                </c:pt>
                <c:pt idx="64">
                  <c:v>qw8</c:v>
                </c:pt>
                <c:pt idx="65">
                  <c:v>qw148</c:v>
                </c:pt>
                <c:pt idx="66">
                  <c:v>qw153</c:v>
                </c:pt>
                <c:pt idx="67">
                  <c:v>qw27</c:v>
                </c:pt>
                <c:pt idx="68">
                  <c:v>qw54</c:v>
                </c:pt>
                <c:pt idx="69">
                  <c:v>qw165</c:v>
                </c:pt>
                <c:pt idx="70">
                  <c:v>qw98</c:v>
                </c:pt>
                <c:pt idx="71">
                  <c:v>qw52</c:v>
                </c:pt>
                <c:pt idx="72">
                  <c:v>qw84</c:v>
                </c:pt>
                <c:pt idx="73">
                  <c:v>qw97</c:v>
                </c:pt>
                <c:pt idx="74">
                  <c:v>qw102</c:v>
                </c:pt>
                <c:pt idx="75">
                  <c:v>qw74</c:v>
                </c:pt>
                <c:pt idx="76">
                  <c:v>qw86</c:v>
                </c:pt>
                <c:pt idx="77">
                  <c:v>qw93</c:v>
                </c:pt>
                <c:pt idx="78">
                  <c:v>qw108</c:v>
                </c:pt>
                <c:pt idx="79">
                  <c:v>qw45</c:v>
                </c:pt>
                <c:pt idx="80">
                  <c:v>qw34</c:v>
                </c:pt>
                <c:pt idx="81">
                  <c:v>qw55</c:v>
                </c:pt>
                <c:pt idx="82">
                  <c:v>qw160</c:v>
                </c:pt>
                <c:pt idx="83">
                  <c:v>qw163</c:v>
                </c:pt>
                <c:pt idx="84">
                  <c:v>qw69</c:v>
                </c:pt>
                <c:pt idx="85">
                  <c:v>qw39</c:v>
                </c:pt>
                <c:pt idx="86">
                  <c:v>qw91</c:v>
                </c:pt>
                <c:pt idx="87">
                  <c:v>qw137</c:v>
                </c:pt>
                <c:pt idx="88">
                  <c:v>qw10</c:v>
                </c:pt>
                <c:pt idx="89">
                  <c:v>qw28</c:v>
                </c:pt>
                <c:pt idx="90">
                  <c:v>qw21</c:v>
                </c:pt>
                <c:pt idx="91">
                  <c:v>qw95</c:v>
                </c:pt>
                <c:pt idx="92">
                  <c:v>qw44</c:v>
                </c:pt>
                <c:pt idx="93">
                  <c:v>qw6</c:v>
                </c:pt>
                <c:pt idx="94">
                  <c:v>qw155</c:v>
                </c:pt>
                <c:pt idx="95">
                  <c:v>qw107</c:v>
                </c:pt>
                <c:pt idx="96">
                  <c:v>qw106</c:v>
                </c:pt>
                <c:pt idx="97">
                  <c:v>qw164</c:v>
                </c:pt>
                <c:pt idx="98">
                  <c:v>qw129</c:v>
                </c:pt>
                <c:pt idx="99">
                  <c:v>qw90</c:v>
                </c:pt>
                <c:pt idx="100">
                  <c:v>qw144</c:v>
                </c:pt>
                <c:pt idx="101">
                  <c:v>qw77</c:v>
                </c:pt>
                <c:pt idx="102">
                  <c:v>qw120</c:v>
                </c:pt>
                <c:pt idx="103">
                  <c:v>qw32</c:v>
                </c:pt>
                <c:pt idx="104">
                  <c:v>qw135</c:v>
                </c:pt>
                <c:pt idx="105">
                  <c:v>qw141</c:v>
                </c:pt>
                <c:pt idx="106">
                  <c:v>qw109</c:v>
                </c:pt>
                <c:pt idx="107">
                  <c:v>qw76</c:v>
                </c:pt>
                <c:pt idx="108">
                  <c:v>qw157</c:v>
                </c:pt>
                <c:pt idx="109">
                  <c:v>qw37</c:v>
                </c:pt>
                <c:pt idx="110">
                  <c:v>qw140</c:v>
                </c:pt>
                <c:pt idx="111">
                  <c:v>qw19</c:v>
                </c:pt>
                <c:pt idx="112">
                  <c:v>qw42</c:v>
                </c:pt>
                <c:pt idx="113">
                  <c:v>qw78</c:v>
                </c:pt>
                <c:pt idx="114">
                  <c:v>qw122</c:v>
                </c:pt>
                <c:pt idx="115">
                  <c:v>qw47</c:v>
                </c:pt>
                <c:pt idx="116">
                  <c:v>qw75</c:v>
                </c:pt>
                <c:pt idx="117">
                  <c:v>qw48</c:v>
                </c:pt>
                <c:pt idx="118">
                  <c:v>qw16</c:v>
                </c:pt>
                <c:pt idx="119">
                  <c:v>qw146</c:v>
                </c:pt>
                <c:pt idx="120">
                  <c:v>qw23</c:v>
                </c:pt>
                <c:pt idx="121">
                  <c:v>qw33</c:v>
                </c:pt>
                <c:pt idx="122">
                  <c:v>qw67</c:v>
                </c:pt>
                <c:pt idx="123">
                  <c:v>qw128</c:v>
                </c:pt>
                <c:pt idx="124">
                  <c:v>qw22</c:v>
                </c:pt>
                <c:pt idx="125">
                  <c:v>qw2</c:v>
                </c:pt>
                <c:pt idx="126">
                  <c:v>qw80</c:v>
                </c:pt>
                <c:pt idx="127">
                  <c:v>qw139</c:v>
                </c:pt>
                <c:pt idx="128">
                  <c:v>qw82</c:v>
                </c:pt>
                <c:pt idx="129">
                  <c:v>qw161</c:v>
                </c:pt>
                <c:pt idx="130">
                  <c:v>qw41</c:v>
                </c:pt>
                <c:pt idx="131">
                  <c:v>qw142</c:v>
                </c:pt>
                <c:pt idx="132">
                  <c:v>qw71</c:v>
                </c:pt>
                <c:pt idx="133">
                  <c:v>qw87</c:v>
                </c:pt>
                <c:pt idx="134">
                  <c:v>qw138</c:v>
                </c:pt>
                <c:pt idx="135">
                  <c:v>qw152</c:v>
                </c:pt>
                <c:pt idx="136">
                  <c:v>qw1</c:v>
                </c:pt>
                <c:pt idx="137">
                  <c:v>qw79</c:v>
                </c:pt>
                <c:pt idx="138">
                  <c:v>qw62</c:v>
                </c:pt>
                <c:pt idx="139">
                  <c:v>qw117</c:v>
                </c:pt>
                <c:pt idx="140">
                  <c:v>qw118</c:v>
                </c:pt>
                <c:pt idx="141">
                  <c:v>qw14</c:v>
                </c:pt>
                <c:pt idx="142">
                  <c:v>qw15</c:v>
                </c:pt>
                <c:pt idx="143">
                  <c:v>qw125</c:v>
                </c:pt>
                <c:pt idx="144">
                  <c:v>qw72</c:v>
                </c:pt>
                <c:pt idx="145">
                  <c:v>qw124</c:v>
                </c:pt>
                <c:pt idx="146">
                  <c:v>qw3</c:v>
                </c:pt>
                <c:pt idx="147">
                  <c:v>qw88</c:v>
                </c:pt>
                <c:pt idx="148">
                  <c:v>qw29</c:v>
                </c:pt>
                <c:pt idx="149">
                  <c:v>qw43</c:v>
                </c:pt>
                <c:pt idx="150">
                  <c:v>qw162</c:v>
                </c:pt>
                <c:pt idx="151">
                  <c:v>qw5</c:v>
                </c:pt>
                <c:pt idx="152">
                  <c:v>qw92</c:v>
                </c:pt>
                <c:pt idx="153">
                  <c:v>qw36</c:v>
                </c:pt>
                <c:pt idx="154">
                  <c:v>qw100</c:v>
                </c:pt>
                <c:pt idx="155">
                  <c:v>qw26</c:v>
                </c:pt>
                <c:pt idx="156">
                  <c:v>qw53</c:v>
                </c:pt>
                <c:pt idx="157">
                  <c:v>qw127</c:v>
                </c:pt>
                <c:pt idx="158">
                  <c:v>qw130</c:v>
                </c:pt>
                <c:pt idx="159">
                  <c:v>qw65</c:v>
                </c:pt>
                <c:pt idx="160">
                  <c:v>qw134</c:v>
                </c:pt>
                <c:pt idx="161">
                  <c:v>qw4</c:v>
                </c:pt>
                <c:pt idx="162">
                  <c:v>qw104</c:v>
                </c:pt>
                <c:pt idx="163">
                  <c:v>qw105</c:v>
                </c:pt>
                <c:pt idx="164">
                  <c:v>qw31</c:v>
                </c:pt>
                <c:pt idx="165">
                  <c:v>qw58</c:v>
                </c:pt>
                <c:pt idx="166">
                  <c:v>qw66</c:v>
                </c:pt>
              </c:strCache>
            </c:strRef>
          </c:xVal>
          <c:yVal>
            <c:numRef>
              <c:f>Table3[norm-rt-partialcf]</c:f>
            </c:numRef>
          </c:yVal>
          <c:smooth val="1"/>
        </c:ser>
        <c:ser>
          <c:idx val="3"/>
          <c:order val="3"/>
          <c:tx>
            <c:strRef>
              <c:f>Table3[[#Headers],[norm-rt-df]]</c:f>
              <c:strCache>
                <c:ptCount val="1"/>
                <c:pt idx="0">
                  <c:v>norm-rt-df</c:v>
                </c:pt>
              </c:strCache>
            </c:strRef>
          </c:tx>
          <c:spPr>
            <a:ln w="9525" cmpd="sng"/>
          </c:spPr>
          <c:marker>
            <c:spPr>
              <a:solidFill>
                <a:schemeClr val="accent4">
                  <a:lumMod val="20000"/>
                  <a:lumOff val="80000"/>
                </a:schemeClr>
              </a:solidFill>
              <a:ln w="9525" cmpd="sng"/>
            </c:spPr>
          </c:marker>
          <c:xVal>
            <c:strRef>
              <c:f>Table3[QW'#]</c:f>
              <c:strCache>
                <c:ptCount val="167"/>
                <c:pt idx="0">
                  <c:v>qw116</c:v>
                </c:pt>
                <c:pt idx="1">
                  <c:v>qw167</c:v>
                </c:pt>
                <c:pt idx="2">
                  <c:v>qw143</c:v>
                </c:pt>
                <c:pt idx="3">
                  <c:v>qw60</c:v>
                </c:pt>
                <c:pt idx="4">
                  <c:v>qw20</c:v>
                </c:pt>
                <c:pt idx="5">
                  <c:v>qw30</c:v>
                </c:pt>
                <c:pt idx="6">
                  <c:v>qw25</c:v>
                </c:pt>
                <c:pt idx="7">
                  <c:v>qw145</c:v>
                </c:pt>
                <c:pt idx="8">
                  <c:v>qw111</c:v>
                </c:pt>
                <c:pt idx="9">
                  <c:v>qw112</c:v>
                </c:pt>
                <c:pt idx="10">
                  <c:v>qw17</c:v>
                </c:pt>
                <c:pt idx="11">
                  <c:v>qw81</c:v>
                </c:pt>
                <c:pt idx="12">
                  <c:v>qw59</c:v>
                </c:pt>
                <c:pt idx="13">
                  <c:v>qw83</c:v>
                </c:pt>
                <c:pt idx="14">
                  <c:v>qw94</c:v>
                </c:pt>
                <c:pt idx="15">
                  <c:v>qw99</c:v>
                </c:pt>
                <c:pt idx="16">
                  <c:v>qw113</c:v>
                </c:pt>
                <c:pt idx="17">
                  <c:v>qw46</c:v>
                </c:pt>
                <c:pt idx="18">
                  <c:v>qw57</c:v>
                </c:pt>
                <c:pt idx="19">
                  <c:v>qw70</c:v>
                </c:pt>
                <c:pt idx="20">
                  <c:v>qw101</c:v>
                </c:pt>
                <c:pt idx="21">
                  <c:v>qw110</c:v>
                </c:pt>
                <c:pt idx="22">
                  <c:v>qw132</c:v>
                </c:pt>
                <c:pt idx="23">
                  <c:v>qw9</c:v>
                </c:pt>
                <c:pt idx="24">
                  <c:v>qw147</c:v>
                </c:pt>
                <c:pt idx="25">
                  <c:v>qw24</c:v>
                </c:pt>
                <c:pt idx="26">
                  <c:v>qw12</c:v>
                </c:pt>
                <c:pt idx="27">
                  <c:v>qw121</c:v>
                </c:pt>
                <c:pt idx="28">
                  <c:v>qw126</c:v>
                </c:pt>
                <c:pt idx="29">
                  <c:v>qw133</c:v>
                </c:pt>
                <c:pt idx="30">
                  <c:v>qw154</c:v>
                </c:pt>
                <c:pt idx="31">
                  <c:v>qw156</c:v>
                </c:pt>
                <c:pt idx="32">
                  <c:v>qw103</c:v>
                </c:pt>
                <c:pt idx="33">
                  <c:v>qw131</c:v>
                </c:pt>
                <c:pt idx="34">
                  <c:v>qw136</c:v>
                </c:pt>
                <c:pt idx="35">
                  <c:v>qw35</c:v>
                </c:pt>
                <c:pt idx="36">
                  <c:v>qw49</c:v>
                </c:pt>
                <c:pt idx="37">
                  <c:v>qw96</c:v>
                </c:pt>
                <c:pt idx="38">
                  <c:v>qw158</c:v>
                </c:pt>
                <c:pt idx="39">
                  <c:v>qw166</c:v>
                </c:pt>
                <c:pt idx="40">
                  <c:v>qw50</c:v>
                </c:pt>
                <c:pt idx="41">
                  <c:v>qw51</c:v>
                </c:pt>
                <c:pt idx="42">
                  <c:v>qw56</c:v>
                </c:pt>
                <c:pt idx="43">
                  <c:v>qw61</c:v>
                </c:pt>
                <c:pt idx="44">
                  <c:v>qw13</c:v>
                </c:pt>
                <c:pt idx="45">
                  <c:v>qw38</c:v>
                </c:pt>
                <c:pt idx="46">
                  <c:v>qw64</c:v>
                </c:pt>
                <c:pt idx="47">
                  <c:v>qw89</c:v>
                </c:pt>
                <c:pt idx="48">
                  <c:v>qw115</c:v>
                </c:pt>
                <c:pt idx="49">
                  <c:v>qw151</c:v>
                </c:pt>
                <c:pt idx="50">
                  <c:v>qw18</c:v>
                </c:pt>
                <c:pt idx="51">
                  <c:v>qw85</c:v>
                </c:pt>
                <c:pt idx="52">
                  <c:v>qw114</c:v>
                </c:pt>
                <c:pt idx="53">
                  <c:v>qw123</c:v>
                </c:pt>
                <c:pt idx="54">
                  <c:v>qw159</c:v>
                </c:pt>
                <c:pt idx="55">
                  <c:v>qw149</c:v>
                </c:pt>
                <c:pt idx="56">
                  <c:v>qw63</c:v>
                </c:pt>
                <c:pt idx="57">
                  <c:v>qw68</c:v>
                </c:pt>
                <c:pt idx="58">
                  <c:v>qw73</c:v>
                </c:pt>
                <c:pt idx="59">
                  <c:v>qw40</c:v>
                </c:pt>
                <c:pt idx="60">
                  <c:v>qw7</c:v>
                </c:pt>
                <c:pt idx="61">
                  <c:v>qw119</c:v>
                </c:pt>
                <c:pt idx="62">
                  <c:v>qw11</c:v>
                </c:pt>
                <c:pt idx="63">
                  <c:v>qw150</c:v>
                </c:pt>
                <c:pt idx="64">
                  <c:v>qw8</c:v>
                </c:pt>
                <c:pt idx="65">
                  <c:v>qw148</c:v>
                </c:pt>
                <c:pt idx="66">
                  <c:v>qw153</c:v>
                </c:pt>
                <c:pt idx="67">
                  <c:v>qw27</c:v>
                </c:pt>
                <c:pt idx="68">
                  <c:v>qw54</c:v>
                </c:pt>
                <c:pt idx="69">
                  <c:v>qw165</c:v>
                </c:pt>
                <c:pt idx="70">
                  <c:v>qw98</c:v>
                </c:pt>
                <c:pt idx="71">
                  <c:v>qw52</c:v>
                </c:pt>
                <c:pt idx="72">
                  <c:v>qw84</c:v>
                </c:pt>
                <c:pt idx="73">
                  <c:v>qw97</c:v>
                </c:pt>
                <c:pt idx="74">
                  <c:v>qw102</c:v>
                </c:pt>
                <c:pt idx="75">
                  <c:v>qw74</c:v>
                </c:pt>
                <c:pt idx="76">
                  <c:v>qw86</c:v>
                </c:pt>
                <c:pt idx="77">
                  <c:v>qw93</c:v>
                </c:pt>
                <c:pt idx="78">
                  <c:v>qw108</c:v>
                </c:pt>
                <c:pt idx="79">
                  <c:v>qw45</c:v>
                </c:pt>
                <c:pt idx="80">
                  <c:v>qw34</c:v>
                </c:pt>
                <c:pt idx="81">
                  <c:v>qw55</c:v>
                </c:pt>
                <c:pt idx="82">
                  <c:v>qw160</c:v>
                </c:pt>
                <c:pt idx="83">
                  <c:v>qw163</c:v>
                </c:pt>
                <c:pt idx="84">
                  <c:v>qw69</c:v>
                </c:pt>
                <c:pt idx="85">
                  <c:v>qw39</c:v>
                </c:pt>
                <c:pt idx="86">
                  <c:v>qw91</c:v>
                </c:pt>
                <c:pt idx="87">
                  <c:v>qw137</c:v>
                </c:pt>
                <c:pt idx="88">
                  <c:v>qw10</c:v>
                </c:pt>
                <c:pt idx="89">
                  <c:v>qw28</c:v>
                </c:pt>
                <c:pt idx="90">
                  <c:v>qw21</c:v>
                </c:pt>
                <c:pt idx="91">
                  <c:v>qw95</c:v>
                </c:pt>
                <c:pt idx="92">
                  <c:v>qw44</c:v>
                </c:pt>
                <c:pt idx="93">
                  <c:v>qw6</c:v>
                </c:pt>
                <c:pt idx="94">
                  <c:v>qw155</c:v>
                </c:pt>
                <c:pt idx="95">
                  <c:v>qw107</c:v>
                </c:pt>
                <c:pt idx="96">
                  <c:v>qw106</c:v>
                </c:pt>
                <c:pt idx="97">
                  <c:v>qw164</c:v>
                </c:pt>
                <c:pt idx="98">
                  <c:v>qw129</c:v>
                </c:pt>
                <c:pt idx="99">
                  <c:v>qw90</c:v>
                </c:pt>
                <c:pt idx="100">
                  <c:v>qw144</c:v>
                </c:pt>
                <c:pt idx="101">
                  <c:v>qw77</c:v>
                </c:pt>
                <c:pt idx="102">
                  <c:v>qw120</c:v>
                </c:pt>
                <c:pt idx="103">
                  <c:v>qw32</c:v>
                </c:pt>
                <c:pt idx="104">
                  <c:v>qw135</c:v>
                </c:pt>
                <c:pt idx="105">
                  <c:v>qw141</c:v>
                </c:pt>
                <c:pt idx="106">
                  <c:v>qw109</c:v>
                </c:pt>
                <c:pt idx="107">
                  <c:v>qw76</c:v>
                </c:pt>
                <c:pt idx="108">
                  <c:v>qw157</c:v>
                </c:pt>
                <c:pt idx="109">
                  <c:v>qw37</c:v>
                </c:pt>
                <c:pt idx="110">
                  <c:v>qw140</c:v>
                </c:pt>
                <c:pt idx="111">
                  <c:v>qw19</c:v>
                </c:pt>
                <c:pt idx="112">
                  <c:v>qw42</c:v>
                </c:pt>
                <c:pt idx="113">
                  <c:v>qw78</c:v>
                </c:pt>
                <c:pt idx="114">
                  <c:v>qw122</c:v>
                </c:pt>
                <c:pt idx="115">
                  <c:v>qw47</c:v>
                </c:pt>
                <c:pt idx="116">
                  <c:v>qw75</c:v>
                </c:pt>
                <c:pt idx="117">
                  <c:v>qw48</c:v>
                </c:pt>
                <c:pt idx="118">
                  <c:v>qw16</c:v>
                </c:pt>
                <c:pt idx="119">
                  <c:v>qw146</c:v>
                </c:pt>
                <c:pt idx="120">
                  <c:v>qw23</c:v>
                </c:pt>
                <c:pt idx="121">
                  <c:v>qw33</c:v>
                </c:pt>
                <c:pt idx="122">
                  <c:v>qw67</c:v>
                </c:pt>
                <c:pt idx="123">
                  <c:v>qw128</c:v>
                </c:pt>
                <c:pt idx="124">
                  <c:v>qw22</c:v>
                </c:pt>
                <c:pt idx="125">
                  <c:v>qw2</c:v>
                </c:pt>
                <c:pt idx="126">
                  <c:v>qw80</c:v>
                </c:pt>
                <c:pt idx="127">
                  <c:v>qw139</c:v>
                </c:pt>
                <c:pt idx="128">
                  <c:v>qw82</c:v>
                </c:pt>
                <c:pt idx="129">
                  <c:v>qw161</c:v>
                </c:pt>
                <c:pt idx="130">
                  <c:v>qw41</c:v>
                </c:pt>
                <c:pt idx="131">
                  <c:v>qw142</c:v>
                </c:pt>
                <c:pt idx="132">
                  <c:v>qw71</c:v>
                </c:pt>
                <c:pt idx="133">
                  <c:v>qw87</c:v>
                </c:pt>
                <c:pt idx="134">
                  <c:v>qw138</c:v>
                </c:pt>
                <c:pt idx="135">
                  <c:v>qw152</c:v>
                </c:pt>
                <c:pt idx="136">
                  <c:v>qw1</c:v>
                </c:pt>
                <c:pt idx="137">
                  <c:v>qw79</c:v>
                </c:pt>
                <c:pt idx="138">
                  <c:v>qw62</c:v>
                </c:pt>
                <c:pt idx="139">
                  <c:v>qw117</c:v>
                </c:pt>
                <c:pt idx="140">
                  <c:v>qw118</c:v>
                </c:pt>
                <c:pt idx="141">
                  <c:v>qw14</c:v>
                </c:pt>
                <c:pt idx="142">
                  <c:v>qw15</c:v>
                </c:pt>
                <c:pt idx="143">
                  <c:v>qw125</c:v>
                </c:pt>
                <c:pt idx="144">
                  <c:v>qw72</c:v>
                </c:pt>
                <c:pt idx="145">
                  <c:v>qw124</c:v>
                </c:pt>
                <c:pt idx="146">
                  <c:v>qw3</c:v>
                </c:pt>
                <c:pt idx="147">
                  <c:v>qw88</c:v>
                </c:pt>
                <c:pt idx="148">
                  <c:v>qw29</c:v>
                </c:pt>
                <c:pt idx="149">
                  <c:v>qw43</c:v>
                </c:pt>
                <c:pt idx="150">
                  <c:v>qw162</c:v>
                </c:pt>
                <c:pt idx="151">
                  <c:v>qw5</c:v>
                </c:pt>
                <c:pt idx="152">
                  <c:v>qw92</c:v>
                </c:pt>
                <c:pt idx="153">
                  <c:v>qw36</c:v>
                </c:pt>
                <c:pt idx="154">
                  <c:v>qw100</c:v>
                </c:pt>
                <c:pt idx="155">
                  <c:v>qw26</c:v>
                </c:pt>
                <c:pt idx="156">
                  <c:v>qw53</c:v>
                </c:pt>
                <c:pt idx="157">
                  <c:v>qw127</c:v>
                </c:pt>
                <c:pt idx="158">
                  <c:v>qw130</c:v>
                </c:pt>
                <c:pt idx="159">
                  <c:v>qw65</c:v>
                </c:pt>
                <c:pt idx="160">
                  <c:v>qw134</c:v>
                </c:pt>
                <c:pt idx="161">
                  <c:v>qw4</c:v>
                </c:pt>
                <c:pt idx="162">
                  <c:v>qw104</c:v>
                </c:pt>
                <c:pt idx="163">
                  <c:v>qw105</c:v>
                </c:pt>
                <c:pt idx="164">
                  <c:v>qw31</c:v>
                </c:pt>
                <c:pt idx="165">
                  <c:v>qw58</c:v>
                </c:pt>
                <c:pt idx="166">
                  <c:v>qw66</c:v>
                </c:pt>
              </c:strCache>
            </c:strRef>
          </c:xVal>
          <c:yVal>
            <c:numRef>
              <c:f>Table3[norm-rt-df]</c:f>
              <c:numCache>
                <c:formatCode>#\ ##0.000</c:formatCode>
                <c:ptCount val="167"/>
                <c:pt idx="0">
                  <c:v>0.0</c:v>
                </c:pt>
                <c:pt idx="1">
                  <c:v>0.0</c:v>
                </c:pt>
                <c:pt idx="2">
                  <c:v>5.6971140005305E-7</c:v>
                </c:pt>
                <c:pt idx="3">
                  <c:v>5.6971140005305E-7</c:v>
                </c:pt>
                <c:pt idx="4">
                  <c:v>1.15656361800106E-6</c:v>
                </c:pt>
                <c:pt idx="5">
                  <c:v>1.60236648490803E-6</c:v>
                </c:pt>
                <c:pt idx="6">
                  <c:v>1.72845978109929E-6</c:v>
                </c:pt>
                <c:pt idx="7">
                  <c:v>2.17451248150923E-6</c:v>
                </c:pt>
                <c:pt idx="8">
                  <c:v>2.68434034999272E-6</c:v>
                </c:pt>
                <c:pt idx="9">
                  <c:v>2.68434034999272E-6</c:v>
                </c:pt>
                <c:pt idx="10">
                  <c:v>2.68434034999272E-6</c:v>
                </c:pt>
                <c:pt idx="11">
                  <c:v>2.68434034999272E-6</c:v>
                </c:pt>
                <c:pt idx="12">
                  <c:v>2.9063169977839E-6</c:v>
                </c:pt>
                <c:pt idx="13">
                  <c:v>2.9063169977839E-6</c:v>
                </c:pt>
                <c:pt idx="14">
                  <c:v>2.9063169977839E-6</c:v>
                </c:pt>
                <c:pt idx="15">
                  <c:v>2.9063169977839E-6</c:v>
                </c:pt>
                <c:pt idx="16">
                  <c:v>3.25556423225156E-6</c:v>
                </c:pt>
                <c:pt idx="17">
                  <c:v>3.25556423225156E-6</c:v>
                </c:pt>
                <c:pt idx="18">
                  <c:v>3.25556423225156E-6</c:v>
                </c:pt>
                <c:pt idx="19">
                  <c:v>3.25556423225156E-6</c:v>
                </c:pt>
                <c:pt idx="20">
                  <c:v>3.84325813464916E-6</c:v>
                </c:pt>
                <c:pt idx="21">
                  <c:v>3.84325813464916E-6</c:v>
                </c:pt>
                <c:pt idx="22">
                  <c:v>4.06608026274483E-6</c:v>
                </c:pt>
                <c:pt idx="23">
                  <c:v>4.06608026274483E-6</c:v>
                </c:pt>
                <c:pt idx="24">
                  <c:v>4.41665437208205E-6</c:v>
                </c:pt>
                <c:pt idx="25">
                  <c:v>4.41665437208205E-6</c:v>
                </c:pt>
                <c:pt idx="26">
                  <c:v>0.00173560422102914</c:v>
                </c:pt>
                <c:pt idx="27">
                  <c:v>0.00173560422102914</c:v>
                </c:pt>
                <c:pt idx="28">
                  <c:v>0.00173560422102914</c:v>
                </c:pt>
                <c:pt idx="29">
                  <c:v>0.00173560422102914</c:v>
                </c:pt>
                <c:pt idx="30">
                  <c:v>0.00173560422102914</c:v>
                </c:pt>
                <c:pt idx="31">
                  <c:v>0.00173560422102914</c:v>
                </c:pt>
                <c:pt idx="32">
                  <c:v>0.0017360191571702</c:v>
                </c:pt>
                <c:pt idx="33">
                  <c:v>0.0017360191571702</c:v>
                </c:pt>
                <c:pt idx="34">
                  <c:v>0.0017360191571702</c:v>
                </c:pt>
                <c:pt idx="35">
                  <c:v>0.0017360191571702</c:v>
                </c:pt>
                <c:pt idx="36">
                  <c:v>0.0017360191571702</c:v>
                </c:pt>
                <c:pt idx="37">
                  <c:v>0.0017360191571702</c:v>
                </c:pt>
                <c:pt idx="38">
                  <c:v>0.00173667122397049</c:v>
                </c:pt>
                <c:pt idx="39">
                  <c:v>0.00173667122397049</c:v>
                </c:pt>
                <c:pt idx="40">
                  <c:v>0.00173667122397049</c:v>
                </c:pt>
                <c:pt idx="41">
                  <c:v>0.00173667122397049</c:v>
                </c:pt>
                <c:pt idx="42">
                  <c:v>0.00173667122397049</c:v>
                </c:pt>
                <c:pt idx="43">
                  <c:v>0.00173667122397049</c:v>
                </c:pt>
                <c:pt idx="44">
                  <c:v>0.00212792590752508</c:v>
                </c:pt>
                <c:pt idx="45">
                  <c:v>0.00212792590752508</c:v>
                </c:pt>
                <c:pt idx="46">
                  <c:v>0.00212792590752508</c:v>
                </c:pt>
                <c:pt idx="47">
                  <c:v>0.00212792590752508</c:v>
                </c:pt>
                <c:pt idx="48">
                  <c:v>0.00212857219223007</c:v>
                </c:pt>
                <c:pt idx="49">
                  <c:v>0.00212857219223007</c:v>
                </c:pt>
                <c:pt idx="50">
                  <c:v>0.00212857219223007</c:v>
                </c:pt>
                <c:pt idx="51">
                  <c:v>0.00212857219223007</c:v>
                </c:pt>
                <c:pt idx="52">
                  <c:v>0.00299621611913995</c:v>
                </c:pt>
                <c:pt idx="53">
                  <c:v>0.00299738062927239</c:v>
                </c:pt>
                <c:pt idx="54">
                  <c:v>0.00299738062927239</c:v>
                </c:pt>
                <c:pt idx="55">
                  <c:v>0.00299780781673629</c:v>
                </c:pt>
                <c:pt idx="56">
                  <c:v>0.00299780781673629</c:v>
                </c:pt>
                <c:pt idx="57">
                  <c:v>0.00299847912175977</c:v>
                </c:pt>
                <c:pt idx="58">
                  <c:v>0.00299847912175977</c:v>
                </c:pt>
                <c:pt idx="59">
                  <c:v>0.00316553609063764</c:v>
                </c:pt>
                <c:pt idx="60">
                  <c:v>0.00316596366803681</c:v>
                </c:pt>
                <c:pt idx="61">
                  <c:v>0.00354258928503268</c:v>
                </c:pt>
                <c:pt idx="62">
                  <c:v>0.00354366971738749</c:v>
                </c:pt>
                <c:pt idx="63">
                  <c:v>0.00364487170391658</c:v>
                </c:pt>
                <c:pt idx="64">
                  <c:v>0.00364553509000077</c:v>
                </c:pt>
                <c:pt idx="65">
                  <c:v>0.387886001731731</c:v>
                </c:pt>
                <c:pt idx="66">
                  <c:v>0.387886001731731</c:v>
                </c:pt>
                <c:pt idx="67">
                  <c:v>0.387886001731731</c:v>
                </c:pt>
                <c:pt idx="68">
                  <c:v>0.387886001731731</c:v>
                </c:pt>
                <c:pt idx="69">
                  <c:v>0.387886444834434</c:v>
                </c:pt>
                <c:pt idx="70">
                  <c:v>0.387886444834434</c:v>
                </c:pt>
                <c:pt idx="71">
                  <c:v>0.387887141138711</c:v>
                </c:pt>
                <c:pt idx="72">
                  <c:v>0.387887141138711</c:v>
                </c:pt>
                <c:pt idx="73">
                  <c:v>0.387887141138711</c:v>
                </c:pt>
                <c:pt idx="74">
                  <c:v>0.388254042096508</c:v>
                </c:pt>
                <c:pt idx="75">
                  <c:v>0.388254042096508</c:v>
                </c:pt>
                <c:pt idx="76">
                  <c:v>0.388254738357412</c:v>
                </c:pt>
                <c:pt idx="77">
                  <c:v>0.388254738357412</c:v>
                </c:pt>
                <c:pt idx="78">
                  <c:v>0.390219853590521</c:v>
                </c:pt>
                <c:pt idx="79">
                  <c:v>0.390219853590521</c:v>
                </c:pt>
                <c:pt idx="80">
                  <c:v>0.390220296712262</c:v>
                </c:pt>
                <c:pt idx="81">
                  <c:v>0.390220296712262</c:v>
                </c:pt>
                <c:pt idx="82">
                  <c:v>0.390220993046455</c:v>
                </c:pt>
                <c:pt idx="83">
                  <c:v>0.390220993046455</c:v>
                </c:pt>
                <c:pt idx="84">
                  <c:v>0.390387741074346</c:v>
                </c:pt>
                <c:pt idx="85">
                  <c:v>0.390388184193412</c:v>
                </c:pt>
                <c:pt idx="86">
                  <c:v>0.390724127595003</c:v>
                </c:pt>
                <c:pt idx="87">
                  <c:v>0.390725266916404</c:v>
                </c:pt>
                <c:pt idx="88">
                  <c:v>0.390834984893915</c:v>
                </c:pt>
                <c:pt idx="89">
                  <c:v>0.390835681156066</c:v>
                </c:pt>
                <c:pt idx="90">
                  <c:v>0.462960443558872</c:v>
                </c:pt>
                <c:pt idx="91">
                  <c:v>0.462960443558872</c:v>
                </c:pt>
                <c:pt idx="92">
                  <c:v>0.462961131113983</c:v>
                </c:pt>
                <c:pt idx="93">
                  <c:v>0.462961131113983</c:v>
                </c:pt>
                <c:pt idx="94">
                  <c:v>0.465283773366817</c:v>
                </c:pt>
                <c:pt idx="95">
                  <c:v>5.52623146609303E-5</c:v>
                </c:pt>
                <c:pt idx="96">
                  <c:v>5.80565856640037E-5</c:v>
                </c:pt>
                <c:pt idx="97">
                  <c:v>5.83232088279565E-5</c:v>
                </c:pt>
                <c:pt idx="98">
                  <c:v>6.17812289451013E-5</c:v>
                </c:pt>
                <c:pt idx="99">
                  <c:v>6.24726061060583E-5</c:v>
                </c:pt>
                <c:pt idx="100">
                  <c:v>6.45806284298838E-5</c:v>
                </c:pt>
                <c:pt idx="101">
                  <c:v>6.45806284298838E-5</c:v>
                </c:pt>
                <c:pt idx="102">
                  <c:v>6.48497077420121E-5</c:v>
                </c:pt>
                <c:pt idx="103">
                  <c:v>6.48497077420121E-5</c:v>
                </c:pt>
                <c:pt idx="104">
                  <c:v>6.52728800279247E-5</c:v>
                </c:pt>
                <c:pt idx="105">
                  <c:v>6.52728800279247E-5</c:v>
                </c:pt>
                <c:pt idx="106">
                  <c:v>0.00183110545832116</c:v>
                </c:pt>
                <c:pt idx="107">
                  <c:v>0.00183110545832116</c:v>
                </c:pt>
                <c:pt idx="108">
                  <c:v>0.00184013953657868</c:v>
                </c:pt>
                <c:pt idx="109">
                  <c:v>0.00184013953657868</c:v>
                </c:pt>
                <c:pt idx="110">
                  <c:v>0.00184055730621877</c:v>
                </c:pt>
                <c:pt idx="111">
                  <c:v>0.00184055730621877</c:v>
                </c:pt>
                <c:pt idx="112">
                  <c:v>0.00184121382280566</c:v>
                </c:pt>
                <c:pt idx="113">
                  <c:v>0.00184121382280566</c:v>
                </c:pt>
                <c:pt idx="114">
                  <c:v>0.00222317051661099</c:v>
                </c:pt>
                <c:pt idx="115">
                  <c:v>0.00222317051661099</c:v>
                </c:pt>
                <c:pt idx="116">
                  <c:v>0.00222317051661099</c:v>
                </c:pt>
                <c:pt idx="117">
                  <c:v>0.00223152604329461</c:v>
                </c:pt>
                <c:pt idx="118">
                  <c:v>0.00223217659848228</c:v>
                </c:pt>
                <c:pt idx="119">
                  <c:v>0.503927225747552</c:v>
                </c:pt>
                <c:pt idx="120">
                  <c:v>0.503927916164662</c:v>
                </c:pt>
                <c:pt idx="121">
                  <c:v>0.657899223944985</c:v>
                </c:pt>
                <c:pt idx="122">
                  <c:v>0.657899223944985</c:v>
                </c:pt>
                <c:pt idx="123">
                  <c:v>0.657899670965476</c:v>
                </c:pt>
                <c:pt idx="124">
                  <c:v>0.657899670965476</c:v>
                </c:pt>
                <c:pt idx="125">
                  <c:v>0.657900373426254</c:v>
                </c:pt>
                <c:pt idx="126">
                  <c:v>0.657900373426254</c:v>
                </c:pt>
                <c:pt idx="127">
                  <c:v>0.658256562411991</c:v>
                </c:pt>
                <c:pt idx="128">
                  <c:v>0.658257264855145</c:v>
                </c:pt>
                <c:pt idx="129">
                  <c:v>6.49374267484507E-5</c:v>
                </c:pt>
                <c:pt idx="130">
                  <c:v>0.0018495708751412</c:v>
                </c:pt>
                <c:pt idx="131">
                  <c:v>0.657898134125095</c:v>
                </c:pt>
                <c:pt idx="132">
                  <c:v>0.657898134125095</c:v>
                </c:pt>
                <c:pt idx="133">
                  <c:v>0.657899749463917</c:v>
                </c:pt>
                <c:pt idx="134">
                  <c:v>0.657900643504901</c:v>
                </c:pt>
                <c:pt idx="135">
                  <c:v>0.657909143805815</c:v>
                </c:pt>
                <c:pt idx="136">
                  <c:v>0.657909277707815</c:v>
                </c:pt>
                <c:pt idx="137">
                  <c:v>0.657909277707815</c:v>
                </c:pt>
                <c:pt idx="138">
                  <c:v>0.65790984626667</c:v>
                </c:pt>
                <c:pt idx="139">
                  <c:v>0.657910190586121</c:v>
                </c:pt>
                <c:pt idx="140">
                  <c:v>0.657910190586121</c:v>
                </c:pt>
                <c:pt idx="141">
                  <c:v>0.657910427189227</c:v>
                </c:pt>
                <c:pt idx="142">
                  <c:v>0.657910637606678</c:v>
                </c:pt>
                <c:pt idx="143">
                  <c:v>0.658267528792269</c:v>
                </c:pt>
                <c:pt idx="144">
                  <c:v>0.658267528792269</c:v>
                </c:pt>
                <c:pt idx="145">
                  <c:v>0.958266387661653</c:v>
                </c:pt>
                <c:pt idx="146">
                  <c:v>0.958266387661653</c:v>
                </c:pt>
                <c:pt idx="147">
                  <c:v>0.958266465819332</c:v>
                </c:pt>
                <c:pt idx="148">
                  <c:v>0.657910566519439</c:v>
                </c:pt>
                <c:pt idx="149">
                  <c:v>0.657910566519439</c:v>
                </c:pt>
                <c:pt idx="150">
                  <c:v>0.999985363103358</c:v>
                </c:pt>
                <c:pt idx="151">
                  <c:v>0.999986064949724</c:v>
                </c:pt>
                <c:pt idx="152">
                  <c:v>0.999999298153206</c:v>
                </c:pt>
                <c:pt idx="153">
                  <c:v>1.0</c:v>
                </c:pt>
                <c:pt idx="154">
                  <c:v>0.658571791503911</c:v>
                </c:pt>
                <c:pt idx="155">
                  <c:v>0.658571791503911</c:v>
                </c:pt>
                <c:pt idx="156">
                  <c:v>0.658572493971338</c:v>
                </c:pt>
                <c:pt idx="157">
                  <c:v>0.657920244350248</c:v>
                </c:pt>
                <c:pt idx="158">
                  <c:v>0.657920244350248</c:v>
                </c:pt>
                <c:pt idx="159">
                  <c:v>0.657920244350248</c:v>
                </c:pt>
                <c:pt idx="160">
                  <c:v>0.658571978953037</c:v>
                </c:pt>
                <c:pt idx="161">
                  <c:v>0.658571978953037</c:v>
                </c:pt>
                <c:pt idx="162">
                  <c:v>0.658572681420417</c:v>
                </c:pt>
                <c:pt idx="163">
                  <c:v>0.658572681420417</c:v>
                </c:pt>
                <c:pt idx="164">
                  <c:v>0.658583133140738</c:v>
                </c:pt>
                <c:pt idx="165">
                  <c:v>0.658583133140738</c:v>
                </c:pt>
                <c:pt idx="166">
                  <c:v>0.658583133140738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987304"/>
        <c:axId val="971991752"/>
      </c:scatterChart>
      <c:valAx>
        <c:axId val="9719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71991752"/>
        <c:crosses val="autoZero"/>
        <c:crossBetween val="midCat"/>
      </c:valAx>
      <c:valAx>
        <c:axId val="971991752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crossAx val="971987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Distances!$H$9</c:f>
              <c:strCache>
                <c:ptCount val="1"/>
                <c:pt idx="0">
                  <c:v>norm-bt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cat>
            <c:strRef>
              <c:f>Distances!$B$10:$B$176</c:f>
              <c:strCache>
                <c:ptCount val="167"/>
                <c:pt idx="0">
                  <c:v>qw116</c:v>
                </c:pt>
                <c:pt idx="1">
                  <c:v>qw167</c:v>
                </c:pt>
                <c:pt idx="2">
                  <c:v>qw143</c:v>
                </c:pt>
                <c:pt idx="3">
                  <c:v>qw60</c:v>
                </c:pt>
                <c:pt idx="4">
                  <c:v>qw20</c:v>
                </c:pt>
                <c:pt idx="5">
                  <c:v>qw30</c:v>
                </c:pt>
                <c:pt idx="6">
                  <c:v>qw25</c:v>
                </c:pt>
                <c:pt idx="7">
                  <c:v>qw145</c:v>
                </c:pt>
                <c:pt idx="8">
                  <c:v>qw111</c:v>
                </c:pt>
                <c:pt idx="9">
                  <c:v>qw112</c:v>
                </c:pt>
                <c:pt idx="10">
                  <c:v>qw17</c:v>
                </c:pt>
                <c:pt idx="11">
                  <c:v>qw81</c:v>
                </c:pt>
                <c:pt idx="12">
                  <c:v>qw59</c:v>
                </c:pt>
                <c:pt idx="13">
                  <c:v>qw83</c:v>
                </c:pt>
                <c:pt idx="14">
                  <c:v>qw94</c:v>
                </c:pt>
                <c:pt idx="15">
                  <c:v>qw99</c:v>
                </c:pt>
                <c:pt idx="16">
                  <c:v>qw113</c:v>
                </c:pt>
                <c:pt idx="17">
                  <c:v>qw46</c:v>
                </c:pt>
                <c:pt idx="18">
                  <c:v>qw57</c:v>
                </c:pt>
                <c:pt idx="19">
                  <c:v>qw70</c:v>
                </c:pt>
                <c:pt idx="20">
                  <c:v>qw101</c:v>
                </c:pt>
                <c:pt idx="21">
                  <c:v>qw110</c:v>
                </c:pt>
                <c:pt idx="22">
                  <c:v>qw132</c:v>
                </c:pt>
                <c:pt idx="23">
                  <c:v>qw9</c:v>
                </c:pt>
                <c:pt idx="24">
                  <c:v>qw147</c:v>
                </c:pt>
                <c:pt idx="25">
                  <c:v>qw24</c:v>
                </c:pt>
                <c:pt idx="26">
                  <c:v>qw12</c:v>
                </c:pt>
                <c:pt idx="27">
                  <c:v>qw121</c:v>
                </c:pt>
                <c:pt idx="28">
                  <c:v>qw126</c:v>
                </c:pt>
                <c:pt idx="29">
                  <c:v>qw133</c:v>
                </c:pt>
                <c:pt idx="30">
                  <c:v>qw154</c:v>
                </c:pt>
                <c:pt idx="31">
                  <c:v>qw156</c:v>
                </c:pt>
                <c:pt idx="32">
                  <c:v>qw103</c:v>
                </c:pt>
                <c:pt idx="33">
                  <c:v>qw131</c:v>
                </c:pt>
                <c:pt idx="34">
                  <c:v>qw136</c:v>
                </c:pt>
                <c:pt idx="35">
                  <c:v>qw35</c:v>
                </c:pt>
                <c:pt idx="36">
                  <c:v>qw49</c:v>
                </c:pt>
                <c:pt idx="37">
                  <c:v>qw96</c:v>
                </c:pt>
                <c:pt idx="38">
                  <c:v>qw158</c:v>
                </c:pt>
                <c:pt idx="39">
                  <c:v>qw166</c:v>
                </c:pt>
                <c:pt idx="40">
                  <c:v>qw50</c:v>
                </c:pt>
                <c:pt idx="41">
                  <c:v>qw51</c:v>
                </c:pt>
                <c:pt idx="42">
                  <c:v>qw56</c:v>
                </c:pt>
                <c:pt idx="43">
                  <c:v>qw61</c:v>
                </c:pt>
                <c:pt idx="44">
                  <c:v>qw13</c:v>
                </c:pt>
                <c:pt idx="45">
                  <c:v>qw38</c:v>
                </c:pt>
                <c:pt idx="46">
                  <c:v>qw64</c:v>
                </c:pt>
                <c:pt idx="47">
                  <c:v>qw89</c:v>
                </c:pt>
                <c:pt idx="48">
                  <c:v>qw115</c:v>
                </c:pt>
                <c:pt idx="49">
                  <c:v>qw151</c:v>
                </c:pt>
                <c:pt idx="50">
                  <c:v>qw18</c:v>
                </c:pt>
                <c:pt idx="51">
                  <c:v>qw85</c:v>
                </c:pt>
                <c:pt idx="52">
                  <c:v>qw114</c:v>
                </c:pt>
                <c:pt idx="53">
                  <c:v>qw123</c:v>
                </c:pt>
                <c:pt idx="54">
                  <c:v>qw159</c:v>
                </c:pt>
                <c:pt idx="55">
                  <c:v>qw149</c:v>
                </c:pt>
                <c:pt idx="56">
                  <c:v>qw63</c:v>
                </c:pt>
                <c:pt idx="57">
                  <c:v>qw68</c:v>
                </c:pt>
                <c:pt idx="58">
                  <c:v>qw73</c:v>
                </c:pt>
                <c:pt idx="59">
                  <c:v>qw40</c:v>
                </c:pt>
                <c:pt idx="60">
                  <c:v>qw7</c:v>
                </c:pt>
                <c:pt idx="61">
                  <c:v>qw119</c:v>
                </c:pt>
                <c:pt idx="62">
                  <c:v>qw11</c:v>
                </c:pt>
                <c:pt idx="63">
                  <c:v>qw150</c:v>
                </c:pt>
                <c:pt idx="64">
                  <c:v>qw8</c:v>
                </c:pt>
                <c:pt idx="65">
                  <c:v>qw148</c:v>
                </c:pt>
                <c:pt idx="66">
                  <c:v>qw153</c:v>
                </c:pt>
                <c:pt idx="67">
                  <c:v>qw27</c:v>
                </c:pt>
                <c:pt idx="68">
                  <c:v>qw54</c:v>
                </c:pt>
                <c:pt idx="69">
                  <c:v>qw165</c:v>
                </c:pt>
                <c:pt idx="70">
                  <c:v>qw98</c:v>
                </c:pt>
                <c:pt idx="71">
                  <c:v>qw52</c:v>
                </c:pt>
                <c:pt idx="72">
                  <c:v>qw84</c:v>
                </c:pt>
                <c:pt idx="73">
                  <c:v>qw97</c:v>
                </c:pt>
                <c:pt idx="74">
                  <c:v>qw102</c:v>
                </c:pt>
                <c:pt idx="75">
                  <c:v>qw74</c:v>
                </c:pt>
                <c:pt idx="76">
                  <c:v>qw86</c:v>
                </c:pt>
                <c:pt idx="77">
                  <c:v>qw93</c:v>
                </c:pt>
                <c:pt idx="78">
                  <c:v>qw108</c:v>
                </c:pt>
                <c:pt idx="79">
                  <c:v>qw45</c:v>
                </c:pt>
                <c:pt idx="80">
                  <c:v>qw34</c:v>
                </c:pt>
                <c:pt idx="81">
                  <c:v>qw55</c:v>
                </c:pt>
                <c:pt idx="82">
                  <c:v>qw160</c:v>
                </c:pt>
                <c:pt idx="83">
                  <c:v>qw163</c:v>
                </c:pt>
                <c:pt idx="84">
                  <c:v>qw69</c:v>
                </c:pt>
                <c:pt idx="85">
                  <c:v>qw39</c:v>
                </c:pt>
                <c:pt idx="86">
                  <c:v>qw91</c:v>
                </c:pt>
                <c:pt idx="87">
                  <c:v>qw137</c:v>
                </c:pt>
                <c:pt idx="88">
                  <c:v>qw10</c:v>
                </c:pt>
                <c:pt idx="89">
                  <c:v>qw28</c:v>
                </c:pt>
                <c:pt idx="90">
                  <c:v>qw21</c:v>
                </c:pt>
                <c:pt idx="91">
                  <c:v>qw95</c:v>
                </c:pt>
                <c:pt idx="92">
                  <c:v>qw44</c:v>
                </c:pt>
                <c:pt idx="93">
                  <c:v>qw6</c:v>
                </c:pt>
                <c:pt idx="94">
                  <c:v>qw155</c:v>
                </c:pt>
                <c:pt idx="95">
                  <c:v>qw107</c:v>
                </c:pt>
                <c:pt idx="96">
                  <c:v>qw106</c:v>
                </c:pt>
                <c:pt idx="97">
                  <c:v>qw164</c:v>
                </c:pt>
                <c:pt idx="98">
                  <c:v>qw129</c:v>
                </c:pt>
                <c:pt idx="99">
                  <c:v>qw90</c:v>
                </c:pt>
                <c:pt idx="100">
                  <c:v>qw144</c:v>
                </c:pt>
                <c:pt idx="101">
                  <c:v>qw77</c:v>
                </c:pt>
                <c:pt idx="102">
                  <c:v>qw120</c:v>
                </c:pt>
                <c:pt idx="103">
                  <c:v>qw32</c:v>
                </c:pt>
                <c:pt idx="104">
                  <c:v>qw135</c:v>
                </c:pt>
                <c:pt idx="105">
                  <c:v>qw141</c:v>
                </c:pt>
                <c:pt idx="106">
                  <c:v>qw109</c:v>
                </c:pt>
                <c:pt idx="107">
                  <c:v>qw76</c:v>
                </c:pt>
                <c:pt idx="108">
                  <c:v>qw157</c:v>
                </c:pt>
                <c:pt idx="109">
                  <c:v>qw37</c:v>
                </c:pt>
                <c:pt idx="110">
                  <c:v>qw140</c:v>
                </c:pt>
                <c:pt idx="111">
                  <c:v>qw19</c:v>
                </c:pt>
                <c:pt idx="112">
                  <c:v>qw42</c:v>
                </c:pt>
                <c:pt idx="113">
                  <c:v>qw78</c:v>
                </c:pt>
                <c:pt idx="114">
                  <c:v>qw122</c:v>
                </c:pt>
                <c:pt idx="115">
                  <c:v>qw47</c:v>
                </c:pt>
                <c:pt idx="116">
                  <c:v>qw75</c:v>
                </c:pt>
                <c:pt idx="117">
                  <c:v>qw48</c:v>
                </c:pt>
                <c:pt idx="118">
                  <c:v>qw16</c:v>
                </c:pt>
                <c:pt idx="119">
                  <c:v>qw146</c:v>
                </c:pt>
                <c:pt idx="120">
                  <c:v>qw23</c:v>
                </c:pt>
                <c:pt idx="121">
                  <c:v>qw33</c:v>
                </c:pt>
                <c:pt idx="122">
                  <c:v>qw67</c:v>
                </c:pt>
                <c:pt idx="123">
                  <c:v>qw128</c:v>
                </c:pt>
                <c:pt idx="124">
                  <c:v>qw22</c:v>
                </c:pt>
                <c:pt idx="125">
                  <c:v>qw2</c:v>
                </c:pt>
                <c:pt idx="126">
                  <c:v>qw80</c:v>
                </c:pt>
                <c:pt idx="127">
                  <c:v>qw139</c:v>
                </c:pt>
                <c:pt idx="128">
                  <c:v>qw82</c:v>
                </c:pt>
                <c:pt idx="129">
                  <c:v>qw161</c:v>
                </c:pt>
                <c:pt idx="130">
                  <c:v>qw41</c:v>
                </c:pt>
                <c:pt idx="131">
                  <c:v>qw142</c:v>
                </c:pt>
                <c:pt idx="132">
                  <c:v>qw71</c:v>
                </c:pt>
                <c:pt idx="133">
                  <c:v>qw87</c:v>
                </c:pt>
                <c:pt idx="134">
                  <c:v>qw138</c:v>
                </c:pt>
                <c:pt idx="135">
                  <c:v>qw152</c:v>
                </c:pt>
                <c:pt idx="136">
                  <c:v>qw1</c:v>
                </c:pt>
                <c:pt idx="137">
                  <c:v>qw79</c:v>
                </c:pt>
                <c:pt idx="138">
                  <c:v>qw62</c:v>
                </c:pt>
                <c:pt idx="139">
                  <c:v>qw117</c:v>
                </c:pt>
                <c:pt idx="140">
                  <c:v>qw118</c:v>
                </c:pt>
                <c:pt idx="141">
                  <c:v>qw14</c:v>
                </c:pt>
                <c:pt idx="142">
                  <c:v>qw15</c:v>
                </c:pt>
                <c:pt idx="143">
                  <c:v>qw125</c:v>
                </c:pt>
                <c:pt idx="144">
                  <c:v>qw72</c:v>
                </c:pt>
                <c:pt idx="145">
                  <c:v>qw124</c:v>
                </c:pt>
                <c:pt idx="146">
                  <c:v>qw3</c:v>
                </c:pt>
                <c:pt idx="147">
                  <c:v>qw88</c:v>
                </c:pt>
                <c:pt idx="148">
                  <c:v>qw29</c:v>
                </c:pt>
                <c:pt idx="149">
                  <c:v>qw43</c:v>
                </c:pt>
                <c:pt idx="150">
                  <c:v>qw162</c:v>
                </c:pt>
                <c:pt idx="151">
                  <c:v>qw5</c:v>
                </c:pt>
                <c:pt idx="152">
                  <c:v>qw92</c:v>
                </c:pt>
                <c:pt idx="153">
                  <c:v>qw36</c:v>
                </c:pt>
                <c:pt idx="154">
                  <c:v>qw100</c:v>
                </c:pt>
                <c:pt idx="155">
                  <c:v>qw26</c:v>
                </c:pt>
                <c:pt idx="156">
                  <c:v>qw53</c:v>
                </c:pt>
                <c:pt idx="157">
                  <c:v>qw127</c:v>
                </c:pt>
                <c:pt idx="158">
                  <c:v>qw130</c:v>
                </c:pt>
                <c:pt idx="159">
                  <c:v>qw65</c:v>
                </c:pt>
                <c:pt idx="160">
                  <c:v>qw134</c:v>
                </c:pt>
                <c:pt idx="161">
                  <c:v>qw4</c:v>
                </c:pt>
                <c:pt idx="162">
                  <c:v>qw104</c:v>
                </c:pt>
                <c:pt idx="163">
                  <c:v>qw105</c:v>
                </c:pt>
                <c:pt idx="164">
                  <c:v>qw31</c:v>
                </c:pt>
                <c:pt idx="165">
                  <c:v>qw58</c:v>
                </c:pt>
                <c:pt idx="166">
                  <c:v>qw66</c:v>
                </c:pt>
              </c:strCache>
            </c:strRef>
          </c:cat>
          <c:val>
            <c:numRef>
              <c:f>Distances!$H$10:$H$176</c:f>
              <c:numCache>
                <c:formatCode>#,##0.00</c:formatCode>
                <c:ptCount val="1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0.0972232521913767</c:v>
                </c:pt>
                <c:pt idx="96">
                  <c:v>0.0972232521913767</c:v>
                </c:pt>
                <c:pt idx="97">
                  <c:v>0.0972232521913767</c:v>
                </c:pt>
                <c:pt idx="98">
                  <c:v>0.0972232521913767</c:v>
                </c:pt>
                <c:pt idx="99">
                  <c:v>0.0972232521913767</c:v>
                </c:pt>
                <c:pt idx="100">
                  <c:v>0.0972232521913767</c:v>
                </c:pt>
                <c:pt idx="101">
                  <c:v>0.0972232521913767</c:v>
                </c:pt>
                <c:pt idx="102">
                  <c:v>0.0972232521913767</c:v>
                </c:pt>
                <c:pt idx="103">
                  <c:v>0.0972232521913767</c:v>
                </c:pt>
                <c:pt idx="104">
                  <c:v>0.0972232521913767</c:v>
                </c:pt>
                <c:pt idx="105">
                  <c:v>0.0972232521913767</c:v>
                </c:pt>
                <c:pt idx="106">
                  <c:v>0.0972232521913767</c:v>
                </c:pt>
                <c:pt idx="107">
                  <c:v>0.0972232521913767</c:v>
                </c:pt>
                <c:pt idx="108">
                  <c:v>0.0972232521913767</c:v>
                </c:pt>
                <c:pt idx="109">
                  <c:v>0.0972232521913767</c:v>
                </c:pt>
                <c:pt idx="110">
                  <c:v>0.0972232521913767</c:v>
                </c:pt>
                <c:pt idx="111">
                  <c:v>0.0972232521913767</c:v>
                </c:pt>
                <c:pt idx="112">
                  <c:v>0.0972232521913767</c:v>
                </c:pt>
                <c:pt idx="113">
                  <c:v>0.0972232521913767</c:v>
                </c:pt>
                <c:pt idx="114">
                  <c:v>0.0972232521913767</c:v>
                </c:pt>
                <c:pt idx="115">
                  <c:v>0.0972232521913767</c:v>
                </c:pt>
                <c:pt idx="116">
                  <c:v>0.0972232521913767</c:v>
                </c:pt>
                <c:pt idx="117">
                  <c:v>0.0972232521913767</c:v>
                </c:pt>
                <c:pt idx="118">
                  <c:v>0.0972232521913767</c:v>
                </c:pt>
                <c:pt idx="119">
                  <c:v>0.0972232521913767</c:v>
                </c:pt>
                <c:pt idx="120">
                  <c:v>0.0972232521913767</c:v>
                </c:pt>
                <c:pt idx="121">
                  <c:v>0.0972232521913767</c:v>
                </c:pt>
                <c:pt idx="122">
                  <c:v>0.0972232521913767</c:v>
                </c:pt>
                <c:pt idx="123">
                  <c:v>0.0972232521913767</c:v>
                </c:pt>
                <c:pt idx="124">
                  <c:v>0.0972232521913767</c:v>
                </c:pt>
                <c:pt idx="125">
                  <c:v>0.0972232521913767</c:v>
                </c:pt>
                <c:pt idx="126">
                  <c:v>0.0972232521913767</c:v>
                </c:pt>
                <c:pt idx="127">
                  <c:v>0.0972232521913767</c:v>
                </c:pt>
                <c:pt idx="128">
                  <c:v>0.0972232521913767</c:v>
                </c:pt>
                <c:pt idx="129">
                  <c:v>0.176090264886184</c:v>
                </c:pt>
                <c:pt idx="130">
                  <c:v>0.176090264886184</c:v>
                </c:pt>
                <c:pt idx="131">
                  <c:v>0.176090264886184</c:v>
                </c:pt>
                <c:pt idx="132">
                  <c:v>0.176090264886184</c:v>
                </c:pt>
                <c:pt idx="133">
                  <c:v>0.176090264886184</c:v>
                </c:pt>
                <c:pt idx="134">
                  <c:v>0.176090264886184</c:v>
                </c:pt>
                <c:pt idx="135">
                  <c:v>0.176090264886184</c:v>
                </c:pt>
                <c:pt idx="136">
                  <c:v>0.176090264886184</c:v>
                </c:pt>
                <c:pt idx="137">
                  <c:v>0.176090264886184</c:v>
                </c:pt>
                <c:pt idx="138">
                  <c:v>0.176090264886184</c:v>
                </c:pt>
                <c:pt idx="139">
                  <c:v>0.176090264886184</c:v>
                </c:pt>
                <c:pt idx="140">
                  <c:v>0.176090264886184</c:v>
                </c:pt>
                <c:pt idx="141">
                  <c:v>0.176090264886184</c:v>
                </c:pt>
                <c:pt idx="142">
                  <c:v>0.176090264886184</c:v>
                </c:pt>
                <c:pt idx="143">
                  <c:v>0.176090264886184</c:v>
                </c:pt>
                <c:pt idx="144">
                  <c:v>0.176090264886184</c:v>
                </c:pt>
                <c:pt idx="145">
                  <c:v>0.176090264886184</c:v>
                </c:pt>
                <c:pt idx="146">
                  <c:v>0.176090264886184</c:v>
                </c:pt>
                <c:pt idx="147">
                  <c:v>0.176090264886184</c:v>
                </c:pt>
                <c:pt idx="148">
                  <c:v>0.292340800802741</c:v>
                </c:pt>
                <c:pt idx="149">
                  <c:v>0.292340800802741</c:v>
                </c:pt>
                <c:pt idx="150">
                  <c:v>0.292340800802741</c:v>
                </c:pt>
                <c:pt idx="151">
                  <c:v>0.292340800802741</c:v>
                </c:pt>
                <c:pt idx="152">
                  <c:v>0.292340800802741</c:v>
                </c:pt>
                <c:pt idx="153">
                  <c:v>0.292340800802741</c:v>
                </c:pt>
                <c:pt idx="154">
                  <c:v>0.409475870428916</c:v>
                </c:pt>
                <c:pt idx="155">
                  <c:v>0.409475870428916</c:v>
                </c:pt>
                <c:pt idx="156">
                  <c:v>0.409475870428916</c:v>
                </c:pt>
                <c:pt idx="157">
                  <c:v>0.464044148935627</c:v>
                </c:pt>
                <c:pt idx="158">
                  <c:v>0.464044148935627</c:v>
                </c:pt>
                <c:pt idx="159">
                  <c:v>0.464044148935627</c:v>
                </c:pt>
                <c:pt idx="160">
                  <c:v>0.527264869716876</c:v>
                </c:pt>
                <c:pt idx="161">
                  <c:v>0.527264869716876</c:v>
                </c:pt>
                <c:pt idx="162">
                  <c:v>0.527264869716876</c:v>
                </c:pt>
                <c:pt idx="163">
                  <c:v>0.527264869716876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Distances!$W$9</c:f>
              <c:strCache>
                <c:ptCount val="1"/>
                <c:pt idx="0">
                  <c:v>norm-rt-df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cat>
            <c:strRef>
              <c:f>Distances!$B$10:$B$176</c:f>
              <c:strCache>
                <c:ptCount val="167"/>
                <c:pt idx="0">
                  <c:v>qw116</c:v>
                </c:pt>
                <c:pt idx="1">
                  <c:v>qw167</c:v>
                </c:pt>
                <c:pt idx="2">
                  <c:v>qw143</c:v>
                </c:pt>
                <c:pt idx="3">
                  <c:v>qw60</c:v>
                </c:pt>
                <c:pt idx="4">
                  <c:v>qw20</c:v>
                </c:pt>
                <c:pt idx="5">
                  <c:v>qw30</c:v>
                </c:pt>
                <c:pt idx="6">
                  <c:v>qw25</c:v>
                </c:pt>
                <c:pt idx="7">
                  <c:v>qw145</c:v>
                </c:pt>
                <c:pt idx="8">
                  <c:v>qw111</c:v>
                </c:pt>
                <c:pt idx="9">
                  <c:v>qw112</c:v>
                </c:pt>
                <c:pt idx="10">
                  <c:v>qw17</c:v>
                </c:pt>
                <c:pt idx="11">
                  <c:v>qw81</c:v>
                </c:pt>
                <c:pt idx="12">
                  <c:v>qw59</c:v>
                </c:pt>
                <c:pt idx="13">
                  <c:v>qw83</c:v>
                </c:pt>
                <c:pt idx="14">
                  <c:v>qw94</c:v>
                </c:pt>
                <c:pt idx="15">
                  <c:v>qw99</c:v>
                </c:pt>
                <c:pt idx="16">
                  <c:v>qw113</c:v>
                </c:pt>
                <c:pt idx="17">
                  <c:v>qw46</c:v>
                </c:pt>
                <c:pt idx="18">
                  <c:v>qw57</c:v>
                </c:pt>
                <c:pt idx="19">
                  <c:v>qw70</c:v>
                </c:pt>
                <c:pt idx="20">
                  <c:v>qw101</c:v>
                </c:pt>
                <c:pt idx="21">
                  <c:v>qw110</c:v>
                </c:pt>
                <c:pt idx="22">
                  <c:v>qw132</c:v>
                </c:pt>
                <c:pt idx="23">
                  <c:v>qw9</c:v>
                </c:pt>
                <c:pt idx="24">
                  <c:v>qw147</c:v>
                </c:pt>
                <c:pt idx="25">
                  <c:v>qw24</c:v>
                </c:pt>
                <c:pt idx="26">
                  <c:v>qw12</c:v>
                </c:pt>
                <c:pt idx="27">
                  <c:v>qw121</c:v>
                </c:pt>
                <c:pt idx="28">
                  <c:v>qw126</c:v>
                </c:pt>
                <c:pt idx="29">
                  <c:v>qw133</c:v>
                </c:pt>
                <c:pt idx="30">
                  <c:v>qw154</c:v>
                </c:pt>
                <c:pt idx="31">
                  <c:v>qw156</c:v>
                </c:pt>
                <c:pt idx="32">
                  <c:v>qw103</c:v>
                </c:pt>
                <c:pt idx="33">
                  <c:v>qw131</c:v>
                </c:pt>
                <c:pt idx="34">
                  <c:v>qw136</c:v>
                </c:pt>
                <c:pt idx="35">
                  <c:v>qw35</c:v>
                </c:pt>
                <c:pt idx="36">
                  <c:v>qw49</c:v>
                </c:pt>
                <c:pt idx="37">
                  <c:v>qw96</c:v>
                </c:pt>
                <c:pt idx="38">
                  <c:v>qw158</c:v>
                </c:pt>
                <c:pt idx="39">
                  <c:v>qw166</c:v>
                </c:pt>
                <c:pt idx="40">
                  <c:v>qw50</c:v>
                </c:pt>
                <c:pt idx="41">
                  <c:v>qw51</c:v>
                </c:pt>
                <c:pt idx="42">
                  <c:v>qw56</c:v>
                </c:pt>
                <c:pt idx="43">
                  <c:v>qw61</c:v>
                </c:pt>
                <c:pt idx="44">
                  <c:v>qw13</c:v>
                </c:pt>
                <c:pt idx="45">
                  <c:v>qw38</c:v>
                </c:pt>
                <c:pt idx="46">
                  <c:v>qw64</c:v>
                </c:pt>
                <c:pt idx="47">
                  <c:v>qw89</c:v>
                </c:pt>
                <c:pt idx="48">
                  <c:v>qw115</c:v>
                </c:pt>
                <c:pt idx="49">
                  <c:v>qw151</c:v>
                </c:pt>
                <c:pt idx="50">
                  <c:v>qw18</c:v>
                </c:pt>
                <c:pt idx="51">
                  <c:v>qw85</c:v>
                </c:pt>
                <c:pt idx="52">
                  <c:v>qw114</c:v>
                </c:pt>
                <c:pt idx="53">
                  <c:v>qw123</c:v>
                </c:pt>
                <c:pt idx="54">
                  <c:v>qw159</c:v>
                </c:pt>
                <c:pt idx="55">
                  <c:v>qw149</c:v>
                </c:pt>
                <c:pt idx="56">
                  <c:v>qw63</c:v>
                </c:pt>
                <c:pt idx="57">
                  <c:v>qw68</c:v>
                </c:pt>
                <c:pt idx="58">
                  <c:v>qw73</c:v>
                </c:pt>
                <c:pt idx="59">
                  <c:v>qw40</c:v>
                </c:pt>
                <c:pt idx="60">
                  <c:v>qw7</c:v>
                </c:pt>
                <c:pt idx="61">
                  <c:v>qw119</c:v>
                </c:pt>
                <c:pt idx="62">
                  <c:v>qw11</c:v>
                </c:pt>
                <c:pt idx="63">
                  <c:v>qw150</c:v>
                </c:pt>
                <c:pt idx="64">
                  <c:v>qw8</c:v>
                </c:pt>
                <c:pt idx="65">
                  <c:v>qw148</c:v>
                </c:pt>
                <c:pt idx="66">
                  <c:v>qw153</c:v>
                </c:pt>
                <c:pt idx="67">
                  <c:v>qw27</c:v>
                </c:pt>
                <c:pt idx="68">
                  <c:v>qw54</c:v>
                </c:pt>
                <c:pt idx="69">
                  <c:v>qw165</c:v>
                </c:pt>
                <c:pt idx="70">
                  <c:v>qw98</c:v>
                </c:pt>
                <c:pt idx="71">
                  <c:v>qw52</c:v>
                </c:pt>
                <c:pt idx="72">
                  <c:v>qw84</c:v>
                </c:pt>
                <c:pt idx="73">
                  <c:v>qw97</c:v>
                </c:pt>
                <c:pt idx="74">
                  <c:v>qw102</c:v>
                </c:pt>
                <c:pt idx="75">
                  <c:v>qw74</c:v>
                </c:pt>
                <c:pt idx="76">
                  <c:v>qw86</c:v>
                </c:pt>
                <c:pt idx="77">
                  <c:v>qw93</c:v>
                </c:pt>
                <c:pt idx="78">
                  <c:v>qw108</c:v>
                </c:pt>
                <c:pt idx="79">
                  <c:v>qw45</c:v>
                </c:pt>
                <c:pt idx="80">
                  <c:v>qw34</c:v>
                </c:pt>
                <c:pt idx="81">
                  <c:v>qw55</c:v>
                </c:pt>
                <c:pt idx="82">
                  <c:v>qw160</c:v>
                </c:pt>
                <c:pt idx="83">
                  <c:v>qw163</c:v>
                </c:pt>
                <c:pt idx="84">
                  <c:v>qw69</c:v>
                </c:pt>
                <c:pt idx="85">
                  <c:v>qw39</c:v>
                </c:pt>
                <c:pt idx="86">
                  <c:v>qw91</c:v>
                </c:pt>
                <c:pt idx="87">
                  <c:v>qw137</c:v>
                </c:pt>
                <c:pt idx="88">
                  <c:v>qw10</c:v>
                </c:pt>
                <c:pt idx="89">
                  <c:v>qw28</c:v>
                </c:pt>
                <c:pt idx="90">
                  <c:v>qw21</c:v>
                </c:pt>
                <c:pt idx="91">
                  <c:v>qw95</c:v>
                </c:pt>
                <c:pt idx="92">
                  <c:v>qw44</c:v>
                </c:pt>
                <c:pt idx="93">
                  <c:v>qw6</c:v>
                </c:pt>
                <c:pt idx="94">
                  <c:v>qw155</c:v>
                </c:pt>
                <c:pt idx="95">
                  <c:v>qw107</c:v>
                </c:pt>
                <c:pt idx="96">
                  <c:v>qw106</c:v>
                </c:pt>
                <c:pt idx="97">
                  <c:v>qw164</c:v>
                </c:pt>
                <c:pt idx="98">
                  <c:v>qw129</c:v>
                </c:pt>
                <c:pt idx="99">
                  <c:v>qw90</c:v>
                </c:pt>
                <c:pt idx="100">
                  <c:v>qw144</c:v>
                </c:pt>
                <c:pt idx="101">
                  <c:v>qw77</c:v>
                </c:pt>
                <c:pt idx="102">
                  <c:v>qw120</c:v>
                </c:pt>
                <c:pt idx="103">
                  <c:v>qw32</c:v>
                </c:pt>
                <c:pt idx="104">
                  <c:v>qw135</c:v>
                </c:pt>
                <c:pt idx="105">
                  <c:v>qw141</c:v>
                </c:pt>
                <c:pt idx="106">
                  <c:v>qw109</c:v>
                </c:pt>
                <c:pt idx="107">
                  <c:v>qw76</c:v>
                </c:pt>
                <c:pt idx="108">
                  <c:v>qw157</c:v>
                </c:pt>
                <c:pt idx="109">
                  <c:v>qw37</c:v>
                </c:pt>
                <c:pt idx="110">
                  <c:v>qw140</c:v>
                </c:pt>
                <c:pt idx="111">
                  <c:v>qw19</c:v>
                </c:pt>
                <c:pt idx="112">
                  <c:v>qw42</c:v>
                </c:pt>
                <c:pt idx="113">
                  <c:v>qw78</c:v>
                </c:pt>
                <c:pt idx="114">
                  <c:v>qw122</c:v>
                </c:pt>
                <c:pt idx="115">
                  <c:v>qw47</c:v>
                </c:pt>
                <c:pt idx="116">
                  <c:v>qw75</c:v>
                </c:pt>
                <c:pt idx="117">
                  <c:v>qw48</c:v>
                </c:pt>
                <c:pt idx="118">
                  <c:v>qw16</c:v>
                </c:pt>
                <c:pt idx="119">
                  <c:v>qw146</c:v>
                </c:pt>
                <c:pt idx="120">
                  <c:v>qw23</c:v>
                </c:pt>
                <c:pt idx="121">
                  <c:v>qw33</c:v>
                </c:pt>
                <c:pt idx="122">
                  <c:v>qw67</c:v>
                </c:pt>
                <c:pt idx="123">
                  <c:v>qw128</c:v>
                </c:pt>
                <c:pt idx="124">
                  <c:v>qw22</c:v>
                </c:pt>
                <c:pt idx="125">
                  <c:v>qw2</c:v>
                </c:pt>
                <c:pt idx="126">
                  <c:v>qw80</c:v>
                </c:pt>
                <c:pt idx="127">
                  <c:v>qw139</c:v>
                </c:pt>
                <c:pt idx="128">
                  <c:v>qw82</c:v>
                </c:pt>
                <c:pt idx="129">
                  <c:v>qw161</c:v>
                </c:pt>
                <c:pt idx="130">
                  <c:v>qw41</c:v>
                </c:pt>
                <c:pt idx="131">
                  <c:v>qw142</c:v>
                </c:pt>
                <c:pt idx="132">
                  <c:v>qw71</c:v>
                </c:pt>
                <c:pt idx="133">
                  <c:v>qw87</c:v>
                </c:pt>
                <c:pt idx="134">
                  <c:v>qw138</c:v>
                </c:pt>
                <c:pt idx="135">
                  <c:v>qw152</c:v>
                </c:pt>
                <c:pt idx="136">
                  <c:v>qw1</c:v>
                </c:pt>
                <c:pt idx="137">
                  <c:v>qw79</c:v>
                </c:pt>
                <c:pt idx="138">
                  <c:v>qw62</c:v>
                </c:pt>
                <c:pt idx="139">
                  <c:v>qw117</c:v>
                </c:pt>
                <c:pt idx="140">
                  <c:v>qw118</c:v>
                </c:pt>
                <c:pt idx="141">
                  <c:v>qw14</c:v>
                </c:pt>
                <c:pt idx="142">
                  <c:v>qw15</c:v>
                </c:pt>
                <c:pt idx="143">
                  <c:v>qw125</c:v>
                </c:pt>
                <c:pt idx="144">
                  <c:v>qw72</c:v>
                </c:pt>
                <c:pt idx="145">
                  <c:v>qw124</c:v>
                </c:pt>
                <c:pt idx="146">
                  <c:v>qw3</c:v>
                </c:pt>
                <c:pt idx="147">
                  <c:v>qw88</c:v>
                </c:pt>
                <c:pt idx="148">
                  <c:v>qw29</c:v>
                </c:pt>
                <c:pt idx="149">
                  <c:v>qw43</c:v>
                </c:pt>
                <c:pt idx="150">
                  <c:v>qw162</c:v>
                </c:pt>
                <c:pt idx="151">
                  <c:v>qw5</c:v>
                </c:pt>
                <c:pt idx="152">
                  <c:v>qw92</c:v>
                </c:pt>
                <c:pt idx="153">
                  <c:v>qw36</c:v>
                </c:pt>
                <c:pt idx="154">
                  <c:v>qw100</c:v>
                </c:pt>
                <c:pt idx="155">
                  <c:v>qw26</c:v>
                </c:pt>
                <c:pt idx="156">
                  <c:v>qw53</c:v>
                </c:pt>
                <c:pt idx="157">
                  <c:v>qw127</c:v>
                </c:pt>
                <c:pt idx="158">
                  <c:v>qw130</c:v>
                </c:pt>
                <c:pt idx="159">
                  <c:v>qw65</c:v>
                </c:pt>
                <c:pt idx="160">
                  <c:v>qw134</c:v>
                </c:pt>
                <c:pt idx="161">
                  <c:v>qw4</c:v>
                </c:pt>
                <c:pt idx="162">
                  <c:v>qw104</c:v>
                </c:pt>
                <c:pt idx="163">
                  <c:v>qw105</c:v>
                </c:pt>
                <c:pt idx="164">
                  <c:v>qw31</c:v>
                </c:pt>
                <c:pt idx="165">
                  <c:v>qw58</c:v>
                </c:pt>
                <c:pt idx="166">
                  <c:v>qw66</c:v>
                </c:pt>
              </c:strCache>
            </c:strRef>
          </c:cat>
          <c:val>
            <c:numRef>
              <c:f>Distances!$W$10:$W$176</c:f>
              <c:numCache>
                <c:formatCode>#\ ##0.000</c:formatCode>
                <c:ptCount val="167"/>
                <c:pt idx="0">
                  <c:v>0.0</c:v>
                </c:pt>
                <c:pt idx="1">
                  <c:v>0.0</c:v>
                </c:pt>
                <c:pt idx="2">
                  <c:v>5.6971140005305E-7</c:v>
                </c:pt>
                <c:pt idx="3">
                  <c:v>5.6971140005305E-7</c:v>
                </c:pt>
                <c:pt idx="4">
                  <c:v>1.15656361800106E-6</c:v>
                </c:pt>
                <c:pt idx="5">
                  <c:v>1.60236648490803E-6</c:v>
                </c:pt>
                <c:pt idx="6">
                  <c:v>1.72845978109929E-6</c:v>
                </c:pt>
                <c:pt idx="7">
                  <c:v>2.17451248150923E-6</c:v>
                </c:pt>
                <c:pt idx="8">
                  <c:v>2.68434034999272E-6</c:v>
                </c:pt>
                <c:pt idx="9">
                  <c:v>2.68434034999272E-6</c:v>
                </c:pt>
                <c:pt idx="10">
                  <c:v>2.68434034999272E-6</c:v>
                </c:pt>
                <c:pt idx="11">
                  <c:v>2.68434034999272E-6</c:v>
                </c:pt>
                <c:pt idx="12">
                  <c:v>2.9063169977839E-6</c:v>
                </c:pt>
                <c:pt idx="13">
                  <c:v>2.9063169977839E-6</c:v>
                </c:pt>
                <c:pt idx="14">
                  <c:v>2.9063169977839E-6</c:v>
                </c:pt>
                <c:pt idx="15">
                  <c:v>2.9063169977839E-6</c:v>
                </c:pt>
                <c:pt idx="16">
                  <c:v>3.25556423225156E-6</c:v>
                </c:pt>
                <c:pt idx="17">
                  <c:v>3.25556423225156E-6</c:v>
                </c:pt>
                <c:pt idx="18">
                  <c:v>3.25556423225156E-6</c:v>
                </c:pt>
                <c:pt idx="19">
                  <c:v>3.25556423225156E-6</c:v>
                </c:pt>
                <c:pt idx="20">
                  <c:v>3.84325813464916E-6</c:v>
                </c:pt>
                <c:pt idx="21">
                  <c:v>3.84325813464916E-6</c:v>
                </c:pt>
                <c:pt idx="22">
                  <c:v>4.06608026274483E-6</c:v>
                </c:pt>
                <c:pt idx="23">
                  <c:v>4.06608026274483E-6</c:v>
                </c:pt>
                <c:pt idx="24">
                  <c:v>4.41665437208205E-6</c:v>
                </c:pt>
                <c:pt idx="25">
                  <c:v>4.41665437208205E-6</c:v>
                </c:pt>
                <c:pt idx="26">
                  <c:v>0.00173560422102914</c:v>
                </c:pt>
                <c:pt idx="27">
                  <c:v>0.00173560422102914</c:v>
                </c:pt>
                <c:pt idx="28">
                  <c:v>0.00173560422102914</c:v>
                </c:pt>
                <c:pt idx="29">
                  <c:v>0.00173560422102914</c:v>
                </c:pt>
                <c:pt idx="30">
                  <c:v>0.00173560422102914</c:v>
                </c:pt>
                <c:pt idx="31">
                  <c:v>0.00173560422102914</c:v>
                </c:pt>
                <c:pt idx="32">
                  <c:v>0.0017360191571702</c:v>
                </c:pt>
                <c:pt idx="33">
                  <c:v>0.0017360191571702</c:v>
                </c:pt>
                <c:pt idx="34">
                  <c:v>0.0017360191571702</c:v>
                </c:pt>
                <c:pt idx="35">
                  <c:v>0.0017360191571702</c:v>
                </c:pt>
                <c:pt idx="36">
                  <c:v>0.0017360191571702</c:v>
                </c:pt>
                <c:pt idx="37">
                  <c:v>0.0017360191571702</c:v>
                </c:pt>
                <c:pt idx="38">
                  <c:v>0.00173667122397049</c:v>
                </c:pt>
                <c:pt idx="39">
                  <c:v>0.00173667122397049</c:v>
                </c:pt>
                <c:pt idx="40">
                  <c:v>0.00173667122397049</c:v>
                </c:pt>
                <c:pt idx="41">
                  <c:v>0.00173667122397049</c:v>
                </c:pt>
                <c:pt idx="42">
                  <c:v>0.00173667122397049</c:v>
                </c:pt>
                <c:pt idx="43">
                  <c:v>0.00173667122397049</c:v>
                </c:pt>
                <c:pt idx="44">
                  <c:v>0.00212792590752508</c:v>
                </c:pt>
                <c:pt idx="45">
                  <c:v>0.00212792590752508</c:v>
                </c:pt>
                <c:pt idx="46">
                  <c:v>0.00212792590752508</c:v>
                </c:pt>
                <c:pt idx="47">
                  <c:v>0.00212792590752508</c:v>
                </c:pt>
                <c:pt idx="48">
                  <c:v>0.00212857219223007</c:v>
                </c:pt>
                <c:pt idx="49">
                  <c:v>0.00212857219223007</c:v>
                </c:pt>
                <c:pt idx="50">
                  <c:v>0.00212857219223007</c:v>
                </c:pt>
                <c:pt idx="51">
                  <c:v>0.00212857219223007</c:v>
                </c:pt>
                <c:pt idx="52">
                  <c:v>0.00299621611913995</c:v>
                </c:pt>
                <c:pt idx="53">
                  <c:v>0.00299738062927239</c:v>
                </c:pt>
                <c:pt idx="54">
                  <c:v>0.00299738062927239</c:v>
                </c:pt>
                <c:pt idx="55">
                  <c:v>0.00299780781673629</c:v>
                </c:pt>
                <c:pt idx="56">
                  <c:v>0.00299780781673629</c:v>
                </c:pt>
                <c:pt idx="57">
                  <c:v>0.00299847912175977</c:v>
                </c:pt>
                <c:pt idx="58">
                  <c:v>0.00299847912175977</c:v>
                </c:pt>
                <c:pt idx="59">
                  <c:v>0.00316553609063764</c:v>
                </c:pt>
                <c:pt idx="60">
                  <c:v>0.00316596366803681</c:v>
                </c:pt>
                <c:pt idx="61">
                  <c:v>0.00354258928503268</c:v>
                </c:pt>
                <c:pt idx="62">
                  <c:v>0.00354366971738749</c:v>
                </c:pt>
                <c:pt idx="63">
                  <c:v>0.00364487170391658</c:v>
                </c:pt>
                <c:pt idx="64">
                  <c:v>0.00364553509000077</c:v>
                </c:pt>
                <c:pt idx="65">
                  <c:v>0.387886001731731</c:v>
                </c:pt>
                <c:pt idx="66">
                  <c:v>0.387886001731731</c:v>
                </c:pt>
                <c:pt idx="67">
                  <c:v>0.387886001731731</c:v>
                </c:pt>
                <c:pt idx="68">
                  <c:v>0.387886001731731</c:v>
                </c:pt>
                <c:pt idx="69">
                  <c:v>0.387886444834434</c:v>
                </c:pt>
                <c:pt idx="70">
                  <c:v>0.387886444834434</c:v>
                </c:pt>
                <c:pt idx="71">
                  <c:v>0.387887141138711</c:v>
                </c:pt>
                <c:pt idx="72">
                  <c:v>0.387887141138711</c:v>
                </c:pt>
                <c:pt idx="73">
                  <c:v>0.387887141138711</c:v>
                </c:pt>
                <c:pt idx="74">
                  <c:v>0.388254042096508</c:v>
                </c:pt>
                <c:pt idx="75">
                  <c:v>0.388254042096508</c:v>
                </c:pt>
                <c:pt idx="76">
                  <c:v>0.388254738357412</c:v>
                </c:pt>
                <c:pt idx="77">
                  <c:v>0.388254738357412</c:v>
                </c:pt>
                <c:pt idx="78">
                  <c:v>0.390219853590521</c:v>
                </c:pt>
                <c:pt idx="79">
                  <c:v>0.390219853590521</c:v>
                </c:pt>
                <c:pt idx="80">
                  <c:v>0.390220296712262</c:v>
                </c:pt>
                <c:pt idx="81">
                  <c:v>0.390220296712262</c:v>
                </c:pt>
                <c:pt idx="82">
                  <c:v>0.390220993046455</c:v>
                </c:pt>
                <c:pt idx="83">
                  <c:v>0.390220993046455</c:v>
                </c:pt>
                <c:pt idx="84">
                  <c:v>0.390387741074346</c:v>
                </c:pt>
                <c:pt idx="85">
                  <c:v>0.390388184193412</c:v>
                </c:pt>
                <c:pt idx="86">
                  <c:v>0.390724127595003</c:v>
                </c:pt>
                <c:pt idx="87">
                  <c:v>0.390725266916404</c:v>
                </c:pt>
                <c:pt idx="88">
                  <c:v>0.390834984893915</c:v>
                </c:pt>
                <c:pt idx="89">
                  <c:v>0.390835681156066</c:v>
                </c:pt>
                <c:pt idx="90">
                  <c:v>0.462960443558872</c:v>
                </c:pt>
                <c:pt idx="91">
                  <c:v>0.462960443558872</c:v>
                </c:pt>
                <c:pt idx="92">
                  <c:v>0.462961131113983</c:v>
                </c:pt>
                <c:pt idx="93">
                  <c:v>0.462961131113983</c:v>
                </c:pt>
                <c:pt idx="94">
                  <c:v>0.465283773366817</c:v>
                </c:pt>
                <c:pt idx="95">
                  <c:v>5.52623146609303E-5</c:v>
                </c:pt>
                <c:pt idx="96">
                  <c:v>5.80565856640037E-5</c:v>
                </c:pt>
                <c:pt idx="97">
                  <c:v>5.83232088279565E-5</c:v>
                </c:pt>
                <c:pt idx="98">
                  <c:v>6.17812289451013E-5</c:v>
                </c:pt>
                <c:pt idx="99">
                  <c:v>6.24726061060583E-5</c:v>
                </c:pt>
                <c:pt idx="100">
                  <c:v>6.45806284298838E-5</c:v>
                </c:pt>
                <c:pt idx="101">
                  <c:v>6.45806284298838E-5</c:v>
                </c:pt>
                <c:pt idx="102">
                  <c:v>6.48497077420121E-5</c:v>
                </c:pt>
                <c:pt idx="103">
                  <c:v>6.48497077420121E-5</c:v>
                </c:pt>
                <c:pt idx="104">
                  <c:v>6.52728800279247E-5</c:v>
                </c:pt>
                <c:pt idx="105">
                  <c:v>6.52728800279247E-5</c:v>
                </c:pt>
                <c:pt idx="106">
                  <c:v>0.00183110545832116</c:v>
                </c:pt>
                <c:pt idx="107">
                  <c:v>0.00183110545832116</c:v>
                </c:pt>
                <c:pt idx="108">
                  <c:v>0.00184013953657868</c:v>
                </c:pt>
                <c:pt idx="109">
                  <c:v>0.00184013953657868</c:v>
                </c:pt>
                <c:pt idx="110">
                  <c:v>0.00184055730621877</c:v>
                </c:pt>
                <c:pt idx="111">
                  <c:v>0.00184055730621877</c:v>
                </c:pt>
                <c:pt idx="112">
                  <c:v>0.00184121382280566</c:v>
                </c:pt>
                <c:pt idx="113">
                  <c:v>0.00184121382280566</c:v>
                </c:pt>
                <c:pt idx="114">
                  <c:v>0.00222317051661099</c:v>
                </c:pt>
                <c:pt idx="115">
                  <c:v>0.00222317051661099</c:v>
                </c:pt>
                <c:pt idx="116">
                  <c:v>0.00222317051661099</c:v>
                </c:pt>
                <c:pt idx="117">
                  <c:v>0.00223152604329461</c:v>
                </c:pt>
                <c:pt idx="118">
                  <c:v>0.00223217659848228</c:v>
                </c:pt>
                <c:pt idx="119">
                  <c:v>0.503927225747552</c:v>
                </c:pt>
                <c:pt idx="120">
                  <c:v>0.503927916164662</c:v>
                </c:pt>
                <c:pt idx="121">
                  <c:v>0.657899223944985</c:v>
                </c:pt>
                <c:pt idx="122">
                  <c:v>0.657899223944985</c:v>
                </c:pt>
                <c:pt idx="123">
                  <c:v>0.657899670965476</c:v>
                </c:pt>
                <c:pt idx="124">
                  <c:v>0.657899670965476</c:v>
                </c:pt>
                <c:pt idx="125">
                  <c:v>0.657900373426254</c:v>
                </c:pt>
                <c:pt idx="126">
                  <c:v>0.657900373426254</c:v>
                </c:pt>
                <c:pt idx="127">
                  <c:v>0.658256562411991</c:v>
                </c:pt>
                <c:pt idx="128">
                  <c:v>0.658257264855145</c:v>
                </c:pt>
                <c:pt idx="129">
                  <c:v>6.49374267484507E-5</c:v>
                </c:pt>
                <c:pt idx="130">
                  <c:v>0.0018495708751412</c:v>
                </c:pt>
                <c:pt idx="131">
                  <c:v>0.657898134125095</c:v>
                </c:pt>
                <c:pt idx="132">
                  <c:v>0.657898134125095</c:v>
                </c:pt>
                <c:pt idx="133">
                  <c:v>0.657899749463917</c:v>
                </c:pt>
                <c:pt idx="134">
                  <c:v>0.657900643504901</c:v>
                </c:pt>
                <c:pt idx="135">
                  <c:v>0.657909143805815</c:v>
                </c:pt>
                <c:pt idx="136">
                  <c:v>0.657909277707815</c:v>
                </c:pt>
                <c:pt idx="137">
                  <c:v>0.657909277707815</c:v>
                </c:pt>
                <c:pt idx="138">
                  <c:v>0.65790984626667</c:v>
                </c:pt>
                <c:pt idx="139">
                  <c:v>0.657910190586121</c:v>
                </c:pt>
                <c:pt idx="140">
                  <c:v>0.657910190586121</c:v>
                </c:pt>
                <c:pt idx="141">
                  <c:v>0.657910427189227</c:v>
                </c:pt>
                <c:pt idx="142">
                  <c:v>0.657910637606678</c:v>
                </c:pt>
                <c:pt idx="143">
                  <c:v>0.658267528792269</c:v>
                </c:pt>
                <c:pt idx="144">
                  <c:v>0.658267528792269</c:v>
                </c:pt>
                <c:pt idx="145">
                  <c:v>0.958266387661653</c:v>
                </c:pt>
                <c:pt idx="146">
                  <c:v>0.958266387661653</c:v>
                </c:pt>
                <c:pt idx="147">
                  <c:v>0.958266465819332</c:v>
                </c:pt>
                <c:pt idx="148">
                  <c:v>0.657910566519439</c:v>
                </c:pt>
                <c:pt idx="149">
                  <c:v>0.657910566519439</c:v>
                </c:pt>
                <c:pt idx="150">
                  <c:v>0.999985363103358</c:v>
                </c:pt>
                <c:pt idx="151">
                  <c:v>0.999986064949724</c:v>
                </c:pt>
                <c:pt idx="152">
                  <c:v>0.999999298153206</c:v>
                </c:pt>
                <c:pt idx="153">
                  <c:v>1.0</c:v>
                </c:pt>
                <c:pt idx="154">
                  <c:v>0.658571791503911</c:v>
                </c:pt>
                <c:pt idx="155">
                  <c:v>0.658571791503911</c:v>
                </c:pt>
                <c:pt idx="156">
                  <c:v>0.658572493971338</c:v>
                </c:pt>
                <c:pt idx="157">
                  <c:v>0.657920244350248</c:v>
                </c:pt>
                <c:pt idx="158">
                  <c:v>0.657920244350248</c:v>
                </c:pt>
                <c:pt idx="159">
                  <c:v>0.657920244350248</c:v>
                </c:pt>
                <c:pt idx="160">
                  <c:v>0.658571978953037</c:v>
                </c:pt>
                <c:pt idx="161">
                  <c:v>0.658571978953037</c:v>
                </c:pt>
                <c:pt idx="162">
                  <c:v>0.658572681420417</c:v>
                </c:pt>
                <c:pt idx="163">
                  <c:v>0.658572681420417</c:v>
                </c:pt>
                <c:pt idx="164">
                  <c:v>0.658583133140738</c:v>
                </c:pt>
                <c:pt idx="165">
                  <c:v>0.658583133140738</c:v>
                </c:pt>
                <c:pt idx="166">
                  <c:v>0.658583133140738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17160"/>
        <c:axId val="971413128"/>
      </c:lineChart>
      <c:catAx>
        <c:axId val="97141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71413128"/>
        <c:crosses val="autoZero"/>
        <c:auto val="1"/>
        <c:lblAlgn val="ctr"/>
        <c:lblOffset val="100"/>
        <c:noMultiLvlLbl val="0"/>
      </c:catAx>
      <c:valAx>
        <c:axId val="971413128"/>
        <c:scaling>
          <c:orientation val="minMax"/>
          <c:max val="1.0"/>
          <c:min val="0.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9714171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110" dropStyle="combo" dx="16" fmlaLink="$Z$6" fmlaRange="$AM$6:$AM$7" val="0"/>
</file>

<file path=xl/ctrlProps/ctrlProp10.xml><?xml version="1.0" encoding="utf-8"?>
<formControlPr xmlns="http://schemas.microsoft.com/office/spreadsheetml/2009/9/main" objectType="Label" lockText="1"/>
</file>

<file path=xl/ctrlProps/ctrlProp11.xml><?xml version="1.0" encoding="utf-8"?>
<formControlPr xmlns="http://schemas.microsoft.com/office/spreadsheetml/2009/9/main" objectType="Label" lockText="1"/>
</file>

<file path=xl/ctrlProps/ctrlProp12.xml><?xml version="1.0" encoding="utf-8"?>
<formControlPr xmlns="http://schemas.microsoft.com/office/spreadsheetml/2009/9/main" objectType="Label" lockText="1"/>
</file>

<file path=xl/ctrlProps/ctrlProp13.xml><?xml version="1.0" encoding="utf-8"?>
<formControlPr xmlns="http://schemas.microsoft.com/office/spreadsheetml/2009/9/main" objectType="Label" lockText="1"/>
</file>

<file path=xl/ctrlProps/ctrlProp14.xml><?xml version="1.0" encoding="utf-8"?>
<formControlPr xmlns="http://schemas.microsoft.com/office/spreadsheetml/2009/9/main" objectType="Spin" dx="16" fmlaLink="$AD$6" max="100" page="10" val="50"/>
</file>

<file path=xl/ctrlProps/ctrlProp15.xml><?xml version="1.0" encoding="utf-8"?>
<formControlPr xmlns="http://schemas.microsoft.com/office/spreadsheetml/2009/9/main" objectType="Spin" dx="0" fmlaLink="$AD$7" max="100" page="0" val="50"/>
</file>

<file path=xl/ctrlProps/ctrlProp16.xml><?xml version="1.0" encoding="utf-8"?>
<formControlPr xmlns="http://schemas.microsoft.com/office/spreadsheetml/2009/9/main" objectType="Spin" dx="0" fmlaLink="$AD$8" max="100" page="0" val="50"/>
</file>

<file path=xl/ctrlProps/ctrlProp2.xml><?xml version="1.0" encoding="utf-8"?>
<formControlPr xmlns="http://schemas.microsoft.com/office/spreadsheetml/2009/9/main" objectType="Drop" dropLines="110" dropStyle="combo" dx="16" fmlaLink="$Z$7" fmlaRange="$AM$6:$AM$7" val="0"/>
</file>

<file path=xl/ctrlProps/ctrlProp3.xml><?xml version="1.0" encoding="utf-8"?>
<formControlPr xmlns="http://schemas.microsoft.com/office/spreadsheetml/2009/9/main" objectType="Drop" dropLines="110" dropStyle="combo" dx="16" fmlaLink="$Z$8" fmlaRange="$AM$6:$AM$7" val="0"/>
</file>

<file path=xl/ctrlProps/ctrlProp4.xml><?xml version="1.0" encoding="utf-8"?>
<formControlPr xmlns="http://schemas.microsoft.com/office/spreadsheetml/2009/9/main" objectType="Drop" dropLines="110" dropStyle="combo" dx="16" fmlaLink="$AB$6" fmlaRange="$AN$6:$AN$8" sel="3" val="0"/>
</file>

<file path=xl/ctrlProps/ctrlProp5.xml><?xml version="1.0" encoding="utf-8"?>
<formControlPr xmlns="http://schemas.microsoft.com/office/spreadsheetml/2009/9/main" objectType="Drop" dropLines="142" dropStyle="combo" dx="16" fmlaLink="$AB$7" fmlaRange="$AN$6:$AN$8" sel="2" val="0"/>
</file>

<file path=xl/ctrlProps/ctrlProp6.xml><?xml version="1.0" encoding="utf-8"?>
<formControlPr xmlns="http://schemas.microsoft.com/office/spreadsheetml/2009/9/main" objectType="Drop" dropLines="142" dropStyle="combo" dx="16" fmlaLink="$AB$8" fmlaRange="$AN$6:$AN$8" val="0"/>
</file>

<file path=xl/ctrlProps/ctrlProp7.xml><?xml version="1.0" encoding="utf-8"?>
<formControlPr xmlns="http://schemas.microsoft.com/office/spreadsheetml/2009/9/main" objectType="Scroll" dx="16" fmlaLink="$AD$6" horiz="1" max="100" page="10" val="50"/>
</file>

<file path=xl/ctrlProps/ctrlProp8.xml><?xml version="1.0" encoding="utf-8"?>
<formControlPr xmlns="http://schemas.microsoft.com/office/spreadsheetml/2009/9/main" objectType="Scroll" dx="16" fmlaLink="$AD$7" horiz="1" max="100" page="10" val="50"/>
</file>

<file path=xl/ctrlProps/ctrlProp9.xml><?xml version="1.0" encoding="utf-8"?>
<formControlPr xmlns="http://schemas.microsoft.com/office/spreadsheetml/2009/9/main" objectType="Scroll" dx="16" fmlaLink="$AD$8" horiz="1" max="100" page="10" val="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228600</xdr:colOff>
          <xdr:row>2</xdr:row>
          <xdr:rowOff>76200</xdr:rowOff>
        </xdr:from>
        <xdr:to>
          <xdr:col>1</xdr:col>
          <xdr:colOff>571500</xdr:colOff>
          <xdr:row>2</xdr:row>
          <xdr:rowOff>330200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241300</xdr:colOff>
          <xdr:row>3</xdr:row>
          <xdr:rowOff>101600</xdr:rowOff>
        </xdr:from>
        <xdr:to>
          <xdr:col>1</xdr:col>
          <xdr:colOff>584200</xdr:colOff>
          <xdr:row>4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241300</xdr:colOff>
          <xdr:row>4</xdr:row>
          <xdr:rowOff>114300</xdr:rowOff>
        </xdr:from>
        <xdr:to>
          <xdr:col>1</xdr:col>
          <xdr:colOff>584200</xdr:colOff>
          <xdr:row>5</xdr:row>
          <xdr:rowOff>12700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660400</xdr:colOff>
          <xdr:row>2</xdr:row>
          <xdr:rowOff>76200</xdr:rowOff>
        </xdr:from>
        <xdr:to>
          <xdr:col>2</xdr:col>
          <xdr:colOff>368300</xdr:colOff>
          <xdr:row>2</xdr:row>
          <xdr:rowOff>330200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660400</xdr:colOff>
          <xdr:row>3</xdr:row>
          <xdr:rowOff>101600</xdr:rowOff>
        </xdr:from>
        <xdr:to>
          <xdr:col>2</xdr:col>
          <xdr:colOff>368300</xdr:colOff>
          <xdr:row>4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647700</xdr:colOff>
          <xdr:row>4</xdr:row>
          <xdr:rowOff>114300</xdr:rowOff>
        </xdr:from>
        <xdr:to>
          <xdr:col>2</xdr:col>
          <xdr:colOff>355600</xdr:colOff>
          <xdr:row>5</xdr:row>
          <xdr:rowOff>12700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444500</xdr:colOff>
          <xdr:row>2</xdr:row>
          <xdr:rowOff>127000</xdr:rowOff>
        </xdr:from>
        <xdr:to>
          <xdr:col>6</xdr:col>
          <xdr:colOff>203200</xdr:colOff>
          <xdr:row>3</xdr:row>
          <xdr:rowOff>50800</xdr:rowOff>
        </xdr:to>
        <xdr:sp macro="" textlink="">
          <xdr:nvSpPr>
            <xdr:cNvPr id="2055" name="Scroll Bar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444500</xdr:colOff>
          <xdr:row>3</xdr:row>
          <xdr:rowOff>139700</xdr:rowOff>
        </xdr:from>
        <xdr:to>
          <xdr:col>6</xdr:col>
          <xdr:colOff>203200</xdr:colOff>
          <xdr:row>4</xdr:row>
          <xdr:rowOff>50800</xdr:rowOff>
        </xdr:to>
        <xdr:sp macro="" textlink="">
          <xdr:nvSpPr>
            <xdr:cNvPr id="2056" name="Scroll Bar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444500</xdr:colOff>
          <xdr:row>4</xdr:row>
          <xdr:rowOff>114300</xdr:rowOff>
        </xdr:from>
        <xdr:to>
          <xdr:col>6</xdr:col>
          <xdr:colOff>203200</xdr:colOff>
          <xdr:row>5</xdr:row>
          <xdr:rowOff>25400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393700</xdr:colOff>
          <xdr:row>1</xdr:row>
          <xdr:rowOff>88900</xdr:rowOff>
        </xdr:from>
        <xdr:to>
          <xdr:col>1</xdr:col>
          <xdr:colOff>876300</xdr:colOff>
          <xdr:row>2</xdr:row>
          <xdr:rowOff>63500</xdr:rowOff>
        </xdr:to>
        <xdr:sp macro="" textlink="">
          <xdr:nvSpPr>
            <xdr:cNvPr id="2059" name="Labe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Type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266700</xdr:colOff>
          <xdr:row>1</xdr:row>
          <xdr:rowOff>88900</xdr:rowOff>
        </xdr:from>
        <xdr:to>
          <xdr:col>2</xdr:col>
          <xdr:colOff>749300</xdr:colOff>
          <xdr:row>2</xdr:row>
          <xdr:rowOff>63500</xdr:rowOff>
        </xdr:to>
        <xdr:sp macro="" textlink="">
          <xdr:nvSpPr>
            <xdr:cNvPr id="2060" name="Labe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Weight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1828800</xdr:colOff>
          <xdr:row>1</xdr:row>
          <xdr:rowOff>88900</xdr:rowOff>
        </xdr:from>
        <xdr:to>
          <xdr:col>2</xdr:col>
          <xdr:colOff>2324100</xdr:colOff>
          <xdr:row>2</xdr:row>
          <xdr:rowOff>63500</xdr:rowOff>
        </xdr:to>
        <xdr:sp macro="" textlink="">
          <xdr:nvSpPr>
            <xdr:cNvPr id="2061" name="Labe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Value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495300</xdr:colOff>
          <xdr:row>4</xdr:row>
          <xdr:rowOff>76200</xdr:rowOff>
        </xdr:from>
        <xdr:to>
          <xdr:col>29</xdr:col>
          <xdr:colOff>0</xdr:colOff>
          <xdr:row>4</xdr:row>
          <xdr:rowOff>292100</xdr:rowOff>
        </xdr:to>
        <xdr:sp macro="" textlink="">
          <xdr:nvSpPr>
            <xdr:cNvPr id="2062" name="Labe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Weight'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368300</xdr:colOff>
          <xdr:row>1</xdr:row>
          <xdr:rowOff>279400</xdr:rowOff>
        </xdr:from>
        <xdr:to>
          <xdr:col>6</xdr:col>
          <xdr:colOff>584200</xdr:colOff>
          <xdr:row>3</xdr:row>
          <xdr:rowOff>0</xdr:rowOff>
        </xdr:to>
        <xdr:sp macro="" textlink="">
          <xdr:nvSpPr>
            <xdr:cNvPr id="2063" name="Spinner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368300</xdr:colOff>
          <xdr:row>3</xdr:row>
          <xdr:rowOff>38100</xdr:rowOff>
        </xdr:from>
        <xdr:to>
          <xdr:col>6</xdr:col>
          <xdr:colOff>584200</xdr:colOff>
          <xdr:row>4</xdr:row>
          <xdr:rowOff>25400</xdr:rowOff>
        </xdr:to>
        <xdr:sp macro="" textlink="">
          <xdr:nvSpPr>
            <xdr:cNvPr id="2064" name="Spinner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368300</xdr:colOff>
          <xdr:row>4</xdr:row>
          <xdr:rowOff>12700</xdr:rowOff>
        </xdr:from>
        <xdr:to>
          <xdr:col>6</xdr:col>
          <xdr:colOff>584200</xdr:colOff>
          <xdr:row>5</xdr:row>
          <xdr:rowOff>12700</xdr:rowOff>
        </xdr:to>
        <xdr:sp macro="" textlink="">
          <xdr:nvSpPr>
            <xdr:cNvPr id="2065" name="Spinner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24</xdr:col>
      <xdr:colOff>33866</xdr:colOff>
      <xdr:row>36</xdr:row>
      <xdr:rowOff>38101</xdr:rowOff>
    </xdr:from>
    <xdr:to>
      <xdr:col>41</xdr:col>
      <xdr:colOff>351366</xdr:colOff>
      <xdr:row>61</xdr:row>
      <xdr:rowOff>78587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582084</xdr:colOff>
      <xdr:row>9</xdr:row>
      <xdr:rowOff>55032</xdr:rowOff>
    </xdr:from>
    <xdr:to>
      <xdr:col>31</xdr:col>
      <xdr:colOff>202898</xdr:colOff>
      <xdr:row>23</xdr:row>
      <xdr:rowOff>50800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Input" displayName="Input" ref="A4:W171" totalsRowShown="0" headerRowDxfId="93">
  <autoFilter ref="A4:W171"/>
  <tableColumns count="23">
    <tableColumn id="1" name="MD5" dataDxfId="92"/>
    <tableColumn id="23" name="QW#" dataDxfId="91"/>
    <tableColumn id="2" name="time" dataDxfId="90">
      <calculatedColumnFormula>VLOOKUP(Input[[#This Row],[MD5]],buildtime[#All],2,FALSE)</calculatedColumnFormula>
    </tableColumn>
    <tableColumn id="3" name="price" dataDxfId="89">
      <calculatedColumnFormula>VLOOKUP(Input[[#This Row],[MD5]],buildtime[#All],3,FALSE)</calculatedColumnFormula>
    </tableColumn>
    <tableColumn id="4" name="energy" dataDxfId="88">
      <calculatedColumnFormula>VLOOKUP(Input[[#This Row],[MD5]],buildtime[#All],4,FALSE)</calculatedColumnFormula>
    </tableColumn>
    <tableColumn id="5" name="time2" dataDxfId="87">
      <calculatedColumnFormula>VLOOKUP(Input[[#This Row],[MD5]],partialcf[#All],2,FALSE)</calculatedColumnFormula>
    </tableColumn>
    <tableColumn id="6" name="price2" dataDxfId="86">
      <calculatedColumnFormula>VLOOKUP(Input[[#This Row],[MD5]],partialcf[#All],3,FALSE)</calculatedColumnFormula>
    </tableColumn>
    <tableColumn id="7" name="energy2" dataDxfId="85">
      <calculatedColumnFormula>VLOOKUP(Input[[#This Row],[MD5]],partialcf[#All],4,FALSE)</calculatedColumnFormula>
    </tableColumn>
    <tableColumn id="8" name="time'2" dataDxfId="84">
      <calculatedColumnFormula>Input[[#This Row],[time2]]/$B$1</calculatedColumnFormula>
    </tableColumn>
    <tableColumn id="9" name="price'2" dataDxfId="83">
      <calculatedColumnFormula>Input[[#This Row],[price2]]/$B$1</calculatedColumnFormula>
    </tableColumn>
    <tableColumn id="10" name="energy'2" dataDxfId="82">
      <calculatedColumnFormula>Input[[#This Row],[energy2]]/$B$1</calculatedColumnFormula>
    </tableColumn>
    <tableColumn id="11" name="time3" dataDxfId="81">
      <calculatedColumnFormula>VLOOKUP(Input[[#This Row],[MD5]],fullcf[#All],2,FALSE)</calculatedColumnFormula>
    </tableColumn>
    <tableColumn id="12" name="price3" dataDxfId="80">
      <calculatedColumnFormula>VLOOKUP(Input[[#This Row],[MD5]],fullcf[#All],3,FALSE)</calculatedColumnFormula>
    </tableColumn>
    <tableColumn id="13" name="energy3" dataDxfId="79">
      <calculatedColumnFormula>VLOOKUP(Input[[#This Row],[MD5]],fullcf[#All],4,FALSE)</calculatedColumnFormula>
    </tableColumn>
    <tableColumn id="14" name="time'3" dataDxfId="78">
      <calculatedColumnFormula>Input[[#This Row],[time3]]/$B$1</calculatedColumnFormula>
    </tableColumn>
    <tableColumn id="15" name="price'3" dataDxfId="77">
      <calculatedColumnFormula>Input[[#This Row],[price3]]/$B$1</calculatedColumnFormula>
    </tableColumn>
    <tableColumn id="16" name="energy'3" dataDxfId="76">
      <calculatedColumnFormula>Input[[#This Row],[energy3]]/$B$1</calculatedColumnFormula>
    </tableColumn>
    <tableColumn id="17" name="time4" dataDxfId="75">
      <calculatedColumnFormula>VLOOKUP(Input[[#This Row],[MD5]],df[#All],2,FALSE)</calculatedColumnFormula>
    </tableColumn>
    <tableColumn id="18" name="price4" dataDxfId="74">
      <calculatedColumnFormula>VLOOKUP(Input[[#This Row],[MD5]],df[#All],3,FALSE)</calculatedColumnFormula>
    </tableColumn>
    <tableColumn id="19" name="energy4" dataDxfId="73">
      <calculatedColumnFormula>VLOOKUP(Input[[#This Row],[MD5]],df[#All],4,FALSE)</calculatedColumnFormula>
    </tableColumn>
    <tableColumn id="20" name="time'4" dataDxfId="72">
      <calculatedColumnFormula>Input[[#This Row],[time4]]/$B$1</calculatedColumnFormula>
    </tableColumn>
    <tableColumn id="21" name="price'4" dataDxfId="71">
      <calculatedColumnFormula>Input[[#This Row],[price4]]/$B$1</calculatedColumnFormula>
    </tableColumn>
    <tableColumn id="22" name="energy'4" dataDxfId="70">
      <calculatedColumnFormula>Input[[#This Row],[energy4]]/$B$1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5" name="partialcf" displayName="partialcf" ref="A1:D168" totalsRowShown="0" headerRowDxfId="22">
  <autoFilter ref="A1:D168"/>
  <tableColumns count="4">
    <tableColumn id="1" name="MD5" dataDxfId="21"/>
    <tableColumn id="2" name="time"/>
    <tableColumn id="3" name="pride"/>
    <tableColumn id="4" name="energy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6" name="fullcf" displayName="fullcf" ref="A1:D168" totalsRowShown="0" headerRowDxfId="20">
  <autoFilter ref="A1:D168"/>
  <tableColumns count="4">
    <tableColumn id="1" name="MD5"/>
    <tableColumn id="2" name="time"/>
    <tableColumn id="3" name="price"/>
    <tableColumn id="4" name="energy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id="7" name="df" displayName="df" ref="A1:D168" totalsRowShown="0" headerRowDxfId="19">
  <autoFilter ref="A1:D168"/>
  <tableColumns count="4">
    <tableColumn id="1" name="MD5"/>
    <tableColumn id="2" name="time"/>
    <tableColumn id="3" name="price"/>
    <tableColumn id="4" name="energy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9:W176" totalsRowShown="0" headerRowDxfId="69" tableBorderDxfId="68">
  <autoFilter ref="B9:W176"/>
  <sortState ref="B10:W176">
    <sortCondition ref="H9:H176"/>
  </sortState>
  <tableColumns count="22">
    <tableColumn id="1" name="QW#" dataDxfId="18"/>
    <tableColumn id="2" name="MD5" dataDxfId="67"/>
    <tableColumn id="3" name="time" dataDxfId="66">
      <calculatedColumnFormula>VLOOKUP(Table3[[#This Row],[MD5]],Input[],3,FALSE)+(Distances!$AA$6*(ABS(Distances!$AD$6-VLOOKUP(Table3[[#This Row],[MD5]],Input[],3,FALSE))*Distances!$AC$6))</calculatedColumnFormula>
    </tableColumn>
    <tableColumn id="4" name="price" dataDxfId="65">
      <calculatedColumnFormula>VLOOKUP(Table3[[#This Row],[MD5]],Input[],4,FALSE)+(Distances!$AA$7*(ABS(Distances!$AD$7-VLOOKUP(Table3[[#This Row],[MD5]],Input[],4,FALSE))*Distances!$AC$7))</calculatedColumnFormula>
    </tableColumn>
    <tableColumn id="5" name="energy" dataDxfId="64">
      <calculatedColumnFormula>VLOOKUP(Table3[[#This Row],[MD5]],Input[],5,FALSE)+(Distances!$AA$8*(ABS(Distances!$AD$8-VLOOKUP(Table3[[#This Row],[MD5]],Input[],5,FALSE))*Distances!$AC$8))</calculatedColumnFormula>
    </tableColumn>
    <tableColumn id="6" name="score-bt" dataDxfId="63">
      <calculatedColumnFormula>SQRT(SUM((Table3[[#This Row],[time]]-Distances!$AD$6)^2,(Table3[[#This Row],[price]]-Distances!$AD$7)^2,(Table3[[#This Row],[energy]]-Distances!$AD$8)^2))</calculatedColumnFormula>
    </tableColumn>
    <tableColumn id="19" name="norm-bt" dataDxfId="62">
      <calculatedColumnFormula>((Table3[[#This Row],[score-bt]]-MIN(Table3[score-bt]))*$G$6)/(MAX(Table3[score-bt])-MIN(Table3[score-bt]))</calculatedColumnFormula>
    </tableColumn>
    <tableColumn id="7" name="time'2" dataDxfId="61">
      <calculatedColumnFormula>VLOOKUP(Table3[[#This Row],[MD5]],Input[],9,FALSE)+(Distances!$AA$6*(ABS(Distances!$AD$6-VLOOKUP(Table3[[#This Row],[MD5]],Input[],9,FALSE))*Distances!$AC$6))</calculatedColumnFormula>
    </tableColumn>
    <tableColumn id="8" name="price'2" dataDxfId="60">
      <calculatedColumnFormula>VLOOKUP(Table3[[#This Row],[MD5]],Input[],10,FALSE)+(Distances!$AA$7*(ABS(Distances!$AD$7-VLOOKUP(Table3[[#This Row],[MD5]],Input[],10,FALSE))*Distances!$AC$7))</calculatedColumnFormula>
    </tableColumn>
    <tableColumn id="9" name="energy'2" dataDxfId="59">
      <calculatedColumnFormula>VLOOKUP(Table3[[#This Row],[MD5]],Input[],11,FALSE)+(Distances!$AA$8*(ABS(Distances!$AD$8-VLOOKUP(Table3[[#This Row],[MD5]],Input[],11,FALSE))*Distances!$AC$8))</calculatedColumnFormula>
    </tableColumn>
    <tableColumn id="10" name="score-rt-partialcf" dataDxfId="58">
      <calculatedColumnFormula>SQRT(SUM((Table3[[#This Row],[time''2]]-Distances!$AD$6)^2,(Table3[[#This Row],[price''2]]-Distances!$AD$7)^2,(Table3[[#This Row],[energy''2]]-Distances!$AD$8)^2))</calculatedColumnFormula>
    </tableColumn>
    <tableColumn id="20" name="norm-rt-partialcf" dataDxfId="57">
      <calculatedColumnFormula>((Table3[[#This Row],[score-rt-partialcf]]-MIN(Table3[score-rt-partialcf]))*$G$6)/(MAX(Table3[score-rt-partialcf])-MIN(Table3[score-rt-partialcf]))</calculatedColumnFormula>
    </tableColumn>
    <tableColumn id="11" name="time'3" dataDxfId="56">
      <calculatedColumnFormula>VLOOKUP(Table3[[#This Row],[MD5]],Input[],15,FALSE)+(Distances!$AA$6*(ABS(Distances!$AD$6-VLOOKUP(Table3[[#This Row],[MD5]],Input[],15,FALSE))*Distances!$AC$6))</calculatedColumnFormula>
    </tableColumn>
    <tableColumn id="12" name="price'3" dataDxfId="55">
      <calculatedColumnFormula>VLOOKUP(Table3[[#This Row],[MD5]],Input[],16,FALSE)+(Distances!$AA$7*(ABS(Distances!$AD$7-VLOOKUP(Table3[[#This Row],[MD5]],Input[],16,FALSE))*Distances!$AC$7))</calculatedColumnFormula>
    </tableColumn>
    <tableColumn id="13" name="energy'3" dataDxfId="54">
      <calculatedColumnFormula>VLOOKUP(Table3[[#This Row],[MD5]],Input[],17,FALSE)+(Distances!$AA$8*(ABS(Distances!$AD$8-VLOOKUP(Table3[[#This Row],[MD5]],Input[],11,FALSE))*Distances!$AC$8))</calculatedColumnFormula>
    </tableColumn>
    <tableColumn id="14" name="score-rt-fullcf" dataDxfId="53">
      <calculatedColumnFormula>SQRT(SUM((Table3[[#This Row],[time''3]]-Distances!$AD$6)^2,(Table3[[#This Row],[price''3]]-Distances!$AD$7)^2,(Table3[[#This Row],[energy''3]]-Distances!$AD$8)^2))</calculatedColumnFormula>
    </tableColumn>
    <tableColumn id="21" name="norm-rt-fullcf" dataDxfId="52">
      <calculatedColumnFormula>((Table3[[#This Row],[score-rt-fullcf]]-MIN(Table3[score-rt-fullcf]))*$G$6)/(MAX(Table3[score-rt-fullcf])-MIN(Table3[score-rt-fullcf]))</calculatedColumnFormula>
    </tableColumn>
    <tableColumn id="15" name="time'4" dataDxfId="51">
      <calculatedColumnFormula>VLOOKUP(Table3[[#This Row],[MD5]],Input[],21,FALSE)+(Distances!$AI$6*(ABS(Distances!$L$3-VLOOKUP(Table3[[#This Row],[MD5]],Input[],21,FALSE))*Distances!$AC$6))</calculatedColumnFormula>
    </tableColumn>
    <tableColumn id="16" name="price'4" dataDxfId="50">
      <calculatedColumnFormula>VLOOKUP(Table3[[#This Row],[MD5]],Input[],22,FALSE)+(Distances!$AI$7*(ABS(Distances!$AB$7-VLOOKUP(Table3[[#This Row],[MD5]],Input[],22,FALSE))*Distances!$AC$7))</calculatedColumnFormula>
    </tableColumn>
    <tableColumn id="17" name="energy'4" dataDxfId="49">
      <calculatedColumnFormula>VLOOKUP(Table3[[#This Row],[MD5]],Input[],23,FALSE)+(Distances!$AI$8*(ABS(Distances!$AD$8-VLOOKUP(Table3[[#This Row],[MD5]],Input[],23,FALSE))*Distances!$AC$8))</calculatedColumnFormula>
    </tableColumn>
    <tableColumn id="18" name="score-rt-df" dataDxfId="48">
      <calculatedColumnFormula>SQRT(SUM((Table3[[#This Row],[time''4]]-Distances!$AD$6)^2,(Table3[[#This Row],[price''4]]-Distances!$AD$7)^2,(Table3[[#This Row],[energy''4]]-Distances!$AD$8)^2))</calculatedColumnFormula>
    </tableColumn>
    <tableColumn id="22" name="norm-rt-df" dataDxfId="47">
      <calculatedColumnFormula>((Table3[[#This Row],[score-rt-df]]-MIN(Table3[score-rt-df]))*$G$6)/(MAX(Table3[score-rt-df])-MIN(Table3[score-rt-df]))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Params" displayName="Params" ref="Y5:AD8" totalsRowShown="0" headerRowDxfId="46" headerRowCellStyle="Bon">
  <autoFilter ref="Y5:AD8"/>
  <tableColumns count="6">
    <tableColumn id="1" name="Colonne1" dataDxfId="45"/>
    <tableColumn id="2" name="type" dataDxfId="44"/>
    <tableColumn id="3" name="sign" dataDxfId="43">
      <calculatedColumnFormula>IF(Z6=2, VLOOKUP($D$7,Table9[#All],2,FALSE),VLOOKUP($D$7,Table9[#All],3,FALSE))</calculatedColumnFormula>
    </tableColumn>
    <tableColumn id="4" name="weight" dataDxfId="42"/>
    <tableColumn id="5" name="weight'" dataDxfId="41">
      <calculatedColumnFormula>AB6/SUM($AB$6,$AB$7,$AB$8)</calculatedColumnFormula>
    </tableColumn>
    <tableColumn id="6" name="valu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8" name="Params9" displayName="Params9" ref="AG5:AI8" totalsRowShown="0" headerRowDxfId="40" headerRowCellStyle="Bon">
  <autoFilter ref="AG5:AI8"/>
  <tableColumns count="3">
    <tableColumn id="1" name="Colonne1" dataDxfId="39"/>
    <tableColumn id="2" name="type" dataDxfId="38">
      <calculatedColumnFormula>Params[[#This Row],[type]]</calculatedColumnFormula>
    </tableColumn>
    <tableColumn id="3" name="sign" dataDxfId="37">
      <calculatedColumnFormula>IF(AH6=2, VLOOKUP($S$7,Table9[#All],2,FALSE),VLOOKUP($S$7,Table9[#All],3,FALSE))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Y1:AA3" totalsRowShown="0">
  <autoFilter ref="Y1:AA3"/>
  <tableColumns count="3">
    <tableColumn id="1" name="Colonne1"/>
    <tableColumn id="2" name="loss"/>
    <tableColumn id="3" name="profit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Y9:BF176" totalsRowShown="0" headerRowDxfId="36">
  <autoFilter ref="AY9:BF176"/>
  <tableColumns count="8">
    <tableColumn id="1" name="QW#">
      <calculatedColumnFormula>Table3[[#This Row],[QW'#]]</calculatedColumnFormula>
    </tableColumn>
    <tableColumn id="2" name="MD5" dataDxfId="35">
      <calculatedColumnFormula>VLOOKUP(Table10[[#This Row],[QW'#]],Table3[],2,FALSE)</calculatedColumnFormula>
    </tableColumn>
    <tableColumn id="4" name="Retrieved" dataDxfId="34">
      <calculatedColumnFormula>IF(ABS(VLOOKUP(Table10[[#This Row],[QW'#]],Table3[],7,FALSE)-0)&lt;=$AZ$6,1,0)</calculatedColumnFormula>
    </tableColumn>
    <tableColumn id="3" name="Relevant" dataDxfId="33">
      <calculatedColumnFormula>IF(ABS(VLOOKUP(Table10[[#This Row],[QW'#]],Table3[],22,FALSE)-0)&lt;=$AZ$6,1,0)</calculatedColumnFormula>
    </tableColumn>
    <tableColumn id="5" name="TN" dataDxfId="32">
      <calculatedColumnFormula>IF(AND(Table10[[#This Row],[Retrieved]]=0, Table10[[#This Row],[Relevant]]=0),1,0)</calculatedColumnFormula>
    </tableColumn>
    <tableColumn id="6" name="FN" dataDxfId="31">
      <calculatedColumnFormula>IF(AND(Table10[[#This Row],[Retrieved]]=0, Table10[[#This Row],[Relevant]]=1),1,0)</calculatedColumnFormula>
    </tableColumn>
    <tableColumn id="7" name="FP" dataDxfId="30">
      <calculatedColumnFormula>IF(AND(Table10[[#This Row],[Retrieved]]=1, Table10[[#This Row],[Relevant]]=0),1,0)</calculatedColumnFormula>
    </tableColumn>
    <tableColumn id="8" name="TP" dataDxfId="29">
      <calculatedColumnFormula>IF(AND(Table10[[#This Row],[Retrieved]]=1, Table10[[#This Row],[Relevant]]=1),1,0)</calculatedColumnFormula>
    </tableColumn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BC7:BF8" totalsRowShown="0" headerRowDxfId="12" dataDxfId="13">
  <autoFilter ref="BC7:BF8"/>
  <tableColumns count="4">
    <tableColumn id="1" name="TN" dataDxfId="17">
      <calculatedColumnFormula>SUM(Table10[TN])</calculatedColumnFormula>
    </tableColumn>
    <tableColumn id="2" name="FN" dataDxfId="16">
      <calculatedColumnFormula>SUM(Table10[FN])</calculatedColumnFormula>
    </tableColumn>
    <tableColumn id="3" name="FP" dataDxfId="15">
      <calculatedColumnFormula>SUM(Table10[FP])</calculatedColumnFormula>
    </tableColumn>
    <tableColumn id="4" name="TP" dataDxfId="14">
      <calculatedColumnFormula>SUM(Table10[TP])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BC3:BD4" totalsRowShown="0" headerRowDxfId="0" dataDxfId="1">
  <autoFilter ref="BC3:BD4"/>
  <tableColumns count="2">
    <tableColumn id="1" name="Precision" dataDxfId="3">
      <calculatedColumnFormula>Table11[TP]/(Table11[TP]+Table11[FP])</calculatedColumnFormula>
    </tableColumn>
    <tableColumn id="2" name="Recall" dataDxfId="2">
      <calculatedColumnFormula>Table11[TP]/(Table11[TP]+Table11[FN])</calculatedColumnFormula>
    </tableColumn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id="4" name="buildtime" displayName="buildtime" ref="A1:D168" totalsRowShown="0" headerRowDxfId="28" dataDxfId="27">
  <autoFilter ref="A1:D168"/>
  <tableColumns count="4">
    <tableColumn id="1" name="MD5" dataDxfId="26"/>
    <tableColumn id="2" name="time" dataDxfId="25"/>
    <tableColumn id="3" name="price" dataDxfId="24"/>
    <tableColumn id="4" name="energy" dataDxfId="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20" Type="http://schemas.openxmlformats.org/officeDocument/2006/relationships/table" Target="../tables/table3.xml"/><Relationship Id="rId21" Type="http://schemas.openxmlformats.org/officeDocument/2006/relationships/table" Target="../tables/table4.xml"/><Relationship Id="rId22" Type="http://schemas.openxmlformats.org/officeDocument/2006/relationships/table" Target="../tables/table5.xml"/><Relationship Id="rId23" Type="http://schemas.openxmlformats.org/officeDocument/2006/relationships/table" Target="../tables/table6.xml"/><Relationship Id="rId24" Type="http://schemas.openxmlformats.org/officeDocument/2006/relationships/table" Target="../tables/table7.xml"/><Relationship Id="rId25" Type="http://schemas.openxmlformats.org/officeDocument/2006/relationships/table" Target="../tables/table8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table" Target="../tables/table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W171"/>
  <sheetViews>
    <sheetView workbookViewId="0">
      <selection activeCell="B1" sqref="B1"/>
    </sheetView>
  </sheetViews>
  <sheetFormatPr baseColWidth="10" defaultRowHeight="15" x14ac:dyDescent="0"/>
  <cols>
    <col min="1" max="1" width="5.83203125" customWidth="1"/>
    <col min="2" max="2" width="11.5" bestFit="1" customWidth="1"/>
    <col min="3" max="3" width="11" bestFit="1" customWidth="1"/>
    <col min="4" max="4" width="11.33203125" bestFit="1" customWidth="1"/>
    <col min="5" max="5" width="13.1640625" bestFit="1" customWidth="1"/>
    <col min="6" max="7" width="16.1640625" bestFit="1" customWidth="1"/>
    <col min="8" max="8" width="15.1640625" bestFit="1" customWidth="1"/>
    <col min="9" max="9" width="12.6640625" bestFit="1" customWidth="1"/>
    <col min="10" max="10" width="13" bestFit="1" customWidth="1"/>
    <col min="11" max="11" width="14.83203125" bestFit="1" customWidth="1"/>
    <col min="12" max="13" width="16.1640625" bestFit="1" customWidth="1"/>
    <col min="14" max="14" width="15.1640625" bestFit="1" customWidth="1"/>
    <col min="15" max="15" width="12.6640625" bestFit="1" customWidth="1"/>
    <col min="16" max="16" width="13" bestFit="1" customWidth="1"/>
    <col min="17" max="17" width="14.83203125" bestFit="1" customWidth="1"/>
    <col min="18" max="18" width="16.1640625" bestFit="1" customWidth="1"/>
    <col min="19" max="20" width="15.1640625" bestFit="1" customWidth="1"/>
    <col min="21" max="21" width="12.6640625" bestFit="1" customWidth="1"/>
    <col min="22" max="22" width="13" bestFit="1" customWidth="1"/>
    <col min="23" max="23" width="14.83203125" bestFit="1" customWidth="1"/>
  </cols>
  <sheetData>
    <row r="1" spans="1:23">
      <c r="B1">
        <v>15000</v>
      </c>
    </row>
    <row r="2" spans="1:23">
      <c r="A2" s="14"/>
      <c r="C2" s="60" t="s">
        <v>0</v>
      </c>
      <c r="D2" s="61"/>
      <c r="E2" s="62"/>
      <c r="F2" s="67" t="s">
        <v>214</v>
      </c>
      <c r="G2" s="67"/>
      <c r="H2" s="67"/>
      <c r="I2" s="67"/>
      <c r="J2" s="67"/>
      <c r="K2" s="67"/>
      <c r="L2" s="67" t="s">
        <v>215</v>
      </c>
      <c r="M2" s="67"/>
      <c r="N2" s="67"/>
      <c r="O2" s="67"/>
      <c r="P2" s="67"/>
      <c r="Q2" s="67"/>
      <c r="R2" s="67" t="s">
        <v>216</v>
      </c>
      <c r="S2" s="67"/>
      <c r="T2" s="67"/>
      <c r="U2" s="67"/>
      <c r="V2" s="67"/>
      <c r="W2" s="67"/>
    </row>
    <row r="3" spans="1:23" ht="16" thickBot="1">
      <c r="A3" s="14"/>
      <c r="C3" s="63"/>
      <c r="D3" s="64"/>
      <c r="E3" s="65"/>
      <c r="F3" s="66" t="s">
        <v>1</v>
      </c>
      <c r="G3" s="66"/>
      <c r="H3" s="66"/>
      <c r="I3" s="66" t="s">
        <v>8</v>
      </c>
      <c r="J3" s="66"/>
      <c r="K3" s="66"/>
      <c r="L3" s="66" t="s">
        <v>1</v>
      </c>
      <c r="M3" s="66"/>
      <c r="N3" s="66"/>
      <c r="O3" s="66" t="s">
        <v>8</v>
      </c>
      <c r="P3" s="66"/>
      <c r="Q3" s="66"/>
      <c r="R3" s="66" t="s">
        <v>1</v>
      </c>
      <c r="S3" s="66"/>
      <c r="T3" s="66"/>
      <c r="U3" s="66" t="s">
        <v>8</v>
      </c>
      <c r="V3" s="66"/>
      <c r="W3" s="66"/>
    </row>
    <row r="4" spans="1:23" s="2" customFormat="1" ht="18">
      <c r="A4" s="9" t="s">
        <v>368</v>
      </c>
      <c r="B4" s="9" t="s">
        <v>369</v>
      </c>
      <c r="C4" s="15" t="s">
        <v>2</v>
      </c>
      <c r="D4" s="16" t="s">
        <v>3</v>
      </c>
      <c r="E4" s="17" t="s">
        <v>4</v>
      </c>
      <c r="F4" s="15" t="s">
        <v>346</v>
      </c>
      <c r="G4" s="16" t="s">
        <v>347</v>
      </c>
      <c r="H4" s="16" t="s">
        <v>348</v>
      </c>
      <c r="I4" s="16" t="s">
        <v>353</v>
      </c>
      <c r="J4" s="16" t="s">
        <v>354</v>
      </c>
      <c r="K4" s="17" t="s">
        <v>356</v>
      </c>
      <c r="L4" s="15" t="s">
        <v>350</v>
      </c>
      <c r="M4" s="16" t="s">
        <v>351</v>
      </c>
      <c r="N4" s="16" t="s">
        <v>349</v>
      </c>
      <c r="O4" s="16" t="s">
        <v>357</v>
      </c>
      <c r="P4" s="16" t="s">
        <v>358</v>
      </c>
      <c r="Q4" s="17" t="s">
        <v>355</v>
      </c>
      <c r="R4" s="15" t="s">
        <v>359</v>
      </c>
      <c r="S4" s="16" t="s">
        <v>360</v>
      </c>
      <c r="T4" s="16" t="s">
        <v>352</v>
      </c>
      <c r="U4" s="16" t="s">
        <v>362</v>
      </c>
      <c r="V4" s="16" t="s">
        <v>361</v>
      </c>
      <c r="W4" s="17" t="s">
        <v>363</v>
      </c>
    </row>
    <row r="5" spans="1:23">
      <c r="A5" s="24" t="s">
        <v>47</v>
      </c>
      <c r="B5" s="13" t="s">
        <v>9</v>
      </c>
      <c r="C5" s="18">
        <f>VLOOKUP(Input[[#This Row],[MD5]],buildtime[#All],2,FALSE)</f>
        <v>50.51142857</v>
      </c>
      <c r="D5" s="19">
        <f>VLOOKUP(Input[[#This Row],[MD5]],buildtime[#All],3,FALSE)</f>
        <v>65.7</v>
      </c>
      <c r="E5" s="20">
        <f>VLOOKUP(Input[[#This Row],[MD5]],buildtime[#All],4,FALSE)</f>
        <v>57.42</v>
      </c>
      <c r="F5" s="18">
        <f>VLOOKUP(Input[[#This Row],[MD5]],partialcf[#All],2,FALSE)</f>
        <v>661600.75770401699</v>
      </c>
      <c r="G5" s="18">
        <f>VLOOKUP(Input[[#This Row],[MD5]],partialcf[#All],3,FALSE)</f>
        <v>622002.33168749895</v>
      </c>
      <c r="H5" s="18">
        <f>VLOOKUP(Input[[#This Row],[MD5]],partialcf[#All],4,FALSE)</f>
        <v>543163.03132499906</v>
      </c>
      <c r="I5" s="19">
        <f>Input[[#This Row],[time2]]/$B$1</f>
        <v>44.1067171802678</v>
      </c>
      <c r="J5" s="19">
        <f>Input[[#This Row],[price2]]/$B$1</f>
        <v>41.466822112499933</v>
      </c>
      <c r="K5" s="20">
        <f>Input[[#This Row],[energy2]]/$B$1</f>
        <v>36.210868754999936</v>
      </c>
      <c r="L5" s="18">
        <f>VLOOKUP(Input[[#This Row],[MD5]],fullcf[#All],2,FALSE)</f>
        <v>661265.94439151697</v>
      </c>
      <c r="M5" s="18">
        <f>VLOOKUP(Input[[#This Row],[MD5]],fullcf[#All],3,FALSE)</f>
        <v>1427879.4166875</v>
      </c>
      <c r="N5" s="18">
        <f>VLOOKUP(Input[[#This Row],[MD5]],fullcf[#All],4,FALSE)</f>
        <v>1241589.8383249899</v>
      </c>
      <c r="O5" s="19">
        <f>Input[[#This Row],[time3]]/$B$1</f>
        <v>44.084396292767799</v>
      </c>
      <c r="P5" s="19">
        <f>Input[[#This Row],[price3]]/$B$1</f>
        <v>95.191961112499996</v>
      </c>
      <c r="Q5" s="20">
        <f>Input[[#This Row],[energy3]]/$B$1</f>
        <v>82.772655888332665</v>
      </c>
      <c r="R5" s="18">
        <f>VLOOKUP(Input[[#This Row],[MD5]],df[#All],2,FALSE)</f>
        <v>22232014988</v>
      </c>
      <c r="S5" s="18">
        <f>VLOOKUP(Input[[#This Row],[MD5]],df[#All],3,FALSE)</f>
        <v>5454156725.25</v>
      </c>
      <c r="T5" s="18">
        <f>VLOOKUP(Input[[#This Row],[MD5]],df[#All],4,FALSE)</f>
        <v>3204421028.8499899</v>
      </c>
      <c r="U5" s="19">
        <f>Input[[#This Row],[time4]]/$B$1</f>
        <v>1482134.3325333332</v>
      </c>
      <c r="V5" s="19">
        <f>Input[[#This Row],[price4]]/$B$1</f>
        <v>363610.44835000002</v>
      </c>
      <c r="W5" s="20">
        <f>Input[[#This Row],[energy4]]/$B$1</f>
        <v>213628.06858999934</v>
      </c>
    </row>
    <row r="6" spans="1:23">
      <c r="A6" s="24" t="s">
        <v>48</v>
      </c>
      <c r="B6" s="13" t="s">
        <v>10</v>
      </c>
      <c r="C6" s="18">
        <f>VLOOKUP(Input[[#This Row],[MD5]],buildtime[#All],2,FALSE)</f>
        <v>56.24428571</v>
      </c>
      <c r="D6" s="19">
        <f>VLOOKUP(Input[[#This Row],[MD5]],buildtime[#All],3,FALSE)</f>
        <v>64.2</v>
      </c>
      <c r="E6" s="20">
        <f>VLOOKUP(Input[[#This Row],[MD5]],buildtime[#All],4,FALSE)</f>
        <v>56.12</v>
      </c>
      <c r="F6" s="18">
        <f>VLOOKUP(Input[[#This Row],[MD5]],partialcf[#All],2,FALSE)</f>
        <v>661600.39977589203</v>
      </c>
      <c r="G6" s="19">
        <f>VLOOKUP(Input[[#This Row],[MD5]],partialcf[#All],3,FALSE)</f>
        <v>622001.88871874905</v>
      </c>
      <c r="H6" s="19">
        <f>VLOOKUP(Input[[#This Row],[MD5]],partialcf[#All],4,FALSE)</f>
        <v>543162.64741874905</v>
      </c>
      <c r="I6" s="19">
        <f>Input[[#This Row],[time2]]/$B$1</f>
        <v>44.1066933183928</v>
      </c>
      <c r="J6" s="19">
        <f>Input[[#This Row],[price2]]/$B$1</f>
        <v>41.466792581249933</v>
      </c>
      <c r="K6" s="20">
        <f>Input[[#This Row],[energy2]]/$B$1</f>
        <v>36.21084316124994</v>
      </c>
      <c r="L6" s="18">
        <f>VLOOKUP(Input[[#This Row],[MD5]],fullcf[#All],2,FALSE)</f>
        <v>661265.529182142</v>
      </c>
      <c r="M6" s="19">
        <f>VLOOKUP(Input[[#This Row],[MD5]],fullcf[#All],3,FALSE)</f>
        <v>1427878.9113749899</v>
      </c>
      <c r="N6" s="19">
        <f>VLOOKUP(Input[[#This Row],[MD5]],fullcf[#All],4,FALSE)</f>
        <v>1241589.4003874899</v>
      </c>
      <c r="O6" s="19">
        <f>Input[[#This Row],[time3]]/$B$1</f>
        <v>44.084368612142796</v>
      </c>
      <c r="P6" s="19">
        <f>Input[[#This Row],[price3]]/$B$1</f>
        <v>95.191927424999321</v>
      </c>
      <c r="Q6" s="20">
        <f>Input[[#This Row],[energy3]]/$B$1</f>
        <v>82.77262669249933</v>
      </c>
      <c r="R6" s="18">
        <f>VLOOKUP(Input[[#This Row],[MD5]],df[#All],2,FALSE)</f>
        <v>22231704296</v>
      </c>
      <c r="S6" s="19">
        <f>VLOOKUP(Input[[#This Row],[MD5]],df[#All],3,FALSE)</f>
        <v>5454098525.25</v>
      </c>
      <c r="T6" s="19">
        <f>VLOOKUP(Input[[#This Row],[MD5]],df[#All],4,FALSE)</f>
        <v>3204386108.8499899</v>
      </c>
      <c r="U6" s="19">
        <f>Input[[#This Row],[time4]]/$B$1</f>
        <v>1482113.6197333334</v>
      </c>
      <c r="V6" s="19">
        <f>Input[[#This Row],[price4]]/$B$1</f>
        <v>363606.56835000002</v>
      </c>
      <c r="W6" s="20">
        <f>Input[[#This Row],[energy4]]/$B$1</f>
        <v>213625.74058999933</v>
      </c>
    </row>
    <row r="7" spans="1:23">
      <c r="A7" s="24" t="s">
        <v>49</v>
      </c>
      <c r="B7" s="13" t="s">
        <v>11</v>
      </c>
      <c r="C7" s="18">
        <f>VLOOKUP(Input[[#This Row],[MD5]],buildtime[#All],2,FALSE)</f>
        <v>50.51142857</v>
      </c>
      <c r="D7" s="19">
        <f>VLOOKUP(Input[[#This Row],[MD5]],buildtime[#All],3,FALSE)</f>
        <v>65.7</v>
      </c>
      <c r="E7" s="20">
        <f>VLOOKUP(Input[[#This Row],[MD5]],buildtime[#All],4,FALSE)</f>
        <v>57.42</v>
      </c>
      <c r="F7" s="18">
        <f>VLOOKUP(Input[[#This Row],[MD5]],partialcf[#All],2,FALSE)</f>
        <v>855729.62857142801</v>
      </c>
      <c r="G7" s="19">
        <f>VLOOKUP(Input[[#This Row],[MD5]],partialcf[#All],3,FALSE)</f>
        <v>836966.25557812501</v>
      </c>
      <c r="H7" s="19">
        <f>VLOOKUP(Input[[#This Row],[MD5]],partialcf[#All],4,FALSE)</f>
        <v>730116.09462812403</v>
      </c>
      <c r="I7" s="19">
        <f>Input[[#This Row],[time2]]/$B$1</f>
        <v>57.048641904761865</v>
      </c>
      <c r="J7" s="19">
        <f>Input[[#This Row],[price2]]/$B$1</f>
        <v>55.797750371875004</v>
      </c>
      <c r="K7" s="20">
        <f>Input[[#This Row],[energy2]]/$B$1</f>
        <v>48.674406308541599</v>
      </c>
      <c r="L7" s="18">
        <f>VLOOKUP(Input[[#This Row],[MD5]],fullcf[#All],2,FALSE)</f>
        <v>855729.62857142801</v>
      </c>
      <c r="M7" s="19">
        <f>VLOOKUP(Input[[#This Row],[MD5]],fullcf[#All],3,FALSE)</f>
        <v>1627430.6497968701</v>
      </c>
      <c r="N7" s="19">
        <f>VLOOKUP(Input[[#This Row],[MD5]],fullcf[#All],4,FALSE)</f>
        <v>1415185.2362843701</v>
      </c>
      <c r="O7" s="19">
        <f>Input[[#This Row],[time3]]/$B$1</f>
        <v>57.048641904761865</v>
      </c>
      <c r="P7" s="19">
        <f>Input[[#This Row],[price3]]/$B$1</f>
        <v>108.49537665312467</v>
      </c>
      <c r="Q7" s="20">
        <f>Input[[#This Row],[energy3]]/$B$1</f>
        <v>94.345682418958006</v>
      </c>
      <c r="R7" s="18">
        <f>VLOOKUP(Input[[#This Row],[MD5]],df[#All],2,FALSE)</f>
        <v>32193297920</v>
      </c>
      <c r="S7" s="19">
        <f>VLOOKUP(Input[[#This Row],[MD5]],df[#All],3,FALSE)</f>
        <v>8185960095.25</v>
      </c>
      <c r="T7" s="19">
        <f>VLOOKUP(Input[[#This Row],[MD5]],df[#All],4,FALSE)</f>
        <v>4833039486.8500004</v>
      </c>
      <c r="U7" s="19">
        <f>Input[[#This Row],[time4]]/$B$1</f>
        <v>2146219.8613333334</v>
      </c>
      <c r="V7" s="19">
        <f>Input[[#This Row],[price4]]/$B$1</f>
        <v>545730.67301666667</v>
      </c>
      <c r="W7" s="20">
        <f>Input[[#This Row],[energy4]]/$B$1</f>
        <v>322202.63245666667</v>
      </c>
    </row>
    <row r="8" spans="1:23">
      <c r="A8" s="24" t="s">
        <v>50</v>
      </c>
      <c r="B8" s="13" t="s">
        <v>12</v>
      </c>
      <c r="C8" s="18">
        <f>VLOOKUP(Input[[#This Row],[MD5]],buildtime[#All],2,FALSE)</f>
        <v>50.51142857</v>
      </c>
      <c r="D8" s="19">
        <f>VLOOKUP(Input[[#This Row],[MD5]],buildtime[#All],3,FALSE)</f>
        <v>70.2</v>
      </c>
      <c r="E8" s="20">
        <f>VLOOKUP(Input[[#This Row],[MD5]],buildtime[#All],4,FALSE)</f>
        <v>61.32</v>
      </c>
      <c r="F8" s="18">
        <f>VLOOKUP(Input[[#This Row],[MD5]],partialcf[#All],2,FALSE)</f>
        <v>662186.77055669599</v>
      </c>
      <c r="G8" s="19">
        <f>VLOOKUP(Input[[#This Row],[MD5]],partialcf[#All],3,FALSE)</f>
        <v>622687.349343749</v>
      </c>
      <c r="H8" s="19">
        <f>VLOOKUP(Input[[#This Row],[MD5]],partialcf[#All],4,FALSE)</f>
        <v>543756.71329374902</v>
      </c>
      <c r="I8" s="19">
        <f>Input[[#This Row],[time2]]/$B$1</f>
        <v>44.145784703779732</v>
      </c>
      <c r="J8" s="19">
        <f>Input[[#This Row],[price2]]/$B$1</f>
        <v>41.512489956249937</v>
      </c>
      <c r="K8" s="20">
        <f>Input[[#This Row],[energy2]]/$B$1</f>
        <v>36.250447552916604</v>
      </c>
      <c r="L8" s="18">
        <f>VLOOKUP(Input[[#This Row],[MD5]],fullcf[#All],2,FALSE)</f>
        <v>661519.26333794603</v>
      </c>
      <c r="M8" s="19">
        <f>VLOOKUP(Input[[#This Row],[MD5]],fullcf[#All],3,FALSE)</f>
        <v>1428191.6285625</v>
      </c>
      <c r="N8" s="19">
        <f>VLOOKUP(Input[[#This Row],[MD5]],fullcf[#All],4,FALSE)</f>
        <v>1241860.4219500001</v>
      </c>
      <c r="O8" s="19">
        <f>Input[[#This Row],[time3]]/$B$1</f>
        <v>44.101284222529735</v>
      </c>
      <c r="P8" s="19">
        <f>Input[[#This Row],[price3]]/$B$1</f>
        <v>95.212775237499997</v>
      </c>
      <c r="Q8" s="20">
        <f>Input[[#This Row],[energy3]]/$B$1</f>
        <v>82.790694796666671</v>
      </c>
      <c r="R8" s="18">
        <f>VLOOKUP(Input[[#This Row],[MD5]],df[#All],2,FALSE)</f>
        <v>22255252524</v>
      </c>
      <c r="S8" s="19">
        <f>VLOOKUP(Input[[#This Row],[MD5]],df[#All],3,FALSE)</f>
        <v>5458319082.75</v>
      </c>
      <c r="T8" s="19">
        <f>VLOOKUP(Input[[#This Row],[MD5]],df[#All],4,FALSE)</f>
        <v>3206918443.3499899</v>
      </c>
      <c r="U8" s="19">
        <f>Input[[#This Row],[time4]]/$B$1</f>
        <v>1483683.5016000001</v>
      </c>
      <c r="V8" s="19">
        <f>Input[[#This Row],[price4]]/$B$1</f>
        <v>363887.93884999998</v>
      </c>
      <c r="W8" s="20">
        <f>Input[[#This Row],[energy4]]/$B$1</f>
        <v>213794.56288999933</v>
      </c>
    </row>
    <row r="9" spans="1:23">
      <c r="A9" s="24" t="s">
        <v>51</v>
      </c>
      <c r="B9" s="13" t="s">
        <v>13</v>
      </c>
      <c r="C9" s="18">
        <f>VLOOKUP(Input[[#This Row],[MD5]],buildtime[#All],2,FALSE)</f>
        <v>50.51142857</v>
      </c>
      <c r="D9" s="19">
        <f>VLOOKUP(Input[[#This Row],[MD5]],buildtime[#All],3,FALSE)</f>
        <v>67.2</v>
      </c>
      <c r="E9" s="20">
        <f>VLOOKUP(Input[[#This Row],[MD5]],buildtime[#All],4,FALSE)</f>
        <v>58.72</v>
      </c>
      <c r="F9" s="18">
        <f>VLOOKUP(Input[[#This Row],[MD5]],partialcf[#All],2,FALSE)</f>
        <v>943855.67318392801</v>
      </c>
      <c r="G9" s="19">
        <f>VLOOKUP(Input[[#This Row],[MD5]],partialcf[#All],3,FALSE)</f>
        <v>902591.27526562405</v>
      </c>
      <c r="H9" s="19">
        <f>VLOOKUP(Input[[#This Row],[MD5]],partialcf[#All],4,FALSE)</f>
        <v>786991.11169062403</v>
      </c>
      <c r="I9" s="19">
        <f>Input[[#This Row],[time2]]/$B$1</f>
        <v>62.923711545595204</v>
      </c>
      <c r="J9" s="19">
        <f>Input[[#This Row],[price2]]/$B$1</f>
        <v>60.172751684374937</v>
      </c>
      <c r="K9" s="20">
        <f>Input[[#This Row],[energy2]]/$B$1</f>
        <v>52.46607411270827</v>
      </c>
      <c r="L9" s="18">
        <f>VLOOKUP(Input[[#This Row],[MD5]],fullcf[#All],2,FALSE)</f>
        <v>877585.12240267801</v>
      </c>
      <c r="M9" s="19">
        <f>VLOOKUP(Input[[#This Row],[MD5]],fullcf[#All],3,FALSE)</f>
        <v>1643705.68260937</v>
      </c>
      <c r="N9" s="19">
        <f>VLOOKUP(Input[[#This Row],[MD5]],fullcf[#All],4,FALSE)</f>
        <v>1429290.26472187</v>
      </c>
      <c r="O9" s="19">
        <f>Input[[#This Row],[time3]]/$B$1</f>
        <v>58.505674826845201</v>
      </c>
      <c r="P9" s="19">
        <f>Input[[#This Row],[price3]]/$B$1</f>
        <v>109.58037884062466</v>
      </c>
      <c r="Q9" s="20">
        <f>Input[[#This Row],[energy3]]/$B$1</f>
        <v>95.28601764812467</v>
      </c>
      <c r="R9" s="18">
        <f>VLOOKUP(Input[[#This Row],[MD5]],df[#All],2,FALSE)</f>
        <v>33658325464</v>
      </c>
      <c r="S9" s="19">
        <f>VLOOKUP(Input[[#This Row],[MD5]],df[#All],3,FALSE)</f>
        <v>8447564495.25</v>
      </c>
      <c r="T9" s="19">
        <f>VLOOKUP(Input[[#This Row],[MD5]],df[#All],4,FALSE)</f>
        <v>4990002126.8500004</v>
      </c>
      <c r="U9" s="19">
        <f>Input[[#This Row],[time4]]/$B$1</f>
        <v>2243888.3642666666</v>
      </c>
      <c r="V9" s="19">
        <f>Input[[#This Row],[price4]]/$B$1</f>
        <v>563170.96635</v>
      </c>
      <c r="W9" s="20">
        <f>Input[[#This Row],[energy4]]/$B$1</f>
        <v>332666.80845666671</v>
      </c>
    </row>
    <row r="10" spans="1:23">
      <c r="A10" s="24" t="s">
        <v>52</v>
      </c>
      <c r="B10" s="13" t="s">
        <v>14</v>
      </c>
      <c r="C10" s="18">
        <f>VLOOKUP(Input[[#This Row],[MD5]],buildtime[#All],2,FALSE)</f>
        <v>61.977142860000001</v>
      </c>
      <c r="D10" s="19">
        <f>VLOOKUP(Input[[#This Row],[MD5]],buildtime[#All],3,FALSE)</f>
        <v>61.2</v>
      </c>
      <c r="E10" s="20">
        <f>VLOOKUP(Input[[#This Row],[MD5]],buildtime[#All],4,FALSE)</f>
        <v>53.52</v>
      </c>
      <c r="F10" s="18">
        <f>VLOOKUP(Input[[#This Row],[MD5]],partialcf[#All],2,FALSE)</f>
        <v>683588.79906115995</v>
      </c>
      <c r="G10" s="19">
        <f>VLOOKUP(Input[[#This Row],[MD5]],partialcf[#All],3,FALSE)</f>
        <v>710589.40026562405</v>
      </c>
      <c r="H10" s="19">
        <f>VLOOKUP(Input[[#This Row],[MD5]],partialcf[#All],4,FALSE)</f>
        <v>620589.48669062403</v>
      </c>
      <c r="I10" s="19">
        <f>Input[[#This Row],[time2]]/$B$1</f>
        <v>45.57258660407733</v>
      </c>
      <c r="J10" s="19">
        <f>Input[[#This Row],[price2]]/$B$1</f>
        <v>47.372626684374936</v>
      </c>
      <c r="K10" s="20">
        <f>Input[[#This Row],[energy2]]/$B$1</f>
        <v>41.3726324460416</v>
      </c>
      <c r="L10" s="18">
        <f>VLOOKUP(Input[[#This Row],[MD5]],fullcf[#All],2,FALSE)</f>
        <v>612713.70632901695</v>
      </c>
      <c r="M10" s="19">
        <f>VLOOKUP(Input[[#This Row],[MD5]],fullcf[#All],3,FALSE)</f>
        <v>1445255.68260937</v>
      </c>
      <c r="N10" s="19">
        <f>VLOOKUP(Input[[#This Row],[MD5]],fullcf[#All],4,FALSE)</f>
        <v>1257300.26472187</v>
      </c>
      <c r="O10" s="19">
        <f>Input[[#This Row],[time3]]/$B$1</f>
        <v>40.84758042193446</v>
      </c>
      <c r="P10" s="19">
        <f>Input[[#This Row],[price3]]/$B$1</f>
        <v>96.350378840624671</v>
      </c>
      <c r="Q10" s="20">
        <f>Input[[#This Row],[energy3]]/$B$1</f>
        <v>83.820017648124661</v>
      </c>
      <c r="R10" s="18">
        <f>VLOOKUP(Input[[#This Row],[MD5]],df[#All],2,FALSE)</f>
        <v>14686317926.1</v>
      </c>
      <c r="S10" s="19">
        <f>VLOOKUP(Input[[#This Row],[MD5]],df[#All],3,FALSE)</f>
        <v>5053964495.25</v>
      </c>
      <c r="T10" s="19">
        <f>VLOOKUP(Input[[#This Row],[MD5]],df[#All],4,FALSE)</f>
        <v>2953842126.8499899</v>
      </c>
      <c r="U10" s="19">
        <f>Input[[#This Row],[time4]]/$B$1</f>
        <v>979087.86174000008</v>
      </c>
      <c r="V10" s="19">
        <f>Input[[#This Row],[price4]]/$B$1</f>
        <v>336930.96635</v>
      </c>
      <c r="W10" s="20">
        <f>Input[[#This Row],[energy4]]/$B$1</f>
        <v>196922.80845666598</v>
      </c>
    </row>
    <row r="11" spans="1:23">
      <c r="A11" s="24" t="s">
        <v>53</v>
      </c>
      <c r="B11" s="13" t="s">
        <v>15</v>
      </c>
      <c r="C11" s="18">
        <f>VLOOKUP(Input[[#This Row],[MD5]],buildtime[#All],2,FALSE)</f>
        <v>61.977142860000001</v>
      </c>
      <c r="D11" s="19">
        <f>VLOOKUP(Input[[#This Row],[MD5]],buildtime[#All],3,FALSE)</f>
        <v>61.2</v>
      </c>
      <c r="E11" s="20">
        <f>VLOOKUP(Input[[#This Row],[MD5]],buildtime[#All],4,FALSE)</f>
        <v>53.52</v>
      </c>
      <c r="F11" s="18">
        <f>VLOOKUP(Input[[#This Row],[MD5]],partialcf[#All],2,FALSE)</f>
        <v>21286.641889732098</v>
      </c>
      <c r="G11" s="19">
        <f>VLOOKUP(Input[[#This Row],[MD5]],partialcf[#All],3,FALSE)</f>
        <v>23183.7127031249</v>
      </c>
      <c r="H11" s="19">
        <f>VLOOKUP(Input[[#This Row],[MD5]],partialcf[#All],4,FALSE)</f>
        <v>20224.019278125001</v>
      </c>
      <c r="I11" s="19">
        <f>Input[[#This Row],[time2]]/$B$1</f>
        <v>1.4191094593154732</v>
      </c>
      <c r="J11" s="19">
        <f>Input[[#This Row],[price2]]/$B$1</f>
        <v>1.5455808468749934</v>
      </c>
      <c r="K11" s="20">
        <f>Input[[#This Row],[energy2]]/$B$1</f>
        <v>1.348267951875</v>
      </c>
      <c r="L11" s="18">
        <f>VLOOKUP(Input[[#This Row],[MD5]],fullcf[#All],2,FALSE)</f>
        <v>16974.965121875</v>
      </c>
      <c r="M11" s="19">
        <f>VLOOKUP(Input[[#This Row],[MD5]],fullcf[#All],3,FALSE)</f>
        <v>873130.30926562496</v>
      </c>
      <c r="N11" s="19">
        <f>VLOOKUP(Input[[#This Row],[MD5]],fullcf[#All],4,FALSE)</f>
        <v>756844.40296562505</v>
      </c>
      <c r="O11" s="19">
        <f>Input[[#This Row],[time3]]/$B$1</f>
        <v>1.1316643414583334</v>
      </c>
      <c r="P11" s="19">
        <f>Input[[#This Row],[price3]]/$B$1</f>
        <v>58.208687284374996</v>
      </c>
      <c r="Q11" s="20">
        <f>Input[[#This Row],[energy3]]/$B$1</f>
        <v>50.456293531041673</v>
      </c>
      <c r="R11" s="18">
        <f>VLOOKUP(Input[[#This Row],[MD5]],df[#All],2,FALSE)</f>
        <v>116791548.099999</v>
      </c>
      <c r="S11" s="19">
        <f>VLOOKUP(Input[[#This Row],[MD5]],df[#All],3,FALSE)</f>
        <v>49471866.916666597</v>
      </c>
      <c r="T11" s="19">
        <f>VLOOKUP(Input[[#This Row],[MD5]],df[#All],4,FALSE)</f>
        <v>29058323.850000001</v>
      </c>
      <c r="U11" s="19">
        <f>Input[[#This Row],[time4]]/$B$1</f>
        <v>7786.1032066665994</v>
      </c>
      <c r="V11" s="19">
        <f>Input[[#This Row],[price4]]/$B$1</f>
        <v>3298.1244611111065</v>
      </c>
      <c r="W11" s="20">
        <f>Input[[#This Row],[energy4]]/$B$1</f>
        <v>1937.2215900000001</v>
      </c>
    </row>
    <row r="12" spans="1:23">
      <c r="A12" s="24" t="s">
        <v>54</v>
      </c>
      <c r="B12" s="13" t="s">
        <v>16</v>
      </c>
      <c r="C12" s="18">
        <f>VLOOKUP(Input[[#This Row],[MD5]],buildtime[#All],2,FALSE)</f>
        <v>61.977142860000001</v>
      </c>
      <c r="D12" s="19">
        <f>VLOOKUP(Input[[#This Row],[MD5]],buildtime[#All],3,FALSE)</f>
        <v>61.2</v>
      </c>
      <c r="E12" s="20">
        <f>VLOOKUP(Input[[#This Row],[MD5]],buildtime[#All],4,FALSE)</f>
        <v>53.52</v>
      </c>
      <c r="F12" s="18">
        <f>VLOOKUP(Input[[#This Row],[MD5]],partialcf[#All],2,FALSE)</f>
        <v>21421.341386607099</v>
      </c>
      <c r="G12" s="19">
        <f>VLOOKUP(Input[[#This Row],[MD5]],partialcf[#All],3,FALSE)</f>
        <v>23315.747906249901</v>
      </c>
      <c r="H12" s="19">
        <f>VLOOKUP(Input[[#This Row],[MD5]],partialcf[#All],4,FALSE)</f>
        <v>20339.508056250001</v>
      </c>
      <c r="I12" s="19">
        <f>Input[[#This Row],[time2]]/$B$1</f>
        <v>1.4280894257738066</v>
      </c>
      <c r="J12" s="19">
        <f>Input[[#This Row],[price2]]/$B$1</f>
        <v>1.5543831937499935</v>
      </c>
      <c r="K12" s="20">
        <f>Input[[#This Row],[energy2]]/$B$1</f>
        <v>1.3559672037500001</v>
      </c>
      <c r="L12" s="18">
        <f>VLOOKUP(Input[[#This Row],[MD5]],fullcf[#All],2,FALSE)</f>
        <v>17111.651837500001</v>
      </c>
      <c r="M12" s="19">
        <f>VLOOKUP(Input[[#This Row],[MD5]],fullcf[#All],3,FALSE)</f>
        <v>873349.06134374999</v>
      </c>
      <c r="N12" s="19">
        <f>VLOOKUP(Input[[#This Row],[MD5]],fullcf[#All],4,FALSE)</f>
        <v>757035.04636875005</v>
      </c>
      <c r="O12" s="19">
        <f>Input[[#This Row],[time3]]/$B$1</f>
        <v>1.1407767891666667</v>
      </c>
      <c r="P12" s="19">
        <f>Input[[#This Row],[price3]]/$B$1</f>
        <v>58.223270756250002</v>
      </c>
      <c r="Q12" s="20">
        <f>Input[[#This Row],[energy3]]/$B$1</f>
        <v>50.469003091250002</v>
      </c>
      <c r="R12" s="18">
        <f>VLOOKUP(Input[[#This Row],[MD5]],df[#All],2,FALSE)</f>
        <v>127769152.099999</v>
      </c>
      <c r="S12" s="19">
        <f>VLOOKUP(Input[[#This Row],[MD5]],df[#All],3,FALSE)</f>
        <v>58325276.916666597</v>
      </c>
      <c r="T12" s="19">
        <f>VLOOKUP(Input[[#This Row],[MD5]],df[#All],4,FALSE)</f>
        <v>34311797.850000001</v>
      </c>
      <c r="U12" s="19">
        <f>Input[[#This Row],[time4]]/$B$1</f>
        <v>8517.9434733332655</v>
      </c>
      <c r="V12" s="19">
        <f>Input[[#This Row],[price4]]/$B$1</f>
        <v>3888.3517944444397</v>
      </c>
      <c r="W12" s="20">
        <f>Input[[#This Row],[energy4]]/$B$1</f>
        <v>2287.4531900000002</v>
      </c>
    </row>
    <row r="13" spans="1:23">
      <c r="A13" s="24" t="s">
        <v>55</v>
      </c>
      <c r="B13" s="13" t="s">
        <v>17</v>
      </c>
      <c r="C13" s="18">
        <f>VLOOKUP(Input[[#This Row],[MD5]],buildtime[#All],2,FALSE)</f>
        <v>61.977142860000001</v>
      </c>
      <c r="D13" s="19">
        <f>VLOOKUP(Input[[#This Row],[MD5]],buildtime[#All],3,FALSE)</f>
        <v>61.2</v>
      </c>
      <c r="E13" s="20">
        <f>VLOOKUP(Input[[#This Row],[MD5]],buildtime[#All],4,FALSE)</f>
        <v>53.52</v>
      </c>
      <c r="F13" s="18">
        <f>VLOOKUP(Input[[#This Row],[MD5]],partialcf[#All],2,FALSE)</f>
        <v>19411.193839642801</v>
      </c>
      <c r="G13" s="19">
        <f>VLOOKUP(Input[[#This Row],[MD5]],partialcf[#All],3,FALSE)</f>
        <v>21069.291075000001</v>
      </c>
      <c r="H13" s="19">
        <f>VLOOKUP(Input[[#This Row],[MD5]],partialcf[#All],4,FALSE)</f>
        <v>18381.046044999999</v>
      </c>
      <c r="I13" s="19">
        <f>Input[[#This Row],[time2]]/$B$1</f>
        <v>1.2940795893095201</v>
      </c>
      <c r="J13" s="19">
        <f>Input[[#This Row],[price2]]/$B$1</f>
        <v>1.404619405</v>
      </c>
      <c r="K13" s="20">
        <f>Input[[#This Row],[energy2]]/$B$1</f>
        <v>1.2254030696666667</v>
      </c>
      <c r="L13" s="18">
        <f>VLOOKUP(Input[[#This Row],[MD5]],fullcf[#All],2,FALSE)</f>
        <v>15622.5091101785</v>
      </c>
      <c r="M13" s="19">
        <f>VLOOKUP(Input[[#This Row],[MD5]],fullcf[#All],3,FALSE)</f>
        <v>871919.18773124903</v>
      </c>
      <c r="N13" s="19">
        <f>VLOOKUP(Input[[#This Row],[MD5]],fullcf[#All],4,FALSE)</f>
        <v>755784.28981374903</v>
      </c>
      <c r="O13" s="19">
        <f>Input[[#This Row],[time3]]/$B$1</f>
        <v>1.0415006073452333</v>
      </c>
      <c r="P13" s="19">
        <f>Input[[#This Row],[price3]]/$B$1</f>
        <v>58.127945848749938</v>
      </c>
      <c r="Q13" s="20">
        <f>Input[[#This Row],[energy3]]/$B$1</f>
        <v>50.385619320916604</v>
      </c>
      <c r="R13" s="18">
        <f>VLOOKUP(Input[[#This Row],[MD5]],df[#All],2,FALSE)</f>
        <v>6018203.5133333299</v>
      </c>
      <c r="S13" s="19">
        <f>VLOOKUP(Input[[#This Row],[MD5]],df[#All],3,FALSE)</f>
        <v>16551336.1166666</v>
      </c>
      <c r="T13" s="19">
        <f>VLOOKUP(Input[[#This Row],[MD5]],df[#All],4,FALSE)</f>
        <v>9898376.1966666598</v>
      </c>
      <c r="U13" s="19">
        <f>Input[[#This Row],[time4]]/$B$1</f>
        <v>401.2135675555553</v>
      </c>
      <c r="V13" s="19">
        <f>Input[[#This Row],[price4]]/$B$1</f>
        <v>1103.4224077777733</v>
      </c>
      <c r="W13" s="20">
        <f>Input[[#This Row],[energy4]]/$B$1</f>
        <v>659.89174644444404</v>
      </c>
    </row>
    <row r="14" spans="1:23">
      <c r="A14" s="24" t="s">
        <v>56</v>
      </c>
      <c r="B14" s="13" t="s">
        <v>18</v>
      </c>
      <c r="C14" s="18">
        <f>VLOOKUP(Input[[#This Row],[MD5]],buildtime[#All],2,FALSE)</f>
        <v>61.977142860000001</v>
      </c>
      <c r="D14" s="19">
        <f>VLOOKUP(Input[[#This Row],[MD5]],buildtime[#All],3,FALSE)</f>
        <v>61.2</v>
      </c>
      <c r="E14" s="20">
        <f>VLOOKUP(Input[[#This Row],[MD5]],buildtime[#All],4,FALSE)</f>
        <v>53.52</v>
      </c>
      <c r="F14" s="18">
        <f>VLOOKUP(Input[[#This Row],[MD5]],partialcf[#All],2,FALSE)</f>
        <v>534103.69459642796</v>
      </c>
      <c r="G14" s="19">
        <f>VLOOKUP(Input[[#This Row],[MD5]],partialcf[#All],3,FALSE)</f>
        <v>529691.803218749</v>
      </c>
      <c r="H14" s="19">
        <f>VLOOKUP(Input[[#This Row],[MD5]],partialcf[#All],4,FALSE)</f>
        <v>463167.485993749</v>
      </c>
      <c r="I14" s="19">
        <f>Input[[#This Row],[time2]]/$B$1</f>
        <v>35.606912973095199</v>
      </c>
      <c r="J14" s="19">
        <f>Input[[#This Row],[price2]]/$B$1</f>
        <v>35.312786881249934</v>
      </c>
      <c r="K14" s="20">
        <f>Input[[#This Row],[energy2]]/$B$1</f>
        <v>30.877832399583266</v>
      </c>
      <c r="L14" s="18">
        <f>VLOOKUP(Input[[#This Row],[MD5]],fullcf[#All],2,FALSE)</f>
        <v>529550.24563214194</v>
      </c>
      <c r="M14" s="19">
        <f>VLOOKUP(Input[[#This Row],[MD5]],fullcf[#All],3,FALSE)</f>
        <v>1329486.80353125</v>
      </c>
      <c r="N14" s="19">
        <f>VLOOKUP(Input[[#This Row],[MD5]],fullcf[#All],4,FALSE)</f>
        <v>1156323.1529312499</v>
      </c>
      <c r="O14" s="19">
        <f>Input[[#This Row],[time3]]/$B$1</f>
        <v>35.303349708809463</v>
      </c>
      <c r="P14" s="19">
        <f>Input[[#This Row],[price3]]/$B$1</f>
        <v>88.632453568749995</v>
      </c>
      <c r="Q14" s="20">
        <f>Input[[#This Row],[energy3]]/$B$1</f>
        <v>77.088210195416664</v>
      </c>
      <c r="R14" s="18">
        <f>VLOOKUP(Input[[#This Row],[MD5]],df[#All],2,FALSE)</f>
        <v>12823905682.1</v>
      </c>
      <c r="S14" s="19">
        <f>VLOOKUP(Input[[#This Row],[MD5]],df[#All],3,FALSE)</f>
        <v>3788606185.25</v>
      </c>
      <c r="T14" s="19">
        <f>VLOOKUP(Input[[#This Row],[MD5]],df[#All],4,FALSE)</f>
        <v>2204586432.8499899</v>
      </c>
      <c r="U14" s="19">
        <f>Input[[#This Row],[time4]]/$B$1</f>
        <v>854927.04547333333</v>
      </c>
      <c r="V14" s="19">
        <f>Input[[#This Row],[price4]]/$B$1</f>
        <v>252573.74568333334</v>
      </c>
      <c r="W14" s="20">
        <f>Input[[#This Row],[energy4]]/$B$1</f>
        <v>146972.428856666</v>
      </c>
    </row>
    <row r="15" spans="1:23">
      <c r="A15" s="24" t="s">
        <v>57</v>
      </c>
      <c r="B15" s="13" t="s">
        <v>19</v>
      </c>
      <c r="C15" s="18">
        <f>VLOOKUP(Input[[#This Row],[MD5]],buildtime[#All],2,FALSE)</f>
        <v>61.977142860000001</v>
      </c>
      <c r="D15" s="19">
        <f>VLOOKUP(Input[[#This Row],[MD5]],buildtime[#All],3,FALSE)</f>
        <v>61.2</v>
      </c>
      <c r="E15" s="20">
        <f>VLOOKUP(Input[[#This Row],[MD5]],buildtime[#All],4,FALSE)</f>
        <v>53.52</v>
      </c>
      <c r="F15" s="18">
        <f>VLOOKUP(Input[[#This Row],[MD5]],partialcf[#All],2,FALSE)</f>
        <v>21343.033792857099</v>
      </c>
      <c r="G15" s="19">
        <f>VLOOKUP(Input[[#This Row],[MD5]],partialcf[#All],3,FALSE)</f>
        <v>23233.057124999901</v>
      </c>
      <c r="H15" s="19">
        <f>VLOOKUP(Input[[#This Row],[MD5]],partialcf[#All],4,FALSE)</f>
        <v>20267.319025000001</v>
      </c>
      <c r="I15" s="19">
        <f>Input[[#This Row],[time2]]/$B$1</f>
        <v>1.4228689195238067</v>
      </c>
      <c r="J15" s="19">
        <f>Input[[#This Row],[price2]]/$B$1</f>
        <v>1.5488704749999933</v>
      </c>
      <c r="K15" s="20">
        <f>Input[[#This Row],[energy2]]/$B$1</f>
        <v>1.3511546016666667</v>
      </c>
      <c r="L15" s="18">
        <f>VLOOKUP(Input[[#This Row],[MD5]],fullcf[#All],2,FALSE)</f>
        <v>17044.033806250001</v>
      </c>
      <c r="M15" s="19">
        <f>VLOOKUP(Input[[#This Row],[MD5]],fullcf[#All],3,FALSE)</f>
        <v>873303.23868750001</v>
      </c>
      <c r="N15" s="19">
        <f>VLOOKUP(Input[[#This Row],[MD5]],fullcf[#All],4,FALSE)</f>
        <v>756994.80971249996</v>
      </c>
      <c r="O15" s="19">
        <f>Input[[#This Row],[time3]]/$B$1</f>
        <v>1.1362689204166667</v>
      </c>
      <c r="P15" s="19">
        <f>Input[[#This Row],[price3]]/$B$1</f>
        <v>58.220215912500002</v>
      </c>
      <c r="Q15" s="20">
        <f>Input[[#This Row],[energy3]]/$B$1</f>
        <v>50.466320647499998</v>
      </c>
      <c r="R15" s="18">
        <f>VLOOKUP(Input[[#This Row],[MD5]],df[#All],2,FALSE)</f>
        <v>123601296.099999</v>
      </c>
      <c r="S15" s="19">
        <f>VLOOKUP(Input[[#This Row],[MD5]],df[#All],3,FALSE)</f>
        <v>57935236.916666597</v>
      </c>
      <c r="T15" s="19">
        <f>VLOOKUP(Input[[#This Row],[MD5]],df[#All],4,FALSE)</f>
        <v>34100061.850000001</v>
      </c>
      <c r="U15" s="19">
        <f>Input[[#This Row],[time4]]/$B$1</f>
        <v>8240.0864066665999</v>
      </c>
      <c r="V15" s="19">
        <f>Input[[#This Row],[price4]]/$B$1</f>
        <v>3862.349127777773</v>
      </c>
      <c r="W15" s="20">
        <f>Input[[#This Row],[energy4]]/$B$1</f>
        <v>2273.3374566666666</v>
      </c>
    </row>
    <row r="16" spans="1:23">
      <c r="A16" s="24" t="s">
        <v>58</v>
      </c>
      <c r="B16" s="13" t="s">
        <v>20</v>
      </c>
      <c r="C16" s="18">
        <f>VLOOKUP(Input[[#This Row],[MD5]],buildtime[#All],2,FALSE)</f>
        <v>61.977142860000001</v>
      </c>
      <c r="D16" s="19">
        <f>VLOOKUP(Input[[#This Row],[MD5]],buildtime[#All],3,FALSE)</f>
        <v>61.2</v>
      </c>
      <c r="E16" s="20">
        <f>VLOOKUP(Input[[#This Row],[MD5]],buildtime[#All],4,FALSE)</f>
        <v>53.52</v>
      </c>
      <c r="F16" s="18">
        <f>VLOOKUP(Input[[#This Row],[MD5]],partialcf[#All],2,FALSE)</f>
        <v>21161.763164285701</v>
      </c>
      <c r="G16" s="19">
        <f>VLOOKUP(Input[[#This Row],[MD5]],partialcf[#All],3,FALSE)</f>
        <v>23053.125281249901</v>
      </c>
      <c r="H16" s="19">
        <f>VLOOKUP(Input[[#This Row],[MD5]],partialcf[#All],4,FALSE)</f>
        <v>20109.988606250001</v>
      </c>
      <c r="I16" s="19">
        <f>Input[[#This Row],[time2]]/$B$1</f>
        <v>1.41078421095238</v>
      </c>
      <c r="J16" s="19">
        <f>Input[[#This Row],[price2]]/$B$1</f>
        <v>1.5368750187499933</v>
      </c>
      <c r="K16" s="20">
        <f>Input[[#This Row],[energy2]]/$B$1</f>
        <v>1.3406659070833333</v>
      </c>
      <c r="L16" s="18">
        <f>VLOOKUP(Input[[#This Row],[MD5]],fullcf[#All],2,FALSE)</f>
        <v>16864.5363785714</v>
      </c>
      <c r="M16" s="19">
        <f>VLOOKUP(Input[[#This Row],[MD5]],fullcf[#All],3,FALSE)</f>
        <v>873028.51950000005</v>
      </c>
      <c r="N16" s="19">
        <f>VLOOKUP(Input[[#This Row],[MD5]],fullcf[#All],4,FALSE)</f>
        <v>756755.33026249905</v>
      </c>
      <c r="O16" s="19">
        <f>Input[[#This Row],[time3]]/$B$1</f>
        <v>1.1243024252380933</v>
      </c>
      <c r="P16" s="19">
        <f>Input[[#This Row],[price3]]/$B$1</f>
        <v>58.201901300000003</v>
      </c>
      <c r="Q16" s="20">
        <f>Input[[#This Row],[energy3]]/$B$1</f>
        <v>50.45035535083327</v>
      </c>
      <c r="R16" s="18">
        <f>VLOOKUP(Input[[#This Row],[MD5]],df[#All],2,FALSE)</f>
        <v>69418267.700000003</v>
      </c>
      <c r="S16" s="19">
        <f>VLOOKUP(Input[[#This Row],[MD5]],df[#All],3,FALSE)</f>
        <v>35182829.25</v>
      </c>
      <c r="T16" s="19">
        <f>VLOOKUP(Input[[#This Row],[MD5]],df[#All],4,FALSE)</f>
        <v>20738150.449999999</v>
      </c>
      <c r="U16" s="19">
        <f>Input[[#This Row],[time4]]/$B$1</f>
        <v>4627.8845133333334</v>
      </c>
      <c r="V16" s="19">
        <f>Input[[#This Row],[price4]]/$B$1</f>
        <v>2345.5219499999998</v>
      </c>
      <c r="W16" s="20">
        <f>Input[[#This Row],[energy4]]/$B$1</f>
        <v>1382.5433633333332</v>
      </c>
    </row>
    <row r="17" spans="1:23">
      <c r="A17" s="24" t="s">
        <v>59</v>
      </c>
      <c r="B17" s="13" t="s">
        <v>21</v>
      </c>
      <c r="C17" s="18">
        <f>VLOOKUP(Input[[#This Row],[MD5]],buildtime[#All],2,FALSE)</f>
        <v>61.977142860000001</v>
      </c>
      <c r="D17" s="19">
        <f>VLOOKUP(Input[[#This Row],[MD5]],buildtime[#All],3,FALSE)</f>
        <v>61.2</v>
      </c>
      <c r="E17" s="20">
        <f>VLOOKUP(Input[[#This Row],[MD5]],buildtime[#All],4,FALSE)</f>
        <v>53.52</v>
      </c>
      <c r="F17" s="18">
        <f>VLOOKUP(Input[[#This Row],[MD5]],partialcf[#All],2,FALSE)</f>
        <v>17460.902056696399</v>
      </c>
      <c r="G17" s="19">
        <f>VLOOKUP(Input[[#This Row],[MD5]],partialcf[#All],3,FALSE)</f>
        <v>17435.9980781249</v>
      </c>
      <c r="H17" s="19">
        <f>VLOOKUP(Input[[#This Row],[MD5]],partialcf[#All],4,FALSE)</f>
        <v>15243.435128125</v>
      </c>
      <c r="I17" s="19">
        <f>Input[[#This Row],[time2]]/$B$1</f>
        <v>1.1640601371130932</v>
      </c>
      <c r="J17" s="19">
        <f>Input[[#This Row],[price2]]/$B$1</f>
        <v>1.1623998718749933</v>
      </c>
      <c r="K17" s="20">
        <f>Input[[#This Row],[energy2]]/$B$1</f>
        <v>1.0162290085416668</v>
      </c>
      <c r="L17" s="18">
        <f>VLOOKUP(Input[[#This Row],[MD5]],fullcf[#All],2,FALSE)</f>
        <v>17074.1963379464</v>
      </c>
      <c r="M17" s="19">
        <f>VLOOKUP(Input[[#This Row],[MD5]],fullcf[#All],3,FALSE)</f>
        <v>873319.32979687501</v>
      </c>
      <c r="N17" s="19">
        <f>VLOOKUP(Input[[#This Row],[MD5]],fullcf[#All],4,FALSE)</f>
        <v>757008.98928437405</v>
      </c>
      <c r="O17" s="19">
        <f>Input[[#This Row],[time3]]/$B$1</f>
        <v>1.1382797558630933</v>
      </c>
      <c r="P17" s="19">
        <f>Input[[#This Row],[price3]]/$B$1</f>
        <v>58.221288653125001</v>
      </c>
      <c r="Q17" s="20">
        <f>Input[[#This Row],[energy3]]/$B$1</f>
        <v>50.467265952291605</v>
      </c>
      <c r="R17" s="18">
        <f>VLOOKUP(Input[[#This Row],[MD5]],df[#All],2,FALSE)</f>
        <v>79136255.699999899</v>
      </c>
      <c r="S17" s="19">
        <f>VLOOKUP(Input[[#This Row],[MD5]],df[#All],3,FALSE)</f>
        <v>41615199.25</v>
      </c>
      <c r="T17" s="19">
        <f>VLOOKUP(Input[[#This Row],[MD5]],df[#All],4,FALSE)</f>
        <v>24545688.449999999</v>
      </c>
      <c r="U17" s="19">
        <f>Input[[#This Row],[time4]]/$B$1</f>
        <v>5275.7503799999931</v>
      </c>
      <c r="V17" s="19">
        <f>Input[[#This Row],[price4]]/$B$1</f>
        <v>2774.3466166666667</v>
      </c>
      <c r="W17" s="20">
        <f>Input[[#This Row],[energy4]]/$B$1</f>
        <v>1636.37923</v>
      </c>
    </row>
    <row r="18" spans="1:23">
      <c r="A18" s="24" t="s">
        <v>60</v>
      </c>
      <c r="B18" s="13" t="s">
        <v>22</v>
      </c>
      <c r="C18" s="18">
        <f>VLOOKUP(Input[[#This Row],[MD5]],buildtime[#All],2,FALSE)</f>
        <v>50.51142857</v>
      </c>
      <c r="D18" s="19">
        <f>VLOOKUP(Input[[#This Row],[MD5]],buildtime[#All],3,FALSE)</f>
        <v>65.7</v>
      </c>
      <c r="E18" s="20">
        <f>VLOOKUP(Input[[#This Row],[MD5]],buildtime[#All],4,FALSE)</f>
        <v>57.42</v>
      </c>
      <c r="F18" s="18">
        <f>VLOOKUP(Input[[#This Row],[MD5]],partialcf[#All],2,FALSE)</f>
        <v>661600.84142276703</v>
      </c>
      <c r="G18" s="19">
        <f>VLOOKUP(Input[[#This Row],[MD5]],partialcf[#All],3,FALSE)</f>
        <v>622002.45637499902</v>
      </c>
      <c r="H18" s="19">
        <f>VLOOKUP(Input[[#This Row],[MD5]],partialcf[#All],4,FALSE)</f>
        <v>543163.13938750001</v>
      </c>
      <c r="I18" s="19">
        <f>Input[[#This Row],[time2]]/$B$1</f>
        <v>44.106722761517801</v>
      </c>
      <c r="J18" s="19">
        <f>Input[[#This Row],[price2]]/$B$1</f>
        <v>41.466830424999934</v>
      </c>
      <c r="K18" s="20">
        <f>Input[[#This Row],[energy2]]/$B$1</f>
        <v>36.210875959166664</v>
      </c>
      <c r="L18" s="18">
        <f>VLOOKUP(Input[[#This Row],[MD5]],fullcf[#All],2,FALSE)</f>
        <v>661266.03251651698</v>
      </c>
      <c r="M18" s="19">
        <f>VLOOKUP(Input[[#This Row],[MD5]],fullcf[#All],3,FALSE)</f>
        <v>1427879.4823125</v>
      </c>
      <c r="N18" s="19">
        <f>VLOOKUP(Input[[#This Row],[MD5]],fullcf[#All],4,FALSE)</f>
        <v>1241589.8951999899</v>
      </c>
      <c r="O18" s="19">
        <f>Input[[#This Row],[time3]]/$B$1</f>
        <v>44.084402167767799</v>
      </c>
      <c r="P18" s="19">
        <f>Input[[#This Row],[price3]]/$B$1</f>
        <v>95.191965487499999</v>
      </c>
      <c r="Q18" s="20">
        <f>Input[[#This Row],[energy3]]/$B$1</f>
        <v>82.772659679999322</v>
      </c>
      <c r="R18" s="18">
        <f>VLOOKUP(Input[[#This Row],[MD5]],df[#All],2,FALSE)</f>
        <v>22232055308</v>
      </c>
      <c r="S18" s="19">
        <f>VLOOKUP(Input[[#This Row],[MD5]],df[#All],3,FALSE)</f>
        <v>5454163925.25</v>
      </c>
      <c r="T18" s="19">
        <f>VLOOKUP(Input[[#This Row],[MD5]],df[#All],4,FALSE)</f>
        <v>3204425348.8499899</v>
      </c>
      <c r="U18" s="19">
        <f>Input[[#This Row],[time4]]/$B$1</f>
        <v>1482137.0205333333</v>
      </c>
      <c r="V18" s="19">
        <f>Input[[#This Row],[price4]]/$B$1</f>
        <v>363610.92835</v>
      </c>
      <c r="W18" s="20">
        <f>Input[[#This Row],[energy4]]/$B$1</f>
        <v>213628.35658999931</v>
      </c>
    </row>
    <row r="19" spans="1:23">
      <c r="A19" s="24" t="s">
        <v>61</v>
      </c>
      <c r="B19" s="13" t="s">
        <v>23</v>
      </c>
      <c r="C19" s="18">
        <f>VLOOKUP(Input[[#This Row],[MD5]],buildtime[#All],2,FALSE)</f>
        <v>50.51142857</v>
      </c>
      <c r="D19" s="19">
        <f>VLOOKUP(Input[[#This Row],[MD5]],buildtime[#All],3,FALSE)</f>
        <v>65.7</v>
      </c>
      <c r="E19" s="20">
        <f>VLOOKUP(Input[[#This Row],[MD5]],buildtime[#All],4,FALSE)</f>
        <v>57.42</v>
      </c>
      <c r="F19" s="18">
        <f>VLOOKUP(Input[[#This Row],[MD5]],partialcf[#All],2,FALSE)</f>
        <v>661600.96682901704</v>
      </c>
      <c r="G19" s="19">
        <f>VLOOKUP(Input[[#This Row],[MD5]],partialcf[#All],3,FALSE)</f>
        <v>622002.46621874894</v>
      </c>
      <c r="H19" s="19">
        <f>VLOOKUP(Input[[#This Row],[MD5]],partialcf[#All],4,FALSE)</f>
        <v>543163.14791874902</v>
      </c>
      <c r="I19" s="19">
        <f>Input[[#This Row],[time2]]/$B$1</f>
        <v>44.106731121934466</v>
      </c>
      <c r="J19" s="19">
        <f>Input[[#This Row],[price2]]/$B$1</f>
        <v>41.466831081249929</v>
      </c>
      <c r="K19" s="20">
        <f>Input[[#This Row],[energy2]]/$B$1</f>
        <v>36.210876527916604</v>
      </c>
      <c r="L19" s="18">
        <f>VLOOKUP(Input[[#This Row],[MD5]],fullcf[#All],2,FALSE)</f>
        <v>661266.15792276699</v>
      </c>
      <c r="M19" s="19">
        <f>VLOOKUP(Input[[#This Row],[MD5]],fullcf[#All],3,FALSE)</f>
        <v>1427879.4823125</v>
      </c>
      <c r="N19" s="19">
        <f>VLOOKUP(Input[[#This Row],[MD5]],fullcf[#All],4,FALSE)</f>
        <v>1241589.8951999899</v>
      </c>
      <c r="O19" s="19">
        <f>Input[[#This Row],[time3]]/$B$1</f>
        <v>44.084410528184463</v>
      </c>
      <c r="P19" s="19">
        <f>Input[[#This Row],[price3]]/$B$1</f>
        <v>95.191965487499999</v>
      </c>
      <c r="Q19" s="20">
        <f>Input[[#This Row],[energy3]]/$B$1</f>
        <v>82.772659679999322</v>
      </c>
      <c r="R19" s="18">
        <f>VLOOKUP(Input[[#This Row],[MD5]],df[#All],2,FALSE)</f>
        <v>22232063580</v>
      </c>
      <c r="S19" s="19">
        <f>VLOOKUP(Input[[#This Row],[MD5]],df[#All],3,FALSE)</f>
        <v>5454163925.25</v>
      </c>
      <c r="T19" s="19">
        <f>VLOOKUP(Input[[#This Row],[MD5]],df[#All],4,FALSE)</f>
        <v>3204425348.8499899</v>
      </c>
      <c r="U19" s="19">
        <f>Input[[#This Row],[time4]]/$B$1</f>
        <v>1482137.5719999999</v>
      </c>
      <c r="V19" s="19">
        <f>Input[[#This Row],[price4]]/$B$1</f>
        <v>363610.92835</v>
      </c>
      <c r="W19" s="20">
        <f>Input[[#This Row],[energy4]]/$B$1</f>
        <v>213628.35658999931</v>
      </c>
    </row>
    <row r="20" spans="1:23">
      <c r="A20" s="24" t="s">
        <v>62</v>
      </c>
      <c r="B20" s="13" t="s">
        <v>24</v>
      </c>
      <c r="C20" s="18">
        <f>VLOOKUP(Input[[#This Row],[MD5]],buildtime[#All],2,FALSE)</f>
        <v>56.24428571</v>
      </c>
      <c r="D20" s="19">
        <f>VLOOKUP(Input[[#This Row],[MD5]],buildtime[#All],3,FALSE)</f>
        <v>64.2</v>
      </c>
      <c r="E20" s="20">
        <f>VLOOKUP(Input[[#This Row],[MD5]],buildtime[#All],4,FALSE)</f>
        <v>56.12</v>
      </c>
      <c r="F20" s="18">
        <f>VLOOKUP(Input[[#This Row],[MD5]],partialcf[#All],2,FALSE)</f>
        <v>21509.122632589198</v>
      </c>
      <c r="G20" s="19">
        <f>VLOOKUP(Input[[#This Row],[MD5]],partialcf[#All],3,FALSE)</f>
        <v>20699.492765625</v>
      </c>
      <c r="H20" s="19">
        <f>VLOOKUP(Input[[#This Row],[MD5]],partialcf[#All],4,FALSE)</f>
        <v>18071.797190624999</v>
      </c>
      <c r="I20" s="19">
        <f>Input[[#This Row],[time2]]/$B$1</f>
        <v>1.43394150883928</v>
      </c>
      <c r="J20" s="19">
        <f>Input[[#This Row],[price2]]/$B$1</f>
        <v>1.379966184375</v>
      </c>
      <c r="K20" s="20">
        <f>Input[[#This Row],[energy2]]/$B$1</f>
        <v>1.2047864793749998</v>
      </c>
      <c r="L20" s="18">
        <f>VLOOKUP(Input[[#This Row],[MD5]],fullcf[#All],2,FALSE)</f>
        <v>20824.6859718749</v>
      </c>
      <c r="M20" s="19">
        <f>VLOOKUP(Input[[#This Row],[MD5]],fullcf[#All],3,FALSE)</f>
        <v>876139.36260937504</v>
      </c>
      <c r="N20" s="19">
        <f>VLOOKUP(Input[[#This Row],[MD5]],fullcf[#All],4,FALSE)</f>
        <v>759453.01772187499</v>
      </c>
      <c r="O20" s="19">
        <f>Input[[#This Row],[time3]]/$B$1</f>
        <v>1.3883123981249934</v>
      </c>
      <c r="P20" s="19">
        <f>Input[[#This Row],[price3]]/$B$1</f>
        <v>58.409290840625005</v>
      </c>
      <c r="Q20" s="20">
        <f>Input[[#This Row],[energy3]]/$B$1</f>
        <v>50.630201181458332</v>
      </c>
      <c r="R20" s="18">
        <f>VLOOKUP(Input[[#This Row],[MD5]],df[#All],2,FALSE)</f>
        <v>83096133.599999905</v>
      </c>
      <c r="S20" s="19">
        <f>VLOOKUP(Input[[#This Row],[MD5]],df[#All],3,FALSE)</f>
        <v>42323599.25</v>
      </c>
      <c r="T20" s="19">
        <f>VLOOKUP(Input[[#This Row],[MD5]],df[#All],4,FALSE)</f>
        <v>24970728.449999899</v>
      </c>
      <c r="U20" s="19">
        <f>Input[[#This Row],[time4]]/$B$1</f>
        <v>5539.7422399999932</v>
      </c>
      <c r="V20" s="19">
        <f>Input[[#This Row],[price4]]/$B$1</f>
        <v>2821.5732833333332</v>
      </c>
      <c r="W20" s="20">
        <f>Input[[#This Row],[energy4]]/$B$1</f>
        <v>1664.7152299999932</v>
      </c>
    </row>
    <row r="21" spans="1:23">
      <c r="A21" s="24" t="s">
        <v>63</v>
      </c>
      <c r="B21" s="13" t="s">
        <v>25</v>
      </c>
      <c r="C21" s="18">
        <f>VLOOKUP(Input[[#This Row],[MD5]],buildtime[#All],2,FALSE)</f>
        <v>61.977142860000001</v>
      </c>
      <c r="D21" s="19">
        <f>VLOOKUP(Input[[#This Row],[MD5]],buildtime[#All],3,FALSE)</f>
        <v>61.2</v>
      </c>
      <c r="E21" s="20">
        <f>VLOOKUP(Input[[#This Row],[MD5]],buildtime[#All],4,FALSE)</f>
        <v>53.52</v>
      </c>
      <c r="F21" s="18">
        <f>VLOOKUP(Input[[#This Row],[MD5]],partialcf[#All],2,FALSE)</f>
        <v>15594.695864285701</v>
      </c>
      <c r="G21" s="19">
        <f>VLOOKUP(Input[[#This Row],[MD5]],partialcf[#All],3,FALSE)</f>
        <v>15404.7319687499</v>
      </c>
      <c r="H21" s="19">
        <f>VLOOKUP(Input[[#This Row],[MD5]],partialcf[#All],4,FALSE)</f>
        <v>13471.45924375</v>
      </c>
      <c r="I21" s="19">
        <f>Input[[#This Row],[time2]]/$B$1</f>
        <v>1.0396463909523801</v>
      </c>
      <c r="J21" s="19">
        <f>Input[[#This Row],[price2]]/$B$1</f>
        <v>1.0269821312499934</v>
      </c>
      <c r="K21" s="20">
        <f>Input[[#This Row],[energy2]]/$B$1</f>
        <v>0.89809728291666668</v>
      </c>
      <c r="L21" s="18">
        <f>VLOOKUP(Input[[#This Row],[MD5]],fullcf[#All],2,FALSE)</f>
        <v>15583.439783928499</v>
      </c>
      <c r="M21" s="19">
        <f>VLOOKUP(Input[[#This Row],[MD5]],fullcf[#All],3,FALSE)</f>
        <v>871888.17506250006</v>
      </c>
      <c r="N21" s="19">
        <f>VLOOKUP(Input[[#This Row],[MD5]],fullcf[#All],4,FALSE)</f>
        <v>755757.109925</v>
      </c>
      <c r="O21" s="19">
        <f>Input[[#This Row],[time3]]/$B$1</f>
        <v>1.0388959855952333</v>
      </c>
      <c r="P21" s="19">
        <f>Input[[#This Row],[price3]]/$B$1</f>
        <v>58.125878337500005</v>
      </c>
      <c r="Q21" s="20">
        <f>Input[[#This Row],[energy3]]/$B$1</f>
        <v>50.383807328333333</v>
      </c>
      <c r="R21" s="18">
        <f>VLOOKUP(Input[[#This Row],[MD5]],df[#All],2,FALSE)</f>
        <v>5937461.8499999903</v>
      </c>
      <c r="S21" s="19">
        <f>VLOOKUP(Input[[#This Row],[MD5]],df[#All],3,FALSE)</f>
        <v>16531402.7083333</v>
      </c>
      <c r="T21" s="19">
        <f>VLOOKUP(Input[[#This Row],[MD5]],df[#All],4,FALSE)</f>
        <v>9886764.0749999899</v>
      </c>
      <c r="U21" s="19">
        <f>Input[[#This Row],[time4]]/$B$1</f>
        <v>395.83078999999935</v>
      </c>
      <c r="V21" s="19">
        <f>Input[[#This Row],[price4]]/$B$1</f>
        <v>1102.0935138888867</v>
      </c>
      <c r="W21" s="20">
        <f>Input[[#This Row],[energy4]]/$B$1</f>
        <v>659.11760499999934</v>
      </c>
    </row>
    <row r="22" spans="1:23">
      <c r="A22" s="24" t="s">
        <v>64</v>
      </c>
      <c r="B22" s="13" t="s">
        <v>26</v>
      </c>
      <c r="C22" s="18">
        <f>VLOOKUP(Input[[#This Row],[MD5]],buildtime[#All],2,FALSE)</f>
        <v>61.977142860000001</v>
      </c>
      <c r="D22" s="19">
        <f>VLOOKUP(Input[[#This Row],[MD5]],buildtime[#All],3,FALSE)</f>
        <v>61.2</v>
      </c>
      <c r="E22" s="20">
        <f>VLOOKUP(Input[[#This Row],[MD5]],buildtime[#All],4,FALSE)</f>
        <v>53.52</v>
      </c>
      <c r="F22" s="18">
        <f>VLOOKUP(Input[[#This Row],[MD5]],partialcf[#All],2,FALSE)</f>
        <v>21790.370632589202</v>
      </c>
      <c r="G22" s="19">
        <f>VLOOKUP(Input[[#This Row],[MD5]],partialcf[#All],3,FALSE)</f>
        <v>23884.1427656249</v>
      </c>
      <c r="H22" s="19">
        <f>VLOOKUP(Input[[#This Row],[MD5]],partialcf[#All],4,FALSE)</f>
        <v>20831.827190625001</v>
      </c>
      <c r="I22" s="19">
        <f>Input[[#This Row],[time2]]/$B$1</f>
        <v>1.4526913755059467</v>
      </c>
      <c r="J22" s="19">
        <f>Input[[#This Row],[price2]]/$B$1</f>
        <v>1.5922761843749933</v>
      </c>
      <c r="K22" s="20">
        <f>Input[[#This Row],[energy2]]/$B$1</f>
        <v>1.3887884793750001</v>
      </c>
      <c r="L22" s="18">
        <f>VLOOKUP(Input[[#This Row],[MD5]],fullcf[#All],2,FALSE)</f>
        <v>17074.240400446401</v>
      </c>
      <c r="M22" s="19">
        <f>VLOOKUP(Input[[#This Row],[MD5]],fullcf[#All],3,FALSE)</f>
        <v>873319.36260937504</v>
      </c>
      <c r="N22" s="19">
        <f>VLOOKUP(Input[[#This Row],[MD5]],fullcf[#All],4,FALSE)</f>
        <v>757009.01772187406</v>
      </c>
      <c r="O22" s="19">
        <f>Input[[#This Row],[time3]]/$B$1</f>
        <v>1.1382826933630934</v>
      </c>
      <c r="P22" s="19">
        <f>Input[[#This Row],[price3]]/$B$1</f>
        <v>58.221290840625002</v>
      </c>
      <c r="Q22" s="20">
        <f>Input[[#This Row],[energy3]]/$B$1</f>
        <v>50.467267848124941</v>
      </c>
      <c r="R22" s="18">
        <f>VLOOKUP(Input[[#This Row],[MD5]],df[#All],2,FALSE)</f>
        <v>79160895.699999899</v>
      </c>
      <c r="S22" s="19">
        <f>VLOOKUP(Input[[#This Row],[MD5]],df[#All],3,FALSE)</f>
        <v>41619599.25</v>
      </c>
      <c r="T22" s="19">
        <f>VLOOKUP(Input[[#This Row],[MD5]],df[#All],4,FALSE)</f>
        <v>24548328.449999999</v>
      </c>
      <c r="U22" s="19">
        <f>Input[[#This Row],[time4]]/$B$1</f>
        <v>5277.3930466666598</v>
      </c>
      <c r="V22" s="19">
        <f>Input[[#This Row],[price4]]/$B$1</f>
        <v>2774.6399500000002</v>
      </c>
      <c r="W22" s="20">
        <f>Input[[#This Row],[energy4]]/$B$1</f>
        <v>1636.5552299999999</v>
      </c>
    </row>
    <row r="23" spans="1:23">
      <c r="A23" s="24" t="s">
        <v>65</v>
      </c>
      <c r="B23" s="13" t="s">
        <v>27</v>
      </c>
      <c r="C23" s="18">
        <f>VLOOKUP(Input[[#This Row],[MD5]],buildtime[#All],2,FALSE)</f>
        <v>56.24428571</v>
      </c>
      <c r="D23" s="19">
        <f>VLOOKUP(Input[[#This Row],[MD5]],buildtime[#All],3,FALSE)</f>
        <v>64.2</v>
      </c>
      <c r="E23" s="20">
        <f>VLOOKUP(Input[[#This Row],[MD5]],buildtime[#All],4,FALSE)</f>
        <v>56.12</v>
      </c>
      <c r="F23" s="18">
        <f>VLOOKUP(Input[[#This Row],[MD5]],partialcf[#All],2,FALSE)</f>
        <v>20880.572445535701</v>
      </c>
      <c r="G23" s="19">
        <f>VLOOKUP(Input[[#This Row],[MD5]],partialcf[#All],3,FALSE)</f>
        <v>19868.56059375</v>
      </c>
      <c r="H23" s="19">
        <f>VLOOKUP(Input[[#This Row],[MD5]],partialcf[#All],4,FALSE)</f>
        <v>17350.03254375</v>
      </c>
      <c r="I23" s="19">
        <f>Input[[#This Row],[time2]]/$B$1</f>
        <v>1.3920381630357135</v>
      </c>
      <c r="J23" s="19">
        <f>Input[[#This Row],[price2]]/$B$1</f>
        <v>1.3245707062500001</v>
      </c>
      <c r="K23" s="20">
        <f>Input[[#This Row],[energy2]]/$B$1</f>
        <v>1.1566688362499999</v>
      </c>
      <c r="L23" s="18">
        <f>VLOOKUP(Input[[#This Row],[MD5]],fullcf[#All],2,FALSE)</f>
        <v>20615.0260124999</v>
      </c>
      <c r="M23" s="19">
        <f>VLOOKUP(Input[[#This Row],[MD5]],fullcf[#All],3,FALSE)</f>
        <v>875848.55231249996</v>
      </c>
      <c r="N23" s="19">
        <f>VLOOKUP(Input[[#This Row],[MD5]],fullcf[#All],4,FALSE)</f>
        <v>759199.35869999905</v>
      </c>
      <c r="O23" s="19">
        <f>Input[[#This Row],[time3]]/$B$1</f>
        <v>1.3743350674999935</v>
      </c>
      <c r="P23" s="19">
        <f>Input[[#This Row],[price3]]/$B$1</f>
        <v>58.3899034875</v>
      </c>
      <c r="Q23" s="20">
        <f>Input[[#This Row],[energy3]]/$B$1</f>
        <v>50.613290579999934</v>
      </c>
      <c r="R23" s="18">
        <f>VLOOKUP(Input[[#This Row],[MD5]],df[#All],2,FALSE)</f>
        <v>73369185.599999905</v>
      </c>
      <c r="S23" s="19">
        <f>VLOOKUP(Input[[#This Row],[MD5]],df[#All],3,FALSE)</f>
        <v>35889629.25</v>
      </c>
      <c r="T23" s="19">
        <f>VLOOKUP(Input[[#This Row],[MD5]],df[#All],4,FALSE)</f>
        <v>21162230.449999899</v>
      </c>
      <c r="U23" s="19">
        <f>Input[[#This Row],[time4]]/$B$1</f>
        <v>4891.279039999994</v>
      </c>
      <c r="V23" s="19">
        <f>Input[[#This Row],[price4]]/$B$1</f>
        <v>2392.6419500000002</v>
      </c>
      <c r="W23" s="20">
        <f>Input[[#This Row],[energy4]]/$B$1</f>
        <v>1410.8153633333266</v>
      </c>
    </row>
    <row r="24" spans="1:23">
      <c r="A24" s="24" t="s">
        <v>66</v>
      </c>
      <c r="B24" s="13" t="s">
        <v>28</v>
      </c>
      <c r="C24" s="18">
        <f>VLOOKUP(Input[[#This Row],[MD5]],buildtime[#All],2,FALSE)</f>
        <v>61.977142860000001</v>
      </c>
      <c r="D24" s="19">
        <f>VLOOKUP(Input[[#This Row],[MD5]],buildtime[#All],3,FALSE)</f>
        <v>61.2</v>
      </c>
      <c r="E24" s="20">
        <f>VLOOKUP(Input[[#This Row],[MD5]],buildtime[#All],4,FALSE)</f>
        <v>53.52</v>
      </c>
      <c r="F24" s="18">
        <f>VLOOKUP(Input[[#This Row],[MD5]],partialcf[#All],2,FALSE)</f>
        <v>19409.6393968749</v>
      </c>
      <c r="G24" s="19">
        <f>VLOOKUP(Input[[#This Row],[MD5]],partialcf[#All],3,FALSE)</f>
        <v>21067.144359375001</v>
      </c>
      <c r="H24" s="19">
        <f>VLOOKUP(Input[[#This Row],[MD5]],partialcf[#All],4,FALSE)</f>
        <v>18379.182959375001</v>
      </c>
      <c r="I24" s="19">
        <f>Input[[#This Row],[time2]]/$B$1</f>
        <v>1.29397595979166</v>
      </c>
      <c r="J24" s="19">
        <f>Input[[#This Row],[price2]]/$B$1</f>
        <v>1.4044762906250001</v>
      </c>
      <c r="K24" s="20">
        <f>Input[[#This Row],[energy2]]/$B$1</f>
        <v>1.2252788639583334</v>
      </c>
      <c r="L24" s="18">
        <f>VLOOKUP(Input[[#This Row],[MD5]],fullcf[#All],2,FALSE)</f>
        <v>15622.129499553501</v>
      </c>
      <c r="M24" s="19">
        <f>VLOOKUP(Input[[#This Row],[MD5]],fullcf[#All],3,FALSE)</f>
        <v>871918.57607812504</v>
      </c>
      <c r="N24" s="19">
        <f>VLOOKUP(Input[[#This Row],[MD5]],fullcf[#All],4,FALSE)</f>
        <v>755783.75711562403</v>
      </c>
      <c r="O24" s="19">
        <f>Input[[#This Row],[time3]]/$B$1</f>
        <v>1.0414752999702335</v>
      </c>
      <c r="P24" s="19">
        <f>Input[[#This Row],[price3]]/$B$1</f>
        <v>58.127905071875006</v>
      </c>
      <c r="Q24" s="20">
        <f>Input[[#This Row],[energy3]]/$B$1</f>
        <v>50.385583807708265</v>
      </c>
      <c r="R24" s="18">
        <f>VLOOKUP(Input[[#This Row],[MD5]],df[#All],2,FALSE)</f>
        <v>5941986.0033333302</v>
      </c>
      <c r="S24" s="19">
        <f>VLOOKUP(Input[[#This Row],[MD5]],df[#All],3,FALSE)</f>
        <v>16496509.508333299</v>
      </c>
      <c r="T24" s="19">
        <f>VLOOKUP(Input[[#This Row],[MD5]],df[#All],4,FALSE)</f>
        <v>9865803.9616666604</v>
      </c>
      <c r="U24" s="19">
        <f>Input[[#This Row],[time4]]/$B$1</f>
        <v>396.13240022222203</v>
      </c>
      <c r="V24" s="19">
        <f>Input[[#This Row],[price4]]/$B$1</f>
        <v>1099.7673005555532</v>
      </c>
      <c r="W24" s="20">
        <f>Input[[#This Row],[energy4]]/$B$1</f>
        <v>657.72026411111074</v>
      </c>
    </row>
    <row r="25" spans="1:23">
      <c r="A25" s="24" t="s">
        <v>67</v>
      </c>
      <c r="B25" s="13" t="s">
        <v>29</v>
      </c>
      <c r="C25" s="18">
        <f>VLOOKUP(Input[[#This Row],[MD5]],buildtime[#All],2,FALSE)</f>
        <v>61.977142860000001</v>
      </c>
      <c r="D25" s="19">
        <f>VLOOKUP(Input[[#This Row],[MD5]],buildtime[#All],3,FALSE)</f>
        <v>61.2</v>
      </c>
      <c r="E25" s="20">
        <f>VLOOKUP(Input[[#This Row],[MD5]],buildtime[#All],4,FALSE)</f>
        <v>53.52</v>
      </c>
      <c r="F25" s="18">
        <f>VLOOKUP(Input[[#This Row],[MD5]],partialcf[#All],2,FALSE)</f>
        <v>683588.78584241006</v>
      </c>
      <c r="G25" s="19">
        <f>VLOOKUP(Input[[#This Row],[MD5]],partialcf[#All],3,FALSE)</f>
        <v>710589.38057812396</v>
      </c>
      <c r="H25" s="19">
        <f>VLOOKUP(Input[[#This Row],[MD5]],partialcf[#All],4,FALSE)</f>
        <v>620589.46962812403</v>
      </c>
      <c r="I25" s="19">
        <f>Input[[#This Row],[time2]]/$B$1</f>
        <v>45.572585722827334</v>
      </c>
      <c r="J25" s="19">
        <f>Input[[#This Row],[price2]]/$B$1</f>
        <v>47.372625371874932</v>
      </c>
      <c r="K25" s="20">
        <f>Input[[#This Row],[energy2]]/$B$1</f>
        <v>41.3726313085416</v>
      </c>
      <c r="L25" s="18">
        <f>VLOOKUP(Input[[#This Row],[MD5]],fullcf[#All],2,FALSE)</f>
        <v>612713.66226651706</v>
      </c>
      <c r="M25" s="19">
        <f>VLOOKUP(Input[[#This Row],[MD5]],fullcf[#All],3,FALSE)</f>
        <v>1445255.6497968701</v>
      </c>
      <c r="N25" s="19">
        <f>VLOOKUP(Input[[#This Row],[MD5]],fullcf[#All],4,FALSE)</f>
        <v>1257300.2362843701</v>
      </c>
      <c r="O25" s="19">
        <f>Input[[#This Row],[time3]]/$B$1</f>
        <v>40.847577484434467</v>
      </c>
      <c r="P25" s="19">
        <f>Input[[#This Row],[price3]]/$B$1</f>
        <v>96.35037665312467</v>
      </c>
      <c r="Q25" s="20">
        <f>Input[[#This Row],[energy3]]/$B$1</f>
        <v>83.82001575229134</v>
      </c>
      <c r="R25" s="18">
        <f>VLOOKUP(Input[[#This Row],[MD5]],df[#All],2,FALSE)</f>
        <v>14686293286.1</v>
      </c>
      <c r="S25" s="19">
        <f>VLOOKUP(Input[[#This Row],[MD5]],df[#All],3,FALSE)</f>
        <v>5053960095.25</v>
      </c>
      <c r="T25" s="19">
        <f>VLOOKUP(Input[[#This Row],[MD5]],df[#All],4,FALSE)</f>
        <v>2953839486.8499899</v>
      </c>
      <c r="U25" s="19">
        <f>Input[[#This Row],[time4]]/$B$1</f>
        <v>979086.21907333331</v>
      </c>
      <c r="V25" s="19">
        <f>Input[[#This Row],[price4]]/$B$1</f>
        <v>336930.67301666667</v>
      </c>
      <c r="W25" s="20">
        <f>Input[[#This Row],[energy4]]/$B$1</f>
        <v>196922.632456666</v>
      </c>
    </row>
    <row r="26" spans="1:23">
      <c r="A26" s="24" t="s">
        <v>68</v>
      </c>
      <c r="B26" s="13" t="s">
        <v>30</v>
      </c>
      <c r="C26" s="18">
        <f>VLOOKUP(Input[[#This Row],[MD5]],buildtime[#All],2,FALSE)</f>
        <v>56.24428571</v>
      </c>
      <c r="D26" s="19">
        <f>VLOOKUP(Input[[#This Row],[MD5]],buildtime[#All],3,FALSE)</f>
        <v>64.2</v>
      </c>
      <c r="E26" s="20">
        <f>VLOOKUP(Input[[#This Row],[MD5]],buildtime[#All],4,FALSE)</f>
        <v>56.12</v>
      </c>
      <c r="F26" s="18">
        <f>VLOOKUP(Input[[#This Row],[MD5]],partialcf[#All],2,FALSE)</f>
        <v>661600.45705714205</v>
      </c>
      <c r="G26" s="19">
        <f>VLOOKUP(Input[[#This Row],[MD5]],partialcf[#All],3,FALSE)</f>
        <v>622001.97403124894</v>
      </c>
      <c r="H26" s="19">
        <f>VLOOKUP(Input[[#This Row],[MD5]],partialcf[#All],4,FALSE)</f>
        <v>543162.72135625</v>
      </c>
      <c r="I26" s="19">
        <f>Input[[#This Row],[time2]]/$B$1</f>
        <v>44.106697137142802</v>
      </c>
      <c r="J26" s="19">
        <f>Input[[#This Row],[price2]]/$B$1</f>
        <v>41.466798268749926</v>
      </c>
      <c r="K26" s="20">
        <f>Input[[#This Row],[energy2]]/$B$1</f>
        <v>36.210848090416668</v>
      </c>
      <c r="L26" s="18">
        <f>VLOOKUP(Input[[#This Row],[MD5]],fullcf[#All],2,FALSE)</f>
        <v>661265.48511964199</v>
      </c>
      <c r="M26" s="19">
        <f>VLOOKUP(Input[[#This Row],[MD5]],fullcf[#All],3,FALSE)</f>
        <v>1427878.8785625</v>
      </c>
      <c r="N26" s="19">
        <f>VLOOKUP(Input[[#This Row],[MD5]],fullcf[#All],4,FALSE)</f>
        <v>1241589.3719500001</v>
      </c>
      <c r="O26" s="19">
        <f>Input[[#This Row],[time3]]/$B$1</f>
        <v>44.084365674642797</v>
      </c>
      <c r="P26" s="19">
        <f>Input[[#This Row],[price3]]/$B$1</f>
        <v>95.191925237500001</v>
      </c>
      <c r="Q26" s="20">
        <f>Input[[#This Row],[energy3]]/$B$1</f>
        <v>82.772624796666676</v>
      </c>
      <c r="R26" s="18">
        <f>VLOOKUP(Input[[#This Row],[MD5]],df[#All],2,FALSE)</f>
        <v>22231679656</v>
      </c>
      <c r="S26" s="19">
        <f>VLOOKUP(Input[[#This Row],[MD5]],df[#All],3,FALSE)</f>
        <v>5454094125.25</v>
      </c>
      <c r="T26" s="19">
        <f>VLOOKUP(Input[[#This Row],[MD5]],df[#All],4,FALSE)</f>
        <v>3204383468.8499899</v>
      </c>
      <c r="U26" s="19">
        <f>Input[[#This Row],[time4]]/$B$1</f>
        <v>1482111.9770666666</v>
      </c>
      <c r="V26" s="19">
        <f>Input[[#This Row],[price4]]/$B$1</f>
        <v>363606.27501666668</v>
      </c>
      <c r="W26" s="20">
        <f>Input[[#This Row],[energy4]]/$B$1</f>
        <v>213625.56458999933</v>
      </c>
    </row>
    <row r="27" spans="1:23">
      <c r="A27" s="24" t="s">
        <v>69</v>
      </c>
      <c r="B27" s="13" t="s">
        <v>31</v>
      </c>
      <c r="C27" s="18">
        <f>VLOOKUP(Input[[#This Row],[MD5]],buildtime[#All],2,FALSE)</f>
        <v>56.24428571</v>
      </c>
      <c r="D27" s="19">
        <f>VLOOKUP(Input[[#This Row],[MD5]],buildtime[#All],3,FALSE)</f>
        <v>64.2</v>
      </c>
      <c r="E27" s="20">
        <f>VLOOKUP(Input[[#This Row],[MD5]],buildtime[#All],4,FALSE)</f>
        <v>56.12</v>
      </c>
      <c r="F27" s="18">
        <f>VLOOKUP(Input[[#This Row],[MD5]],partialcf[#All],2,FALSE)</f>
        <v>766692.50370401703</v>
      </c>
      <c r="G27" s="19">
        <f>VLOOKUP(Input[[#This Row],[MD5]],partialcf[#All],3,FALSE)</f>
        <v>769766.27526562405</v>
      </c>
      <c r="H27" s="19">
        <f>VLOOKUP(Input[[#This Row],[MD5]],partialcf[#All],4,FALSE)</f>
        <v>671876.11169062403</v>
      </c>
      <c r="I27" s="19">
        <f>Input[[#This Row],[time2]]/$B$1</f>
        <v>51.112833580267804</v>
      </c>
      <c r="J27" s="19">
        <f>Input[[#This Row],[price2]]/$B$1</f>
        <v>51.317751684374933</v>
      </c>
      <c r="K27" s="20">
        <f>Input[[#This Row],[energy2]]/$B$1</f>
        <v>44.791740779374933</v>
      </c>
      <c r="L27" s="18">
        <f>VLOOKUP(Input[[#This Row],[MD5]],fullcf[#All],2,FALSE)</f>
        <v>633931.50382901705</v>
      </c>
      <c r="M27" s="19">
        <f>VLOOKUP(Input[[#This Row],[MD5]],fullcf[#All],3,FALSE)</f>
        <v>1461530.68260937</v>
      </c>
      <c r="N27" s="19">
        <f>VLOOKUP(Input[[#This Row],[MD5]],fullcf[#All],4,FALSE)</f>
        <v>1271405.26472187</v>
      </c>
      <c r="O27" s="19">
        <f>Input[[#This Row],[time3]]/$B$1</f>
        <v>42.262100255267804</v>
      </c>
      <c r="P27" s="19">
        <f>Input[[#This Row],[price3]]/$B$1</f>
        <v>97.435378840624665</v>
      </c>
      <c r="Q27" s="20">
        <f>Input[[#This Row],[energy3]]/$B$1</f>
        <v>84.760350981458004</v>
      </c>
      <c r="R27" s="18">
        <f>VLOOKUP(Input[[#This Row],[MD5]],df[#All],2,FALSE)</f>
        <v>16151270764</v>
      </c>
      <c r="S27" s="19">
        <f>VLOOKUP(Input[[#This Row],[MD5]],df[#All],3,FALSE)</f>
        <v>5315564495.25</v>
      </c>
      <c r="T27" s="19">
        <f>VLOOKUP(Input[[#This Row],[MD5]],df[#All],4,FALSE)</f>
        <v>3110802126.8499899</v>
      </c>
      <c r="U27" s="19">
        <f>Input[[#This Row],[time4]]/$B$1</f>
        <v>1076751.3842666666</v>
      </c>
      <c r="V27" s="19">
        <f>Input[[#This Row],[price4]]/$B$1</f>
        <v>354370.96635</v>
      </c>
      <c r="W27" s="20">
        <f>Input[[#This Row],[energy4]]/$B$1</f>
        <v>207386.80845666598</v>
      </c>
    </row>
    <row r="28" spans="1:23">
      <c r="A28" s="24" t="s">
        <v>70</v>
      </c>
      <c r="B28" s="13" t="s">
        <v>32</v>
      </c>
      <c r="C28" s="18">
        <f>VLOOKUP(Input[[#This Row],[MD5]],buildtime[#All],2,FALSE)</f>
        <v>61.977142860000001</v>
      </c>
      <c r="D28" s="19">
        <f>VLOOKUP(Input[[#This Row],[MD5]],buildtime[#All],3,FALSE)</f>
        <v>61.2</v>
      </c>
      <c r="E28" s="20">
        <f>VLOOKUP(Input[[#This Row],[MD5]],buildtime[#All],4,FALSE)</f>
        <v>53.52</v>
      </c>
      <c r="F28" s="18">
        <f>VLOOKUP(Input[[#This Row],[MD5]],partialcf[#All],2,FALSE)</f>
        <v>19411.220277142798</v>
      </c>
      <c r="G28" s="19">
        <f>VLOOKUP(Input[[#This Row],[MD5]],partialcf[#All],3,FALSE)</f>
        <v>21069.330449999899</v>
      </c>
      <c r="H28" s="19">
        <f>VLOOKUP(Input[[#This Row],[MD5]],partialcf[#All],4,FALSE)</f>
        <v>18381.080170000001</v>
      </c>
      <c r="I28" s="19">
        <f>Input[[#This Row],[time2]]/$B$1</f>
        <v>1.2940813518095198</v>
      </c>
      <c r="J28" s="19">
        <f>Input[[#This Row],[price2]]/$B$1</f>
        <v>1.4046220299999932</v>
      </c>
      <c r="K28" s="20">
        <f>Input[[#This Row],[energy2]]/$B$1</f>
        <v>1.2254053446666668</v>
      </c>
      <c r="L28" s="18">
        <f>VLOOKUP(Input[[#This Row],[MD5]],fullcf[#All],2,FALSE)</f>
        <v>15622.553172678499</v>
      </c>
      <c r="M28" s="19">
        <f>VLOOKUP(Input[[#This Row],[MD5]],fullcf[#All],3,FALSE)</f>
        <v>871919.22054374998</v>
      </c>
      <c r="N28" s="19">
        <f>VLOOKUP(Input[[#This Row],[MD5]],fullcf[#All],4,FALSE)</f>
        <v>755784.31825124903</v>
      </c>
      <c r="O28" s="19">
        <f>Input[[#This Row],[time3]]/$B$1</f>
        <v>1.0415035448452332</v>
      </c>
      <c r="P28" s="19">
        <f>Input[[#This Row],[price3]]/$B$1</f>
        <v>58.127948036249997</v>
      </c>
      <c r="Q28" s="20">
        <f>Input[[#This Row],[energy3]]/$B$1</f>
        <v>50.385621216749932</v>
      </c>
      <c r="R28" s="18">
        <f>VLOOKUP(Input[[#This Row],[MD5]],df[#All],2,FALSE)</f>
        <v>6042843.5133333299</v>
      </c>
      <c r="S28" s="19">
        <f>VLOOKUP(Input[[#This Row],[MD5]],df[#All],3,FALSE)</f>
        <v>16555736.1166666</v>
      </c>
      <c r="T28" s="19">
        <f>VLOOKUP(Input[[#This Row],[MD5]],df[#All],4,FALSE)</f>
        <v>9901016.1966666598</v>
      </c>
      <c r="U28" s="19">
        <f>Input[[#This Row],[time4]]/$B$1</f>
        <v>402.85623422222199</v>
      </c>
      <c r="V28" s="19">
        <f>Input[[#This Row],[price4]]/$B$1</f>
        <v>1103.7157411111066</v>
      </c>
      <c r="W28" s="20">
        <f>Input[[#This Row],[energy4]]/$B$1</f>
        <v>660.06774644444397</v>
      </c>
    </row>
    <row r="29" spans="1:23">
      <c r="A29" s="24" t="s">
        <v>71</v>
      </c>
      <c r="B29" s="13" t="s">
        <v>33</v>
      </c>
      <c r="C29" s="18">
        <f>VLOOKUP(Input[[#This Row],[MD5]],buildtime[#All],2,FALSE)</f>
        <v>61.977142860000001</v>
      </c>
      <c r="D29" s="19">
        <f>VLOOKUP(Input[[#This Row],[MD5]],buildtime[#All],3,FALSE)</f>
        <v>61.2</v>
      </c>
      <c r="E29" s="20">
        <f>VLOOKUP(Input[[#This Row],[MD5]],buildtime[#All],4,FALSE)</f>
        <v>53.52</v>
      </c>
      <c r="F29" s="18">
        <f>VLOOKUP(Input[[#This Row],[MD5]],partialcf[#All],2,FALSE)</f>
        <v>19409.7231156249</v>
      </c>
      <c r="G29" s="19">
        <f>VLOOKUP(Input[[#This Row],[MD5]],partialcf[#All],3,FALSE)</f>
        <v>21067.269046875001</v>
      </c>
      <c r="H29" s="19">
        <f>VLOOKUP(Input[[#This Row],[MD5]],partialcf[#All],4,FALSE)</f>
        <v>18379.291021875</v>
      </c>
      <c r="I29" s="19">
        <f>Input[[#This Row],[time2]]/$B$1</f>
        <v>1.29398154104166</v>
      </c>
      <c r="J29" s="19">
        <f>Input[[#This Row],[price2]]/$B$1</f>
        <v>1.404484603125</v>
      </c>
      <c r="K29" s="20">
        <f>Input[[#This Row],[energy2]]/$B$1</f>
        <v>1.225286068125</v>
      </c>
      <c r="L29" s="18">
        <f>VLOOKUP(Input[[#This Row],[MD5]],fullcf[#All],2,FALSE)</f>
        <v>15622.217624553499</v>
      </c>
      <c r="M29" s="19">
        <f>VLOOKUP(Input[[#This Row],[MD5]],fullcf[#All],3,FALSE)</f>
        <v>871918.64170312497</v>
      </c>
      <c r="N29" s="19">
        <f>VLOOKUP(Input[[#This Row],[MD5]],fullcf[#All],4,FALSE)</f>
        <v>755783.81399062404</v>
      </c>
      <c r="O29" s="19">
        <f>Input[[#This Row],[time3]]/$B$1</f>
        <v>1.0414811749702333</v>
      </c>
      <c r="P29" s="19">
        <f>Input[[#This Row],[price3]]/$B$1</f>
        <v>58.127909446875002</v>
      </c>
      <c r="Q29" s="20">
        <f>Input[[#This Row],[energy3]]/$B$1</f>
        <v>50.385587599374936</v>
      </c>
      <c r="R29" s="18">
        <f>VLOOKUP(Input[[#This Row],[MD5]],df[#All],2,FALSE)</f>
        <v>5982306.0033333302</v>
      </c>
      <c r="S29" s="19">
        <f>VLOOKUP(Input[[#This Row],[MD5]],df[#All],3,FALSE)</f>
        <v>16503709.508333299</v>
      </c>
      <c r="T29" s="19">
        <f>VLOOKUP(Input[[#This Row],[MD5]],df[#All],4,FALSE)</f>
        <v>9870123.9616666604</v>
      </c>
      <c r="U29" s="19">
        <f>Input[[#This Row],[time4]]/$B$1</f>
        <v>398.82040022222202</v>
      </c>
      <c r="V29" s="19">
        <f>Input[[#This Row],[price4]]/$B$1</f>
        <v>1100.2473005555532</v>
      </c>
      <c r="W29" s="20">
        <f>Input[[#This Row],[energy4]]/$B$1</f>
        <v>658.00826411111075</v>
      </c>
    </row>
    <row r="30" spans="1:23">
      <c r="A30" s="24" t="s">
        <v>72</v>
      </c>
      <c r="B30" s="13" t="s">
        <v>34</v>
      </c>
      <c r="C30" s="18">
        <f>VLOOKUP(Input[[#This Row],[MD5]],buildtime[#All],2,FALSE)</f>
        <v>50.51142857</v>
      </c>
      <c r="D30" s="19">
        <f>VLOOKUP(Input[[#This Row],[MD5]],buildtime[#All],3,FALSE)</f>
        <v>68.7</v>
      </c>
      <c r="E30" s="20">
        <f>VLOOKUP(Input[[#This Row],[MD5]],buildtime[#All],4,FALSE)</f>
        <v>60.02</v>
      </c>
      <c r="F30" s="18">
        <f>VLOOKUP(Input[[#This Row],[MD5]],partialcf[#All],2,FALSE)</f>
        <v>662186.77055669599</v>
      </c>
      <c r="G30" s="19">
        <f>VLOOKUP(Input[[#This Row],[MD5]],partialcf[#All],3,FALSE)</f>
        <v>622686.82762499899</v>
      </c>
      <c r="H30" s="19">
        <f>VLOOKUP(Input[[#This Row],[MD5]],partialcf[#All],4,FALSE)</f>
        <v>543756.26113749901</v>
      </c>
      <c r="I30" s="19">
        <f>Input[[#This Row],[time2]]/$B$1</f>
        <v>44.145784703779732</v>
      </c>
      <c r="J30" s="19">
        <f>Input[[#This Row],[price2]]/$B$1</f>
        <v>41.512455174999936</v>
      </c>
      <c r="K30" s="20">
        <f>Input[[#This Row],[energy2]]/$B$1</f>
        <v>36.250417409166602</v>
      </c>
      <c r="L30" s="18">
        <f>VLOOKUP(Input[[#This Row],[MD5]],fullcf[#All],2,FALSE)</f>
        <v>661519.26333794603</v>
      </c>
      <c r="M30" s="19">
        <f>VLOOKUP(Input[[#This Row],[MD5]],fullcf[#All],3,FALSE)</f>
        <v>1428191.5268437399</v>
      </c>
      <c r="N30" s="19">
        <f>VLOOKUP(Input[[#This Row],[MD5]],fullcf[#All],4,FALSE)</f>
        <v>1241860.33379375</v>
      </c>
      <c r="O30" s="19">
        <f>Input[[#This Row],[time3]]/$B$1</f>
        <v>44.101284222529735</v>
      </c>
      <c r="P30" s="19">
        <f>Input[[#This Row],[price3]]/$B$1</f>
        <v>95.212768456249322</v>
      </c>
      <c r="Q30" s="20">
        <f>Input[[#This Row],[energy3]]/$B$1</f>
        <v>82.790688919583332</v>
      </c>
      <c r="R30" s="18">
        <f>VLOOKUP(Input[[#This Row],[MD5]],df[#All],2,FALSE)</f>
        <v>22255252524</v>
      </c>
      <c r="S30" s="19">
        <f>VLOOKUP(Input[[#This Row],[MD5]],df[#All],3,FALSE)</f>
        <v>5458308182.75</v>
      </c>
      <c r="T30" s="19">
        <f>VLOOKUP(Input[[#This Row],[MD5]],df[#All],4,FALSE)</f>
        <v>3206911903.3499899</v>
      </c>
      <c r="U30" s="19">
        <f>Input[[#This Row],[time4]]/$B$1</f>
        <v>1483683.5016000001</v>
      </c>
      <c r="V30" s="19">
        <f>Input[[#This Row],[price4]]/$B$1</f>
        <v>363887.21218333335</v>
      </c>
      <c r="W30" s="20">
        <f>Input[[#This Row],[energy4]]/$B$1</f>
        <v>213794.12688999932</v>
      </c>
    </row>
    <row r="31" spans="1:23">
      <c r="A31" s="24" t="s">
        <v>73</v>
      </c>
      <c r="B31" s="13" t="s">
        <v>35</v>
      </c>
      <c r="C31" s="18">
        <f>VLOOKUP(Input[[#This Row],[MD5]],buildtime[#All],2,FALSE)</f>
        <v>61.977142860000001</v>
      </c>
      <c r="D31" s="19">
        <f>VLOOKUP(Input[[#This Row],[MD5]],buildtime[#All],3,FALSE)</f>
        <v>61.2</v>
      </c>
      <c r="E31" s="20">
        <f>VLOOKUP(Input[[#This Row],[MD5]],buildtime[#All],4,FALSE)</f>
        <v>53.52</v>
      </c>
      <c r="F31" s="18">
        <f>VLOOKUP(Input[[#This Row],[MD5]],partialcf[#All],2,FALSE)</f>
        <v>529159.956057142</v>
      </c>
      <c r="G31" s="19">
        <f>VLOOKUP(Input[[#This Row],[MD5]],partialcf[#All],3,FALSE)</f>
        <v>522776.76403124898</v>
      </c>
      <c r="H31" s="19">
        <f>VLOOKUP(Input[[#This Row],[MD5]],partialcf[#All],4,FALSE)</f>
        <v>457167.53935625002</v>
      </c>
      <c r="I31" s="19">
        <f>Input[[#This Row],[time2]]/$B$1</f>
        <v>35.277330403809465</v>
      </c>
      <c r="J31" s="19">
        <f>Input[[#This Row],[price2]]/$B$1</f>
        <v>34.851784268749931</v>
      </c>
      <c r="K31" s="20">
        <f>Input[[#This Row],[energy2]]/$B$1</f>
        <v>30.477835957083336</v>
      </c>
      <c r="L31" s="18">
        <f>VLOOKUP(Input[[#This Row],[MD5]],fullcf[#All],2,FALSE)</f>
        <v>528657.643557142</v>
      </c>
      <c r="M31" s="19">
        <f>VLOOKUP(Input[[#This Row],[MD5]],fullcf[#All],3,FALSE)</f>
        <v>1328653.8457499901</v>
      </c>
      <c r="N31" s="19">
        <f>VLOOKUP(Input[[#This Row],[MD5]],fullcf[#All],4,FALSE)</f>
        <v>1155594.3435124899</v>
      </c>
      <c r="O31" s="19">
        <f>Input[[#This Row],[time3]]/$B$1</f>
        <v>35.243842903809465</v>
      </c>
      <c r="P31" s="19">
        <f>Input[[#This Row],[price3]]/$B$1</f>
        <v>88.576923049999337</v>
      </c>
      <c r="Q31" s="20">
        <f>Input[[#This Row],[energy3]]/$B$1</f>
        <v>77.039622900832669</v>
      </c>
      <c r="R31" s="18">
        <f>VLOOKUP(Input[[#This Row],[MD5]],df[#All],2,FALSE)</f>
        <v>12729591138.1</v>
      </c>
      <c r="S31" s="19">
        <f>VLOOKUP(Input[[#This Row],[MD5]],df[#All],3,FALSE)</f>
        <v>3757291325.25</v>
      </c>
      <c r="T31" s="19">
        <f>VLOOKUP(Input[[#This Row],[MD5]],df[#All],4,FALSE)</f>
        <v>2186301788.8499899</v>
      </c>
      <c r="U31" s="19">
        <f>Input[[#This Row],[time4]]/$B$1</f>
        <v>848639.40920666663</v>
      </c>
      <c r="V31" s="19">
        <f>Input[[#This Row],[price4]]/$B$1</f>
        <v>250486.08835000001</v>
      </c>
      <c r="W31" s="20">
        <f>Input[[#This Row],[energy4]]/$B$1</f>
        <v>145753.45258999933</v>
      </c>
    </row>
    <row r="32" spans="1:23">
      <c r="A32" s="24" t="s">
        <v>74</v>
      </c>
      <c r="B32" s="13" t="s">
        <v>36</v>
      </c>
      <c r="C32" s="18">
        <f>VLOOKUP(Input[[#This Row],[MD5]],buildtime[#All],2,FALSE)</f>
        <v>61.977142860000001</v>
      </c>
      <c r="D32" s="19">
        <f>VLOOKUP(Input[[#This Row],[MD5]],buildtime[#All],3,FALSE)</f>
        <v>61.2</v>
      </c>
      <c r="E32" s="20">
        <f>VLOOKUP(Input[[#This Row],[MD5]],buildtime[#All],4,FALSE)</f>
        <v>53.52</v>
      </c>
      <c r="F32" s="18">
        <f>VLOOKUP(Input[[#This Row],[MD5]],partialcf[#All],2,FALSE)</f>
        <v>534103.70781517797</v>
      </c>
      <c r="G32" s="19">
        <f>VLOOKUP(Input[[#This Row],[MD5]],partialcf[#All],3,FALSE)</f>
        <v>529691.82290624897</v>
      </c>
      <c r="H32" s="19">
        <f>VLOOKUP(Input[[#This Row],[MD5]],partialcf[#All],4,FALSE)</f>
        <v>463167.503056249</v>
      </c>
      <c r="I32" s="19">
        <f>Input[[#This Row],[time2]]/$B$1</f>
        <v>35.606913854345201</v>
      </c>
      <c r="J32" s="19">
        <f>Input[[#This Row],[price2]]/$B$1</f>
        <v>35.312788193749931</v>
      </c>
      <c r="K32" s="20">
        <f>Input[[#This Row],[energy2]]/$B$1</f>
        <v>30.877833537083266</v>
      </c>
      <c r="L32" s="18">
        <f>VLOOKUP(Input[[#This Row],[MD5]],fullcf[#All],2,FALSE)</f>
        <v>529550.28969464195</v>
      </c>
      <c r="M32" s="19">
        <f>VLOOKUP(Input[[#This Row],[MD5]],fullcf[#All],3,FALSE)</f>
        <v>1329486.8363437401</v>
      </c>
      <c r="N32" s="19">
        <f>VLOOKUP(Input[[#This Row],[MD5]],fullcf[#All],4,FALSE)</f>
        <v>1156323.1813687501</v>
      </c>
      <c r="O32" s="19">
        <f>Input[[#This Row],[time3]]/$B$1</f>
        <v>35.303352646309463</v>
      </c>
      <c r="P32" s="19">
        <f>Input[[#This Row],[price3]]/$B$1</f>
        <v>88.632455756249342</v>
      </c>
      <c r="Q32" s="20">
        <f>Input[[#This Row],[energy3]]/$B$1</f>
        <v>77.08821209125</v>
      </c>
      <c r="R32" s="18">
        <f>VLOOKUP(Input[[#This Row],[MD5]],df[#All],2,FALSE)</f>
        <v>12823930322.1</v>
      </c>
      <c r="S32" s="19">
        <f>VLOOKUP(Input[[#This Row],[MD5]],df[#All],3,FALSE)</f>
        <v>3788610585.25</v>
      </c>
      <c r="T32" s="19">
        <f>VLOOKUP(Input[[#This Row],[MD5]],df[#All],4,FALSE)</f>
        <v>2204589072.8499899</v>
      </c>
      <c r="U32" s="19">
        <f>Input[[#This Row],[time4]]/$B$1</f>
        <v>854928.68813999998</v>
      </c>
      <c r="V32" s="19">
        <f>Input[[#This Row],[price4]]/$B$1</f>
        <v>252574.03901666668</v>
      </c>
      <c r="W32" s="20">
        <f>Input[[#This Row],[energy4]]/$B$1</f>
        <v>146972.604856666</v>
      </c>
    </row>
    <row r="33" spans="1:23">
      <c r="A33" s="24" t="s">
        <v>75</v>
      </c>
      <c r="B33" s="13" t="s">
        <v>37</v>
      </c>
      <c r="C33" s="18">
        <f>VLOOKUP(Input[[#This Row],[MD5]],buildtime[#All],2,FALSE)</f>
        <v>50.51142857</v>
      </c>
      <c r="D33" s="19">
        <f>VLOOKUP(Input[[#This Row],[MD5]],buildtime[#All],3,FALSE)</f>
        <v>67.2</v>
      </c>
      <c r="E33" s="20">
        <f>VLOOKUP(Input[[#This Row],[MD5]],buildtime[#All],4,FALSE)</f>
        <v>58.72</v>
      </c>
      <c r="F33" s="18">
        <f>VLOOKUP(Input[[#This Row],[MD5]],partialcf[#All],2,FALSE)</f>
        <v>661600.84142276703</v>
      </c>
      <c r="G33" s="19">
        <f>VLOOKUP(Input[[#This Row],[MD5]],partialcf[#All],3,FALSE)</f>
        <v>622002.94528124901</v>
      </c>
      <c r="H33" s="19">
        <f>VLOOKUP(Input[[#This Row],[MD5]],partialcf[#All],4,FALSE)</f>
        <v>543163.56310624897</v>
      </c>
      <c r="I33" s="19">
        <f>Input[[#This Row],[time2]]/$B$1</f>
        <v>44.106722761517801</v>
      </c>
      <c r="J33" s="19">
        <f>Input[[#This Row],[price2]]/$B$1</f>
        <v>41.466863018749933</v>
      </c>
      <c r="K33" s="20">
        <f>Input[[#This Row],[energy2]]/$B$1</f>
        <v>36.210904207083267</v>
      </c>
      <c r="L33" s="18">
        <f>VLOOKUP(Input[[#This Row],[MD5]],fullcf[#All],2,FALSE)</f>
        <v>661266.03251651698</v>
      </c>
      <c r="M33" s="19">
        <f>VLOOKUP(Input[[#This Row],[MD5]],fullcf[#All],3,FALSE)</f>
        <v>1427879.55121875</v>
      </c>
      <c r="N33" s="19">
        <f>VLOOKUP(Input[[#This Row],[MD5]],fullcf[#All],4,FALSE)</f>
        <v>1241589.9549187501</v>
      </c>
      <c r="O33" s="19">
        <f>Input[[#This Row],[time3]]/$B$1</f>
        <v>44.084402167767799</v>
      </c>
      <c r="P33" s="19">
        <f>Input[[#This Row],[price3]]/$B$1</f>
        <v>95.191970081249991</v>
      </c>
      <c r="Q33" s="20">
        <f>Input[[#This Row],[energy3]]/$B$1</f>
        <v>82.772663661250007</v>
      </c>
      <c r="R33" s="18">
        <f>VLOOKUP(Input[[#This Row],[MD5]],df[#All],2,FALSE)</f>
        <v>22232055308</v>
      </c>
      <c r="S33" s="19">
        <f>VLOOKUP(Input[[#This Row],[MD5]],df[#All],3,FALSE)</f>
        <v>5454172025.25</v>
      </c>
      <c r="T33" s="19">
        <f>VLOOKUP(Input[[#This Row],[MD5]],df[#All],4,FALSE)</f>
        <v>3204430208.8499899</v>
      </c>
      <c r="U33" s="19">
        <f>Input[[#This Row],[time4]]/$B$1</f>
        <v>1482137.0205333333</v>
      </c>
      <c r="V33" s="19">
        <f>Input[[#This Row],[price4]]/$B$1</f>
        <v>363611.46834999998</v>
      </c>
      <c r="W33" s="20">
        <f>Input[[#This Row],[energy4]]/$B$1</f>
        <v>213628.68058999933</v>
      </c>
    </row>
    <row r="34" spans="1:23">
      <c r="A34" s="24" t="s">
        <v>76</v>
      </c>
      <c r="B34" s="13" t="s">
        <v>38</v>
      </c>
      <c r="C34" s="18">
        <f>VLOOKUP(Input[[#This Row],[MD5]],buildtime[#All],2,FALSE)</f>
        <v>61.977142860000001</v>
      </c>
      <c r="D34" s="19">
        <f>VLOOKUP(Input[[#This Row],[MD5]],buildtime[#All],3,FALSE)</f>
        <v>61.2</v>
      </c>
      <c r="E34" s="20">
        <f>VLOOKUP(Input[[#This Row],[MD5]],buildtime[#All],4,FALSE)</f>
        <v>53.52</v>
      </c>
      <c r="F34" s="18">
        <f>VLOOKUP(Input[[#This Row],[MD5]],partialcf[#All],2,FALSE)</f>
        <v>19427.176892767799</v>
      </c>
      <c r="G34" s="19">
        <f>VLOOKUP(Input[[#This Row],[MD5]],partialcf[#All],3,FALSE)</f>
        <v>21089.191528124898</v>
      </c>
      <c r="H34" s="19">
        <f>VLOOKUP(Input[[#This Row],[MD5]],partialcf[#All],4,FALSE)</f>
        <v>18398.353348125002</v>
      </c>
      <c r="I34" s="19">
        <f>Input[[#This Row],[time2]]/$B$1</f>
        <v>1.2951451261845199</v>
      </c>
      <c r="J34" s="19">
        <f>Input[[#This Row],[price2]]/$B$1</f>
        <v>1.4059461018749932</v>
      </c>
      <c r="K34" s="20">
        <f>Input[[#This Row],[energy2]]/$B$1</f>
        <v>1.2265568898750001</v>
      </c>
      <c r="L34" s="18">
        <f>VLOOKUP(Input[[#This Row],[MD5]],fullcf[#All],2,FALSE)</f>
        <v>15630.243663303499</v>
      </c>
      <c r="M34" s="19">
        <f>VLOOKUP(Input[[#This Row],[MD5]],fullcf[#All],3,FALSE)</f>
        <v>871932.573496875</v>
      </c>
      <c r="N34" s="19">
        <f>VLOOKUP(Input[[#This Row],[MD5]],fullcf[#All],4,FALSE)</f>
        <v>755795.95105437399</v>
      </c>
      <c r="O34" s="19">
        <f>Input[[#This Row],[time3]]/$B$1</f>
        <v>1.0420162442202332</v>
      </c>
      <c r="P34" s="19">
        <f>Input[[#This Row],[price3]]/$B$1</f>
        <v>58.128838233125002</v>
      </c>
      <c r="Q34" s="20">
        <f>Input[[#This Row],[energy3]]/$B$1</f>
        <v>50.386396736958268</v>
      </c>
      <c r="R34" s="18">
        <f>VLOOKUP(Input[[#This Row],[MD5]],df[#All],2,FALSE)</f>
        <v>5952033.5133333299</v>
      </c>
      <c r="S34" s="19">
        <f>VLOOKUP(Input[[#This Row],[MD5]],df[#All],3,FALSE)</f>
        <v>16505144.449999999</v>
      </c>
      <c r="T34" s="19">
        <f>VLOOKUP(Input[[#This Row],[MD5]],df[#All],4,FALSE)</f>
        <v>9870931.1966666598</v>
      </c>
      <c r="U34" s="19">
        <f>Input[[#This Row],[time4]]/$B$1</f>
        <v>396.80223422222201</v>
      </c>
      <c r="V34" s="19">
        <f>Input[[#This Row],[price4]]/$B$1</f>
        <v>1100.3429633333333</v>
      </c>
      <c r="W34" s="20">
        <f>Input[[#This Row],[energy4]]/$B$1</f>
        <v>658.06207977777729</v>
      </c>
    </row>
    <row r="35" spans="1:23">
      <c r="A35" s="24" t="s">
        <v>77</v>
      </c>
      <c r="B35" s="13" t="s">
        <v>39</v>
      </c>
      <c r="C35" s="18">
        <f>VLOOKUP(Input[[#This Row],[MD5]],buildtime[#All],2,FALSE)</f>
        <v>44.77857143</v>
      </c>
      <c r="D35" s="19">
        <f>VLOOKUP(Input[[#This Row],[MD5]],buildtime[#All],3,FALSE)</f>
        <v>74.7</v>
      </c>
      <c r="E35" s="20">
        <f>VLOOKUP(Input[[#This Row],[MD5]],buildtime[#All],4,FALSE)</f>
        <v>65.22</v>
      </c>
      <c r="F35" s="18">
        <f>VLOOKUP(Input[[#This Row],[MD5]],partialcf[#All],2,FALSE)</f>
        <v>662186.99832857097</v>
      </c>
      <c r="G35" s="19">
        <f>VLOOKUP(Input[[#This Row],[MD5]],partialcf[#All],3,FALSE)</f>
        <v>622688.69793749903</v>
      </c>
      <c r="H35" s="19">
        <f>VLOOKUP(Input[[#This Row],[MD5]],partialcf[#All],4,FALSE)</f>
        <v>543757.88207499904</v>
      </c>
      <c r="I35" s="19">
        <f>Input[[#This Row],[time2]]/$B$1</f>
        <v>44.145799888571396</v>
      </c>
      <c r="J35" s="19">
        <f>Input[[#This Row],[price2]]/$B$1</f>
        <v>41.512579862499933</v>
      </c>
      <c r="K35" s="20">
        <f>Input[[#This Row],[energy2]]/$B$1</f>
        <v>36.250525471666606</v>
      </c>
      <c r="L35" s="18">
        <f>VLOOKUP(Input[[#This Row],[MD5]],fullcf[#All],2,FALSE)</f>
        <v>661519.93614107103</v>
      </c>
      <c r="M35" s="19">
        <f>VLOOKUP(Input[[#This Row],[MD5]],fullcf[#All],3,FALSE)</f>
        <v>1428192.3340312501</v>
      </c>
      <c r="N35" s="19">
        <f>VLOOKUP(Input[[#This Row],[MD5]],fullcf[#All],4,FALSE)</f>
        <v>1241861.03335625</v>
      </c>
      <c r="O35" s="19">
        <f>Input[[#This Row],[time3]]/$B$1</f>
        <v>44.101329076071401</v>
      </c>
      <c r="P35" s="19">
        <f>Input[[#This Row],[price3]]/$B$1</f>
        <v>95.212822268750003</v>
      </c>
      <c r="Q35" s="20">
        <f>Input[[#This Row],[energy3]]/$B$1</f>
        <v>82.790735557083337</v>
      </c>
      <c r="R35" s="18">
        <f>VLOOKUP(Input[[#This Row],[MD5]],df[#All],2,FALSE)</f>
        <v>22255636448</v>
      </c>
      <c r="S35" s="19">
        <f>VLOOKUP(Input[[#This Row],[MD5]],df[#All],3,FALSE)</f>
        <v>5458399782.75</v>
      </c>
      <c r="T35" s="19">
        <f>VLOOKUP(Input[[#This Row],[MD5]],df[#All],4,FALSE)</f>
        <v>3206966863.3499899</v>
      </c>
      <c r="U35" s="19">
        <f>Input[[#This Row],[time4]]/$B$1</f>
        <v>1483709.0965333334</v>
      </c>
      <c r="V35" s="19">
        <f>Input[[#This Row],[price4]]/$B$1</f>
        <v>363893.31884999998</v>
      </c>
      <c r="W35" s="20">
        <f>Input[[#This Row],[energy4]]/$B$1</f>
        <v>213797.79088999933</v>
      </c>
    </row>
    <row r="36" spans="1:23">
      <c r="A36" s="24" t="s">
        <v>78</v>
      </c>
      <c r="B36" s="13" t="s">
        <v>40</v>
      </c>
      <c r="C36" s="18">
        <f>VLOOKUP(Input[[#This Row],[MD5]],buildtime[#All],2,FALSE)</f>
        <v>56.24428571</v>
      </c>
      <c r="D36" s="19">
        <f>VLOOKUP(Input[[#This Row],[MD5]],buildtime[#All],3,FALSE)</f>
        <v>64.2</v>
      </c>
      <c r="E36" s="20">
        <f>VLOOKUP(Input[[#This Row],[MD5]],buildtime[#All],4,FALSE)</f>
        <v>56.12</v>
      </c>
      <c r="F36" s="18">
        <f>VLOOKUP(Input[[#This Row],[MD5]],partialcf[#All],2,FALSE)</f>
        <v>19345.282435714202</v>
      </c>
      <c r="G36" s="19">
        <f>VLOOKUP(Input[[#This Row],[MD5]],partialcf[#All],3,FALSE)</f>
        <v>18224.941968749899</v>
      </c>
      <c r="H36" s="19">
        <f>VLOOKUP(Input[[#This Row],[MD5]],partialcf[#All],4,FALSE)</f>
        <v>15915.64124375</v>
      </c>
      <c r="I36" s="19">
        <f>Input[[#This Row],[time2]]/$B$1</f>
        <v>1.28968549571428</v>
      </c>
      <c r="J36" s="19">
        <f>Input[[#This Row],[price2]]/$B$1</f>
        <v>1.2149961312499933</v>
      </c>
      <c r="K36" s="20">
        <f>Input[[#This Row],[energy2]]/$B$1</f>
        <v>1.0610427495833334</v>
      </c>
      <c r="L36" s="18">
        <f>VLOOKUP(Input[[#This Row],[MD5]],fullcf[#All],2,FALSE)</f>
        <v>19333.9294178571</v>
      </c>
      <c r="M36" s="19">
        <f>VLOOKUP(Input[[#This Row],[MD5]],fullcf[#All],3,FALSE)</f>
        <v>874708.20787499903</v>
      </c>
      <c r="N36" s="19">
        <f>VLOOKUP(Input[[#This Row],[MD5]],fullcf[#All],4,FALSE)</f>
        <v>758201.13836249895</v>
      </c>
      <c r="O36" s="19">
        <f>Input[[#This Row],[time3]]/$B$1</f>
        <v>1.2889286278571399</v>
      </c>
      <c r="P36" s="19">
        <f>Input[[#This Row],[price3]]/$B$1</f>
        <v>58.313880524999938</v>
      </c>
      <c r="Q36" s="20">
        <f>Input[[#This Row],[energy3]]/$B$1</f>
        <v>50.546742557499933</v>
      </c>
      <c r="R36" s="18">
        <f>VLOOKUP(Input[[#This Row],[MD5]],df[#All],2,FALSE)</f>
        <v>9888379.75</v>
      </c>
      <c r="S36" s="19">
        <f>VLOOKUP(Input[[#This Row],[MD5]],df[#All],3,FALSE)</f>
        <v>17238202.708333299</v>
      </c>
      <c r="T36" s="19">
        <f>VLOOKUP(Input[[#This Row],[MD5]],df[#All],4,FALSE)</f>
        <v>10310844.074999999</v>
      </c>
      <c r="U36" s="19">
        <f>Input[[#This Row],[time4]]/$B$1</f>
        <v>659.22531666666669</v>
      </c>
      <c r="V36" s="19">
        <f>Input[[#This Row],[price4]]/$B$1</f>
        <v>1149.2135138888866</v>
      </c>
      <c r="W36" s="20">
        <f>Input[[#This Row],[energy4]]/$B$1</f>
        <v>687.38960499999996</v>
      </c>
    </row>
    <row r="37" spans="1:23">
      <c r="A37" s="24" t="s">
        <v>79</v>
      </c>
      <c r="B37" s="13" t="s">
        <v>41</v>
      </c>
      <c r="C37" s="18">
        <f>VLOOKUP(Input[[#This Row],[MD5]],buildtime[#All],2,FALSE)</f>
        <v>56.24428571</v>
      </c>
      <c r="D37" s="19">
        <f>VLOOKUP(Input[[#This Row],[MD5]],buildtime[#All],3,FALSE)</f>
        <v>64.2</v>
      </c>
      <c r="E37" s="20">
        <f>VLOOKUP(Input[[#This Row],[MD5]],buildtime[#All],4,FALSE)</f>
        <v>56.12</v>
      </c>
      <c r="F37" s="18">
        <f>VLOOKUP(Input[[#This Row],[MD5]],partialcf[#All],2,FALSE)</f>
        <v>661600.30283839197</v>
      </c>
      <c r="G37" s="19">
        <f>VLOOKUP(Input[[#This Row],[MD5]],partialcf[#All],3,FALSE)</f>
        <v>622001.74434374901</v>
      </c>
      <c r="H37" s="19">
        <f>VLOOKUP(Input[[#This Row],[MD5]],partialcf[#All],4,FALSE)</f>
        <v>543162.52229374903</v>
      </c>
      <c r="I37" s="19">
        <f>Input[[#This Row],[time2]]/$B$1</f>
        <v>44.106686855892796</v>
      </c>
      <c r="J37" s="19">
        <f>Input[[#This Row],[price2]]/$B$1</f>
        <v>41.466782956249936</v>
      </c>
      <c r="K37" s="20">
        <f>Input[[#This Row],[energy2]]/$B$1</f>
        <v>36.210834819583269</v>
      </c>
      <c r="L37" s="18">
        <f>VLOOKUP(Input[[#This Row],[MD5]],fullcf[#All],2,FALSE)</f>
        <v>661265.44105714199</v>
      </c>
      <c r="M37" s="19">
        <f>VLOOKUP(Input[[#This Row],[MD5]],fullcf[#All],3,FALSE)</f>
        <v>1427878.8457500001</v>
      </c>
      <c r="N37" s="19">
        <f>VLOOKUP(Input[[#This Row],[MD5]],fullcf[#All],4,FALSE)</f>
        <v>1241589.3435124899</v>
      </c>
      <c r="O37" s="19">
        <f>Input[[#This Row],[time3]]/$B$1</f>
        <v>44.084362737142797</v>
      </c>
      <c r="P37" s="19">
        <f>Input[[#This Row],[price3]]/$B$1</f>
        <v>95.19192305</v>
      </c>
      <c r="Q37" s="20">
        <f>Input[[#This Row],[energy3]]/$B$1</f>
        <v>82.772622900832658</v>
      </c>
      <c r="R37" s="18">
        <f>VLOOKUP(Input[[#This Row],[MD5]],df[#All],2,FALSE)</f>
        <v>22231663976</v>
      </c>
      <c r="S37" s="19">
        <f>VLOOKUP(Input[[#This Row],[MD5]],df[#All],3,FALSE)</f>
        <v>5454091325.25</v>
      </c>
      <c r="T37" s="19">
        <f>VLOOKUP(Input[[#This Row],[MD5]],df[#All],4,FALSE)</f>
        <v>3204381788.8499899</v>
      </c>
      <c r="U37" s="19">
        <f>Input[[#This Row],[time4]]/$B$1</f>
        <v>1482110.9317333333</v>
      </c>
      <c r="V37" s="19">
        <f>Input[[#This Row],[price4]]/$B$1</f>
        <v>363606.08834999998</v>
      </c>
      <c r="W37" s="20">
        <f>Input[[#This Row],[energy4]]/$B$1</f>
        <v>213625.45258999933</v>
      </c>
    </row>
    <row r="38" spans="1:23">
      <c r="A38" s="24" t="s">
        <v>80</v>
      </c>
      <c r="B38" s="13" t="s">
        <v>42</v>
      </c>
      <c r="C38" s="18">
        <f>VLOOKUP(Input[[#This Row],[MD5]],buildtime[#All],2,FALSE)</f>
        <v>61.977142860000001</v>
      </c>
      <c r="D38" s="19">
        <f>VLOOKUP(Input[[#This Row],[MD5]],buildtime[#All],3,FALSE)</f>
        <v>61.2</v>
      </c>
      <c r="E38" s="20">
        <f>VLOOKUP(Input[[#This Row],[MD5]],buildtime[#All],4,FALSE)</f>
        <v>53.52</v>
      </c>
      <c r="F38" s="18">
        <f>VLOOKUP(Input[[#This Row],[MD5]],partialcf[#All],2,FALSE)</f>
        <v>533551.44869955303</v>
      </c>
      <c r="G38" s="19">
        <f>VLOOKUP(Input[[#This Row],[MD5]],partialcf[#All],3,FALSE)</f>
        <v>528974.51573437406</v>
      </c>
      <c r="H38" s="19">
        <f>VLOOKUP(Input[[#This Row],[MD5]],partialcf[#All],4,FALSE)</f>
        <v>462544.213409374</v>
      </c>
      <c r="I38" s="19">
        <f>Input[[#This Row],[time2]]/$B$1</f>
        <v>35.570096579970205</v>
      </c>
      <c r="J38" s="19">
        <f>Input[[#This Row],[price2]]/$B$1</f>
        <v>35.264967715624934</v>
      </c>
      <c r="K38" s="20">
        <f>Input[[#This Row],[energy2]]/$B$1</f>
        <v>30.836280893958268</v>
      </c>
      <c r="L38" s="18">
        <f>VLOOKUP(Input[[#This Row],[MD5]],fullcf[#All],2,FALSE)</f>
        <v>529340.62973526702</v>
      </c>
      <c r="M38" s="19">
        <f>VLOOKUP(Input[[#This Row],[MD5]],fullcf[#All],3,FALSE)</f>
        <v>1329196.02604687</v>
      </c>
      <c r="N38" s="19">
        <f>VLOOKUP(Input[[#This Row],[MD5]],fullcf[#All],4,FALSE)</f>
        <v>1156069.52234687</v>
      </c>
      <c r="O38" s="19">
        <f>Input[[#This Row],[time3]]/$B$1</f>
        <v>35.289375315684467</v>
      </c>
      <c r="P38" s="19">
        <f>Input[[#This Row],[price3]]/$B$1</f>
        <v>88.613068403124672</v>
      </c>
      <c r="Q38" s="20">
        <f>Input[[#This Row],[energy3]]/$B$1</f>
        <v>77.071301489791338</v>
      </c>
      <c r="R38" s="18">
        <f>VLOOKUP(Input[[#This Row],[MD5]],df[#All],2,FALSE)</f>
        <v>12807680814.1</v>
      </c>
      <c r="S38" s="19">
        <f>VLOOKUP(Input[[#This Row],[MD5]],df[#All],3,FALSE)</f>
        <v>3777854215.25</v>
      </c>
      <c r="T38" s="19">
        <f>VLOOKUP(Input[[#This Row],[MD5]],df[#All],4,FALSE)</f>
        <v>2198222014.8499899</v>
      </c>
      <c r="U38" s="19">
        <f>Input[[#This Row],[time4]]/$B$1</f>
        <v>853845.38760666666</v>
      </c>
      <c r="V38" s="19">
        <f>Input[[#This Row],[price4]]/$B$1</f>
        <v>251856.94768333333</v>
      </c>
      <c r="W38" s="20">
        <f>Input[[#This Row],[energy4]]/$B$1</f>
        <v>146548.13432333266</v>
      </c>
    </row>
    <row r="39" spans="1:23">
      <c r="A39" s="24" t="s">
        <v>81</v>
      </c>
      <c r="B39" s="13" t="s">
        <v>43</v>
      </c>
      <c r="C39" s="18">
        <f>VLOOKUP(Input[[#This Row],[MD5]],buildtime[#All],2,FALSE)</f>
        <v>61.977142860000001</v>
      </c>
      <c r="D39" s="19">
        <f>VLOOKUP(Input[[#This Row],[MD5]],buildtime[#All],3,FALSE)</f>
        <v>61.2</v>
      </c>
      <c r="E39" s="20">
        <f>VLOOKUP(Input[[#This Row],[MD5]],buildtime[#All],4,FALSE)</f>
        <v>53.52</v>
      </c>
      <c r="F39" s="18">
        <f>VLOOKUP(Input[[#This Row],[MD5]],partialcf[#All],2,FALSE)</f>
        <v>17199.552378571399</v>
      </c>
      <c r="G39" s="19">
        <f>VLOOKUP(Input[[#This Row],[MD5]],partialcf[#All],3,FALSE)</f>
        <v>17151.9602812499</v>
      </c>
      <c r="H39" s="19">
        <f>VLOOKUP(Input[[#This Row],[MD5]],partialcf[#All],4,FALSE)</f>
        <v>14995.64560625</v>
      </c>
      <c r="I39" s="19">
        <f>Input[[#This Row],[time2]]/$B$1</f>
        <v>1.1466368252380934</v>
      </c>
      <c r="J39" s="19">
        <f>Input[[#This Row],[price2]]/$B$1</f>
        <v>1.1434640187499934</v>
      </c>
      <c r="K39" s="20">
        <f>Input[[#This Row],[energy2]]/$B$1</f>
        <v>0.99970970708333329</v>
      </c>
      <c r="L39" s="18">
        <f>VLOOKUP(Input[[#This Row],[MD5]],fullcf[#All],2,FALSE)</f>
        <v>16864.580441071401</v>
      </c>
      <c r="M39" s="19">
        <f>VLOOKUP(Input[[#This Row],[MD5]],fullcf[#All],3,FALSE)</f>
        <v>873028.55231249996</v>
      </c>
      <c r="N39" s="19">
        <f>VLOOKUP(Input[[#This Row],[MD5]],fullcf[#All],4,FALSE)</f>
        <v>756755.35869999905</v>
      </c>
      <c r="O39" s="19">
        <f>Input[[#This Row],[time3]]/$B$1</f>
        <v>1.1243053627380935</v>
      </c>
      <c r="P39" s="19">
        <f>Input[[#This Row],[price3]]/$B$1</f>
        <v>58.201903487499997</v>
      </c>
      <c r="Q39" s="20">
        <f>Input[[#This Row],[energy3]]/$B$1</f>
        <v>50.450357246666606</v>
      </c>
      <c r="R39" s="18">
        <f>VLOOKUP(Input[[#This Row],[MD5]],df[#All],2,FALSE)</f>
        <v>69433947.700000003</v>
      </c>
      <c r="S39" s="19">
        <f>VLOOKUP(Input[[#This Row],[MD5]],df[#All],3,FALSE)</f>
        <v>35185629.25</v>
      </c>
      <c r="T39" s="19">
        <f>VLOOKUP(Input[[#This Row],[MD5]],df[#All],4,FALSE)</f>
        <v>20739830.449999999</v>
      </c>
      <c r="U39" s="19">
        <f>Input[[#This Row],[time4]]/$B$1</f>
        <v>4628.9298466666669</v>
      </c>
      <c r="V39" s="19">
        <f>Input[[#This Row],[price4]]/$B$1</f>
        <v>2345.7086166666668</v>
      </c>
      <c r="W39" s="20">
        <f>Input[[#This Row],[energy4]]/$B$1</f>
        <v>1382.6553633333333</v>
      </c>
    </row>
    <row r="40" spans="1:23">
      <c r="A40" s="24" t="s">
        <v>82</v>
      </c>
      <c r="B40" s="13" t="s">
        <v>44</v>
      </c>
      <c r="C40" s="18">
        <f>VLOOKUP(Input[[#This Row],[MD5]],buildtime[#All],2,FALSE)</f>
        <v>50.51142857</v>
      </c>
      <c r="D40" s="19">
        <f>VLOOKUP(Input[[#This Row],[MD5]],buildtime[#All],3,FALSE)</f>
        <v>67.2</v>
      </c>
      <c r="E40" s="20">
        <f>VLOOKUP(Input[[#This Row],[MD5]],buildtime[#All],4,FALSE)</f>
        <v>58.72</v>
      </c>
      <c r="F40" s="18">
        <f>VLOOKUP(Input[[#This Row],[MD5]],partialcf[#All],2,FALSE)</f>
        <v>943859.11441830301</v>
      </c>
      <c r="G40" s="19">
        <f>VLOOKUP(Input[[#This Row],[MD5]],partialcf[#All],3,FALSE)</f>
        <v>902591.27526562405</v>
      </c>
      <c r="H40" s="19">
        <f>VLOOKUP(Input[[#This Row],[MD5]],partialcf[#All],4,FALSE)</f>
        <v>786991.11169062403</v>
      </c>
      <c r="I40" s="19">
        <f>Input[[#This Row],[time2]]/$B$1</f>
        <v>62.923940961220204</v>
      </c>
      <c r="J40" s="19">
        <f>Input[[#This Row],[price2]]/$B$1</f>
        <v>60.172751684374937</v>
      </c>
      <c r="K40" s="20">
        <f>Input[[#This Row],[energy2]]/$B$1</f>
        <v>52.46607411270827</v>
      </c>
      <c r="L40" s="18">
        <f>VLOOKUP(Input[[#This Row],[MD5]],fullcf[#All],2,FALSE)</f>
        <v>877588.42704330303</v>
      </c>
      <c r="M40" s="19">
        <f>VLOOKUP(Input[[#This Row],[MD5]],fullcf[#All],3,FALSE)</f>
        <v>1643705.68260937</v>
      </c>
      <c r="N40" s="19">
        <f>VLOOKUP(Input[[#This Row],[MD5]],fullcf[#All],4,FALSE)</f>
        <v>1429290.26472187</v>
      </c>
      <c r="O40" s="19">
        <f>Input[[#This Row],[time3]]/$B$1</f>
        <v>58.505895136220204</v>
      </c>
      <c r="P40" s="19">
        <f>Input[[#This Row],[price3]]/$B$1</f>
        <v>109.58037884062466</v>
      </c>
      <c r="Q40" s="20">
        <f>Input[[#This Row],[energy3]]/$B$1</f>
        <v>95.28601764812467</v>
      </c>
      <c r="R40" s="18">
        <f>VLOOKUP(Input[[#This Row],[MD5]],df[#All],2,FALSE)</f>
        <v>33658875244</v>
      </c>
      <c r="S40" s="19">
        <f>VLOOKUP(Input[[#This Row],[MD5]],df[#All],3,FALSE)</f>
        <v>8447564495.25</v>
      </c>
      <c r="T40" s="19">
        <f>VLOOKUP(Input[[#This Row],[MD5]],df[#All],4,FALSE)</f>
        <v>4990002126.8500004</v>
      </c>
      <c r="U40" s="19">
        <f>Input[[#This Row],[time4]]/$B$1</f>
        <v>2243925.0162666668</v>
      </c>
      <c r="V40" s="19">
        <f>Input[[#This Row],[price4]]/$B$1</f>
        <v>563170.96635</v>
      </c>
      <c r="W40" s="20">
        <f>Input[[#This Row],[energy4]]/$B$1</f>
        <v>332666.80845666671</v>
      </c>
    </row>
    <row r="41" spans="1:23">
      <c r="A41" s="24" t="s">
        <v>83</v>
      </c>
      <c r="B41" s="13" t="s">
        <v>45</v>
      </c>
      <c r="C41" s="18">
        <f>VLOOKUP(Input[[#This Row],[MD5]],buildtime[#All],2,FALSE)</f>
        <v>56.24428571</v>
      </c>
      <c r="D41" s="19">
        <f>VLOOKUP(Input[[#This Row],[MD5]],buildtime[#All],3,FALSE)</f>
        <v>64.2</v>
      </c>
      <c r="E41" s="20">
        <f>VLOOKUP(Input[[#This Row],[MD5]],buildtime[#All],4,FALSE)</f>
        <v>56.12</v>
      </c>
      <c r="F41" s="18">
        <f>VLOOKUP(Input[[#This Row],[MD5]],partialcf[#All],2,FALSE)</f>
        <v>20880.5019455357</v>
      </c>
      <c r="G41" s="19">
        <f>VLOOKUP(Input[[#This Row],[MD5]],partialcf[#All],3,FALSE)</f>
        <v>19868.455593749899</v>
      </c>
      <c r="H41" s="19">
        <f>VLOOKUP(Input[[#This Row],[MD5]],partialcf[#All],4,FALSE)</f>
        <v>17349.941543749901</v>
      </c>
      <c r="I41" s="19">
        <f>Input[[#This Row],[time2]]/$B$1</f>
        <v>1.3920334630357134</v>
      </c>
      <c r="J41" s="19">
        <f>Input[[#This Row],[price2]]/$B$1</f>
        <v>1.3245637062499933</v>
      </c>
      <c r="K41" s="20">
        <f>Input[[#This Row],[energy2]]/$B$1</f>
        <v>1.1566627695833267</v>
      </c>
      <c r="L41" s="18">
        <f>VLOOKUP(Input[[#This Row],[MD5]],fullcf[#All],2,FALSE)</f>
        <v>20614.981950000001</v>
      </c>
      <c r="M41" s="19">
        <f>VLOOKUP(Input[[#This Row],[MD5]],fullcf[#All],3,FALSE)</f>
        <v>875848.51950000005</v>
      </c>
      <c r="N41" s="19">
        <f>VLOOKUP(Input[[#This Row],[MD5]],fullcf[#All],4,FALSE)</f>
        <v>759199.33026249998</v>
      </c>
      <c r="O41" s="19">
        <f>Input[[#This Row],[time3]]/$B$1</f>
        <v>1.37433213</v>
      </c>
      <c r="P41" s="19">
        <f>Input[[#This Row],[price3]]/$B$1</f>
        <v>58.389901300000005</v>
      </c>
      <c r="Q41" s="20">
        <f>Input[[#This Row],[energy3]]/$B$1</f>
        <v>50.613288684166662</v>
      </c>
      <c r="R41" s="18">
        <f>VLOOKUP(Input[[#This Row],[MD5]],df[#All],2,FALSE)</f>
        <v>73353505.599999905</v>
      </c>
      <c r="S41" s="19">
        <f>VLOOKUP(Input[[#This Row],[MD5]],df[#All],3,FALSE)</f>
        <v>35886829.25</v>
      </c>
      <c r="T41" s="19">
        <f>VLOOKUP(Input[[#This Row],[MD5]],df[#All],4,FALSE)</f>
        <v>21160550.449999899</v>
      </c>
      <c r="U41" s="19">
        <f>Input[[#This Row],[time4]]/$B$1</f>
        <v>4890.2337066666605</v>
      </c>
      <c r="V41" s="19">
        <f>Input[[#This Row],[price4]]/$B$1</f>
        <v>2392.4552833333332</v>
      </c>
      <c r="W41" s="20">
        <f>Input[[#This Row],[energy4]]/$B$1</f>
        <v>1410.7033633333265</v>
      </c>
    </row>
    <row r="42" spans="1:23">
      <c r="A42" s="24" t="s">
        <v>84</v>
      </c>
      <c r="B42" s="13" t="s">
        <v>46</v>
      </c>
      <c r="C42" s="18">
        <f>VLOOKUP(Input[[#This Row],[MD5]],buildtime[#All],2,FALSE)</f>
        <v>61.977142860000001</v>
      </c>
      <c r="D42" s="19">
        <f>VLOOKUP(Input[[#This Row],[MD5]],buildtime[#All],3,FALSE)</f>
        <v>61.2</v>
      </c>
      <c r="E42" s="20">
        <f>VLOOKUP(Input[[#This Row],[MD5]],buildtime[#All],4,FALSE)</f>
        <v>53.52</v>
      </c>
      <c r="F42" s="18">
        <f>VLOOKUP(Input[[#This Row],[MD5]],partialcf[#All],2,FALSE)</f>
        <v>17758.6638424107</v>
      </c>
      <c r="G42" s="19">
        <f>VLOOKUP(Input[[#This Row],[MD5]],partialcf[#All],3,FALSE)</f>
        <v>17879.473078124902</v>
      </c>
      <c r="H42" s="19">
        <f>VLOOKUP(Input[[#This Row],[MD5]],partialcf[#All],4,FALSE)</f>
        <v>15627.780128124999</v>
      </c>
      <c r="I42" s="19">
        <f>Input[[#This Row],[time2]]/$B$1</f>
        <v>1.1839109228273801</v>
      </c>
      <c r="J42" s="19">
        <f>Input[[#This Row],[price2]]/$B$1</f>
        <v>1.1919648718749936</v>
      </c>
      <c r="K42" s="20">
        <f>Input[[#This Row],[energy2]]/$B$1</f>
        <v>1.0418520085416667</v>
      </c>
      <c r="L42" s="18">
        <f>VLOOKUP(Input[[#This Row],[MD5]],fullcf[#All],2,FALSE)</f>
        <v>17074.1963379464</v>
      </c>
      <c r="M42" s="19">
        <f>VLOOKUP(Input[[#This Row],[MD5]],fullcf[#All],3,FALSE)</f>
        <v>873319.32979687501</v>
      </c>
      <c r="N42" s="19">
        <f>VLOOKUP(Input[[#This Row],[MD5]],fullcf[#All],4,FALSE)</f>
        <v>757008.98928437405</v>
      </c>
      <c r="O42" s="19">
        <f>Input[[#This Row],[time3]]/$B$1</f>
        <v>1.1382797558630933</v>
      </c>
      <c r="P42" s="19">
        <f>Input[[#This Row],[price3]]/$B$1</f>
        <v>58.221288653125001</v>
      </c>
      <c r="Q42" s="20">
        <f>Input[[#This Row],[energy3]]/$B$1</f>
        <v>50.467265952291605</v>
      </c>
      <c r="R42" s="18">
        <f>VLOOKUP(Input[[#This Row],[MD5]],df[#All],2,FALSE)</f>
        <v>79136255.699999899</v>
      </c>
      <c r="S42" s="19">
        <f>VLOOKUP(Input[[#This Row],[MD5]],df[#All],3,FALSE)</f>
        <v>41615199.25</v>
      </c>
      <c r="T42" s="19">
        <f>VLOOKUP(Input[[#This Row],[MD5]],df[#All],4,FALSE)</f>
        <v>24545688.449999999</v>
      </c>
      <c r="U42" s="19">
        <f>Input[[#This Row],[time4]]/$B$1</f>
        <v>5275.7503799999931</v>
      </c>
      <c r="V42" s="19">
        <f>Input[[#This Row],[price4]]/$B$1</f>
        <v>2774.3466166666667</v>
      </c>
      <c r="W42" s="20">
        <f>Input[[#This Row],[energy4]]/$B$1</f>
        <v>1636.37923</v>
      </c>
    </row>
    <row r="43" spans="1:23">
      <c r="A43" s="24" t="s">
        <v>85</v>
      </c>
      <c r="B43" s="13" t="s">
        <v>217</v>
      </c>
      <c r="C43" s="18">
        <f>VLOOKUP(Input[[#This Row],[MD5]],buildtime[#All],2,FALSE)</f>
        <v>61.977142860000001</v>
      </c>
      <c r="D43" s="19">
        <f>VLOOKUP(Input[[#This Row],[MD5]],buildtime[#All],3,FALSE)</f>
        <v>61.2</v>
      </c>
      <c r="E43" s="20">
        <f>VLOOKUP(Input[[#This Row],[MD5]],buildtime[#All],4,FALSE)</f>
        <v>53.52</v>
      </c>
      <c r="F43" s="18">
        <f>VLOOKUP(Input[[#This Row],[MD5]],partialcf[#All],2,FALSE)</f>
        <v>533969.00831830304</v>
      </c>
      <c r="G43" s="19">
        <f>VLOOKUP(Input[[#This Row],[MD5]],partialcf[#All],3,FALSE)</f>
        <v>529559.78770312399</v>
      </c>
      <c r="H43" s="19">
        <f>VLOOKUP(Input[[#This Row],[MD5]],partialcf[#All],4,FALSE)</f>
        <v>463052.01427812502</v>
      </c>
      <c r="I43" s="19">
        <f>Input[[#This Row],[time2]]/$B$1</f>
        <v>35.597933887886867</v>
      </c>
      <c r="J43" s="19">
        <f>Input[[#This Row],[price2]]/$B$1</f>
        <v>35.30398584687493</v>
      </c>
      <c r="K43" s="20">
        <f>Input[[#This Row],[energy2]]/$B$1</f>
        <v>30.870134285208334</v>
      </c>
      <c r="L43" s="18">
        <f>VLOOKUP(Input[[#This Row],[MD5]],fullcf[#All],2,FALSE)</f>
        <v>529413.60297901696</v>
      </c>
      <c r="M43" s="19">
        <f>VLOOKUP(Input[[#This Row],[MD5]],fullcf[#All],3,FALSE)</f>
        <v>1329268.08426562</v>
      </c>
      <c r="N43" s="19">
        <f>VLOOKUP(Input[[#This Row],[MD5]],fullcf[#All],4,FALSE)</f>
        <v>1156132.5379656199</v>
      </c>
      <c r="O43" s="19">
        <f>Input[[#This Row],[time3]]/$B$1</f>
        <v>35.29424019860113</v>
      </c>
      <c r="P43" s="19">
        <f>Input[[#This Row],[price3]]/$B$1</f>
        <v>88.61787228437467</v>
      </c>
      <c r="Q43" s="20">
        <f>Input[[#This Row],[energy3]]/$B$1</f>
        <v>77.075502531041323</v>
      </c>
      <c r="R43" s="18">
        <f>VLOOKUP(Input[[#This Row],[MD5]],df[#All],2,FALSE)</f>
        <v>12812952718.1</v>
      </c>
      <c r="S43" s="19">
        <f>VLOOKUP(Input[[#This Row],[MD5]],df[#All],3,FALSE)</f>
        <v>3779757175.25</v>
      </c>
      <c r="T43" s="19">
        <f>VLOOKUP(Input[[#This Row],[MD5]],df[#All],4,FALSE)</f>
        <v>2199335598.8499899</v>
      </c>
      <c r="U43" s="19">
        <f>Input[[#This Row],[time4]]/$B$1</f>
        <v>854196.84787333338</v>
      </c>
      <c r="V43" s="19">
        <f>Input[[#This Row],[price4]]/$B$1</f>
        <v>251983.81168333333</v>
      </c>
      <c r="W43" s="20">
        <f>Input[[#This Row],[energy4]]/$B$1</f>
        <v>146622.373256666</v>
      </c>
    </row>
    <row r="44" spans="1:23">
      <c r="A44" s="24" t="s">
        <v>86</v>
      </c>
      <c r="B44" s="13" t="s">
        <v>218</v>
      </c>
      <c r="C44" s="18">
        <f>VLOOKUP(Input[[#This Row],[MD5]],buildtime[#All],2,FALSE)</f>
        <v>61.977142860000001</v>
      </c>
      <c r="D44" s="19">
        <f>VLOOKUP(Input[[#This Row],[MD5]],buildtime[#All],3,FALSE)</f>
        <v>61.2</v>
      </c>
      <c r="E44" s="20">
        <f>VLOOKUP(Input[[#This Row],[MD5]],buildtime[#All],4,FALSE)</f>
        <v>53.52</v>
      </c>
      <c r="F44" s="18">
        <f>VLOOKUP(Input[[#This Row],[MD5]],partialcf[#All],2,FALSE)</f>
        <v>21286.5713897321</v>
      </c>
      <c r="G44" s="19">
        <f>VLOOKUP(Input[[#This Row],[MD5]],partialcf[#All],3,FALSE)</f>
        <v>23183.607703124901</v>
      </c>
      <c r="H44" s="19">
        <f>VLOOKUP(Input[[#This Row],[MD5]],partialcf[#All],4,FALSE)</f>
        <v>20223.928278125</v>
      </c>
      <c r="I44" s="19">
        <f>Input[[#This Row],[time2]]/$B$1</f>
        <v>1.4191047593154733</v>
      </c>
      <c r="J44" s="19">
        <f>Input[[#This Row],[price2]]/$B$1</f>
        <v>1.5455738468749933</v>
      </c>
      <c r="K44" s="20">
        <f>Input[[#This Row],[energy2]]/$B$1</f>
        <v>1.3482618852083335</v>
      </c>
      <c r="L44" s="18">
        <f>VLOOKUP(Input[[#This Row],[MD5]],fullcf[#All],2,FALSE)</f>
        <v>16974.921059374901</v>
      </c>
      <c r="M44" s="19">
        <f>VLOOKUP(Input[[#This Row],[MD5]],fullcf[#All],3,FALSE)</f>
        <v>873130.27645312506</v>
      </c>
      <c r="N44" s="19">
        <f>VLOOKUP(Input[[#This Row],[MD5]],fullcf[#All],4,FALSE)</f>
        <v>756844.374528124</v>
      </c>
      <c r="O44" s="19">
        <f>Input[[#This Row],[time3]]/$B$1</f>
        <v>1.1316614039583268</v>
      </c>
      <c r="P44" s="19">
        <f>Input[[#This Row],[price3]]/$B$1</f>
        <v>58.208685096875001</v>
      </c>
      <c r="Q44" s="20">
        <f>Input[[#This Row],[energy3]]/$B$1</f>
        <v>50.456291635208267</v>
      </c>
      <c r="R44" s="18">
        <f>VLOOKUP(Input[[#This Row],[MD5]],df[#All],2,FALSE)</f>
        <v>116775868.099999</v>
      </c>
      <c r="S44" s="19">
        <f>VLOOKUP(Input[[#This Row],[MD5]],df[#All],3,FALSE)</f>
        <v>49469066.916666597</v>
      </c>
      <c r="T44" s="19">
        <f>VLOOKUP(Input[[#This Row],[MD5]],df[#All],4,FALSE)</f>
        <v>29056643.850000001</v>
      </c>
      <c r="U44" s="19">
        <f>Input[[#This Row],[time4]]/$B$1</f>
        <v>7785.0578733332668</v>
      </c>
      <c r="V44" s="19">
        <f>Input[[#This Row],[price4]]/$B$1</f>
        <v>3297.93779444444</v>
      </c>
      <c r="W44" s="20">
        <f>Input[[#This Row],[energy4]]/$B$1</f>
        <v>1937.10959</v>
      </c>
    </row>
    <row r="45" spans="1:23">
      <c r="A45" s="24" t="s">
        <v>87</v>
      </c>
      <c r="B45" s="13" t="s">
        <v>219</v>
      </c>
      <c r="C45" s="18">
        <f>VLOOKUP(Input[[#This Row],[MD5]],buildtime[#All],2,FALSE)</f>
        <v>50.51142857</v>
      </c>
      <c r="D45" s="19">
        <f>VLOOKUP(Input[[#This Row],[MD5]],buildtime[#All],3,FALSE)</f>
        <v>65.7</v>
      </c>
      <c r="E45" s="20">
        <f>VLOOKUP(Input[[#This Row],[MD5]],buildtime[#All],4,FALSE)</f>
        <v>57.42</v>
      </c>
      <c r="F45" s="18">
        <f>VLOOKUP(Input[[#This Row],[MD5]],partialcf[#All],2,FALSE)</f>
        <v>20880.9568111607</v>
      </c>
      <c r="G45" s="19">
        <f>VLOOKUP(Input[[#This Row],[MD5]],partialcf[#All],3,FALSE)</f>
        <v>19869.0429374999</v>
      </c>
      <c r="H45" s="19">
        <f>VLOOKUP(Input[[#This Row],[MD5]],partialcf[#All],4,FALSE)</f>
        <v>17350.450574999999</v>
      </c>
      <c r="I45" s="19">
        <f>Input[[#This Row],[time2]]/$B$1</f>
        <v>1.3920637874107133</v>
      </c>
      <c r="J45" s="19">
        <f>Input[[#This Row],[price2]]/$B$1</f>
        <v>1.3246028624999933</v>
      </c>
      <c r="K45" s="20">
        <f>Input[[#This Row],[energy2]]/$B$1</f>
        <v>1.1566967049999999</v>
      </c>
      <c r="L45" s="18">
        <f>VLOOKUP(Input[[#This Row],[MD5]],fullcf[#All],2,FALSE)</f>
        <v>20615.485284375001</v>
      </c>
      <c r="M45" s="19">
        <f>VLOOKUP(Input[[#This Row],[MD5]],fullcf[#All],3,FALSE)</f>
        <v>875849.09043750004</v>
      </c>
      <c r="N45" s="19">
        <f>VLOOKUP(Input[[#This Row],[MD5]],fullcf[#All],4,FALSE)</f>
        <v>759199.82507499994</v>
      </c>
      <c r="O45" s="19">
        <f>Input[[#This Row],[time3]]/$B$1</f>
        <v>1.3743656856250002</v>
      </c>
      <c r="P45" s="19">
        <f>Input[[#This Row],[price3]]/$B$1</f>
        <v>58.389939362500002</v>
      </c>
      <c r="Q45" s="20">
        <f>Input[[#This Row],[energy3]]/$B$1</f>
        <v>50.613321671666661</v>
      </c>
      <c r="R45" s="18">
        <f>VLOOKUP(Input[[#This Row],[MD5]],df[#All],2,FALSE)</f>
        <v>73704517.599999905</v>
      </c>
      <c r="S45" s="19">
        <f>VLOOKUP(Input[[#This Row],[MD5]],df[#All],3,FALSE)</f>
        <v>35952229.25</v>
      </c>
      <c r="T45" s="19">
        <f>VLOOKUP(Input[[#This Row],[MD5]],df[#All],4,FALSE)</f>
        <v>21199790.449999899</v>
      </c>
      <c r="U45" s="19">
        <f>Input[[#This Row],[time4]]/$B$1</f>
        <v>4913.6345066666599</v>
      </c>
      <c r="V45" s="19">
        <f>Input[[#This Row],[price4]]/$B$1</f>
        <v>2396.8152833333334</v>
      </c>
      <c r="W45" s="20">
        <f>Input[[#This Row],[energy4]]/$B$1</f>
        <v>1413.3193633333267</v>
      </c>
    </row>
    <row r="46" spans="1:23">
      <c r="A46" s="24" t="s">
        <v>88</v>
      </c>
      <c r="B46" s="13" t="s">
        <v>220</v>
      </c>
      <c r="C46" s="18">
        <f>VLOOKUP(Input[[#This Row],[MD5]],buildtime[#All],2,FALSE)</f>
        <v>56.24428571</v>
      </c>
      <c r="D46" s="19">
        <f>VLOOKUP(Input[[#This Row],[MD5]],buildtime[#All],3,FALSE)</f>
        <v>64.2</v>
      </c>
      <c r="E46" s="20">
        <f>VLOOKUP(Input[[#This Row],[MD5]],buildtime[#All],4,FALSE)</f>
        <v>56.12</v>
      </c>
      <c r="F46" s="18">
        <f>VLOOKUP(Input[[#This Row],[MD5]],partialcf[#All],2,FALSE)</f>
        <v>20880.598883035698</v>
      </c>
      <c r="G46" s="19">
        <f>VLOOKUP(Input[[#This Row],[MD5]],partialcf[#All],3,FALSE)</f>
        <v>19868.599968749899</v>
      </c>
      <c r="H46" s="19">
        <f>VLOOKUP(Input[[#This Row],[MD5]],partialcf[#All],4,FALSE)</f>
        <v>17350.066668750002</v>
      </c>
      <c r="I46" s="19">
        <f>Input[[#This Row],[time2]]/$B$1</f>
        <v>1.3920399255357132</v>
      </c>
      <c r="J46" s="19">
        <f>Input[[#This Row],[price2]]/$B$1</f>
        <v>1.3245733312499932</v>
      </c>
      <c r="K46" s="20">
        <f>Input[[#This Row],[energy2]]/$B$1</f>
        <v>1.1566711112500001</v>
      </c>
      <c r="L46" s="18">
        <f>VLOOKUP(Input[[#This Row],[MD5]],fullcf[#All],2,FALSE)</f>
        <v>20615.070075</v>
      </c>
      <c r="M46" s="19">
        <f>VLOOKUP(Input[[#This Row],[MD5]],fullcf[#All],3,FALSE)</f>
        <v>875848.58512499998</v>
      </c>
      <c r="N46" s="19">
        <f>VLOOKUP(Input[[#This Row],[MD5]],fullcf[#All],4,FALSE)</f>
        <v>759199.38713749999</v>
      </c>
      <c r="O46" s="19">
        <f>Input[[#This Row],[time3]]/$B$1</f>
        <v>1.374338005</v>
      </c>
      <c r="P46" s="19">
        <f>Input[[#This Row],[price3]]/$B$1</f>
        <v>58.389905675000001</v>
      </c>
      <c r="Q46" s="20">
        <f>Input[[#This Row],[energy3]]/$B$1</f>
        <v>50.613292475833333</v>
      </c>
      <c r="R46" s="18">
        <f>VLOOKUP(Input[[#This Row],[MD5]],df[#All],2,FALSE)</f>
        <v>73393825.599999905</v>
      </c>
      <c r="S46" s="19">
        <f>VLOOKUP(Input[[#This Row],[MD5]],df[#All],3,FALSE)</f>
        <v>35894029.25</v>
      </c>
      <c r="T46" s="19">
        <f>VLOOKUP(Input[[#This Row],[MD5]],df[#All],4,FALSE)</f>
        <v>21164870.449999899</v>
      </c>
      <c r="U46" s="19">
        <f>Input[[#This Row],[time4]]/$B$1</f>
        <v>4892.9217066666606</v>
      </c>
      <c r="V46" s="19">
        <f>Input[[#This Row],[price4]]/$B$1</f>
        <v>2392.9352833333332</v>
      </c>
      <c r="W46" s="20">
        <f>Input[[#This Row],[energy4]]/$B$1</f>
        <v>1410.9913633333265</v>
      </c>
    </row>
    <row r="47" spans="1:23">
      <c r="A47" s="24" t="s">
        <v>89</v>
      </c>
      <c r="B47" s="13" t="s">
        <v>221</v>
      </c>
      <c r="C47" s="18">
        <f>VLOOKUP(Input[[#This Row],[MD5]],buildtime[#All],2,FALSE)</f>
        <v>50.51142857</v>
      </c>
      <c r="D47" s="19">
        <f>VLOOKUP(Input[[#This Row],[MD5]],buildtime[#All],3,FALSE)</f>
        <v>67.2</v>
      </c>
      <c r="E47" s="20">
        <f>VLOOKUP(Input[[#This Row],[MD5]],buildtime[#All],4,FALSE)</f>
        <v>58.72</v>
      </c>
      <c r="F47" s="18">
        <f>VLOOKUP(Input[[#This Row],[MD5]],partialcf[#All],2,FALSE)</f>
        <v>661600.84142276703</v>
      </c>
      <c r="G47" s="19">
        <f>VLOOKUP(Input[[#This Row],[MD5]],partialcf[#All],3,FALSE)</f>
        <v>622002.94528124901</v>
      </c>
      <c r="H47" s="19">
        <f>VLOOKUP(Input[[#This Row],[MD5]],partialcf[#All],4,FALSE)</f>
        <v>543163.56310624897</v>
      </c>
      <c r="I47" s="19">
        <f>Input[[#This Row],[time2]]/$B$1</f>
        <v>44.106722761517801</v>
      </c>
      <c r="J47" s="19">
        <f>Input[[#This Row],[price2]]/$B$1</f>
        <v>41.466863018749933</v>
      </c>
      <c r="K47" s="20">
        <f>Input[[#This Row],[energy2]]/$B$1</f>
        <v>36.210904207083267</v>
      </c>
      <c r="L47" s="18">
        <f>VLOOKUP(Input[[#This Row],[MD5]],fullcf[#All],2,FALSE)</f>
        <v>661266.03251651698</v>
      </c>
      <c r="M47" s="19">
        <f>VLOOKUP(Input[[#This Row],[MD5]],fullcf[#All],3,FALSE)</f>
        <v>1427879.55121875</v>
      </c>
      <c r="N47" s="19">
        <f>VLOOKUP(Input[[#This Row],[MD5]],fullcf[#All],4,FALSE)</f>
        <v>1241589.9549187501</v>
      </c>
      <c r="O47" s="19">
        <f>Input[[#This Row],[time3]]/$B$1</f>
        <v>44.084402167767799</v>
      </c>
      <c r="P47" s="19">
        <f>Input[[#This Row],[price3]]/$B$1</f>
        <v>95.191970081249991</v>
      </c>
      <c r="Q47" s="20">
        <f>Input[[#This Row],[energy3]]/$B$1</f>
        <v>82.772663661250007</v>
      </c>
      <c r="R47" s="18">
        <f>VLOOKUP(Input[[#This Row],[MD5]],df[#All],2,FALSE)</f>
        <v>22232055308</v>
      </c>
      <c r="S47" s="19">
        <f>VLOOKUP(Input[[#This Row],[MD5]],df[#All],3,FALSE)</f>
        <v>5454172025.25</v>
      </c>
      <c r="T47" s="19">
        <f>VLOOKUP(Input[[#This Row],[MD5]],df[#All],4,FALSE)</f>
        <v>3204430208.8499899</v>
      </c>
      <c r="U47" s="19">
        <f>Input[[#This Row],[time4]]/$B$1</f>
        <v>1482137.0205333333</v>
      </c>
      <c r="V47" s="19">
        <f>Input[[#This Row],[price4]]/$B$1</f>
        <v>363611.46834999998</v>
      </c>
      <c r="W47" s="20">
        <f>Input[[#This Row],[energy4]]/$B$1</f>
        <v>213628.68058999933</v>
      </c>
    </row>
    <row r="48" spans="1:23">
      <c r="A48" s="24" t="s">
        <v>90</v>
      </c>
      <c r="B48" s="13" t="s">
        <v>222</v>
      </c>
      <c r="C48" s="18">
        <f>VLOOKUP(Input[[#This Row],[MD5]],buildtime[#All],2,FALSE)</f>
        <v>61.977142860000001</v>
      </c>
      <c r="D48" s="19">
        <f>VLOOKUP(Input[[#This Row],[MD5]],buildtime[#All],3,FALSE)</f>
        <v>61.2</v>
      </c>
      <c r="E48" s="20">
        <f>VLOOKUP(Input[[#This Row],[MD5]],buildtime[#All],4,FALSE)</f>
        <v>53.52</v>
      </c>
      <c r="F48" s="18">
        <f>VLOOKUP(Input[[#This Row],[MD5]],partialcf[#All],2,FALSE)</f>
        <v>679259.343704017</v>
      </c>
      <c r="G48" s="19">
        <f>VLOOKUP(Input[[#This Row],[MD5]],partialcf[#All],3,FALSE)</f>
        <v>704141.27526562405</v>
      </c>
      <c r="H48" s="19">
        <f>VLOOKUP(Input[[#This Row],[MD5]],partialcf[#All],4,FALSE)</f>
        <v>615001.11169062403</v>
      </c>
      <c r="I48" s="19">
        <f>Input[[#This Row],[time2]]/$B$1</f>
        <v>45.283956246934466</v>
      </c>
      <c r="J48" s="19">
        <f>Input[[#This Row],[price2]]/$B$1</f>
        <v>46.942751684374933</v>
      </c>
      <c r="K48" s="20">
        <f>Input[[#This Row],[energy2]]/$B$1</f>
        <v>41.000074112708269</v>
      </c>
      <c r="L48" s="18">
        <f>VLOOKUP(Input[[#This Row],[MD5]],fullcf[#All],2,FALSE)</f>
        <v>612713.70632901695</v>
      </c>
      <c r="M48" s="19">
        <f>VLOOKUP(Input[[#This Row],[MD5]],fullcf[#All],3,FALSE)</f>
        <v>1445255.68260937</v>
      </c>
      <c r="N48" s="19">
        <f>VLOOKUP(Input[[#This Row],[MD5]],fullcf[#All],4,FALSE)</f>
        <v>1257300.26472187</v>
      </c>
      <c r="O48" s="19">
        <f>Input[[#This Row],[time3]]/$B$1</f>
        <v>40.84758042193446</v>
      </c>
      <c r="P48" s="19">
        <f>Input[[#This Row],[price3]]/$B$1</f>
        <v>96.350378840624671</v>
      </c>
      <c r="Q48" s="20">
        <f>Input[[#This Row],[energy3]]/$B$1</f>
        <v>83.820017648124661</v>
      </c>
      <c r="R48" s="18">
        <f>VLOOKUP(Input[[#This Row],[MD5]],df[#All],2,FALSE)</f>
        <v>14686317926.1</v>
      </c>
      <c r="S48" s="19">
        <f>VLOOKUP(Input[[#This Row],[MD5]],df[#All],3,FALSE)</f>
        <v>5053964495.25</v>
      </c>
      <c r="T48" s="19">
        <f>VLOOKUP(Input[[#This Row],[MD5]],df[#All],4,FALSE)</f>
        <v>2953842126.8499899</v>
      </c>
      <c r="U48" s="19">
        <f>Input[[#This Row],[time4]]/$B$1</f>
        <v>979087.86174000008</v>
      </c>
      <c r="V48" s="19">
        <f>Input[[#This Row],[price4]]/$B$1</f>
        <v>336930.96635</v>
      </c>
      <c r="W48" s="20">
        <f>Input[[#This Row],[energy4]]/$B$1</f>
        <v>196922.80845666598</v>
      </c>
    </row>
    <row r="49" spans="1:23">
      <c r="A49" s="24" t="s">
        <v>91</v>
      </c>
      <c r="B49" s="13" t="s">
        <v>223</v>
      </c>
      <c r="C49" s="18">
        <f>VLOOKUP(Input[[#This Row],[MD5]],buildtime[#All],2,FALSE)</f>
        <v>61.977142860000001</v>
      </c>
      <c r="D49" s="19">
        <f>VLOOKUP(Input[[#This Row],[MD5]],buildtime[#All],3,FALSE)</f>
        <v>61.2</v>
      </c>
      <c r="E49" s="20">
        <f>VLOOKUP(Input[[#This Row],[MD5]],buildtime[#All],4,FALSE)</f>
        <v>53.52</v>
      </c>
      <c r="F49" s="18">
        <f>VLOOKUP(Input[[#This Row],[MD5]],partialcf[#All],2,FALSE)</f>
        <v>533551.378199553</v>
      </c>
      <c r="G49" s="19">
        <f>VLOOKUP(Input[[#This Row],[MD5]],partialcf[#All],3,FALSE)</f>
        <v>528974.41073437396</v>
      </c>
      <c r="H49" s="19">
        <f>VLOOKUP(Input[[#This Row],[MD5]],partialcf[#All],4,FALSE)</f>
        <v>462544.12240937399</v>
      </c>
      <c r="I49" s="19">
        <f>Input[[#This Row],[time2]]/$B$1</f>
        <v>35.570091879970199</v>
      </c>
      <c r="J49" s="19">
        <f>Input[[#This Row],[price2]]/$B$1</f>
        <v>35.26496071562493</v>
      </c>
      <c r="K49" s="20">
        <f>Input[[#This Row],[energy2]]/$B$1</f>
        <v>30.8362748272916</v>
      </c>
      <c r="L49" s="18">
        <f>VLOOKUP(Input[[#This Row],[MD5]],fullcf[#All],2,FALSE)</f>
        <v>529340.58567276702</v>
      </c>
      <c r="M49" s="19">
        <f>VLOOKUP(Input[[#This Row],[MD5]],fullcf[#All],3,FALSE)</f>
        <v>1329195.9932343699</v>
      </c>
      <c r="N49" s="19">
        <f>VLOOKUP(Input[[#This Row],[MD5]],fullcf[#All],4,FALSE)</f>
        <v>1156069.4939093699</v>
      </c>
      <c r="O49" s="19">
        <f>Input[[#This Row],[time3]]/$B$1</f>
        <v>35.289372378184467</v>
      </c>
      <c r="P49" s="19">
        <f>Input[[#This Row],[price3]]/$B$1</f>
        <v>88.613066215624656</v>
      </c>
      <c r="Q49" s="20">
        <f>Input[[#This Row],[energy3]]/$B$1</f>
        <v>77.071299593957988</v>
      </c>
      <c r="R49" s="18">
        <f>VLOOKUP(Input[[#This Row],[MD5]],df[#All],2,FALSE)</f>
        <v>12807665134.1</v>
      </c>
      <c r="S49" s="19">
        <f>VLOOKUP(Input[[#This Row],[MD5]],df[#All],3,FALSE)</f>
        <v>3777851415.25</v>
      </c>
      <c r="T49" s="19">
        <f>VLOOKUP(Input[[#This Row],[MD5]],df[#All],4,FALSE)</f>
        <v>2198220334.8499899</v>
      </c>
      <c r="U49" s="19">
        <f>Input[[#This Row],[time4]]/$B$1</f>
        <v>853844.34227333334</v>
      </c>
      <c r="V49" s="19">
        <f>Input[[#This Row],[price4]]/$B$1</f>
        <v>251856.76101666666</v>
      </c>
      <c r="W49" s="20">
        <f>Input[[#This Row],[energy4]]/$B$1</f>
        <v>146548.02232333267</v>
      </c>
    </row>
    <row r="50" spans="1:23">
      <c r="A50" s="24" t="s">
        <v>92</v>
      </c>
      <c r="B50" s="13" t="s">
        <v>224</v>
      </c>
      <c r="C50" s="18">
        <f>VLOOKUP(Input[[#This Row],[MD5]],buildtime[#All],2,FALSE)</f>
        <v>61.977142860000001</v>
      </c>
      <c r="D50" s="19">
        <f>VLOOKUP(Input[[#This Row],[MD5]],buildtime[#All],3,FALSE)</f>
        <v>61.2</v>
      </c>
      <c r="E50" s="20">
        <f>VLOOKUP(Input[[#This Row],[MD5]],buildtime[#All],4,FALSE)</f>
        <v>53.52</v>
      </c>
      <c r="F50" s="18">
        <f>VLOOKUP(Input[[#This Row],[MD5]],partialcf[#All],2,FALSE)</f>
        <v>15594.850083035701</v>
      </c>
      <c r="G50" s="19">
        <f>VLOOKUP(Input[[#This Row],[MD5]],partialcf[#All],3,FALSE)</f>
        <v>15404.9616562499</v>
      </c>
      <c r="H50" s="19">
        <f>VLOOKUP(Input[[#This Row],[MD5]],partialcf[#All],4,FALSE)</f>
        <v>13471.658306249999</v>
      </c>
      <c r="I50" s="19">
        <f>Input[[#This Row],[time2]]/$B$1</f>
        <v>1.0396566722023801</v>
      </c>
      <c r="J50" s="19">
        <f>Input[[#This Row],[price2]]/$B$1</f>
        <v>1.0269974437499934</v>
      </c>
      <c r="K50" s="20">
        <f>Input[[#This Row],[energy2]]/$B$1</f>
        <v>0.89811055374999993</v>
      </c>
      <c r="L50" s="18">
        <f>VLOOKUP(Input[[#This Row],[MD5]],fullcf[#All],2,FALSE)</f>
        <v>15583.5279089285</v>
      </c>
      <c r="M50" s="19">
        <f>VLOOKUP(Input[[#This Row],[MD5]],fullcf[#All],3,FALSE)</f>
        <v>871888.24068749906</v>
      </c>
      <c r="N50" s="19">
        <f>VLOOKUP(Input[[#This Row],[MD5]],fullcf[#All],4,FALSE)</f>
        <v>755757.16680000001</v>
      </c>
      <c r="O50" s="19">
        <f>Input[[#This Row],[time3]]/$B$1</f>
        <v>1.0389018605952334</v>
      </c>
      <c r="P50" s="19">
        <f>Input[[#This Row],[price3]]/$B$1</f>
        <v>58.125882712499937</v>
      </c>
      <c r="Q50" s="20">
        <f>Input[[#This Row],[energy3]]/$B$1</f>
        <v>50.383811119999997</v>
      </c>
      <c r="R50" s="18">
        <f>VLOOKUP(Input[[#This Row],[MD5]],df[#All],2,FALSE)</f>
        <v>5977781.8499999903</v>
      </c>
      <c r="S50" s="19">
        <f>VLOOKUP(Input[[#This Row],[MD5]],df[#All],3,FALSE)</f>
        <v>16538602.7083333</v>
      </c>
      <c r="T50" s="19">
        <f>VLOOKUP(Input[[#This Row],[MD5]],df[#All],4,FALSE)</f>
        <v>9891084.0749999899</v>
      </c>
      <c r="U50" s="19">
        <f>Input[[#This Row],[time4]]/$B$1</f>
        <v>398.51878999999934</v>
      </c>
      <c r="V50" s="19">
        <f>Input[[#This Row],[price4]]/$B$1</f>
        <v>1102.5735138888867</v>
      </c>
      <c r="W50" s="20">
        <f>Input[[#This Row],[energy4]]/$B$1</f>
        <v>659.40560499999935</v>
      </c>
    </row>
    <row r="51" spans="1:23">
      <c r="A51" s="24" t="s">
        <v>93</v>
      </c>
      <c r="B51" s="13" t="s">
        <v>225</v>
      </c>
      <c r="C51" s="18">
        <f>VLOOKUP(Input[[#This Row],[MD5]],buildtime[#All],2,FALSE)</f>
        <v>56.24428571</v>
      </c>
      <c r="D51" s="19">
        <f>VLOOKUP(Input[[#This Row],[MD5]],buildtime[#All],3,FALSE)</f>
        <v>64.2</v>
      </c>
      <c r="E51" s="20">
        <f>VLOOKUP(Input[[#This Row],[MD5]],buildtime[#All],4,FALSE)</f>
        <v>56.12</v>
      </c>
      <c r="F51" s="18">
        <f>VLOOKUP(Input[[#This Row],[MD5]],partialcf[#All],2,FALSE)</f>
        <v>21930.535216964199</v>
      </c>
      <c r="G51" s="19">
        <f>VLOOKUP(Input[[#This Row],[MD5]],partialcf[#All],3,FALSE)</f>
        <v>21225.919781249901</v>
      </c>
      <c r="H51" s="19">
        <f>VLOOKUP(Input[[#This Row],[MD5]],partialcf[#All],4,FALSE)</f>
        <v>18529.595681250001</v>
      </c>
      <c r="I51" s="19">
        <f>Input[[#This Row],[time2]]/$B$1</f>
        <v>1.4620356811309465</v>
      </c>
      <c r="J51" s="19">
        <f>Input[[#This Row],[price2]]/$B$1</f>
        <v>1.4150613187499934</v>
      </c>
      <c r="K51" s="20">
        <f>Input[[#This Row],[energy2]]/$B$1</f>
        <v>1.23530637875</v>
      </c>
      <c r="L51" s="18">
        <f>VLOOKUP(Input[[#This Row],[MD5]],fullcf[#All],2,FALSE)</f>
        <v>21026.336837499901</v>
      </c>
      <c r="M51" s="19">
        <f>VLOOKUP(Input[[#This Row],[MD5]],fullcf[#All],3,FALSE)</f>
        <v>876338.48493749998</v>
      </c>
      <c r="N51" s="19">
        <f>VLOOKUP(Input[[#This Row],[MD5]],fullcf[#All],4,FALSE)</f>
        <v>759627.15214999905</v>
      </c>
      <c r="O51" s="19">
        <f>Input[[#This Row],[time3]]/$B$1</f>
        <v>1.4017557891666601</v>
      </c>
      <c r="P51" s="19">
        <f>Input[[#This Row],[price3]]/$B$1</f>
        <v>58.422565662499998</v>
      </c>
      <c r="Q51" s="20">
        <f>Input[[#This Row],[energy3]]/$B$1</f>
        <v>50.641810143333267</v>
      </c>
      <c r="R51" s="18">
        <f>VLOOKUP(Input[[#This Row],[MD5]],df[#All],2,FALSE)</f>
        <v>82811164.299999893</v>
      </c>
      <c r="S51" s="19">
        <f>VLOOKUP(Input[[#This Row],[MD5]],df[#All],3,FALSE)</f>
        <v>42220736</v>
      </c>
      <c r="T51" s="19">
        <f>VLOOKUP(Input[[#This Row],[MD5]],df[#All],4,FALSE)</f>
        <v>24910534.399999902</v>
      </c>
      <c r="U51" s="19">
        <f>Input[[#This Row],[time4]]/$B$1</f>
        <v>5520.7442866666597</v>
      </c>
      <c r="V51" s="19">
        <f>Input[[#This Row],[price4]]/$B$1</f>
        <v>2814.7157333333334</v>
      </c>
      <c r="W51" s="20">
        <f>Input[[#This Row],[energy4]]/$B$1</f>
        <v>1660.7022933333267</v>
      </c>
    </row>
    <row r="52" spans="1:23">
      <c r="A52" s="24" t="s">
        <v>94</v>
      </c>
      <c r="B52" s="13" t="s">
        <v>226</v>
      </c>
      <c r="C52" s="18">
        <f>VLOOKUP(Input[[#This Row],[MD5]],buildtime[#All],2,FALSE)</f>
        <v>56.24428571</v>
      </c>
      <c r="D52" s="19">
        <f>VLOOKUP(Input[[#This Row],[MD5]],buildtime[#All],3,FALSE)</f>
        <v>64.2</v>
      </c>
      <c r="E52" s="20">
        <f>VLOOKUP(Input[[#This Row],[MD5]],buildtime[#All],4,FALSE)</f>
        <v>56.12</v>
      </c>
      <c r="F52" s="18">
        <f>VLOOKUP(Input[[#This Row],[MD5]],partialcf[#All],2,FALSE)</f>
        <v>21509.1094138392</v>
      </c>
      <c r="G52" s="19">
        <f>VLOOKUP(Input[[#This Row],[MD5]],partialcf[#All],3,FALSE)</f>
        <v>20699.473078124902</v>
      </c>
      <c r="H52" s="19">
        <f>VLOOKUP(Input[[#This Row],[MD5]],partialcf[#All],4,FALSE)</f>
        <v>18071.780128124901</v>
      </c>
      <c r="I52" s="19">
        <f>Input[[#This Row],[time2]]/$B$1</f>
        <v>1.4339406275892801</v>
      </c>
      <c r="J52" s="19">
        <f>Input[[#This Row],[price2]]/$B$1</f>
        <v>1.3799648718749935</v>
      </c>
      <c r="K52" s="20">
        <f>Input[[#This Row],[energy2]]/$B$1</f>
        <v>1.2047853418749934</v>
      </c>
      <c r="L52" s="18">
        <f>VLOOKUP(Input[[#This Row],[MD5]],fullcf[#All],2,FALSE)</f>
        <v>20824.641909375001</v>
      </c>
      <c r="M52" s="19">
        <f>VLOOKUP(Input[[#This Row],[MD5]],fullcf[#All],3,FALSE)</f>
        <v>876139.32979687501</v>
      </c>
      <c r="N52" s="19">
        <f>VLOOKUP(Input[[#This Row],[MD5]],fullcf[#All],4,FALSE)</f>
        <v>759452.98928437405</v>
      </c>
      <c r="O52" s="19">
        <f>Input[[#This Row],[time3]]/$B$1</f>
        <v>1.3883094606250002</v>
      </c>
      <c r="P52" s="19">
        <f>Input[[#This Row],[price3]]/$B$1</f>
        <v>58.409288653125003</v>
      </c>
      <c r="Q52" s="20">
        <f>Input[[#This Row],[energy3]]/$B$1</f>
        <v>50.63019928562494</v>
      </c>
      <c r="R52" s="18">
        <f>VLOOKUP(Input[[#This Row],[MD5]],df[#All],2,FALSE)</f>
        <v>83071493.599999905</v>
      </c>
      <c r="S52" s="19">
        <f>VLOOKUP(Input[[#This Row],[MD5]],df[#All],3,FALSE)</f>
        <v>42319199.25</v>
      </c>
      <c r="T52" s="19">
        <f>VLOOKUP(Input[[#This Row],[MD5]],df[#All],4,FALSE)</f>
        <v>24968088.449999899</v>
      </c>
      <c r="U52" s="19">
        <f>Input[[#This Row],[time4]]/$B$1</f>
        <v>5538.0995733333266</v>
      </c>
      <c r="V52" s="19">
        <f>Input[[#This Row],[price4]]/$B$1</f>
        <v>2821.2799500000001</v>
      </c>
      <c r="W52" s="20">
        <f>Input[[#This Row],[energy4]]/$B$1</f>
        <v>1664.5392299999933</v>
      </c>
    </row>
    <row r="53" spans="1:23">
      <c r="A53" s="24" t="s">
        <v>95</v>
      </c>
      <c r="B53" s="13" t="s">
        <v>227</v>
      </c>
      <c r="C53" s="18">
        <f>VLOOKUP(Input[[#This Row],[MD5]],buildtime[#All],2,FALSE)</f>
        <v>61.977142860000001</v>
      </c>
      <c r="D53" s="19">
        <f>VLOOKUP(Input[[#This Row],[MD5]],buildtime[#All],3,FALSE)</f>
        <v>61.2</v>
      </c>
      <c r="E53" s="20">
        <f>VLOOKUP(Input[[#This Row],[MD5]],buildtime[#All],4,FALSE)</f>
        <v>53.52</v>
      </c>
      <c r="F53" s="18">
        <f>VLOOKUP(Input[[#This Row],[MD5]],partialcf[#All],2,FALSE)</f>
        <v>21161.820445535701</v>
      </c>
      <c r="G53" s="19">
        <f>VLOOKUP(Input[[#This Row],[MD5]],partialcf[#All],3,FALSE)</f>
        <v>23053.2105937499</v>
      </c>
      <c r="H53" s="19">
        <f>VLOOKUP(Input[[#This Row],[MD5]],partialcf[#All],4,FALSE)</f>
        <v>20110.062543749998</v>
      </c>
      <c r="I53" s="19">
        <f>Input[[#This Row],[time2]]/$B$1</f>
        <v>1.41078802970238</v>
      </c>
      <c r="J53" s="19">
        <f>Input[[#This Row],[price2]]/$B$1</f>
        <v>1.5368807062499934</v>
      </c>
      <c r="K53" s="20">
        <f>Input[[#This Row],[energy2]]/$B$1</f>
        <v>1.3406708362499999</v>
      </c>
      <c r="L53" s="18">
        <f>VLOOKUP(Input[[#This Row],[MD5]],fullcf[#All],2,FALSE)</f>
        <v>16864.580441071401</v>
      </c>
      <c r="M53" s="19">
        <f>VLOOKUP(Input[[#This Row],[MD5]],fullcf[#All],3,FALSE)</f>
        <v>873028.55231249996</v>
      </c>
      <c r="N53" s="19">
        <f>VLOOKUP(Input[[#This Row],[MD5]],fullcf[#All],4,FALSE)</f>
        <v>756755.35869999905</v>
      </c>
      <c r="O53" s="19">
        <f>Input[[#This Row],[time3]]/$B$1</f>
        <v>1.1243053627380935</v>
      </c>
      <c r="P53" s="19">
        <f>Input[[#This Row],[price3]]/$B$1</f>
        <v>58.201903487499997</v>
      </c>
      <c r="Q53" s="20">
        <f>Input[[#This Row],[energy3]]/$B$1</f>
        <v>50.450357246666606</v>
      </c>
      <c r="R53" s="18">
        <f>VLOOKUP(Input[[#This Row],[MD5]],df[#All],2,FALSE)</f>
        <v>69433947.700000003</v>
      </c>
      <c r="S53" s="19">
        <f>VLOOKUP(Input[[#This Row],[MD5]],df[#All],3,FALSE)</f>
        <v>35185629.25</v>
      </c>
      <c r="T53" s="19">
        <f>VLOOKUP(Input[[#This Row],[MD5]],df[#All],4,FALSE)</f>
        <v>20739830.449999999</v>
      </c>
      <c r="U53" s="19">
        <f>Input[[#This Row],[time4]]/$B$1</f>
        <v>4628.9298466666669</v>
      </c>
      <c r="V53" s="19">
        <f>Input[[#This Row],[price4]]/$B$1</f>
        <v>2345.7086166666668</v>
      </c>
      <c r="W53" s="20">
        <f>Input[[#This Row],[energy4]]/$B$1</f>
        <v>1382.6553633333333</v>
      </c>
    </row>
    <row r="54" spans="1:23">
      <c r="A54" s="24" t="s">
        <v>96</v>
      </c>
      <c r="B54" s="13" t="s">
        <v>228</v>
      </c>
      <c r="C54" s="18">
        <f>VLOOKUP(Input[[#This Row],[MD5]],buildtime[#All],2,FALSE)</f>
        <v>61.977142860000001</v>
      </c>
      <c r="D54" s="19">
        <f>VLOOKUP(Input[[#This Row],[MD5]],buildtime[#All],3,FALSE)</f>
        <v>61.2</v>
      </c>
      <c r="E54" s="20">
        <f>VLOOKUP(Input[[#This Row],[MD5]],buildtime[#All],4,FALSE)</f>
        <v>53.52</v>
      </c>
      <c r="F54" s="18">
        <f>VLOOKUP(Input[[#This Row],[MD5]],partialcf[#All],2,FALSE)</f>
        <v>17130.223811607098</v>
      </c>
      <c r="G54" s="19">
        <f>VLOOKUP(Input[[#This Row],[MD5]],partialcf[#All],3,FALSE)</f>
        <v>17048.704968749898</v>
      </c>
      <c r="H54" s="19">
        <f>VLOOKUP(Input[[#This Row],[MD5]],partialcf[#All],4,FALSE)</f>
        <v>14906.15766875</v>
      </c>
      <c r="I54" s="19">
        <f>Input[[#This Row],[time2]]/$B$1</f>
        <v>1.1420149207738066</v>
      </c>
      <c r="J54" s="19">
        <f>Input[[#This Row],[price2]]/$B$1</f>
        <v>1.1365803312499931</v>
      </c>
      <c r="K54" s="20">
        <f>Input[[#This Row],[energy2]]/$B$1</f>
        <v>0.99374384458333331</v>
      </c>
      <c r="L54" s="18">
        <f>VLOOKUP(Input[[#This Row],[MD5]],fullcf[#All],2,FALSE)</f>
        <v>16864.624503571398</v>
      </c>
      <c r="M54" s="19">
        <f>VLOOKUP(Input[[#This Row],[MD5]],fullcf[#All],3,FALSE)</f>
        <v>873028.58512499998</v>
      </c>
      <c r="N54" s="19">
        <f>VLOOKUP(Input[[#This Row],[MD5]],fullcf[#All],4,FALSE)</f>
        <v>756755.38713749906</v>
      </c>
      <c r="O54" s="19">
        <f>Input[[#This Row],[time3]]/$B$1</f>
        <v>1.1243083002380931</v>
      </c>
      <c r="P54" s="19">
        <f>Input[[#This Row],[price3]]/$B$1</f>
        <v>58.201905674999999</v>
      </c>
      <c r="Q54" s="20">
        <f>Input[[#This Row],[energy3]]/$B$1</f>
        <v>50.450359142499934</v>
      </c>
      <c r="R54" s="18">
        <f>VLOOKUP(Input[[#This Row],[MD5]],df[#All],2,FALSE)</f>
        <v>69458587.700000003</v>
      </c>
      <c r="S54" s="19">
        <f>VLOOKUP(Input[[#This Row],[MD5]],df[#All],3,FALSE)</f>
        <v>35190029.25</v>
      </c>
      <c r="T54" s="19">
        <f>VLOOKUP(Input[[#This Row],[MD5]],df[#All],4,FALSE)</f>
        <v>20742470.449999999</v>
      </c>
      <c r="U54" s="19">
        <f>Input[[#This Row],[time4]]/$B$1</f>
        <v>4630.5725133333335</v>
      </c>
      <c r="V54" s="19">
        <f>Input[[#This Row],[price4]]/$B$1</f>
        <v>2346.0019499999999</v>
      </c>
      <c r="W54" s="20">
        <f>Input[[#This Row],[energy4]]/$B$1</f>
        <v>1382.8313633333332</v>
      </c>
    </row>
    <row r="55" spans="1:23">
      <c r="A55" s="24" t="s">
        <v>97</v>
      </c>
      <c r="B55" s="13" t="s">
        <v>229</v>
      </c>
      <c r="C55" s="18">
        <f>VLOOKUP(Input[[#This Row],[MD5]],buildtime[#All],2,FALSE)</f>
        <v>61.977142860000001</v>
      </c>
      <c r="D55" s="19">
        <f>VLOOKUP(Input[[#This Row],[MD5]],buildtime[#All],3,FALSE)</f>
        <v>61.2</v>
      </c>
      <c r="E55" s="20">
        <f>VLOOKUP(Input[[#This Row],[MD5]],buildtime[#All],4,FALSE)</f>
        <v>53.52</v>
      </c>
      <c r="F55" s="18">
        <f>VLOOKUP(Input[[#This Row],[MD5]],partialcf[#All],2,FALSE)</f>
        <v>21161.846883035701</v>
      </c>
      <c r="G55" s="19">
        <f>VLOOKUP(Input[[#This Row],[MD5]],partialcf[#All],3,FALSE)</f>
        <v>23053.2499687499</v>
      </c>
      <c r="H55" s="19">
        <f>VLOOKUP(Input[[#This Row],[MD5]],partialcf[#All],4,FALSE)</f>
        <v>20110.09666875</v>
      </c>
      <c r="I55" s="19">
        <f>Input[[#This Row],[time2]]/$B$1</f>
        <v>1.41078979220238</v>
      </c>
      <c r="J55" s="19">
        <f>Input[[#This Row],[price2]]/$B$1</f>
        <v>1.5368833312499934</v>
      </c>
      <c r="K55" s="20">
        <f>Input[[#This Row],[energy2]]/$B$1</f>
        <v>1.3406731112500001</v>
      </c>
      <c r="L55" s="18">
        <f>VLOOKUP(Input[[#This Row],[MD5]],fullcf[#All],2,FALSE)</f>
        <v>16864.624503571398</v>
      </c>
      <c r="M55" s="19">
        <f>VLOOKUP(Input[[#This Row],[MD5]],fullcf[#All],3,FALSE)</f>
        <v>873028.58512499998</v>
      </c>
      <c r="N55" s="19">
        <f>VLOOKUP(Input[[#This Row],[MD5]],fullcf[#All],4,FALSE)</f>
        <v>756755.38713749906</v>
      </c>
      <c r="O55" s="19">
        <f>Input[[#This Row],[time3]]/$B$1</f>
        <v>1.1243083002380931</v>
      </c>
      <c r="P55" s="19">
        <f>Input[[#This Row],[price3]]/$B$1</f>
        <v>58.201905674999999</v>
      </c>
      <c r="Q55" s="20">
        <f>Input[[#This Row],[energy3]]/$B$1</f>
        <v>50.450359142499934</v>
      </c>
      <c r="R55" s="18">
        <f>VLOOKUP(Input[[#This Row],[MD5]],df[#All],2,FALSE)</f>
        <v>69458587.700000003</v>
      </c>
      <c r="S55" s="19">
        <f>VLOOKUP(Input[[#This Row],[MD5]],df[#All],3,FALSE)</f>
        <v>35190029.25</v>
      </c>
      <c r="T55" s="19">
        <f>VLOOKUP(Input[[#This Row],[MD5]],df[#All],4,FALSE)</f>
        <v>20742470.449999999</v>
      </c>
      <c r="U55" s="19">
        <f>Input[[#This Row],[time4]]/$B$1</f>
        <v>4630.5725133333335</v>
      </c>
      <c r="V55" s="19">
        <f>Input[[#This Row],[price4]]/$B$1</f>
        <v>2346.0019499999999</v>
      </c>
      <c r="W55" s="20">
        <f>Input[[#This Row],[energy4]]/$B$1</f>
        <v>1382.8313633333332</v>
      </c>
    </row>
    <row r="56" spans="1:23">
      <c r="A56" s="24" t="s">
        <v>98</v>
      </c>
      <c r="B56" s="13" t="s">
        <v>230</v>
      </c>
      <c r="C56" s="18">
        <f>VLOOKUP(Input[[#This Row],[MD5]],buildtime[#All],2,FALSE)</f>
        <v>61.977142860000001</v>
      </c>
      <c r="D56" s="19">
        <f>VLOOKUP(Input[[#This Row],[MD5]],buildtime[#All],3,FALSE)</f>
        <v>61.2</v>
      </c>
      <c r="E56" s="20">
        <f>VLOOKUP(Input[[#This Row],[MD5]],buildtime[#All],4,FALSE)</f>
        <v>53.52</v>
      </c>
      <c r="F56" s="18">
        <f>VLOOKUP(Input[[#This Row],[MD5]],partialcf[#All],2,FALSE)</f>
        <v>529160.03977589204</v>
      </c>
      <c r="G56" s="19">
        <f>VLOOKUP(Input[[#This Row],[MD5]],partialcf[#All],3,FALSE)</f>
        <v>522776.88871874899</v>
      </c>
      <c r="H56" s="19">
        <f>VLOOKUP(Input[[#This Row],[MD5]],partialcf[#All],4,FALSE)</f>
        <v>457167.64741874998</v>
      </c>
      <c r="I56" s="19">
        <f>Input[[#This Row],[time2]]/$B$1</f>
        <v>35.277335985059473</v>
      </c>
      <c r="J56" s="19">
        <f>Input[[#This Row],[price2]]/$B$1</f>
        <v>34.851792581249931</v>
      </c>
      <c r="K56" s="20">
        <f>Input[[#This Row],[energy2]]/$B$1</f>
        <v>30.47784316125</v>
      </c>
      <c r="L56" s="18">
        <f>VLOOKUP(Input[[#This Row],[MD5]],fullcf[#All],2,FALSE)</f>
        <v>528657.73168214201</v>
      </c>
      <c r="M56" s="19">
        <f>VLOOKUP(Input[[#This Row],[MD5]],fullcf[#All],3,FALSE)</f>
        <v>1328653.9113749999</v>
      </c>
      <c r="N56" s="19">
        <f>VLOOKUP(Input[[#This Row],[MD5]],fullcf[#All],4,FALSE)</f>
        <v>1155594.4003874899</v>
      </c>
      <c r="O56" s="19">
        <f>Input[[#This Row],[time3]]/$B$1</f>
        <v>35.243848778809465</v>
      </c>
      <c r="P56" s="19">
        <f>Input[[#This Row],[price3]]/$B$1</f>
        <v>88.576927424999994</v>
      </c>
      <c r="Q56" s="20">
        <f>Input[[#This Row],[energy3]]/$B$1</f>
        <v>77.039626692499326</v>
      </c>
      <c r="R56" s="18">
        <f>VLOOKUP(Input[[#This Row],[MD5]],df[#All],2,FALSE)</f>
        <v>12729631458.1</v>
      </c>
      <c r="S56" s="19">
        <f>VLOOKUP(Input[[#This Row],[MD5]],df[#All],3,FALSE)</f>
        <v>3757298525.25</v>
      </c>
      <c r="T56" s="19">
        <f>VLOOKUP(Input[[#This Row],[MD5]],df[#All],4,FALSE)</f>
        <v>2186306108.8499899</v>
      </c>
      <c r="U56" s="19">
        <f>Input[[#This Row],[time4]]/$B$1</f>
        <v>848642.09720666672</v>
      </c>
      <c r="V56" s="19">
        <f>Input[[#This Row],[price4]]/$B$1</f>
        <v>250486.56834999999</v>
      </c>
      <c r="W56" s="20">
        <f>Input[[#This Row],[energy4]]/$B$1</f>
        <v>145753.74058999933</v>
      </c>
    </row>
    <row r="57" spans="1:23">
      <c r="A57" s="24" t="s">
        <v>99</v>
      </c>
      <c r="B57" s="13" t="s">
        <v>231</v>
      </c>
      <c r="C57" s="18">
        <f>VLOOKUP(Input[[#This Row],[MD5]],buildtime[#All],2,FALSE)</f>
        <v>50.51142857</v>
      </c>
      <c r="D57" s="19">
        <f>VLOOKUP(Input[[#This Row],[MD5]],buildtime[#All],3,FALSE)</f>
        <v>68.7</v>
      </c>
      <c r="E57" s="20">
        <f>VLOOKUP(Input[[#This Row],[MD5]],buildtime[#All],4,FALSE)</f>
        <v>60.02</v>
      </c>
      <c r="F57" s="18">
        <f>VLOOKUP(Input[[#This Row],[MD5]],partialcf[#All],2,FALSE)</f>
        <v>662186.78377544601</v>
      </c>
      <c r="G57" s="19">
        <f>VLOOKUP(Input[[#This Row],[MD5]],partialcf[#All],3,FALSE)</f>
        <v>622686.84731249895</v>
      </c>
      <c r="H57" s="19">
        <f>VLOOKUP(Input[[#This Row],[MD5]],partialcf[#All],4,FALSE)</f>
        <v>543756.27819999901</v>
      </c>
      <c r="I57" s="19">
        <f>Input[[#This Row],[time2]]/$B$1</f>
        <v>44.145785585029735</v>
      </c>
      <c r="J57" s="19">
        <f>Input[[#This Row],[price2]]/$B$1</f>
        <v>41.512456487499932</v>
      </c>
      <c r="K57" s="20">
        <f>Input[[#This Row],[energy2]]/$B$1</f>
        <v>36.250418546666602</v>
      </c>
      <c r="L57" s="18">
        <f>VLOOKUP(Input[[#This Row],[MD5]],fullcf[#All],2,FALSE)</f>
        <v>661519.30740044604</v>
      </c>
      <c r="M57" s="19">
        <f>VLOOKUP(Input[[#This Row],[MD5]],fullcf[#All],3,FALSE)</f>
        <v>1428191.5596562501</v>
      </c>
      <c r="N57" s="19">
        <f>VLOOKUP(Input[[#This Row],[MD5]],fullcf[#All],4,FALSE)</f>
        <v>1241860.3622312399</v>
      </c>
      <c r="O57" s="19">
        <f>Input[[#This Row],[time3]]/$B$1</f>
        <v>44.101287160029734</v>
      </c>
      <c r="P57" s="19">
        <f>Input[[#This Row],[price3]]/$B$1</f>
        <v>95.212770643750005</v>
      </c>
      <c r="Q57" s="20">
        <f>Input[[#This Row],[energy3]]/$B$1</f>
        <v>82.790690815415999</v>
      </c>
      <c r="R57" s="18">
        <f>VLOOKUP(Input[[#This Row],[MD5]],df[#All],2,FALSE)</f>
        <v>22255277164</v>
      </c>
      <c r="S57" s="19">
        <f>VLOOKUP(Input[[#This Row],[MD5]],df[#All],3,FALSE)</f>
        <v>5458312582.75</v>
      </c>
      <c r="T57" s="19">
        <f>VLOOKUP(Input[[#This Row],[MD5]],df[#All],4,FALSE)</f>
        <v>3206914543.3499899</v>
      </c>
      <c r="U57" s="19">
        <f>Input[[#This Row],[time4]]/$B$1</f>
        <v>1483685.1442666666</v>
      </c>
      <c r="V57" s="19">
        <f>Input[[#This Row],[price4]]/$B$1</f>
        <v>363887.50551666669</v>
      </c>
      <c r="W57" s="20">
        <f>Input[[#This Row],[energy4]]/$B$1</f>
        <v>213794.30288999932</v>
      </c>
    </row>
    <row r="58" spans="1:23">
      <c r="A58" s="24" t="s">
        <v>100</v>
      </c>
      <c r="B58" s="13" t="s">
        <v>232</v>
      </c>
      <c r="C58" s="18">
        <f>VLOOKUP(Input[[#This Row],[MD5]],buildtime[#All],2,FALSE)</f>
        <v>61.977142860000001</v>
      </c>
      <c r="D58" s="19">
        <f>VLOOKUP(Input[[#This Row],[MD5]],buildtime[#All],3,FALSE)</f>
        <v>61.2</v>
      </c>
      <c r="E58" s="20">
        <f>VLOOKUP(Input[[#This Row],[MD5]],buildtime[#All],4,FALSE)</f>
        <v>53.52</v>
      </c>
      <c r="F58" s="18">
        <f>VLOOKUP(Input[[#This Row],[MD5]],partialcf[#All],2,FALSE)</f>
        <v>529159.94283839199</v>
      </c>
      <c r="G58" s="19">
        <f>VLOOKUP(Input[[#This Row],[MD5]],partialcf[#All],3,FALSE)</f>
        <v>522776.74434374901</v>
      </c>
      <c r="H58" s="19">
        <f>VLOOKUP(Input[[#This Row],[MD5]],partialcf[#All],4,FALSE)</f>
        <v>457167.52229375002</v>
      </c>
      <c r="I58" s="19">
        <f>Input[[#This Row],[time2]]/$B$1</f>
        <v>35.277329522559462</v>
      </c>
      <c r="J58" s="19">
        <f>Input[[#This Row],[price2]]/$B$1</f>
        <v>34.851782956249934</v>
      </c>
      <c r="K58" s="20">
        <f>Input[[#This Row],[energy2]]/$B$1</f>
        <v>30.477834819583336</v>
      </c>
      <c r="L58" s="18">
        <f>VLOOKUP(Input[[#This Row],[MD5]],fullcf[#All],2,FALSE)</f>
        <v>528657.643557142</v>
      </c>
      <c r="M58" s="19">
        <f>VLOOKUP(Input[[#This Row],[MD5]],fullcf[#All],3,FALSE)</f>
        <v>1328653.8457499901</v>
      </c>
      <c r="N58" s="19">
        <f>VLOOKUP(Input[[#This Row],[MD5]],fullcf[#All],4,FALSE)</f>
        <v>1155594.3435124899</v>
      </c>
      <c r="O58" s="19">
        <f>Input[[#This Row],[time3]]/$B$1</f>
        <v>35.243842903809465</v>
      </c>
      <c r="P58" s="19">
        <f>Input[[#This Row],[price3]]/$B$1</f>
        <v>88.576923049999337</v>
      </c>
      <c r="Q58" s="20">
        <f>Input[[#This Row],[energy3]]/$B$1</f>
        <v>77.039622900832669</v>
      </c>
      <c r="R58" s="18">
        <f>VLOOKUP(Input[[#This Row],[MD5]],df[#All],2,FALSE)</f>
        <v>12729591138.1</v>
      </c>
      <c r="S58" s="19">
        <f>VLOOKUP(Input[[#This Row],[MD5]],df[#All],3,FALSE)</f>
        <v>3757291325.25</v>
      </c>
      <c r="T58" s="19">
        <f>VLOOKUP(Input[[#This Row],[MD5]],df[#All],4,FALSE)</f>
        <v>2186301788.8499899</v>
      </c>
      <c r="U58" s="19">
        <f>Input[[#This Row],[time4]]/$B$1</f>
        <v>848639.40920666663</v>
      </c>
      <c r="V58" s="19">
        <f>Input[[#This Row],[price4]]/$B$1</f>
        <v>250486.08835000001</v>
      </c>
      <c r="W58" s="20">
        <f>Input[[#This Row],[energy4]]/$B$1</f>
        <v>145753.45258999933</v>
      </c>
    </row>
    <row r="59" spans="1:23">
      <c r="A59" s="24" t="s">
        <v>101</v>
      </c>
      <c r="B59" s="13" t="s">
        <v>233</v>
      </c>
      <c r="C59" s="18">
        <f>VLOOKUP(Input[[#This Row],[MD5]],buildtime[#All],2,FALSE)</f>
        <v>61.977142860000001</v>
      </c>
      <c r="D59" s="19">
        <f>VLOOKUP(Input[[#This Row],[MD5]],buildtime[#All],3,FALSE)</f>
        <v>61.2</v>
      </c>
      <c r="E59" s="20">
        <f>VLOOKUP(Input[[#This Row],[MD5]],buildtime[#All],4,FALSE)</f>
        <v>53.52</v>
      </c>
      <c r="F59" s="18">
        <f>VLOOKUP(Input[[#This Row],[MD5]],partialcf[#All],2,FALSE)</f>
        <v>533551.53241830296</v>
      </c>
      <c r="G59" s="19">
        <f>VLOOKUP(Input[[#This Row],[MD5]],partialcf[#All],3,FALSE)</f>
        <v>528974.64042187401</v>
      </c>
      <c r="H59" s="19">
        <f>VLOOKUP(Input[[#This Row],[MD5]],partialcf[#All],4,FALSE)</f>
        <v>462544.32147187501</v>
      </c>
      <c r="I59" s="19">
        <f>Input[[#This Row],[time2]]/$B$1</f>
        <v>35.570102161220198</v>
      </c>
      <c r="J59" s="19">
        <f>Input[[#This Row],[price2]]/$B$1</f>
        <v>35.264976028124934</v>
      </c>
      <c r="K59" s="20">
        <f>Input[[#This Row],[energy2]]/$B$1</f>
        <v>30.836288098124999</v>
      </c>
      <c r="L59" s="18">
        <f>VLOOKUP(Input[[#This Row],[MD5]],fullcf[#All],2,FALSE)</f>
        <v>529340.62973526702</v>
      </c>
      <c r="M59" s="19">
        <f>VLOOKUP(Input[[#This Row],[MD5]],fullcf[#All],3,FALSE)</f>
        <v>1329196.02604687</v>
      </c>
      <c r="N59" s="19">
        <f>VLOOKUP(Input[[#This Row],[MD5]],fullcf[#All],4,FALSE)</f>
        <v>1156069.52234687</v>
      </c>
      <c r="O59" s="19">
        <f>Input[[#This Row],[time3]]/$B$1</f>
        <v>35.289375315684467</v>
      </c>
      <c r="P59" s="19">
        <f>Input[[#This Row],[price3]]/$B$1</f>
        <v>88.613068403124672</v>
      </c>
      <c r="Q59" s="20">
        <f>Input[[#This Row],[energy3]]/$B$1</f>
        <v>77.071301489791338</v>
      </c>
      <c r="R59" s="18">
        <f>VLOOKUP(Input[[#This Row],[MD5]],df[#All],2,FALSE)</f>
        <v>12807680814.1</v>
      </c>
      <c r="S59" s="19">
        <f>VLOOKUP(Input[[#This Row],[MD5]],df[#All],3,FALSE)</f>
        <v>3777854215.25</v>
      </c>
      <c r="T59" s="19">
        <f>VLOOKUP(Input[[#This Row],[MD5]],df[#All],4,FALSE)</f>
        <v>2198222014.8499899</v>
      </c>
      <c r="U59" s="19">
        <f>Input[[#This Row],[time4]]/$B$1</f>
        <v>853845.38760666666</v>
      </c>
      <c r="V59" s="19">
        <f>Input[[#This Row],[price4]]/$B$1</f>
        <v>251856.94768333333</v>
      </c>
      <c r="W59" s="20">
        <f>Input[[#This Row],[energy4]]/$B$1</f>
        <v>146548.13432333266</v>
      </c>
    </row>
    <row r="60" spans="1:23">
      <c r="A60" s="24" t="s">
        <v>102</v>
      </c>
      <c r="B60" s="13" t="s">
        <v>234</v>
      </c>
      <c r="C60" s="18">
        <f>VLOOKUP(Input[[#This Row],[MD5]],buildtime[#All],2,FALSE)</f>
        <v>61.977142860000001</v>
      </c>
      <c r="D60" s="19">
        <f>VLOOKUP(Input[[#This Row],[MD5]],buildtime[#All],3,FALSE)</f>
        <v>61.2</v>
      </c>
      <c r="E60" s="20">
        <f>VLOOKUP(Input[[#This Row],[MD5]],buildtime[#All],4,FALSE)</f>
        <v>53.52</v>
      </c>
      <c r="F60" s="18">
        <f>VLOOKUP(Input[[#This Row],[MD5]],partialcf[#All],2,FALSE)</f>
        <v>17199.4950973214</v>
      </c>
      <c r="G60" s="19">
        <f>VLOOKUP(Input[[#This Row],[MD5]],partialcf[#All],3,FALSE)</f>
        <v>17151.8749687499</v>
      </c>
      <c r="H60" s="19">
        <f>VLOOKUP(Input[[#This Row],[MD5]],partialcf[#All],4,FALSE)</f>
        <v>14995.571668750001</v>
      </c>
      <c r="I60" s="19">
        <f>Input[[#This Row],[time2]]/$B$1</f>
        <v>1.1466330064880934</v>
      </c>
      <c r="J60" s="19">
        <f>Input[[#This Row],[price2]]/$B$1</f>
        <v>1.1434583312499933</v>
      </c>
      <c r="K60" s="20">
        <f>Input[[#This Row],[energy2]]/$B$1</f>
        <v>0.99970477791666668</v>
      </c>
      <c r="L60" s="18">
        <f>VLOOKUP(Input[[#This Row],[MD5]],fullcf[#All],2,FALSE)</f>
        <v>16864.624503571398</v>
      </c>
      <c r="M60" s="19">
        <f>VLOOKUP(Input[[#This Row],[MD5]],fullcf[#All],3,FALSE)</f>
        <v>873028.58512499998</v>
      </c>
      <c r="N60" s="19">
        <f>VLOOKUP(Input[[#This Row],[MD5]],fullcf[#All],4,FALSE)</f>
        <v>756755.38713749999</v>
      </c>
      <c r="O60" s="19">
        <f>Input[[#This Row],[time3]]/$B$1</f>
        <v>1.1243083002380931</v>
      </c>
      <c r="P60" s="19">
        <f>Input[[#This Row],[price3]]/$B$1</f>
        <v>58.201905674999999</v>
      </c>
      <c r="Q60" s="20">
        <f>Input[[#This Row],[energy3]]/$B$1</f>
        <v>50.450359142499998</v>
      </c>
      <c r="R60" s="18">
        <f>VLOOKUP(Input[[#This Row],[MD5]],df[#All],2,FALSE)</f>
        <v>69458587.700000003</v>
      </c>
      <c r="S60" s="19">
        <f>VLOOKUP(Input[[#This Row],[MD5]],df[#All],3,FALSE)</f>
        <v>35190029.25</v>
      </c>
      <c r="T60" s="19">
        <f>VLOOKUP(Input[[#This Row],[MD5]],df[#All],4,FALSE)</f>
        <v>20742470.449999999</v>
      </c>
      <c r="U60" s="19">
        <f>Input[[#This Row],[time4]]/$B$1</f>
        <v>4630.5725133333335</v>
      </c>
      <c r="V60" s="19">
        <f>Input[[#This Row],[price4]]/$B$1</f>
        <v>2346.0019499999999</v>
      </c>
      <c r="W60" s="20">
        <f>Input[[#This Row],[energy4]]/$B$1</f>
        <v>1382.8313633333332</v>
      </c>
    </row>
    <row r="61" spans="1:23">
      <c r="A61" s="24" t="s">
        <v>103</v>
      </c>
      <c r="B61" s="13" t="s">
        <v>235</v>
      </c>
      <c r="C61" s="18">
        <f>VLOOKUP(Input[[#This Row],[MD5]],buildtime[#All],2,FALSE)</f>
        <v>61.977142860000001</v>
      </c>
      <c r="D61" s="19">
        <f>VLOOKUP(Input[[#This Row],[MD5]],buildtime[#All],3,FALSE)</f>
        <v>61.2</v>
      </c>
      <c r="E61" s="20">
        <f>VLOOKUP(Input[[#This Row],[MD5]],buildtime[#All],4,FALSE)</f>
        <v>53.52</v>
      </c>
      <c r="F61" s="18">
        <f>VLOOKUP(Input[[#This Row],[MD5]],partialcf[#All],2,FALSE)</f>
        <v>19626.473154464202</v>
      </c>
      <c r="G61" s="19">
        <f>VLOOKUP(Input[[#This Row],[MD5]],partialcf[#All],3,FALSE)</f>
        <v>21409.50665625</v>
      </c>
      <c r="H61" s="19">
        <f>VLOOKUP(Input[[#This Row],[MD5]],partialcf[#All],4,FALSE)</f>
        <v>18675.597306250002</v>
      </c>
      <c r="I61" s="19">
        <f>Input[[#This Row],[time2]]/$B$1</f>
        <v>1.3084315436309468</v>
      </c>
      <c r="J61" s="19">
        <f>Input[[#This Row],[price2]]/$B$1</f>
        <v>1.4273004437499999</v>
      </c>
      <c r="K61" s="20">
        <f>Input[[#This Row],[energy2]]/$B$1</f>
        <v>1.2450398204166668</v>
      </c>
      <c r="L61" s="18">
        <f>VLOOKUP(Input[[#This Row],[MD5]],fullcf[#All],2,FALSE)</f>
        <v>15583.5279089285</v>
      </c>
      <c r="M61" s="19">
        <f>VLOOKUP(Input[[#This Row],[MD5]],fullcf[#All],3,FALSE)</f>
        <v>871888.24068749906</v>
      </c>
      <c r="N61" s="19">
        <f>VLOOKUP(Input[[#This Row],[MD5]],fullcf[#All],4,FALSE)</f>
        <v>755757.16680000001</v>
      </c>
      <c r="O61" s="19">
        <f>Input[[#This Row],[time3]]/$B$1</f>
        <v>1.0389018605952334</v>
      </c>
      <c r="P61" s="19">
        <f>Input[[#This Row],[price3]]/$B$1</f>
        <v>58.125882712499937</v>
      </c>
      <c r="Q61" s="20">
        <f>Input[[#This Row],[energy3]]/$B$1</f>
        <v>50.383811119999997</v>
      </c>
      <c r="R61" s="18">
        <f>VLOOKUP(Input[[#This Row],[MD5]],df[#All],2,FALSE)</f>
        <v>5977781.8499999903</v>
      </c>
      <c r="S61" s="19">
        <f>VLOOKUP(Input[[#This Row],[MD5]],df[#All],3,FALSE)</f>
        <v>16538602.7083333</v>
      </c>
      <c r="T61" s="19">
        <f>VLOOKUP(Input[[#This Row],[MD5]],df[#All],4,FALSE)</f>
        <v>9891084.0749999899</v>
      </c>
      <c r="U61" s="19">
        <f>Input[[#This Row],[time4]]/$B$1</f>
        <v>398.51878999999934</v>
      </c>
      <c r="V61" s="19">
        <f>Input[[#This Row],[price4]]/$B$1</f>
        <v>1102.5735138888867</v>
      </c>
      <c r="W61" s="20">
        <f>Input[[#This Row],[energy4]]/$B$1</f>
        <v>659.40560499999935</v>
      </c>
    </row>
    <row r="62" spans="1:23">
      <c r="A62" s="24" t="s">
        <v>104</v>
      </c>
      <c r="B62" s="13" t="s">
        <v>236</v>
      </c>
      <c r="C62" s="18">
        <f>VLOOKUP(Input[[#This Row],[MD5]],buildtime[#All],2,FALSE)</f>
        <v>44.77857143</v>
      </c>
      <c r="D62" s="19">
        <f>VLOOKUP(Input[[#This Row],[MD5]],buildtime[#All],3,FALSE)</f>
        <v>74.7</v>
      </c>
      <c r="E62" s="20">
        <f>VLOOKUP(Input[[#This Row],[MD5]],buildtime[#All],4,FALSE)</f>
        <v>65.22</v>
      </c>
      <c r="F62" s="18">
        <f>VLOOKUP(Input[[#This Row],[MD5]],partialcf[#All],2,FALSE)</f>
        <v>662186.99832857097</v>
      </c>
      <c r="G62" s="19">
        <f>VLOOKUP(Input[[#This Row],[MD5]],partialcf[#All],3,FALSE)</f>
        <v>622688.69793749903</v>
      </c>
      <c r="H62" s="19">
        <f>VLOOKUP(Input[[#This Row],[MD5]],partialcf[#All],4,FALSE)</f>
        <v>543757.88207499904</v>
      </c>
      <c r="I62" s="19">
        <f>Input[[#This Row],[time2]]/$B$1</f>
        <v>44.145799888571396</v>
      </c>
      <c r="J62" s="19">
        <f>Input[[#This Row],[price2]]/$B$1</f>
        <v>41.512579862499933</v>
      </c>
      <c r="K62" s="20">
        <f>Input[[#This Row],[energy2]]/$B$1</f>
        <v>36.250525471666606</v>
      </c>
      <c r="L62" s="18">
        <f>VLOOKUP(Input[[#This Row],[MD5]],fullcf[#All],2,FALSE)</f>
        <v>661519.93614107103</v>
      </c>
      <c r="M62" s="19">
        <f>VLOOKUP(Input[[#This Row],[MD5]],fullcf[#All],3,FALSE)</f>
        <v>1428192.3340312501</v>
      </c>
      <c r="N62" s="19">
        <f>VLOOKUP(Input[[#This Row],[MD5]],fullcf[#All],4,FALSE)</f>
        <v>1241861.03335625</v>
      </c>
      <c r="O62" s="19">
        <f>Input[[#This Row],[time3]]/$B$1</f>
        <v>44.101329076071401</v>
      </c>
      <c r="P62" s="19">
        <f>Input[[#This Row],[price3]]/$B$1</f>
        <v>95.212822268750003</v>
      </c>
      <c r="Q62" s="20">
        <f>Input[[#This Row],[energy3]]/$B$1</f>
        <v>82.790735557083337</v>
      </c>
      <c r="R62" s="18">
        <f>VLOOKUP(Input[[#This Row],[MD5]],df[#All],2,FALSE)</f>
        <v>22255636448</v>
      </c>
      <c r="S62" s="19">
        <f>VLOOKUP(Input[[#This Row],[MD5]],df[#All],3,FALSE)</f>
        <v>5458399782.75</v>
      </c>
      <c r="T62" s="19">
        <f>VLOOKUP(Input[[#This Row],[MD5]],df[#All],4,FALSE)</f>
        <v>3206966863.3499899</v>
      </c>
      <c r="U62" s="19">
        <f>Input[[#This Row],[time4]]/$B$1</f>
        <v>1483709.0965333334</v>
      </c>
      <c r="V62" s="19">
        <f>Input[[#This Row],[price4]]/$B$1</f>
        <v>363893.31884999998</v>
      </c>
      <c r="W62" s="20">
        <f>Input[[#This Row],[energy4]]/$B$1</f>
        <v>213797.79088999933</v>
      </c>
    </row>
    <row r="63" spans="1:23">
      <c r="A63" s="24" t="s">
        <v>105</v>
      </c>
      <c r="B63" s="13" t="s">
        <v>237</v>
      </c>
      <c r="C63" s="18">
        <f>VLOOKUP(Input[[#This Row],[MD5]],buildtime[#All],2,FALSE)</f>
        <v>61.977142860000001</v>
      </c>
      <c r="D63" s="19">
        <f>VLOOKUP(Input[[#This Row],[MD5]],buildtime[#All],3,FALSE)</f>
        <v>61.2</v>
      </c>
      <c r="E63" s="20">
        <f>VLOOKUP(Input[[#This Row],[MD5]],buildtime[#All],4,FALSE)</f>
        <v>53.52</v>
      </c>
      <c r="F63" s="18">
        <f>VLOOKUP(Input[[#This Row],[MD5]],partialcf[#All],2,FALSE)</f>
        <v>15594.7531455357</v>
      </c>
      <c r="G63" s="19">
        <f>VLOOKUP(Input[[#This Row],[MD5]],partialcf[#All],3,FALSE)</f>
        <v>15404.8172812499</v>
      </c>
      <c r="H63" s="19">
        <f>VLOOKUP(Input[[#This Row],[MD5]],partialcf[#All],4,FALSE)</f>
        <v>13471.533181250001</v>
      </c>
      <c r="I63" s="19">
        <f>Input[[#This Row],[time2]]/$B$1</f>
        <v>1.0396502097023801</v>
      </c>
      <c r="J63" s="19">
        <f>Input[[#This Row],[price2]]/$B$1</f>
        <v>1.0269878187499932</v>
      </c>
      <c r="K63" s="20">
        <f>Input[[#This Row],[energy2]]/$B$1</f>
        <v>0.89810221208333341</v>
      </c>
      <c r="L63" s="18">
        <f>VLOOKUP(Input[[#This Row],[MD5]],fullcf[#All],2,FALSE)</f>
        <v>15583.4838464285</v>
      </c>
      <c r="M63" s="19">
        <f>VLOOKUP(Input[[#This Row],[MD5]],fullcf[#All],3,FALSE)</f>
        <v>871888.20787499996</v>
      </c>
      <c r="N63" s="19">
        <f>VLOOKUP(Input[[#This Row],[MD5]],fullcf[#All],4,FALSE)</f>
        <v>755757.13836249895</v>
      </c>
      <c r="O63" s="19">
        <f>Input[[#This Row],[time3]]/$B$1</f>
        <v>1.0388989230952335</v>
      </c>
      <c r="P63" s="19">
        <f>Input[[#This Row],[price3]]/$B$1</f>
        <v>58.125880524999999</v>
      </c>
      <c r="Q63" s="20">
        <f>Input[[#This Row],[energy3]]/$B$1</f>
        <v>50.383809224166598</v>
      </c>
      <c r="R63" s="18">
        <f>VLOOKUP(Input[[#This Row],[MD5]],df[#All],2,FALSE)</f>
        <v>5953141.8499999903</v>
      </c>
      <c r="S63" s="19">
        <f>VLOOKUP(Input[[#This Row],[MD5]],df[#All],3,FALSE)</f>
        <v>16534202.7083333</v>
      </c>
      <c r="T63" s="19">
        <f>VLOOKUP(Input[[#This Row],[MD5]],df[#All],4,FALSE)</f>
        <v>9888444.0749999899</v>
      </c>
      <c r="U63" s="19">
        <f>Input[[#This Row],[time4]]/$B$1</f>
        <v>396.87612333333271</v>
      </c>
      <c r="V63" s="19">
        <f>Input[[#This Row],[price4]]/$B$1</f>
        <v>1102.2801805555534</v>
      </c>
      <c r="W63" s="20">
        <f>Input[[#This Row],[energy4]]/$B$1</f>
        <v>659.22960499999931</v>
      </c>
    </row>
    <row r="64" spans="1:23">
      <c r="A64" s="24" t="s">
        <v>106</v>
      </c>
      <c r="B64" s="13" t="s">
        <v>238</v>
      </c>
      <c r="C64" s="18">
        <f>VLOOKUP(Input[[#This Row],[MD5]],buildtime[#All],2,FALSE)</f>
        <v>61.977142860000001</v>
      </c>
      <c r="D64" s="19">
        <f>VLOOKUP(Input[[#This Row],[MD5]],buildtime[#All],3,FALSE)</f>
        <v>61.2</v>
      </c>
      <c r="E64" s="20">
        <f>VLOOKUP(Input[[#This Row],[MD5]],buildtime[#All],4,FALSE)</f>
        <v>53.52</v>
      </c>
      <c r="F64" s="18">
        <f>VLOOKUP(Input[[#This Row],[MD5]],partialcf[#All],2,FALSE)</f>
        <v>19624.975992946402</v>
      </c>
      <c r="G64" s="19">
        <f>VLOOKUP(Input[[#This Row],[MD5]],partialcf[#All],3,FALSE)</f>
        <v>21407.445253124901</v>
      </c>
      <c r="H64" s="19">
        <f>VLOOKUP(Input[[#This Row],[MD5]],partialcf[#All],4,FALSE)</f>
        <v>18673.808158125001</v>
      </c>
      <c r="I64" s="19">
        <f>Input[[#This Row],[time2]]/$B$1</f>
        <v>1.3083317328630935</v>
      </c>
      <c r="J64" s="19">
        <f>Input[[#This Row],[price2]]/$B$1</f>
        <v>1.4271630168749934</v>
      </c>
      <c r="K64" s="20">
        <f>Input[[#This Row],[energy2]]/$B$1</f>
        <v>1.244920543875</v>
      </c>
      <c r="L64" s="18">
        <f>VLOOKUP(Input[[#This Row],[MD5]],fullcf[#All],2,FALSE)</f>
        <v>15583.192360803499</v>
      </c>
      <c r="M64" s="19">
        <f>VLOOKUP(Input[[#This Row],[MD5]],fullcf[#All],3,FALSE)</f>
        <v>871887.66184687405</v>
      </c>
      <c r="N64" s="19">
        <f>VLOOKUP(Input[[#This Row],[MD5]],fullcf[#All],4,FALSE)</f>
        <v>755756.66253937501</v>
      </c>
      <c r="O64" s="19">
        <f>Input[[#This Row],[time3]]/$B$1</f>
        <v>1.0388794907202332</v>
      </c>
      <c r="P64" s="19">
        <f>Input[[#This Row],[price3]]/$B$1</f>
        <v>58.125844123124935</v>
      </c>
      <c r="Q64" s="20">
        <f>Input[[#This Row],[energy3]]/$B$1</f>
        <v>50.383777502625001</v>
      </c>
      <c r="R64" s="18">
        <f>VLOOKUP(Input[[#This Row],[MD5]],df[#All],2,FALSE)</f>
        <v>5917244.3399999896</v>
      </c>
      <c r="S64" s="19">
        <f>VLOOKUP(Input[[#This Row],[MD5]],df[#All],3,FALSE)</f>
        <v>16486576.1</v>
      </c>
      <c r="T64" s="19">
        <f>VLOOKUP(Input[[#This Row],[MD5]],df[#All],4,FALSE)</f>
        <v>9860191.8399999905</v>
      </c>
      <c r="U64" s="19">
        <f>Input[[#This Row],[time4]]/$B$1</f>
        <v>394.48295599999932</v>
      </c>
      <c r="V64" s="19">
        <f>Input[[#This Row],[price4]]/$B$1</f>
        <v>1099.1050733333334</v>
      </c>
      <c r="W64" s="20">
        <f>Input[[#This Row],[energy4]]/$B$1</f>
        <v>657.34612266666602</v>
      </c>
    </row>
    <row r="65" spans="1:23">
      <c r="A65" s="24" t="s">
        <v>107</v>
      </c>
      <c r="B65" s="13" t="s">
        <v>239</v>
      </c>
      <c r="C65" s="18">
        <f>VLOOKUP(Input[[#This Row],[MD5]],buildtime[#All],2,FALSE)</f>
        <v>61.977142860000001</v>
      </c>
      <c r="D65" s="19">
        <f>VLOOKUP(Input[[#This Row],[MD5]],buildtime[#All],3,FALSE)</f>
        <v>61.2</v>
      </c>
      <c r="E65" s="20">
        <f>VLOOKUP(Input[[#This Row],[MD5]],buildtime[#All],4,FALSE)</f>
        <v>53.52</v>
      </c>
      <c r="F65" s="18">
        <f>VLOOKUP(Input[[#This Row],[MD5]],partialcf[#All],2,FALSE)</f>
        <v>17199.565597321402</v>
      </c>
      <c r="G65" s="19">
        <f>VLOOKUP(Input[[#This Row],[MD5]],partialcf[#All],3,FALSE)</f>
        <v>17151.9799687499</v>
      </c>
      <c r="H65" s="19">
        <f>VLOOKUP(Input[[#This Row],[MD5]],partialcf[#All],4,FALSE)</f>
        <v>14995.662668749999</v>
      </c>
      <c r="I65" s="19">
        <f>Input[[#This Row],[time2]]/$B$1</f>
        <v>1.1466377064880935</v>
      </c>
      <c r="J65" s="19">
        <f>Input[[#This Row],[price2]]/$B$1</f>
        <v>1.1434653312499934</v>
      </c>
      <c r="K65" s="20">
        <f>Input[[#This Row],[energy2]]/$B$1</f>
        <v>0.99971084458333326</v>
      </c>
      <c r="L65" s="18">
        <f>VLOOKUP(Input[[#This Row],[MD5]],fullcf[#All],2,FALSE)</f>
        <v>16864.624503571398</v>
      </c>
      <c r="M65" s="19">
        <f>VLOOKUP(Input[[#This Row],[MD5]],fullcf[#All],3,FALSE)</f>
        <v>873028.58512499998</v>
      </c>
      <c r="N65" s="19">
        <f>VLOOKUP(Input[[#This Row],[MD5]],fullcf[#All],4,FALSE)</f>
        <v>756755.38713749999</v>
      </c>
      <c r="O65" s="19">
        <f>Input[[#This Row],[time3]]/$B$1</f>
        <v>1.1243083002380931</v>
      </c>
      <c r="P65" s="19">
        <f>Input[[#This Row],[price3]]/$B$1</f>
        <v>58.201905674999999</v>
      </c>
      <c r="Q65" s="20">
        <f>Input[[#This Row],[energy3]]/$B$1</f>
        <v>50.450359142499998</v>
      </c>
      <c r="R65" s="18">
        <f>VLOOKUP(Input[[#This Row],[MD5]],df[#All],2,FALSE)</f>
        <v>69458587.700000003</v>
      </c>
      <c r="S65" s="19">
        <f>VLOOKUP(Input[[#This Row],[MD5]],df[#All],3,FALSE)</f>
        <v>35190029.25</v>
      </c>
      <c r="T65" s="19">
        <f>VLOOKUP(Input[[#This Row],[MD5]],df[#All],4,FALSE)</f>
        <v>20742470.449999999</v>
      </c>
      <c r="U65" s="19">
        <f>Input[[#This Row],[time4]]/$B$1</f>
        <v>4630.5725133333335</v>
      </c>
      <c r="V65" s="19">
        <f>Input[[#This Row],[price4]]/$B$1</f>
        <v>2346.0019499999999</v>
      </c>
      <c r="W65" s="20">
        <f>Input[[#This Row],[energy4]]/$B$1</f>
        <v>1382.8313633333332</v>
      </c>
    </row>
    <row r="66" spans="1:23">
      <c r="A66" s="24" t="s">
        <v>108</v>
      </c>
      <c r="B66" s="13" t="s">
        <v>240</v>
      </c>
      <c r="C66" s="18">
        <f>VLOOKUP(Input[[#This Row],[MD5]],buildtime[#All],2,FALSE)</f>
        <v>50.51142857</v>
      </c>
      <c r="D66" s="19">
        <f>VLOOKUP(Input[[#This Row],[MD5]],buildtime[#All],3,FALSE)</f>
        <v>65.7</v>
      </c>
      <c r="E66" s="20">
        <f>VLOOKUP(Input[[#This Row],[MD5]],buildtime[#All],4,FALSE)</f>
        <v>57.42</v>
      </c>
      <c r="F66" s="18">
        <f>VLOOKUP(Input[[#This Row],[MD5]],partialcf[#All],2,FALSE)</f>
        <v>661600.36351651698</v>
      </c>
      <c r="G66" s="19">
        <f>VLOOKUP(Input[[#This Row],[MD5]],partialcf[#All],3,FALSE)</f>
        <v>622002.20371874899</v>
      </c>
      <c r="H66" s="19">
        <f>VLOOKUP(Input[[#This Row],[MD5]],partialcf[#All],4,FALSE)</f>
        <v>543162.92041874898</v>
      </c>
      <c r="I66" s="19">
        <f>Input[[#This Row],[time2]]/$B$1</f>
        <v>44.106690901101132</v>
      </c>
      <c r="J66" s="19">
        <f>Input[[#This Row],[price2]]/$B$1</f>
        <v>41.46681358124993</v>
      </c>
      <c r="K66" s="20">
        <f>Input[[#This Row],[energy2]]/$B$1</f>
        <v>36.210861361249933</v>
      </c>
      <c r="L66" s="18">
        <f>VLOOKUP(Input[[#This Row],[MD5]],fullcf[#All],2,FALSE)</f>
        <v>661265.86304776696</v>
      </c>
      <c r="M66" s="19">
        <f>VLOOKUP(Input[[#This Row],[MD5]],fullcf[#All],3,FALSE)</f>
        <v>1427879.4495000001</v>
      </c>
      <c r="N66" s="19">
        <f>VLOOKUP(Input[[#This Row],[MD5]],fullcf[#All],4,FALSE)</f>
        <v>1241589.8667625</v>
      </c>
      <c r="O66" s="19">
        <f>Input[[#This Row],[time3]]/$B$1</f>
        <v>44.084390869851134</v>
      </c>
      <c r="P66" s="19">
        <f>Input[[#This Row],[price3]]/$B$1</f>
        <v>95.191963300000012</v>
      </c>
      <c r="Q66" s="20">
        <f>Input[[#This Row],[energy3]]/$B$1</f>
        <v>82.772657784166668</v>
      </c>
      <c r="R66" s="18">
        <f>VLOOKUP(Input[[#This Row],[MD5]],df[#All],2,FALSE)</f>
        <v>22232034364</v>
      </c>
      <c r="S66" s="19">
        <f>VLOOKUP(Input[[#This Row],[MD5]],df[#All],3,FALSE)</f>
        <v>5454161125.25</v>
      </c>
      <c r="T66" s="19">
        <f>VLOOKUP(Input[[#This Row],[MD5]],df[#All],4,FALSE)</f>
        <v>3204423668.8499899</v>
      </c>
      <c r="U66" s="19">
        <f>Input[[#This Row],[time4]]/$B$1</f>
        <v>1482135.6242666666</v>
      </c>
      <c r="V66" s="19">
        <f>Input[[#This Row],[price4]]/$B$1</f>
        <v>363610.74168333336</v>
      </c>
      <c r="W66" s="20">
        <f>Input[[#This Row],[energy4]]/$B$1</f>
        <v>213628.24458999932</v>
      </c>
    </row>
    <row r="67" spans="1:23">
      <c r="A67" s="24" t="s">
        <v>109</v>
      </c>
      <c r="B67" s="13" t="s">
        <v>241</v>
      </c>
      <c r="C67" s="18">
        <f>VLOOKUP(Input[[#This Row],[MD5]],buildtime[#All],2,FALSE)</f>
        <v>61.977142860000001</v>
      </c>
      <c r="D67" s="19">
        <f>VLOOKUP(Input[[#This Row],[MD5]],buildtime[#All],3,FALSE)</f>
        <v>61.2</v>
      </c>
      <c r="E67" s="20">
        <f>VLOOKUP(Input[[#This Row],[MD5]],buildtime[#All],4,FALSE)</f>
        <v>53.52</v>
      </c>
      <c r="F67" s="18">
        <f>VLOOKUP(Input[[#This Row],[MD5]],partialcf[#All],2,FALSE)</f>
        <v>20869.165989732101</v>
      </c>
      <c r="G67" s="19">
        <f>VLOOKUP(Input[[#This Row],[MD5]],partialcf[#All],3,FALSE)</f>
        <v>22598.5654218749</v>
      </c>
      <c r="H67" s="19">
        <f>VLOOKUP(Input[[#This Row],[MD5]],partialcf[#All],4,FALSE)</f>
        <v>19716.326471875</v>
      </c>
      <c r="I67" s="19">
        <f>Input[[#This Row],[time2]]/$B$1</f>
        <v>1.3912777326488066</v>
      </c>
      <c r="J67" s="19">
        <f>Input[[#This Row],[price2]]/$B$1</f>
        <v>1.5065710281249933</v>
      </c>
      <c r="K67" s="20">
        <f>Input[[#This Row],[energy2]]/$B$1</f>
        <v>1.3144217647916667</v>
      </c>
      <c r="L67" s="18">
        <f>VLOOKUP(Input[[#This Row],[MD5]],fullcf[#All],2,FALSE)</f>
        <v>16901.991878125002</v>
      </c>
      <c r="M67" s="19">
        <f>VLOOKUP(Input[[#This Row],[MD5]],fullcf[#All],3,FALSE)</f>
        <v>873058.25104687503</v>
      </c>
      <c r="N67" s="19">
        <f>VLOOKUP(Input[[#This Row],[MD5]],fullcf[#All],4,FALSE)</f>
        <v>756781.38734687399</v>
      </c>
      <c r="O67" s="19">
        <f>Input[[#This Row],[time3]]/$B$1</f>
        <v>1.1267994585416667</v>
      </c>
      <c r="P67" s="19">
        <f>Input[[#This Row],[price3]]/$B$1</f>
        <v>58.203883403125005</v>
      </c>
      <c r="Q67" s="20">
        <f>Input[[#This Row],[energy3]]/$B$1</f>
        <v>50.452092489791596</v>
      </c>
      <c r="R67" s="18">
        <f>VLOOKUP(Input[[#This Row],[MD5]],df[#All],2,FALSE)</f>
        <v>111519644.099999</v>
      </c>
      <c r="S67" s="19">
        <f>VLOOKUP(Input[[#This Row],[MD5]],df[#All],3,FALSE)</f>
        <v>47568906.916666597</v>
      </c>
      <c r="T67" s="19">
        <f>VLOOKUP(Input[[#This Row],[MD5]],df[#All],4,FALSE)</f>
        <v>27944739.850000001</v>
      </c>
      <c r="U67" s="19">
        <f>Input[[#This Row],[time4]]/$B$1</f>
        <v>7434.6429399999333</v>
      </c>
      <c r="V67" s="19">
        <f>Input[[#This Row],[price4]]/$B$1</f>
        <v>3171.2604611111065</v>
      </c>
      <c r="W67" s="20">
        <f>Input[[#This Row],[energy4]]/$B$1</f>
        <v>1862.9826566666668</v>
      </c>
    </row>
    <row r="68" spans="1:23">
      <c r="A68" s="24" t="s">
        <v>110</v>
      </c>
      <c r="B68" s="13" t="s">
        <v>242</v>
      </c>
      <c r="C68" s="18">
        <f>VLOOKUP(Input[[#This Row],[MD5]],buildtime[#All],2,FALSE)</f>
        <v>61.977142860000001</v>
      </c>
      <c r="D68" s="19">
        <f>VLOOKUP(Input[[#This Row],[MD5]],buildtime[#All],3,FALSE)</f>
        <v>61.2</v>
      </c>
      <c r="E68" s="20">
        <f>VLOOKUP(Input[[#This Row],[MD5]],buildtime[#All],4,FALSE)</f>
        <v>53.52</v>
      </c>
      <c r="F68" s="18">
        <f>VLOOKUP(Input[[#This Row],[MD5]],partialcf[#All],2,FALSE)</f>
        <v>17828.005628125</v>
      </c>
      <c r="G68" s="19">
        <f>VLOOKUP(Input[[#This Row],[MD5]],partialcf[#All],3,FALSE)</f>
        <v>17982.7480781249</v>
      </c>
      <c r="H68" s="19">
        <f>VLOOKUP(Input[[#This Row],[MD5]],partialcf[#All],4,FALSE)</f>
        <v>15717.285128125</v>
      </c>
      <c r="I68" s="19">
        <f>Input[[#This Row],[time2]]/$B$1</f>
        <v>1.1885337085416667</v>
      </c>
      <c r="J68" s="19">
        <f>Input[[#This Row],[price2]]/$B$1</f>
        <v>1.1988498718749934</v>
      </c>
      <c r="K68" s="20">
        <f>Input[[#This Row],[energy2]]/$B$1</f>
        <v>1.0478190085416668</v>
      </c>
      <c r="L68" s="18">
        <f>VLOOKUP(Input[[#This Row],[MD5]],fullcf[#All],2,FALSE)</f>
        <v>17074.1963379464</v>
      </c>
      <c r="M68" s="19">
        <f>VLOOKUP(Input[[#This Row],[MD5]],fullcf[#All],3,FALSE)</f>
        <v>873319.32979687501</v>
      </c>
      <c r="N68" s="19">
        <f>VLOOKUP(Input[[#This Row],[MD5]],fullcf[#All],4,FALSE)</f>
        <v>757008.98928437405</v>
      </c>
      <c r="O68" s="19">
        <f>Input[[#This Row],[time3]]/$B$1</f>
        <v>1.1382797558630933</v>
      </c>
      <c r="P68" s="19">
        <f>Input[[#This Row],[price3]]/$B$1</f>
        <v>58.221288653125001</v>
      </c>
      <c r="Q68" s="20">
        <f>Input[[#This Row],[energy3]]/$B$1</f>
        <v>50.467265952291605</v>
      </c>
      <c r="R68" s="18">
        <f>VLOOKUP(Input[[#This Row],[MD5]],df[#All],2,FALSE)</f>
        <v>79136255.699999899</v>
      </c>
      <c r="S68" s="19">
        <f>VLOOKUP(Input[[#This Row],[MD5]],df[#All],3,FALSE)</f>
        <v>41615199.25</v>
      </c>
      <c r="T68" s="19">
        <f>VLOOKUP(Input[[#This Row],[MD5]],df[#All],4,FALSE)</f>
        <v>24545688.449999999</v>
      </c>
      <c r="U68" s="19">
        <f>Input[[#This Row],[time4]]/$B$1</f>
        <v>5275.7503799999931</v>
      </c>
      <c r="V68" s="19">
        <f>Input[[#This Row],[price4]]/$B$1</f>
        <v>2774.3466166666667</v>
      </c>
      <c r="W68" s="20">
        <f>Input[[#This Row],[energy4]]/$B$1</f>
        <v>1636.37923</v>
      </c>
    </row>
    <row r="69" spans="1:23">
      <c r="A69" s="24" t="s">
        <v>111</v>
      </c>
      <c r="B69" s="13" t="s">
        <v>243</v>
      </c>
      <c r="C69" s="18">
        <f>VLOOKUP(Input[[#This Row],[MD5]],buildtime[#All],2,FALSE)</f>
        <v>44.77857143</v>
      </c>
      <c r="D69" s="19">
        <f>VLOOKUP(Input[[#This Row],[MD5]],buildtime[#All],3,FALSE)</f>
        <v>67.2</v>
      </c>
      <c r="E69" s="20">
        <f>VLOOKUP(Input[[#This Row],[MD5]],buildtime[#All],4,FALSE)</f>
        <v>58.72</v>
      </c>
      <c r="F69" s="18">
        <f>VLOOKUP(Input[[#This Row],[MD5]],partialcf[#All],2,FALSE)</f>
        <v>661600.98547589197</v>
      </c>
      <c r="G69" s="19">
        <f>VLOOKUP(Input[[#This Row],[MD5]],partialcf[#All],3,FALSE)</f>
        <v>622002.60403124895</v>
      </c>
      <c r="H69" s="19">
        <f>VLOOKUP(Input[[#This Row],[MD5]],partialcf[#All],4,FALSE)</f>
        <v>543163.26735624904</v>
      </c>
      <c r="I69" s="19">
        <f>Input[[#This Row],[time2]]/$B$1</f>
        <v>44.106732365059464</v>
      </c>
      <c r="J69" s="19">
        <f>Input[[#This Row],[price2]]/$B$1</f>
        <v>41.466840268749927</v>
      </c>
      <c r="K69" s="20">
        <f>Input[[#This Row],[energy2]]/$B$1</f>
        <v>36.210884490416603</v>
      </c>
      <c r="L69" s="18">
        <f>VLOOKUP(Input[[#This Row],[MD5]],fullcf[#All],2,FALSE)</f>
        <v>661266.61719464196</v>
      </c>
      <c r="M69" s="19">
        <f>VLOOKUP(Input[[#This Row],[MD5]],fullcf[#All],3,FALSE)</f>
        <v>1427880.0204375</v>
      </c>
      <c r="N69" s="19">
        <f>VLOOKUP(Input[[#This Row],[MD5]],fullcf[#All],4,FALSE)</f>
        <v>1241590.361575</v>
      </c>
      <c r="O69" s="19">
        <f>Input[[#This Row],[time3]]/$B$1</f>
        <v>44.084441146309466</v>
      </c>
      <c r="P69" s="19">
        <f>Input[[#This Row],[price3]]/$B$1</f>
        <v>95.192001362499994</v>
      </c>
      <c r="Q69" s="20">
        <f>Input[[#This Row],[energy3]]/$B$1</f>
        <v>82.77269077166666</v>
      </c>
      <c r="R69" s="18">
        <f>VLOOKUP(Input[[#This Row],[MD5]],df[#All],2,FALSE)</f>
        <v>22232398912</v>
      </c>
      <c r="S69" s="19">
        <f>VLOOKUP(Input[[#This Row],[MD5]],df[#All],3,FALSE)</f>
        <v>5454226525.25</v>
      </c>
      <c r="T69" s="19">
        <f>VLOOKUP(Input[[#This Row],[MD5]],df[#All],4,FALSE)</f>
        <v>3204462908.8499899</v>
      </c>
      <c r="U69" s="19">
        <f>Input[[#This Row],[time4]]/$B$1</f>
        <v>1482159.9274666666</v>
      </c>
      <c r="V69" s="19">
        <f>Input[[#This Row],[price4]]/$B$1</f>
        <v>363615.10168333334</v>
      </c>
      <c r="W69" s="20">
        <f>Input[[#This Row],[energy4]]/$B$1</f>
        <v>213630.86058999933</v>
      </c>
    </row>
    <row r="70" spans="1:23">
      <c r="A70" s="24" t="s">
        <v>112</v>
      </c>
      <c r="B70" s="13" t="s">
        <v>244</v>
      </c>
      <c r="C70" s="18">
        <f>VLOOKUP(Input[[#This Row],[MD5]],buildtime[#All],2,FALSE)</f>
        <v>44.77857143</v>
      </c>
      <c r="D70" s="19">
        <f>VLOOKUP(Input[[#This Row],[MD5]],buildtime[#All],3,FALSE)</f>
        <v>74.7</v>
      </c>
      <c r="E70" s="20">
        <f>VLOOKUP(Input[[#This Row],[MD5]],buildtime[#All],4,FALSE)</f>
        <v>65.22</v>
      </c>
      <c r="F70" s="18">
        <f>VLOOKUP(Input[[#This Row],[MD5]],partialcf[#All],2,FALSE)</f>
        <v>662186.99832857097</v>
      </c>
      <c r="G70" s="19">
        <f>VLOOKUP(Input[[#This Row],[MD5]],partialcf[#All],3,FALSE)</f>
        <v>622688.69793749903</v>
      </c>
      <c r="H70" s="19">
        <f>VLOOKUP(Input[[#This Row],[MD5]],partialcf[#All],4,FALSE)</f>
        <v>543757.88207499904</v>
      </c>
      <c r="I70" s="19">
        <f>Input[[#This Row],[time2]]/$B$1</f>
        <v>44.145799888571396</v>
      </c>
      <c r="J70" s="19">
        <f>Input[[#This Row],[price2]]/$B$1</f>
        <v>41.512579862499933</v>
      </c>
      <c r="K70" s="20">
        <f>Input[[#This Row],[energy2]]/$B$1</f>
        <v>36.250525471666606</v>
      </c>
      <c r="L70" s="18">
        <f>VLOOKUP(Input[[#This Row],[MD5]],fullcf[#All],2,FALSE)</f>
        <v>661519.93614107103</v>
      </c>
      <c r="M70" s="19">
        <f>VLOOKUP(Input[[#This Row],[MD5]],fullcf[#All],3,FALSE)</f>
        <v>1428192.3340312501</v>
      </c>
      <c r="N70" s="19">
        <f>VLOOKUP(Input[[#This Row],[MD5]],fullcf[#All],4,FALSE)</f>
        <v>1241861.03335625</v>
      </c>
      <c r="O70" s="19">
        <f>Input[[#This Row],[time3]]/$B$1</f>
        <v>44.101329076071401</v>
      </c>
      <c r="P70" s="19">
        <f>Input[[#This Row],[price3]]/$B$1</f>
        <v>95.212822268750003</v>
      </c>
      <c r="Q70" s="20">
        <f>Input[[#This Row],[energy3]]/$B$1</f>
        <v>82.790735557083337</v>
      </c>
      <c r="R70" s="18">
        <f>VLOOKUP(Input[[#This Row],[MD5]],df[#All],2,FALSE)</f>
        <v>22255636448</v>
      </c>
      <c r="S70" s="19">
        <f>VLOOKUP(Input[[#This Row],[MD5]],df[#All],3,FALSE)</f>
        <v>5458399782.75</v>
      </c>
      <c r="T70" s="19">
        <f>VLOOKUP(Input[[#This Row],[MD5]],df[#All],4,FALSE)</f>
        <v>3206966863.3499899</v>
      </c>
      <c r="U70" s="19">
        <f>Input[[#This Row],[time4]]/$B$1</f>
        <v>1483709.0965333334</v>
      </c>
      <c r="V70" s="19">
        <f>Input[[#This Row],[price4]]/$B$1</f>
        <v>363893.31884999998</v>
      </c>
      <c r="W70" s="20">
        <f>Input[[#This Row],[energy4]]/$B$1</f>
        <v>213797.79088999933</v>
      </c>
    </row>
    <row r="71" spans="1:23">
      <c r="A71" s="24" t="s">
        <v>113</v>
      </c>
      <c r="B71" s="13" t="s">
        <v>245</v>
      </c>
      <c r="C71" s="18">
        <f>VLOOKUP(Input[[#This Row],[MD5]],buildtime[#All],2,FALSE)</f>
        <v>56.24428571</v>
      </c>
      <c r="D71" s="19">
        <f>VLOOKUP(Input[[#This Row],[MD5]],buildtime[#All],3,FALSE)</f>
        <v>64.2</v>
      </c>
      <c r="E71" s="20">
        <f>VLOOKUP(Input[[#This Row],[MD5]],buildtime[#All],4,FALSE)</f>
        <v>56.12</v>
      </c>
      <c r="F71" s="18">
        <f>VLOOKUP(Input[[#This Row],[MD5]],partialcf[#All],2,FALSE)</f>
        <v>661600.31605714199</v>
      </c>
      <c r="G71" s="19">
        <f>VLOOKUP(Input[[#This Row],[MD5]],partialcf[#All],3,FALSE)</f>
        <v>622001.76403124898</v>
      </c>
      <c r="H71" s="19">
        <f>VLOOKUP(Input[[#This Row],[MD5]],partialcf[#All],4,FALSE)</f>
        <v>543162.53935624904</v>
      </c>
      <c r="I71" s="19">
        <f>Input[[#This Row],[time2]]/$B$1</f>
        <v>44.106687737142799</v>
      </c>
      <c r="J71" s="19">
        <f>Input[[#This Row],[price2]]/$B$1</f>
        <v>41.466784268749933</v>
      </c>
      <c r="K71" s="20">
        <f>Input[[#This Row],[energy2]]/$B$1</f>
        <v>36.210835957083269</v>
      </c>
      <c r="L71" s="18">
        <f>VLOOKUP(Input[[#This Row],[MD5]],fullcf[#All],2,FALSE)</f>
        <v>661265.44105714199</v>
      </c>
      <c r="M71" s="19">
        <f>VLOOKUP(Input[[#This Row],[MD5]],fullcf[#All],3,FALSE)</f>
        <v>1427878.8457500001</v>
      </c>
      <c r="N71" s="19">
        <f>VLOOKUP(Input[[#This Row],[MD5]],fullcf[#All],4,FALSE)</f>
        <v>1241589.3435124899</v>
      </c>
      <c r="O71" s="19">
        <f>Input[[#This Row],[time3]]/$B$1</f>
        <v>44.084362737142797</v>
      </c>
      <c r="P71" s="19">
        <f>Input[[#This Row],[price3]]/$B$1</f>
        <v>95.19192305</v>
      </c>
      <c r="Q71" s="20">
        <f>Input[[#This Row],[energy3]]/$B$1</f>
        <v>82.772622900832658</v>
      </c>
      <c r="R71" s="18">
        <f>VLOOKUP(Input[[#This Row],[MD5]],df[#All],2,FALSE)</f>
        <v>22231663976</v>
      </c>
      <c r="S71" s="19">
        <f>VLOOKUP(Input[[#This Row],[MD5]],df[#All],3,FALSE)</f>
        <v>5454091325.25</v>
      </c>
      <c r="T71" s="19">
        <f>VLOOKUP(Input[[#This Row],[MD5]],df[#All],4,FALSE)</f>
        <v>3204381788.8499899</v>
      </c>
      <c r="U71" s="19">
        <f>Input[[#This Row],[time4]]/$B$1</f>
        <v>1482110.9317333333</v>
      </c>
      <c r="V71" s="19">
        <f>Input[[#This Row],[price4]]/$B$1</f>
        <v>363606.08834999998</v>
      </c>
      <c r="W71" s="20">
        <f>Input[[#This Row],[energy4]]/$B$1</f>
        <v>213625.45258999933</v>
      </c>
    </row>
    <row r="72" spans="1:23">
      <c r="A72" s="24" t="s">
        <v>114</v>
      </c>
      <c r="B72" s="13" t="s">
        <v>246</v>
      </c>
      <c r="C72" s="18">
        <f>VLOOKUP(Input[[#This Row],[MD5]],buildtime[#All],2,FALSE)</f>
        <v>61.977142860000001</v>
      </c>
      <c r="D72" s="19">
        <f>VLOOKUP(Input[[#This Row],[MD5]],buildtime[#All],3,FALSE)</f>
        <v>61.2</v>
      </c>
      <c r="E72" s="20">
        <f>VLOOKUP(Input[[#This Row],[MD5]],buildtime[#All],4,FALSE)</f>
        <v>53.52</v>
      </c>
      <c r="F72" s="18">
        <f>VLOOKUP(Input[[#This Row],[MD5]],partialcf[#All],2,FALSE)</f>
        <v>20869.179208482099</v>
      </c>
      <c r="G72" s="19">
        <f>VLOOKUP(Input[[#This Row],[MD5]],partialcf[#All],3,FALSE)</f>
        <v>22598.585109374901</v>
      </c>
      <c r="H72" s="19">
        <f>VLOOKUP(Input[[#This Row],[MD5]],partialcf[#All],4,FALSE)</f>
        <v>19716.343534374999</v>
      </c>
      <c r="I72" s="19">
        <f>Input[[#This Row],[time2]]/$B$1</f>
        <v>1.3912786138988067</v>
      </c>
      <c r="J72" s="19">
        <f>Input[[#This Row],[price2]]/$B$1</f>
        <v>1.5065723406249933</v>
      </c>
      <c r="K72" s="20">
        <f>Input[[#This Row],[energy2]]/$B$1</f>
        <v>1.3144229022916667</v>
      </c>
      <c r="L72" s="18">
        <f>VLOOKUP(Input[[#This Row],[MD5]],fullcf[#All],2,FALSE)</f>
        <v>16902.035940624901</v>
      </c>
      <c r="M72" s="19">
        <f>VLOOKUP(Input[[#This Row],[MD5]],fullcf[#All],3,FALSE)</f>
        <v>873058.28385937505</v>
      </c>
      <c r="N72" s="19">
        <f>VLOOKUP(Input[[#This Row],[MD5]],fullcf[#All],4,FALSE)</f>
        <v>756781.41578437504</v>
      </c>
      <c r="O72" s="19">
        <f>Input[[#This Row],[time3]]/$B$1</f>
        <v>1.12680239604166</v>
      </c>
      <c r="P72" s="19">
        <f>Input[[#This Row],[price3]]/$B$1</f>
        <v>58.203885590625006</v>
      </c>
      <c r="Q72" s="20">
        <f>Input[[#This Row],[energy3]]/$B$1</f>
        <v>50.452094385625003</v>
      </c>
      <c r="R72" s="18">
        <f>VLOOKUP(Input[[#This Row],[MD5]],df[#All],2,FALSE)</f>
        <v>111544284.099999</v>
      </c>
      <c r="S72" s="19">
        <f>VLOOKUP(Input[[#This Row],[MD5]],df[#All],3,FALSE)</f>
        <v>47573306.916666597</v>
      </c>
      <c r="T72" s="19">
        <f>VLOOKUP(Input[[#This Row],[MD5]],df[#All],4,FALSE)</f>
        <v>27947379.850000001</v>
      </c>
      <c r="U72" s="19">
        <f>Input[[#This Row],[time4]]/$B$1</f>
        <v>7436.2856066666</v>
      </c>
      <c r="V72" s="19">
        <f>Input[[#This Row],[price4]]/$B$1</f>
        <v>3171.55379444444</v>
      </c>
      <c r="W72" s="20">
        <f>Input[[#This Row],[energy4]]/$B$1</f>
        <v>1863.1586566666667</v>
      </c>
    </row>
    <row r="73" spans="1:23">
      <c r="A73" s="24" t="s">
        <v>115</v>
      </c>
      <c r="B73" s="13" t="s">
        <v>247</v>
      </c>
      <c r="C73" s="18">
        <f>VLOOKUP(Input[[#This Row],[MD5]],buildtime[#All],2,FALSE)</f>
        <v>61.977142860000001</v>
      </c>
      <c r="D73" s="19">
        <f>VLOOKUP(Input[[#This Row],[MD5]],buildtime[#All],3,FALSE)</f>
        <v>61.2</v>
      </c>
      <c r="E73" s="20">
        <f>VLOOKUP(Input[[#This Row],[MD5]],buildtime[#All],4,FALSE)</f>
        <v>53.52</v>
      </c>
      <c r="F73" s="18">
        <f>VLOOKUP(Input[[#This Row],[MD5]],partialcf[#All],2,FALSE)</f>
        <v>533968.93781830301</v>
      </c>
      <c r="G73" s="19">
        <f>VLOOKUP(Input[[#This Row],[MD5]],partialcf[#All],3,FALSE)</f>
        <v>529559.68270312401</v>
      </c>
      <c r="H73" s="19">
        <f>VLOOKUP(Input[[#This Row],[MD5]],partialcf[#All],4,FALSE)</f>
        <v>463051.923278125</v>
      </c>
      <c r="I73" s="19">
        <f>Input[[#This Row],[time2]]/$B$1</f>
        <v>35.597929187886869</v>
      </c>
      <c r="J73" s="19">
        <f>Input[[#This Row],[price2]]/$B$1</f>
        <v>35.303978846874934</v>
      </c>
      <c r="K73" s="20">
        <f>Input[[#This Row],[energy2]]/$B$1</f>
        <v>30.870128218541666</v>
      </c>
      <c r="L73" s="18">
        <f>VLOOKUP(Input[[#This Row],[MD5]],fullcf[#All],2,FALSE)</f>
        <v>529413.55891651695</v>
      </c>
      <c r="M73" s="19">
        <f>VLOOKUP(Input[[#This Row],[MD5]],fullcf[#All],3,FALSE)</f>
        <v>1329268.0514531201</v>
      </c>
      <c r="N73" s="19">
        <f>VLOOKUP(Input[[#This Row],[MD5]],fullcf[#All],4,FALSE)</f>
        <v>1156132.50952812</v>
      </c>
      <c r="O73" s="19">
        <f>Input[[#This Row],[time3]]/$B$1</f>
        <v>35.294237261101131</v>
      </c>
      <c r="P73" s="19">
        <f>Input[[#This Row],[price3]]/$B$1</f>
        <v>88.617870096874668</v>
      </c>
      <c r="Q73" s="20">
        <f>Input[[#This Row],[energy3]]/$B$1</f>
        <v>77.075500635208002</v>
      </c>
      <c r="R73" s="18">
        <f>VLOOKUP(Input[[#This Row],[MD5]],df[#All],2,FALSE)</f>
        <v>12812937038.1</v>
      </c>
      <c r="S73" s="19">
        <f>VLOOKUP(Input[[#This Row],[MD5]],df[#All],3,FALSE)</f>
        <v>3779754375.25</v>
      </c>
      <c r="T73" s="19">
        <f>VLOOKUP(Input[[#This Row],[MD5]],df[#All],4,FALSE)</f>
        <v>2199333918.8499899</v>
      </c>
      <c r="U73" s="19">
        <f>Input[[#This Row],[time4]]/$B$1</f>
        <v>854195.80254000006</v>
      </c>
      <c r="V73" s="19">
        <f>Input[[#This Row],[price4]]/$B$1</f>
        <v>251983.62501666666</v>
      </c>
      <c r="W73" s="20">
        <f>Input[[#This Row],[energy4]]/$B$1</f>
        <v>146622.26125666598</v>
      </c>
    </row>
    <row r="74" spans="1:23">
      <c r="A74" s="24" t="s">
        <v>116</v>
      </c>
      <c r="B74" s="13" t="s">
        <v>248</v>
      </c>
      <c r="C74" s="18">
        <f>VLOOKUP(Input[[#This Row],[MD5]],buildtime[#All],2,FALSE)</f>
        <v>61.977142860000001</v>
      </c>
      <c r="D74" s="19">
        <f>VLOOKUP(Input[[#This Row],[MD5]],buildtime[#All],3,FALSE)</f>
        <v>61.2</v>
      </c>
      <c r="E74" s="20">
        <f>VLOOKUP(Input[[#This Row],[MD5]],buildtime[#All],4,FALSE)</f>
        <v>53.52</v>
      </c>
      <c r="F74" s="18">
        <f>VLOOKUP(Input[[#This Row],[MD5]],partialcf[#All],2,FALSE)</f>
        <v>19626.5436544642</v>
      </c>
      <c r="G74" s="19">
        <f>VLOOKUP(Input[[#This Row],[MD5]],partialcf[#All],3,FALSE)</f>
        <v>21409.611656249901</v>
      </c>
      <c r="H74" s="19">
        <f>VLOOKUP(Input[[#This Row],[MD5]],partialcf[#All],4,FALSE)</f>
        <v>18675.688306249998</v>
      </c>
      <c r="I74" s="19">
        <f>Input[[#This Row],[time2]]/$B$1</f>
        <v>1.3084362436309467</v>
      </c>
      <c r="J74" s="19">
        <f>Input[[#This Row],[price2]]/$B$1</f>
        <v>1.4273074437499933</v>
      </c>
      <c r="K74" s="20">
        <f>Input[[#This Row],[energy2]]/$B$1</f>
        <v>1.2450458870833332</v>
      </c>
      <c r="L74" s="18">
        <f>VLOOKUP(Input[[#This Row],[MD5]],fullcf[#All],2,FALSE)</f>
        <v>15583.5279089285</v>
      </c>
      <c r="M74" s="19">
        <f>VLOOKUP(Input[[#This Row],[MD5]],fullcf[#All],3,FALSE)</f>
        <v>871888.24068749906</v>
      </c>
      <c r="N74" s="19">
        <f>VLOOKUP(Input[[#This Row],[MD5]],fullcf[#All],4,FALSE)</f>
        <v>755757.16680000001</v>
      </c>
      <c r="O74" s="19">
        <f>Input[[#This Row],[time3]]/$B$1</f>
        <v>1.0389018605952334</v>
      </c>
      <c r="P74" s="19">
        <f>Input[[#This Row],[price3]]/$B$1</f>
        <v>58.125882712499937</v>
      </c>
      <c r="Q74" s="20">
        <f>Input[[#This Row],[energy3]]/$B$1</f>
        <v>50.383811119999997</v>
      </c>
      <c r="R74" s="18">
        <f>VLOOKUP(Input[[#This Row],[MD5]],df[#All],2,FALSE)</f>
        <v>5977781.8499999903</v>
      </c>
      <c r="S74" s="19">
        <f>VLOOKUP(Input[[#This Row],[MD5]],df[#All],3,FALSE)</f>
        <v>16538602.7083333</v>
      </c>
      <c r="T74" s="19">
        <f>VLOOKUP(Input[[#This Row],[MD5]],df[#All],4,FALSE)</f>
        <v>9891084.0749999899</v>
      </c>
      <c r="U74" s="19">
        <f>Input[[#This Row],[time4]]/$B$1</f>
        <v>398.51878999999934</v>
      </c>
      <c r="V74" s="19">
        <f>Input[[#This Row],[price4]]/$B$1</f>
        <v>1102.5735138888867</v>
      </c>
      <c r="W74" s="20">
        <f>Input[[#This Row],[energy4]]/$B$1</f>
        <v>659.40560499999935</v>
      </c>
    </row>
    <row r="75" spans="1:23">
      <c r="A75" s="24" t="s">
        <v>117</v>
      </c>
      <c r="B75" s="13" t="s">
        <v>249</v>
      </c>
      <c r="C75" s="18">
        <f>VLOOKUP(Input[[#This Row],[MD5]],buildtime[#All],2,FALSE)</f>
        <v>50.51142857</v>
      </c>
      <c r="D75" s="19">
        <f>VLOOKUP(Input[[#This Row],[MD5]],buildtime[#All],3,FALSE)</f>
        <v>65.7</v>
      </c>
      <c r="E75" s="20">
        <f>VLOOKUP(Input[[#This Row],[MD5]],buildtime[#All],4,FALSE)</f>
        <v>57.42</v>
      </c>
      <c r="F75" s="18">
        <f>VLOOKUP(Input[[#This Row],[MD5]],partialcf[#All],2,FALSE)</f>
        <v>661600.39198526705</v>
      </c>
      <c r="G75" s="19">
        <f>VLOOKUP(Input[[#This Row],[MD5]],partialcf[#All],3,FALSE)</f>
        <v>622002.05934374896</v>
      </c>
      <c r="H75" s="19">
        <f>VLOOKUP(Input[[#This Row],[MD5]],partialcf[#All],4,FALSE)</f>
        <v>543162.79529375001</v>
      </c>
      <c r="I75" s="19">
        <f>Input[[#This Row],[time2]]/$B$1</f>
        <v>44.1066927990178</v>
      </c>
      <c r="J75" s="19">
        <f>Input[[#This Row],[price2]]/$B$1</f>
        <v>41.466803956249933</v>
      </c>
      <c r="K75" s="20">
        <f>Input[[#This Row],[energy2]]/$B$1</f>
        <v>36.210853019583332</v>
      </c>
      <c r="L75" s="18">
        <f>VLOOKUP(Input[[#This Row],[MD5]],fullcf[#All],2,FALSE)</f>
        <v>661265.13364151702</v>
      </c>
      <c r="M75" s="19">
        <f>VLOOKUP(Input[[#This Row],[MD5]],fullcf[#All],3,FALSE)</f>
        <v>1427878.8129375</v>
      </c>
      <c r="N75" s="19">
        <f>VLOOKUP(Input[[#This Row],[MD5]],fullcf[#All],4,FALSE)</f>
        <v>1241589.315075</v>
      </c>
      <c r="O75" s="19">
        <f>Input[[#This Row],[time3]]/$B$1</f>
        <v>44.084342242767804</v>
      </c>
      <c r="P75" s="19">
        <f>Input[[#This Row],[price3]]/$B$1</f>
        <v>95.191920862499998</v>
      </c>
      <c r="Q75" s="20">
        <f>Input[[#This Row],[energy3]]/$B$1</f>
        <v>82.772621005000005</v>
      </c>
      <c r="R75" s="18">
        <f>VLOOKUP(Input[[#This Row],[MD5]],df[#All],2,FALSE)</f>
        <v>22231624108</v>
      </c>
      <c r="S75" s="19">
        <f>VLOOKUP(Input[[#This Row],[MD5]],df[#All],3,FALSE)</f>
        <v>5454086925.25</v>
      </c>
      <c r="T75" s="19">
        <f>VLOOKUP(Input[[#This Row],[MD5]],df[#All],4,FALSE)</f>
        <v>3204379148.8499899</v>
      </c>
      <c r="U75" s="19">
        <f>Input[[#This Row],[time4]]/$B$1</f>
        <v>1482108.2738666667</v>
      </c>
      <c r="V75" s="19">
        <f>Input[[#This Row],[price4]]/$B$1</f>
        <v>363605.79501666664</v>
      </c>
      <c r="W75" s="20">
        <f>Input[[#This Row],[energy4]]/$B$1</f>
        <v>213625.27658999932</v>
      </c>
    </row>
    <row r="76" spans="1:23">
      <c r="A76" s="24" t="s">
        <v>118</v>
      </c>
      <c r="B76" s="13" t="s">
        <v>250</v>
      </c>
      <c r="C76" s="18">
        <f>VLOOKUP(Input[[#This Row],[MD5]],buildtime[#All],2,FALSE)</f>
        <v>50.51142857</v>
      </c>
      <c r="D76" s="19">
        <f>VLOOKUP(Input[[#This Row],[MD5]],buildtime[#All],3,FALSE)</f>
        <v>65.7</v>
      </c>
      <c r="E76" s="20">
        <f>VLOOKUP(Input[[#This Row],[MD5]],buildtime[#All],4,FALSE)</f>
        <v>57.42</v>
      </c>
      <c r="F76" s="18">
        <f>VLOOKUP(Input[[#This Row],[MD5]],partialcf[#All],2,FALSE)</f>
        <v>662229.13807857095</v>
      </c>
      <c r="G76" s="19">
        <f>VLOOKUP(Input[[#This Row],[MD5]],partialcf[#All],3,FALSE)</f>
        <v>622833.03417187405</v>
      </c>
      <c r="H76" s="19">
        <f>VLOOKUP(Input[[#This Row],[MD5]],partialcf[#All],4,FALSE)</f>
        <v>543884.596909374</v>
      </c>
      <c r="I76" s="19">
        <f>Input[[#This Row],[time2]]/$B$1</f>
        <v>44.14860920523806</v>
      </c>
      <c r="J76" s="19">
        <f>Input[[#This Row],[price2]]/$B$1</f>
        <v>41.522202278124936</v>
      </c>
      <c r="K76" s="20">
        <f>Input[[#This Row],[energy2]]/$B$1</f>
        <v>36.258973127291597</v>
      </c>
      <c r="L76" s="18">
        <f>VLOOKUP(Input[[#This Row],[MD5]],fullcf[#All],2,FALSE)</f>
        <v>661475.77381964203</v>
      </c>
      <c r="M76" s="19">
        <f>VLOOKUP(Input[[#This Row],[MD5]],fullcf[#All],3,FALSE)</f>
        <v>1428170.2597968699</v>
      </c>
      <c r="N76" s="19">
        <f>VLOOKUP(Input[[#This Row],[MD5]],fullcf[#All],4,FALSE)</f>
        <v>1241843.52578437</v>
      </c>
      <c r="O76" s="19">
        <f>Input[[#This Row],[time3]]/$B$1</f>
        <v>44.098384921309467</v>
      </c>
      <c r="P76" s="19">
        <f>Input[[#This Row],[price3]]/$B$1</f>
        <v>95.211350653124668</v>
      </c>
      <c r="Q76" s="20">
        <f>Input[[#This Row],[energy3]]/$B$1</f>
        <v>82.789568385624662</v>
      </c>
      <c r="R76" s="18">
        <f>VLOOKUP(Input[[#This Row],[MD5]],df[#All],2,FALSE)</f>
        <v>22241765888</v>
      </c>
      <c r="S76" s="19">
        <f>VLOOKUP(Input[[#This Row],[MD5]],df[#All],3,FALSE)</f>
        <v>5460593495.25</v>
      </c>
      <c r="T76" s="19">
        <f>VLOOKUP(Input[[#This Row],[MD5]],df[#All],4,FALSE)</f>
        <v>3208231206.8499899</v>
      </c>
      <c r="U76" s="19">
        <f>Input[[#This Row],[time4]]/$B$1</f>
        <v>1482784.3925333333</v>
      </c>
      <c r="V76" s="19">
        <f>Input[[#This Row],[price4]]/$B$1</f>
        <v>364039.56634999998</v>
      </c>
      <c r="W76" s="20">
        <f>Input[[#This Row],[energy4]]/$B$1</f>
        <v>213882.08045666598</v>
      </c>
    </row>
    <row r="77" spans="1:23">
      <c r="A77" s="24" t="s">
        <v>119</v>
      </c>
      <c r="B77" s="13" t="s">
        <v>251</v>
      </c>
      <c r="C77" s="18">
        <f>VLOOKUP(Input[[#This Row],[MD5]],buildtime[#All],2,FALSE)</f>
        <v>61.977142860000001</v>
      </c>
      <c r="D77" s="19">
        <f>VLOOKUP(Input[[#This Row],[MD5]],buildtime[#All],3,FALSE)</f>
        <v>61.2</v>
      </c>
      <c r="E77" s="20">
        <f>VLOOKUP(Input[[#This Row],[MD5]],buildtime[#All],4,FALSE)</f>
        <v>53.52</v>
      </c>
      <c r="F77" s="18">
        <f>VLOOKUP(Input[[#This Row],[MD5]],partialcf[#All],2,FALSE)</f>
        <v>20869.108708482101</v>
      </c>
      <c r="G77" s="19">
        <f>VLOOKUP(Input[[#This Row],[MD5]],partialcf[#All],3,FALSE)</f>
        <v>22598.480109374901</v>
      </c>
      <c r="H77" s="19">
        <f>VLOOKUP(Input[[#This Row],[MD5]],partialcf[#All],4,FALSE)</f>
        <v>19716.252534374999</v>
      </c>
      <c r="I77" s="19">
        <f>Input[[#This Row],[time2]]/$B$1</f>
        <v>1.3912739138988068</v>
      </c>
      <c r="J77" s="19">
        <f>Input[[#This Row],[price2]]/$B$1</f>
        <v>1.5065653406249935</v>
      </c>
      <c r="K77" s="20">
        <f>Input[[#This Row],[energy2]]/$B$1</f>
        <v>1.3144168356249999</v>
      </c>
      <c r="L77" s="18">
        <f>VLOOKUP(Input[[#This Row],[MD5]],fullcf[#All],2,FALSE)</f>
        <v>16902.035940624901</v>
      </c>
      <c r="M77" s="19">
        <f>VLOOKUP(Input[[#This Row],[MD5]],fullcf[#All],3,FALSE)</f>
        <v>873058.28385937505</v>
      </c>
      <c r="N77" s="19">
        <f>VLOOKUP(Input[[#This Row],[MD5]],fullcf[#All],4,FALSE)</f>
        <v>756781.41578437504</v>
      </c>
      <c r="O77" s="19">
        <f>Input[[#This Row],[time3]]/$B$1</f>
        <v>1.12680239604166</v>
      </c>
      <c r="P77" s="19">
        <f>Input[[#This Row],[price3]]/$B$1</f>
        <v>58.203885590625006</v>
      </c>
      <c r="Q77" s="20">
        <f>Input[[#This Row],[energy3]]/$B$1</f>
        <v>50.452094385625003</v>
      </c>
      <c r="R77" s="18">
        <f>VLOOKUP(Input[[#This Row],[MD5]],df[#All],2,FALSE)</f>
        <v>111544284.099999</v>
      </c>
      <c r="S77" s="19">
        <f>VLOOKUP(Input[[#This Row],[MD5]],df[#All],3,FALSE)</f>
        <v>47573306.916666597</v>
      </c>
      <c r="T77" s="19">
        <f>VLOOKUP(Input[[#This Row],[MD5]],df[#All],4,FALSE)</f>
        <v>27947379.850000001</v>
      </c>
      <c r="U77" s="19">
        <f>Input[[#This Row],[time4]]/$B$1</f>
        <v>7436.2856066666</v>
      </c>
      <c r="V77" s="19">
        <f>Input[[#This Row],[price4]]/$B$1</f>
        <v>3171.55379444444</v>
      </c>
      <c r="W77" s="20">
        <f>Input[[#This Row],[energy4]]/$B$1</f>
        <v>1863.1586566666667</v>
      </c>
    </row>
    <row r="78" spans="1:23">
      <c r="A78" s="24" t="s">
        <v>120</v>
      </c>
      <c r="B78" s="13" t="s">
        <v>252</v>
      </c>
      <c r="C78" s="18">
        <f>VLOOKUP(Input[[#This Row],[MD5]],buildtime[#All],2,FALSE)</f>
        <v>61.977142860000001</v>
      </c>
      <c r="D78" s="19">
        <f>VLOOKUP(Input[[#This Row],[MD5]],buildtime[#All],3,FALSE)</f>
        <v>61.2</v>
      </c>
      <c r="E78" s="20">
        <f>VLOOKUP(Input[[#This Row],[MD5]],buildtime[#All],4,FALSE)</f>
        <v>53.52</v>
      </c>
      <c r="F78" s="18">
        <f>VLOOKUP(Input[[#This Row],[MD5]],partialcf[#All],2,FALSE)</f>
        <v>533750.90209241002</v>
      </c>
      <c r="G78" s="19">
        <f>VLOOKUP(Input[[#This Row],[MD5]],partialcf[#All],3,FALSE)</f>
        <v>529509.13682812406</v>
      </c>
      <c r="H78" s="19">
        <f>VLOOKUP(Input[[#This Row],[MD5]],partialcf[#All],4,FALSE)</f>
        <v>463003.88587812398</v>
      </c>
      <c r="I78" s="19">
        <f>Input[[#This Row],[time2]]/$B$1</f>
        <v>35.583393472827332</v>
      </c>
      <c r="J78" s="19">
        <f>Input[[#This Row],[price2]]/$B$1</f>
        <v>35.300609121874935</v>
      </c>
      <c r="K78" s="20">
        <f>Input[[#This Row],[energy2]]/$B$1</f>
        <v>30.866925725208265</v>
      </c>
      <c r="L78" s="18">
        <f>VLOOKUP(Input[[#This Row],[MD5]],fullcf[#All],2,FALSE)</f>
        <v>528867.30351651704</v>
      </c>
      <c r="M78" s="19">
        <f>VLOOKUP(Input[[#This Row],[MD5]],fullcf[#All],3,FALSE)</f>
        <v>1328944.6560468699</v>
      </c>
      <c r="N78" s="19">
        <f>VLOOKUP(Input[[#This Row],[MD5]],fullcf[#All],4,FALSE)</f>
        <v>1155848.0025343699</v>
      </c>
      <c r="O78" s="19">
        <f>Input[[#This Row],[time3]]/$B$1</f>
        <v>35.257820234434469</v>
      </c>
      <c r="P78" s="19">
        <f>Input[[#This Row],[price3]]/$B$1</f>
        <v>88.596310403124662</v>
      </c>
      <c r="Q78" s="20">
        <f>Input[[#This Row],[energy3]]/$B$1</f>
        <v>77.05653350229133</v>
      </c>
      <c r="R78" s="18">
        <f>VLOOKUP(Input[[#This Row],[MD5]],df[#All],2,FALSE)</f>
        <v>12739309126.1</v>
      </c>
      <c r="S78" s="19">
        <f>VLOOKUP(Input[[#This Row],[MD5]],df[#All],3,FALSE)</f>
        <v>3763723695.25</v>
      </c>
      <c r="T78" s="19">
        <f>VLOOKUP(Input[[#This Row],[MD5]],df[#All],4,FALSE)</f>
        <v>2190109326.8499899</v>
      </c>
      <c r="U78" s="19">
        <f>Input[[#This Row],[time4]]/$B$1</f>
        <v>849287.27507333341</v>
      </c>
      <c r="V78" s="19">
        <f>Input[[#This Row],[price4]]/$B$1</f>
        <v>250914.91301666666</v>
      </c>
      <c r="W78" s="20">
        <f>Input[[#This Row],[energy4]]/$B$1</f>
        <v>146007.28845666599</v>
      </c>
    </row>
    <row r="79" spans="1:23">
      <c r="A79" s="24" t="s">
        <v>121</v>
      </c>
      <c r="B79" s="13" t="s">
        <v>253</v>
      </c>
      <c r="C79" s="18">
        <f>VLOOKUP(Input[[#This Row],[MD5]],buildtime[#All],2,FALSE)</f>
        <v>56.24428571</v>
      </c>
      <c r="D79" s="19">
        <f>VLOOKUP(Input[[#This Row],[MD5]],buildtime[#All],3,FALSE)</f>
        <v>64.2</v>
      </c>
      <c r="E79" s="20">
        <f>VLOOKUP(Input[[#This Row],[MD5]],buildtime[#All],4,FALSE)</f>
        <v>56.12</v>
      </c>
      <c r="F79" s="18">
        <f>VLOOKUP(Input[[#This Row],[MD5]],partialcf[#All],2,FALSE)</f>
        <v>21316.8327169642</v>
      </c>
      <c r="G79" s="19">
        <f>VLOOKUP(Input[[#This Row],[MD5]],partialcf[#All],3,FALSE)</f>
        <v>20311.894781249899</v>
      </c>
      <c r="H79" s="19">
        <f>VLOOKUP(Input[[#This Row],[MD5]],partialcf[#All],4,FALSE)</f>
        <v>17737.440681249998</v>
      </c>
      <c r="I79" s="19">
        <f>Input[[#This Row],[time2]]/$B$1</f>
        <v>1.4211221811309467</v>
      </c>
      <c r="J79" s="19">
        <f>Input[[#This Row],[price2]]/$B$1</f>
        <v>1.3541263187499932</v>
      </c>
      <c r="K79" s="20">
        <f>Input[[#This Row],[energy2]]/$B$1</f>
        <v>1.1824960454166666</v>
      </c>
      <c r="L79" s="18">
        <f>VLOOKUP(Input[[#This Row],[MD5]],fullcf[#All],2,FALSE)</f>
        <v>21026.336837499901</v>
      </c>
      <c r="M79" s="19">
        <f>VLOOKUP(Input[[#This Row],[MD5]],fullcf[#All],3,FALSE)</f>
        <v>876338.48493749998</v>
      </c>
      <c r="N79" s="19">
        <f>VLOOKUP(Input[[#This Row],[MD5]],fullcf[#All],4,FALSE)</f>
        <v>759627.15214999905</v>
      </c>
      <c r="O79" s="19">
        <f>Input[[#This Row],[time3]]/$B$1</f>
        <v>1.4017557891666601</v>
      </c>
      <c r="P79" s="19">
        <f>Input[[#This Row],[price3]]/$B$1</f>
        <v>58.422565662499998</v>
      </c>
      <c r="Q79" s="20">
        <f>Input[[#This Row],[energy3]]/$B$1</f>
        <v>50.641810143333267</v>
      </c>
      <c r="R79" s="18">
        <f>VLOOKUP(Input[[#This Row],[MD5]],df[#All],2,FALSE)</f>
        <v>82811164.299999893</v>
      </c>
      <c r="S79" s="19">
        <f>VLOOKUP(Input[[#This Row],[MD5]],df[#All],3,FALSE)</f>
        <v>42220736</v>
      </c>
      <c r="T79" s="19">
        <f>VLOOKUP(Input[[#This Row],[MD5]],df[#All],4,FALSE)</f>
        <v>24910534.399999902</v>
      </c>
      <c r="U79" s="19">
        <f>Input[[#This Row],[time4]]/$B$1</f>
        <v>5520.7442866666597</v>
      </c>
      <c r="V79" s="19">
        <f>Input[[#This Row],[price4]]/$B$1</f>
        <v>2814.7157333333334</v>
      </c>
      <c r="W79" s="20">
        <f>Input[[#This Row],[energy4]]/$B$1</f>
        <v>1660.7022933333267</v>
      </c>
    </row>
    <row r="80" spans="1:23">
      <c r="A80" s="24" t="s">
        <v>122</v>
      </c>
      <c r="B80" s="13" t="s">
        <v>254</v>
      </c>
      <c r="C80" s="18">
        <f>VLOOKUP(Input[[#This Row],[MD5]],buildtime[#All],2,FALSE)</f>
        <v>56.24428571</v>
      </c>
      <c r="D80" s="19">
        <f>VLOOKUP(Input[[#This Row],[MD5]],buildtime[#All],3,FALSE)</f>
        <v>64.2</v>
      </c>
      <c r="E80" s="20">
        <f>VLOOKUP(Input[[#This Row],[MD5]],buildtime[#All],4,FALSE)</f>
        <v>56.12</v>
      </c>
      <c r="F80" s="18">
        <f>VLOOKUP(Input[[#This Row],[MD5]],partialcf[#All],2,FALSE)</f>
        <v>21414.445748660699</v>
      </c>
      <c r="G80" s="19">
        <f>VLOOKUP(Input[[#This Row],[MD5]],partialcf[#All],3,FALSE)</f>
        <v>20562.482296874899</v>
      </c>
      <c r="H80" s="19">
        <f>VLOOKUP(Input[[#This Row],[MD5]],partialcf[#All],4,FALSE)</f>
        <v>17952.993096875001</v>
      </c>
      <c r="I80" s="19">
        <f>Input[[#This Row],[time2]]/$B$1</f>
        <v>1.4276297165773799</v>
      </c>
      <c r="J80" s="19">
        <f>Input[[#This Row],[price2]]/$B$1</f>
        <v>1.3708321531249934</v>
      </c>
      <c r="K80" s="20">
        <f>Input[[#This Row],[energy2]]/$B$1</f>
        <v>1.1968662064583335</v>
      </c>
      <c r="L80" s="18">
        <f>VLOOKUP(Input[[#This Row],[MD5]],fullcf[#All],2,FALSE)</f>
        <v>20816.632815624998</v>
      </c>
      <c r="M80" s="19">
        <f>VLOOKUP(Input[[#This Row],[MD5]],fullcf[#All],3,FALSE)</f>
        <v>876047.64182812499</v>
      </c>
      <c r="N80" s="19">
        <f>VLOOKUP(Input[[#This Row],[MD5]],fullcf[#All],4,FALSE)</f>
        <v>759373.46469062404</v>
      </c>
      <c r="O80" s="19">
        <f>Input[[#This Row],[time3]]/$B$1</f>
        <v>1.3877755210416665</v>
      </c>
      <c r="P80" s="19">
        <f>Input[[#This Row],[price3]]/$B$1</f>
        <v>58.403176121874999</v>
      </c>
      <c r="Q80" s="20">
        <f>Input[[#This Row],[energy3]]/$B$1</f>
        <v>50.624897646041603</v>
      </c>
      <c r="R80" s="18">
        <f>VLOOKUP(Input[[#This Row],[MD5]],df[#All],2,FALSE)</f>
        <v>73068536.299999997</v>
      </c>
      <c r="S80" s="19">
        <f>VLOOKUP(Input[[#This Row],[MD5]],df[#All],3,FALSE)</f>
        <v>35783966</v>
      </c>
      <c r="T80" s="19">
        <f>VLOOKUP(Input[[#This Row],[MD5]],df[#All],4,FALSE)</f>
        <v>21100356.399999902</v>
      </c>
      <c r="U80" s="19">
        <f>Input[[#This Row],[time4]]/$B$1</f>
        <v>4871.2357533333334</v>
      </c>
      <c r="V80" s="19">
        <f>Input[[#This Row],[price4]]/$B$1</f>
        <v>2385.5977333333335</v>
      </c>
      <c r="W80" s="20">
        <f>Input[[#This Row],[energy4]]/$B$1</f>
        <v>1406.6904266666602</v>
      </c>
    </row>
    <row r="81" spans="1:23">
      <c r="A81" s="24" t="s">
        <v>123</v>
      </c>
      <c r="B81" s="13" t="s">
        <v>255</v>
      </c>
      <c r="C81" s="18">
        <f>VLOOKUP(Input[[#This Row],[MD5]],buildtime[#All],2,FALSE)</f>
        <v>56.24428571</v>
      </c>
      <c r="D81" s="19">
        <f>VLOOKUP(Input[[#This Row],[MD5]],buildtime[#All],3,FALSE)</f>
        <v>64.2</v>
      </c>
      <c r="E81" s="20">
        <f>VLOOKUP(Input[[#This Row],[MD5]],buildtime[#All],4,FALSE)</f>
        <v>56.12</v>
      </c>
      <c r="F81" s="18">
        <f>VLOOKUP(Input[[#This Row],[MD5]],partialcf[#All],2,FALSE)</f>
        <v>19345.141435714198</v>
      </c>
      <c r="G81" s="19">
        <f>VLOOKUP(Input[[#This Row],[MD5]],partialcf[#All],3,FALSE)</f>
        <v>18224.7319687499</v>
      </c>
      <c r="H81" s="19">
        <f>VLOOKUP(Input[[#This Row],[MD5]],partialcf[#All],4,FALSE)</f>
        <v>15915.45924375</v>
      </c>
      <c r="I81" s="19">
        <f>Input[[#This Row],[time2]]/$B$1</f>
        <v>1.2896760957142799</v>
      </c>
      <c r="J81" s="19">
        <f>Input[[#This Row],[price2]]/$B$1</f>
        <v>1.2149821312499933</v>
      </c>
      <c r="K81" s="20">
        <f>Input[[#This Row],[energy2]]/$B$1</f>
        <v>1.0610306162500001</v>
      </c>
      <c r="L81" s="18">
        <f>VLOOKUP(Input[[#This Row],[MD5]],fullcf[#All],2,FALSE)</f>
        <v>19333.885355357099</v>
      </c>
      <c r="M81" s="19">
        <f>VLOOKUP(Input[[#This Row],[MD5]],fullcf[#All],3,FALSE)</f>
        <v>874708.17506250006</v>
      </c>
      <c r="N81" s="19">
        <f>VLOOKUP(Input[[#This Row],[MD5]],fullcf[#All],4,FALSE)</f>
        <v>758201.109925</v>
      </c>
      <c r="O81" s="19">
        <f>Input[[#This Row],[time3]]/$B$1</f>
        <v>1.28892569035714</v>
      </c>
      <c r="P81" s="19">
        <f>Input[[#This Row],[price3]]/$B$1</f>
        <v>58.3138783375</v>
      </c>
      <c r="Q81" s="20">
        <f>Input[[#This Row],[energy3]]/$B$1</f>
        <v>50.546740661666668</v>
      </c>
      <c r="R81" s="18">
        <f>VLOOKUP(Input[[#This Row],[MD5]],df[#All],2,FALSE)</f>
        <v>9872699.75</v>
      </c>
      <c r="S81" s="19">
        <f>VLOOKUP(Input[[#This Row],[MD5]],df[#All],3,FALSE)</f>
        <v>17235402.708333299</v>
      </c>
      <c r="T81" s="19">
        <f>VLOOKUP(Input[[#This Row],[MD5]],df[#All],4,FALSE)</f>
        <v>10309164.074999999</v>
      </c>
      <c r="U81" s="19">
        <f>Input[[#This Row],[time4]]/$B$1</f>
        <v>658.17998333333333</v>
      </c>
      <c r="V81" s="19">
        <f>Input[[#This Row],[price4]]/$B$1</f>
        <v>1149.0268472222199</v>
      </c>
      <c r="W81" s="20">
        <f>Input[[#This Row],[energy4]]/$B$1</f>
        <v>687.27760499999999</v>
      </c>
    </row>
    <row r="82" spans="1:23">
      <c r="A82" s="24" t="s">
        <v>124</v>
      </c>
      <c r="B82" s="13" t="s">
        <v>256</v>
      </c>
      <c r="C82" s="18">
        <f>VLOOKUP(Input[[#This Row],[MD5]],buildtime[#All],2,FALSE)</f>
        <v>56.24428571</v>
      </c>
      <c r="D82" s="19">
        <f>VLOOKUP(Input[[#This Row],[MD5]],buildtime[#All],3,FALSE)</f>
        <v>64.2</v>
      </c>
      <c r="E82" s="20">
        <f>VLOOKUP(Input[[#This Row],[MD5]],buildtime[#All],4,FALSE)</f>
        <v>56.12</v>
      </c>
      <c r="F82" s="18">
        <f>VLOOKUP(Input[[#This Row],[MD5]],partialcf[#All],2,FALSE)</f>
        <v>20880.6693830357</v>
      </c>
      <c r="G82" s="19">
        <f>VLOOKUP(Input[[#This Row],[MD5]],partialcf[#All],3,FALSE)</f>
        <v>19868.704968749898</v>
      </c>
      <c r="H82" s="19">
        <f>VLOOKUP(Input[[#This Row],[MD5]],partialcf[#All],4,FALSE)</f>
        <v>17350.157668749998</v>
      </c>
      <c r="I82" s="19">
        <f>Input[[#This Row],[time2]]/$B$1</f>
        <v>1.3920446255357133</v>
      </c>
      <c r="J82" s="19">
        <f>Input[[#This Row],[price2]]/$B$1</f>
        <v>1.3245803312499933</v>
      </c>
      <c r="K82" s="20">
        <f>Input[[#This Row],[energy2]]/$B$1</f>
        <v>1.1566771779166665</v>
      </c>
      <c r="L82" s="18">
        <f>VLOOKUP(Input[[#This Row],[MD5]],fullcf[#All],2,FALSE)</f>
        <v>20615.070075</v>
      </c>
      <c r="M82" s="19">
        <f>VLOOKUP(Input[[#This Row],[MD5]],fullcf[#All],3,FALSE)</f>
        <v>875848.58512499998</v>
      </c>
      <c r="N82" s="19">
        <f>VLOOKUP(Input[[#This Row],[MD5]],fullcf[#All],4,FALSE)</f>
        <v>759199.38713749999</v>
      </c>
      <c r="O82" s="19">
        <f>Input[[#This Row],[time3]]/$B$1</f>
        <v>1.374338005</v>
      </c>
      <c r="P82" s="19">
        <f>Input[[#This Row],[price3]]/$B$1</f>
        <v>58.389905675000001</v>
      </c>
      <c r="Q82" s="20">
        <f>Input[[#This Row],[energy3]]/$B$1</f>
        <v>50.613292475833333</v>
      </c>
      <c r="R82" s="18">
        <f>VLOOKUP(Input[[#This Row],[MD5]],df[#All],2,FALSE)</f>
        <v>73393825.599999905</v>
      </c>
      <c r="S82" s="19">
        <f>VLOOKUP(Input[[#This Row],[MD5]],df[#All],3,FALSE)</f>
        <v>35894029.25</v>
      </c>
      <c r="T82" s="19">
        <f>VLOOKUP(Input[[#This Row],[MD5]],df[#All],4,FALSE)</f>
        <v>21164870.449999899</v>
      </c>
      <c r="U82" s="19">
        <f>Input[[#This Row],[time4]]/$B$1</f>
        <v>4892.9217066666606</v>
      </c>
      <c r="V82" s="19">
        <f>Input[[#This Row],[price4]]/$B$1</f>
        <v>2392.9352833333332</v>
      </c>
      <c r="W82" s="20">
        <f>Input[[#This Row],[energy4]]/$B$1</f>
        <v>1410.9913633333265</v>
      </c>
    </row>
    <row r="83" spans="1:23">
      <c r="A83" s="24" t="s">
        <v>125</v>
      </c>
      <c r="B83" s="13" t="s">
        <v>257</v>
      </c>
      <c r="C83" s="18">
        <f>VLOOKUP(Input[[#This Row],[MD5]],buildtime[#All],2,FALSE)</f>
        <v>50.51142857</v>
      </c>
      <c r="D83" s="19">
        <f>VLOOKUP(Input[[#This Row],[MD5]],buildtime[#All],3,FALSE)</f>
        <v>65.7</v>
      </c>
      <c r="E83" s="20">
        <f>VLOOKUP(Input[[#This Row],[MD5]],buildtime[#All],4,FALSE)</f>
        <v>57.42</v>
      </c>
      <c r="F83" s="18">
        <f>VLOOKUP(Input[[#This Row],[MD5]],partialcf[#All],2,FALSE)</f>
        <v>661600.75770401699</v>
      </c>
      <c r="G83" s="19">
        <f>VLOOKUP(Input[[#This Row],[MD5]],partialcf[#All],3,FALSE)</f>
        <v>622002.33168749895</v>
      </c>
      <c r="H83" s="19">
        <f>VLOOKUP(Input[[#This Row],[MD5]],partialcf[#All],4,FALSE)</f>
        <v>543163.03132499906</v>
      </c>
      <c r="I83" s="19">
        <f>Input[[#This Row],[time2]]/$B$1</f>
        <v>44.1067171802678</v>
      </c>
      <c r="J83" s="19">
        <f>Input[[#This Row],[price2]]/$B$1</f>
        <v>41.466822112499933</v>
      </c>
      <c r="K83" s="20">
        <f>Input[[#This Row],[energy2]]/$B$1</f>
        <v>36.210868754999936</v>
      </c>
      <c r="L83" s="18">
        <f>VLOOKUP(Input[[#This Row],[MD5]],fullcf[#All],2,FALSE)</f>
        <v>661265.94439151697</v>
      </c>
      <c r="M83" s="19">
        <f>VLOOKUP(Input[[#This Row],[MD5]],fullcf[#All],3,FALSE)</f>
        <v>1427879.4166875</v>
      </c>
      <c r="N83" s="19">
        <f>VLOOKUP(Input[[#This Row],[MD5]],fullcf[#All],4,FALSE)</f>
        <v>1241589.8383249899</v>
      </c>
      <c r="O83" s="19">
        <f>Input[[#This Row],[time3]]/$B$1</f>
        <v>44.084396292767799</v>
      </c>
      <c r="P83" s="19">
        <f>Input[[#This Row],[price3]]/$B$1</f>
        <v>95.191961112499996</v>
      </c>
      <c r="Q83" s="20">
        <f>Input[[#This Row],[energy3]]/$B$1</f>
        <v>82.772655888332665</v>
      </c>
      <c r="R83" s="18">
        <f>VLOOKUP(Input[[#This Row],[MD5]],df[#All],2,FALSE)</f>
        <v>22232014988</v>
      </c>
      <c r="S83" s="19">
        <f>VLOOKUP(Input[[#This Row],[MD5]],df[#All],3,FALSE)</f>
        <v>5454156725.25</v>
      </c>
      <c r="T83" s="19">
        <f>VLOOKUP(Input[[#This Row],[MD5]],df[#All],4,FALSE)</f>
        <v>3204421028.8499899</v>
      </c>
      <c r="U83" s="19">
        <f>Input[[#This Row],[time4]]/$B$1</f>
        <v>1482134.3325333332</v>
      </c>
      <c r="V83" s="19">
        <f>Input[[#This Row],[price4]]/$B$1</f>
        <v>363610.44835000002</v>
      </c>
      <c r="W83" s="20">
        <f>Input[[#This Row],[energy4]]/$B$1</f>
        <v>213628.06858999934</v>
      </c>
    </row>
    <row r="84" spans="1:23">
      <c r="A84" s="24" t="s">
        <v>126</v>
      </c>
      <c r="B84" s="13" t="s">
        <v>258</v>
      </c>
      <c r="C84" s="18">
        <f>VLOOKUP(Input[[#This Row],[MD5]],buildtime[#All],2,FALSE)</f>
        <v>56.24428571</v>
      </c>
      <c r="D84" s="19">
        <f>VLOOKUP(Input[[#This Row],[MD5]],buildtime[#All],3,FALSE)</f>
        <v>64.2</v>
      </c>
      <c r="E84" s="20">
        <f>VLOOKUP(Input[[#This Row],[MD5]],buildtime[#All],4,FALSE)</f>
        <v>56.12</v>
      </c>
      <c r="F84" s="18">
        <f>VLOOKUP(Input[[#This Row],[MD5]],partialcf[#All],2,FALSE)</f>
        <v>661600.47027589194</v>
      </c>
      <c r="G84" s="19">
        <f>VLOOKUP(Input[[#This Row],[MD5]],partialcf[#All],3,FALSE)</f>
        <v>622001.99371874903</v>
      </c>
      <c r="H84" s="19">
        <f>VLOOKUP(Input[[#This Row],[MD5]],partialcf[#All],4,FALSE)</f>
        <v>543162.73841875</v>
      </c>
      <c r="I84" s="19">
        <f>Input[[#This Row],[time2]]/$B$1</f>
        <v>44.106698018392798</v>
      </c>
      <c r="J84" s="19">
        <f>Input[[#This Row],[price2]]/$B$1</f>
        <v>41.466799581249937</v>
      </c>
      <c r="K84" s="20">
        <f>Input[[#This Row],[energy2]]/$B$1</f>
        <v>36.210849227916668</v>
      </c>
      <c r="L84" s="18">
        <f>VLOOKUP(Input[[#This Row],[MD5]],fullcf[#All],2,FALSE)</f>
        <v>661265.529182142</v>
      </c>
      <c r="M84" s="19">
        <f>VLOOKUP(Input[[#This Row],[MD5]],fullcf[#All],3,FALSE)</f>
        <v>1427878.9113749899</v>
      </c>
      <c r="N84" s="19">
        <f>VLOOKUP(Input[[#This Row],[MD5]],fullcf[#All],4,FALSE)</f>
        <v>1241589.4003874899</v>
      </c>
      <c r="O84" s="19">
        <f>Input[[#This Row],[time3]]/$B$1</f>
        <v>44.084368612142796</v>
      </c>
      <c r="P84" s="19">
        <f>Input[[#This Row],[price3]]/$B$1</f>
        <v>95.191927424999321</v>
      </c>
      <c r="Q84" s="20">
        <f>Input[[#This Row],[energy3]]/$B$1</f>
        <v>82.77262669249933</v>
      </c>
      <c r="R84" s="18">
        <f>VLOOKUP(Input[[#This Row],[MD5]],df[#All],2,FALSE)</f>
        <v>22231704296</v>
      </c>
      <c r="S84" s="19">
        <f>VLOOKUP(Input[[#This Row],[MD5]],df[#All],3,FALSE)</f>
        <v>5454098525.25</v>
      </c>
      <c r="T84" s="19">
        <f>VLOOKUP(Input[[#This Row],[MD5]],df[#All],4,FALSE)</f>
        <v>3204386108.8499899</v>
      </c>
      <c r="U84" s="19">
        <f>Input[[#This Row],[time4]]/$B$1</f>
        <v>1482113.6197333334</v>
      </c>
      <c r="V84" s="19">
        <f>Input[[#This Row],[price4]]/$B$1</f>
        <v>363606.56835000002</v>
      </c>
      <c r="W84" s="20">
        <f>Input[[#This Row],[energy4]]/$B$1</f>
        <v>213625.74058999933</v>
      </c>
    </row>
    <row r="85" spans="1:23">
      <c r="A85" s="24" t="s">
        <v>127</v>
      </c>
      <c r="B85" s="13" t="s">
        <v>259</v>
      </c>
      <c r="C85" s="18">
        <f>VLOOKUP(Input[[#This Row],[MD5]],buildtime[#All],2,FALSE)</f>
        <v>61.977142860000001</v>
      </c>
      <c r="D85" s="19">
        <f>VLOOKUP(Input[[#This Row],[MD5]],buildtime[#All],3,FALSE)</f>
        <v>61.2</v>
      </c>
      <c r="E85" s="20">
        <f>VLOOKUP(Input[[#This Row],[MD5]],buildtime[#All],4,FALSE)</f>
        <v>53.52</v>
      </c>
      <c r="F85" s="18">
        <f>VLOOKUP(Input[[#This Row],[MD5]],partialcf[#All],2,FALSE)</f>
        <v>15594.6826455357</v>
      </c>
      <c r="G85" s="19">
        <f>VLOOKUP(Input[[#This Row],[MD5]],partialcf[#All],3,FALSE)</f>
        <v>15404.7122812499</v>
      </c>
      <c r="H85" s="19">
        <f>VLOOKUP(Input[[#This Row],[MD5]],partialcf[#All],4,FALSE)</f>
        <v>13471.44218125</v>
      </c>
      <c r="I85" s="19">
        <f>Input[[#This Row],[time2]]/$B$1</f>
        <v>1.03964550970238</v>
      </c>
      <c r="J85" s="19">
        <f>Input[[#This Row],[price2]]/$B$1</f>
        <v>1.0269808187499934</v>
      </c>
      <c r="K85" s="20">
        <f>Input[[#This Row],[energy2]]/$B$1</f>
        <v>0.89809614541666671</v>
      </c>
      <c r="L85" s="18">
        <f>VLOOKUP(Input[[#This Row],[MD5]],fullcf[#All],2,FALSE)</f>
        <v>15583.439783928499</v>
      </c>
      <c r="M85" s="19">
        <f>VLOOKUP(Input[[#This Row],[MD5]],fullcf[#All],3,FALSE)</f>
        <v>871888.17506250006</v>
      </c>
      <c r="N85" s="19">
        <f>VLOOKUP(Input[[#This Row],[MD5]],fullcf[#All],4,FALSE)</f>
        <v>755757.109925</v>
      </c>
      <c r="O85" s="19">
        <f>Input[[#This Row],[time3]]/$B$1</f>
        <v>1.0388959855952333</v>
      </c>
      <c r="P85" s="19">
        <f>Input[[#This Row],[price3]]/$B$1</f>
        <v>58.125878337500005</v>
      </c>
      <c r="Q85" s="20">
        <f>Input[[#This Row],[energy3]]/$B$1</f>
        <v>50.383807328333333</v>
      </c>
      <c r="R85" s="18">
        <f>VLOOKUP(Input[[#This Row],[MD5]],df[#All],2,FALSE)</f>
        <v>5937461.8499999903</v>
      </c>
      <c r="S85" s="19">
        <f>VLOOKUP(Input[[#This Row],[MD5]],df[#All],3,FALSE)</f>
        <v>16531402.7083333</v>
      </c>
      <c r="T85" s="19">
        <f>VLOOKUP(Input[[#This Row],[MD5]],df[#All],4,FALSE)</f>
        <v>9886764.0749999899</v>
      </c>
      <c r="U85" s="19">
        <f>Input[[#This Row],[time4]]/$B$1</f>
        <v>395.83078999999935</v>
      </c>
      <c r="V85" s="19">
        <f>Input[[#This Row],[price4]]/$B$1</f>
        <v>1102.0935138888867</v>
      </c>
      <c r="W85" s="20">
        <f>Input[[#This Row],[energy4]]/$B$1</f>
        <v>659.11760499999934</v>
      </c>
    </row>
    <row r="86" spans="1:23">
      <c r="A86" s="25" t="s">
        <v>128</v>
      </c>
      <c r="B86" s="13" t="s">
        <v>260</v>
      </c>
      <c r="C86" s="18">
        <f>VLOOKUP(Input[[#This Row],[MD5]],buildtime[#All],2,FALSE)</f>
        <v>56.24428571</v>
      </c>
      <c r="D86" s="19">
        <f>VLOOKUP(Input[[#This Row],[MD5]],buildtime[#All],3,FALSE)</f>
        <v>64.2</v>
      </c>
      <c r="E86" s="20">
        <f>VLOOKUP(Input[[#This Row],[MD5]],buildtime[#All],4,FALSE)</f>
        <v>56.12</v>
      </c>
      <c r="F86" s="18">
        <f>VLOOKUP(Input[[#This Row],[MD5]],partialcf[#All],2,FALSE)</f>
        <v>662228.92352544598</v>
      </c>
      <c r="G86" s="19">
        <f>VLOOKUP(Input[[#This Row],[MD5]],partialcf[#All],3,FALSE)</f>
        <v>622832.78151562402</v>
      </c>
      <c r="H86" s="19">
        <f>VLOOKUP(Input[[#This Row],[MD5]],partialcf[#All],4,FALSE)</f>
        <v>543884.37794062402</v>
      </c>
      <c r="I86" s="19">
        <f>Input[[#This Row],[time2]]/$B$1</f>
        <v>44.148594901696399</v>
      </c>
      <c r="J86" s="19">
        <f>Input[[#This Row],[price2]]/$B$1</f>
        <v>41.522185434374933</v>
      </c>
      <c r="K86" s="20">
        <f>Input[[#This Row],[energy2]]/$B$1</f>
        <v>36.258958529374937</v>
      </c>
      <c r="L86" s="18">
        <f>VLOOKUP(Input[[#This Row],[MD5]],fullcf[#All],2,FALSE)</f>
        <v>661475.14507901703</v>
      </c>
      <c r="M86" s="19">
        <f>VLOOKUP(Input[[#This Row],[MD5]],fullcf[#All],3,FALSE)</f>
        <v>1428169.6888593701</v>
      </c>
      <c r="N86" s="19">
        <f>VLOOKUP(Input[[#This Row],[MD5]],fullcf[#All],4,FALSE)</f>
        <v>1241843.0309718701</v>
      </c>
      <c r="O86" s="19">
        <f>Input[[#This Row],[time3]]/$B$1</f>
        <v>44.0983430052678</v>
      </c>
      <c r="P86" s="19">
        <f>Input[[#This Row],[price3]]/$B$1</f>
        <v>95.211312590624672</v>
      </c>
      <c r="Q86" s="20">
        <f>Input[[#This Row],[energy3]]/$B$1</f>
        <v>82.78953539812467</v>
      </c>
      <c r="R86" s="18">
        <f>VLOOKUP(Input[[#This Row],[MD5]],df[#All],2,FALSE)</f>
        <v>22241406604</v>
      </c>
      <c r="S86" s="19">
        <f>VLOOKUP(Input[[#This Row],[MD5]],df[#All],3,FALSE)</f>
        <v>5460528095.25</v>
      </c>
      <c r="T86" s="19">
        <f>VLOOKUP(Input[[#This Row],[MD5]],df[#All],4,FALSE)</f>
        <v>3208191966.8499899</v>
      </c>
      <c r="U86" s="19">
        <f>Input[[#This Row],[time4]]/$B$1</f>
        <v>1482760.4402666667</v>
      </c>
      <c r="V86" s="19">
        <f>Input[[#This Row],[price4]]/$B$1</f>
        <v>364035.20634999999</v>
      </c>
      <c r="W86" s="20">
        <f>Input[[#This Row],[energy4]]/$B$1</f>
        <v>213879.464456666</v>
      </c>
    </row>
    <row r="87" spans="1:23">
      <c r="A87" s="24" t="s">
        <v>129</v>
      </c>
      <c r="B87" s="13" t="s">
        <v>261</v>
      </c>
      <c r="C87" s="18">
        <f>VLOOKUP(Input[[#This Row],[MD5]],buildtime[#All],2,FALSE)</f>
        <v>61.977142860000001</v>
      </c>
      <c r="D87" s="19">
        <f>VLOOKUP(Input[[#This Row],[MD5]],buildtime[#All],3,FALSE)</f>
        <v>61.2</v>
      </c>
      <c r="E87" s="20">
        <f>VLOOKUP(Input[[#This Row],[MD5]],buildtime[#All],4,FALSE)</f>
        <v>53.52</v>
      </c>
      <c r="F87" s="18">
        <f>VLOOKUP(Input[[#This Row],[MD5]],partialcf[#All],2,FALSE)</f>
        <v>19626.446716964201</v>
      </c>
      <c r="G87" s="19">
        <f>VLOOKUP(Input[[#This Row],[MD5]],partialcf[#All],3,FALSE)</f>
        <v>21409.467281249901</v>
      </c>
      <c r="H87" s="19">
        <f>VLOOKUP(Input[[#This Row],[MD5]],partialcf[#All],4,FALSE)</f>
        <v>18675.56318125</v>
      </c>
      <c r="I87" s="19">
        <f>Input[[#This Row],[time2]]/$B$1</f>
        <v>1.3084297811309467</v>
      </c>
      <c r="J87" s="19">
        <f>Input[[#This Row],[price2]]/$B$1</f>
        <v>1.4272978187499934</v>
      </c>
      <c r="K87" s="20">
        <f>Input[[#This Row],[energy2]]/$B$1</f>
        <v>1.2450375454166667</v>
      </c>
      <c r="L87" s="18">
        <f>VLOOKUP(Input[[#This Row],[MD5]],fullcf[#All],2,FALSE)</f>
        <v>15583.4838464285</v>
      </c>
      <c r="M87" s="19">
        <f>VLOOKUP(Input[[#This Row],[MD5]],fullcf[#All],3,FALSE)</f>
        <v>871888.20787499996</v>
      </c>
      <c r="N87" s="19">
        <f>VLOOKUP(Input[[#This Row],[MD5]],fullcf[#All],4,FALSE)</f>
        <v>755757.13836249895</v>
      </c>
      <c r="O87" s="19">
        <f>Input[[#This Row],[time3]]/$B$1</f>
        <v>1.0388989230952335</v>
      </c>
      <c r="P87" s="19">
        <f>Input[[#This Row],[price3]]/$B$1</f>
        <v>58.125880524999999</v>
      </c>
      <c r="Q87" s="20">
        <f>Input[[#This Row],[energy3]]/$B$1</f>
        <v>50.383809224166598</v>
      </c>
      <c r="R87" s="18">
        <f>VLOOKUP(Input[[#This Row],[MD5]],df[#All],2,FALSE)</f>
        <v>5953141.8499999903</v>
      </c>
      <c r="S87" s="19">
        <f>VLOOKUP(Input[[#This Row],[MD5]],df[#All],3,FALSE)</f>
        <v>16534202.7083333</v>
      </c>
      <c r="T87" s="19">
        <f>VLOOKUP(Input[[#This Row],[MD5]],df[#All],4,FALSE)</f>
        <v>9888444.0749999899</v>
      </c>
      <c r="U87" s="19">
        <f>Input[[#This Row],[time4]]/$B$1</f>
        <v>396.87612333333271</v>
      </c>
      <c r="V87" s="19">
        <f>Input[[#This Row],[price4]]/$B$1</f>
        <v>1102.2801805555534</v>
      </c>
      <c r="W87" s="20">
        <f>Input[[#This Row],[energy4]]/$B$1</f>
        <v>659.22960499999931</v>
      </c>
    </row>
    <row r="88" spans="1:23">
      <c r="A88" s="24" t="s">
        <v>130</v>
      </c>
      <c r="B88" s="13" t="s">
        <v>262</v>
      </c>
      <c r="C88" s="18">
        <f>VLOOKUP(Input[[#This Row],[MD5]],buildtime[#All],2,FALSE)</f>
        <v>61.977142860000001</v>
      </c>
      <c r="D88" s="19">
        <f>VLOOKUP(Input[[#This Row],[MD5]],buildtime[#All],3,FALSE)</f>
        <v>61.2</v>
      </c>
      <c r="E88" s="20">
        <f>VLOOKUP(Input[[#This Row],[MD5]],buildtime[#All],4,FALSE)</f>
        <v>53.52</v>
      </c>
      <c r="F88" s="18">
        <f>VLOOKUP(Input[[#This Row],[MD5]],partialcf[#All],2,FALSE)</f>
        <v>533122.46206160705</v>
      </c>
      <c r="G88" s="19">
        <f>VLOOKUP(Input[[#This Row],[MD5]],partialcf[#All],3,FALSE)</f>
        <v>528678.36871874903</v>
      </c>
      <c r="H88" s="19">
        <f>VLOOKUP(Input[[#This Row],[MD5]],partialcf[#All],4,FALSE)</f>
        <v>462282.26341875002</v>
      </c>
      <c r="I88" s="19">
        <f>Input[[#This Row],[time2]]/$B$1</f>
        <v>35.541497470773805</v>
      </c>
      <c r="J88" s="19">
        <f>Input[[#This Row],[price2]]/$B$1</f>
        <v>35.245224581249936</v>
      </c>
      <c r="K88" s="20">
        <f>Input[[#This Row],[energy2]]/$B$1</f>
        <v>30.81881756125</v>
      </c>
      <c r="L88" s="18">
        <f>VLOOKUP(Input[[#This Row],[MD5]],fullcf[#All],2,FALSE)</f>
        <v>528657.73168214201</v>
      </c>
      <c r="M88" s="19">
        <f>VLOOKUP(Input[[#This Row],[MD5]],fullcf[#All],3,FALSE)</f>
        <v>1328653.9113749999</v>
      </c>
      <c r="N88" s="19">
        <f>VLOOKUP(Input[[#This Row],[MD5]],fullcf[#All],4,FALSE)</f>
        <v>1155594.4003874899</v>
      </c>
      <c r="O88" s="19">
        <f>Input[[#This Row],[time3]]/$B$1</f>
        <v>35.243848778809465</v>
      </c>
      <c r="P88" s="19">
        <f>Input[[#This Row],[price3]]/$B$1</f>
        <v>88.576927424999994</v>
      </c>
      <c r="Q88" s="20">
        <f>Input[[#This Row],[energy3]]/$B$1</f>
        <v>77.039626692499326</v>
      </c>
      <c r="R88" s="18">
        <f>VLOOKUP(Input[[#This Row],[MD5]],df[#All],2,FALSE)</f>
        <v>12729631458.1</v>
      </c>
      <c r="S88" s="19">
        <f>VLOOKUP(Input[[#This Row],[MD5]],df[#All],3,FALSE)</f>
        <v>3757298525.25</v>
      </c>
      <c r="T88" s="19">
        <f>VLOOKUP(Input[[#This Row],[MD5]],df[#All],4,FALSE)</f>
        <v>2186306108.8499899</v>
      </c>
      <c r="U88" s="19">
        <f>Input[[#This Row],[time4]]/$B$1</f>
        <v>848642.09720666672</v>
      </c>
      <c r="V88" s="19">
        <f>Input[[#This Row],[price4]]/$B$1</f>
        <v>250486.56834999999</v>
      </c>
      <c r="W88" s="20">
        <f>Input[[#This Row],[energy4]]/$B$1</f>
        <v>145753.74058999933</v>
      </c>
    </row>
    <row r="89" spans="1:23">
      <c r="A89" s="24" t="s">
        <v>131</v>
      </c>
      <c r="B89" s="13" t="s">
        <v>263</v>
      </c>
      <c r="C89" s="18">
        <f>VLOOKUP(Input[[#This Row],[MD5]],buildtime[#All],2,FALSE)</f>
        <v>61.977142860000001</v>
      </c>
      <c r="D89" s="19">
        <f>VLOOKUP(Input[[#This Row],[MD5]],buildtime[#All],3,FALSE)</f>
        <v>61.2</v>
      </c>
      <c r="E89" s="20">
        <f>VLOOKUP(Input[[#This Row],[MD5]],buildtime[#All],4,FALSE)</f>
        <v>53.52</v>
      </c>
      <c r="F89" s="18">
        <f>VLOOKUP(Input[[#This Row],[MD5]],partialcf[#All],2,FALSE)</f>
        <v>17758.677061160699</v>
      </c>
      <c r="G89" s="19">
        <f>VLOOKUP(Input[[#This Row],[MD5]],partialcf[#All],3,FALSE)</f>
        <v>17879.492765625</v>
      </c>
      <c r="H89" s="19">
        <f>VLOOKUP(Input[[#This Row],[MD5]],partialcf[#All],4,FALSE)</f>
        <v>15627.797190625</v>
      </c>
      <c r="I89" s="19">
        <f>Input[[#This Row],[time2]]/$B$1</f>
        <v>1.1839118040773799</v>
      </c>
      <c r="J89" s="19">
        <f>Input[[#This Row],[price2]]/$B$1</f>
        <v>1.191966184375</v>
      </c>
      <c r="K89" s="20">
        <f>Input[[#This Row],[energy2]]/$B$1</f>
        <v>1.0418531460416667</v>
      </c>
      <c r="L89" s="18">
        <f>VLOOKUP(Input[[#This Row],[MD5]],fullcf[#All],2,FALSE)</f>
        <v>17074.240400446401</v>
      </c>
      <c r="M89" s="19">
        <f>VLOOKUP(Input[[#This Row],[MD5]],fullcf[#All],3,FALSE)</f>
        <v>873319.36260937504</v>
      </c>
      <c r="N89" s="19">
        <f>VLOOKUP(Input[[#This Row],[MD5]],fullcf[#All],4,FALSE)</f>
        <v>757009.01772187406</v>
      </c>
      <c r="O89" s="19">
        <f>Input[[#This Row],[time3]]/$B$1</f>
        <v>1.1382826933630934</v>
      </c>
      <c r="P89" s="19">
        <f>Input[[#This Row],[price3]]/$B$1</f>
        <v>58.221290840625002</v>
      </c>
      <c r="Q89" s="20">
        <f>Input[[#This Row],[energy3]]/$B$1</f>
        <v>50.467267848124941</v>
      </c>
      <c r="R89" s="18">
        <f>VLOOKUP(Input[[#This Row],[MD5]],df[#All],2,FALSE)</f>
        <v>79160895.699999899</v>
      </c>
      <c r="S89" s="19">
        <f>VLOOKUP(Input[[#This Row],[MD5]],df[#All],3,FALSE)</f>
        <v>41619599.25</v>
      </c>
      <c r="T89" s="19">
        <f>VLOOKUP(Input[[#This Row],[MD5]],df[#All],4,FALSE)</f>
        <v>24548328.449999999</v>
      </c>
      <c r="U89" s="19">
        <f>Input[[#This Row],[time4]]/$B$1</f>
        <v>5277.3930466666598</v>
      </c>
      <c r="V89" s="19">
        <f>Input[[#This Row],[price4]]/$B$1</f>
        <v>2774.6399500000002</v>
      </c>
      <c r="W89" s="20">
        <f>Input[[#This Row],[energy4]]/$B$1</f>
        <v>1636.5552299999999</v>
      </c>
    </row>
    <row r="90" spans="1:23">
      <c r="A90" s="24" t="s">
        <v>132</v>
      </c>
      <c r="B90" s="13" t="s">
        <v>264</v>
      </c>
      <c r="C90" s="18">
        <f>VLOOKUP(Input[[#This Row],[MD5]],buildtime[#All],2,FALSE)</f>
        <v>61.977142860000001</v>
      </c>
      <c r="D90" s="19">
        <f>VLOOKUP(Input[[#This Row],[MD5]],buildtime[#All],3,FALSE)</f>
        <v>61.2</v>
      </c>
      <c r="E90" s="20">
        <f>VLOOKUP(Input[[#This Row],[MD5]],buildtime[#All],4,FALSE)</f>
        <v>53.52</v>
      </c>
      <c r="F90" s="18">
        <f>VLOOKUP(Input[[#This Row],[MD5]],partialcf[#All],2,FALSE)</f>
        <v>533750.91531116003</v>
      </c>
      <c r="G90" s="19">
        <f>VLOOKUP(Input[[#This Row],[MD5]],partialcf[#All],3,FALSE)</f>
        <v>529509.15651562402</v>
      </c>
      <c r="H90" s="19">
        <f>VLOOKUP(Input[[#This Row],[MD5]],partialcf[#All],4,FALSE)</f>
        <v>463003.90294062399</v>
      </c>
      <c r="I90" s="19">
        <f>Input[[#This Row],[time2]]/$B$1</f>
        <v>35.583394354077335</v>
      </c>
      <c r="J90" s="19">
        <f>Input[[#This Row],[price2]]/$B$1</f>
        <v>35.300610434374939</v>
      </c>
      <c r="K90" s="20">
        <f>Input[[#This Row],[energy2]]/$B$1</f>
        <v>30.866926862708265</v>
      </c>
      <c r="L90" s="18">
        <f>VLOOKUP(Input[[#This Row],[MD5]],fullcf[#All],2,FALSE)</f>
        <v>528867.34757901705</v>
      </c>
      <c r="M90" s="19">
        <f>VLOOKUP(Input[[#This Row],[MD5]],fullcf[#All],3,FALSE)</f>
        <v>1328944.6888593701</v>
      </c>
      <c r="N90" s="19">
        <f>VLOOKUP(Input[[#This Row],[MD5]],fullcf[#All],4,FALSE)</f>
        <v>1155848.0309718701</v>
      </c>
      <c r="O90" s="19">
        <f>Input[[#This Row],[time3]]/$B$1</f>
        <v>35.257823171934469</v>
      </c>
      <c r="P90" s="19">
        <f>Input[[#This Row],[price3]]/$B$1</f>
        <v>88.596312590624677</v>
      </c>
      <c r="Q90" s="20">
        <f>Input[[#This Row],[energy3]]/$B$1</f>
        <v>77.056535398124666</v>
      </c>
      <c r="R90" s="18">
        <f>VLOOKUP(Input[[#This Row],[MD5]],df[#All],2,FALSE)</f>
        <v>12739333766.1</v>
      </c>
      <c r="S90" s="19">
        <f>VLOOKUP(Input[[#This Row],[MD5]],df[#All],3,FALSE)</f>
        <v>3763728095.25</v>
      </c>
      <c r="T90" s="19">
        <f>VLOOKUP(Input[[#This Row],[MD5]],df[#All],4,FALSE)</f>
        <v>2190111966.8499899</v>
      </c>
      <c r="U90" s="19">
        <f>Input[[#This Row],[time4]]/$B$1</f>
        <v>849288.91774000006</v>
      </c>
      <c r="V90" s="19">
        <f>Input[[#This Row],[price4]]/$B$1</f>
        <v>250915.20634999999</v>
      </c>
      <c r="W90" s="20">
        <f>Input[[#This Row],[energy4]]/$B$1</f>
        <v>146007.464456666</v>
      </c>
    </row>
    <row r="91" spans="1:23">
      <c r="A91" s="24" t="s">
        <v>133</v>
      </c>
      <c r="B91" s="13" t="s">
        <v>265</v>
      </c>
      <c r="C91" s="18">
        <f>VLOOKUP(Input[[#This Row],[MD5]],buildtime[#All],2,FALSE)</f>
        <v>50.51142857</v>
      </c>
      <c r="D91" s="19">
        <f>VLOOKUP(Input[[#This Row],[MD5]],buildtime[#All],3,FALSE)</f>
        <v>65.7</v>
      </c>
      <c r="E91" s="20">
        <f>VLOOKUP(Input[[#This Row],[MD5]],buildtime[#All],4,FALSE)</f>
        <v>57.42</v>
      </c>
      <c r="F91" s="18">
        <f>VLOOKUP(Input[[#This Row],[MD5]],partialcf[#All],2,FALSE)</f>
        <v>661600.54382901697</v>
      </c>
      <c r="G91" s="19">
        <f>VLOOKUP(Input[[#This Row],[MD5]],partialcf[#All],3,FALSE)</f>
        <v>622002.09871874901</v>
      </c>
      <c r="H91" s="19">
        <f>VLOOKUP(Input[[#This Row],[MD5]],partialcf[#All],4,FALSE)</f>
        <v>543162.82941874897</v>
      </c>
      <c r="I91" s="19">
        <f>Input[[#This Row],[time2]]/$B$1</f>
        <v>44.106702921934463</v>
      </c>
      <c r="J91" s="19">
        <f>Input[[#This Row],[price2]]/$B$1</f>
        <v>41.466806581249934</v>
      </c>
      <c r="K91" s="20">
        <f>Input[[#This Row],[energy2]]/$B$1</f>
        <v>36.210855294583261</v>
      </c>
      <c r="L91" s="18">
        <f>VLOOKUP(Input[[#This Row],[MD5]],fullcf[#All],2,FALSE)</f>
        <v>661265.34717276704</v>
      </c>
      <c r="M91" s="19">
        <f>VLOOKUP(Input[[#This Row],[MD5]],fullcf[#All],3,FALSE)</f>
        <v>1427878.8785625</v>
      </c>
      <c r="N91" s="19">
        <f>VLOOKUP(Input[[#This Row],[MD5]],fullcf[#All],4,FALSE)</f>
        <v>1241589.3719500001</v>
      </c>
      <c r="O91" s="19">
        <f>Input[[#This Row],[time3]]/$B$1</f>
        <v>44.084356478184468</v>
      </c>
      <c r="P91" s="19">
        <f>Input[[#This Row],[price3]]/$B$1</f>
        <v>95.191925237500001</v>
      </c>
      <c r="Q91" s="20">
        <f>Input[[#This Row],[energy3]]/$B$1</f>
        <v>82.772624796666676</v>
      </c>
      <c r="R91" s="18">
        <f>VLOOKUP(Input[[#This Row],[MD5]],df[#All],2,FALSE)</f>
        <v>22231681660</v>
      </c>
      <c r="S91" s="19">
        <f>VLOOKUP(Input[[#This Row],[MD5]],df[#All],3,FALSE)</f>
        <v>5454095725.25</v>
      </c>
      <c r="T91" s="19">
        <f>VLOOKUP(Input[[#This Row],[MD5]],df[#All],4,FALSE)</f>
        <v>3204384428.8499899</v>
      </c>
      <c r="U91" s="19">
        <f>Input[[#This Row],[time4]]/$B$1</f>
        <v>1482112.1106666666</v>
      </c>
      <c r="V91" s="19">
        <f>Input[[#This Row],[price4]]/$B$1</f>
        <v>363606.38168333331</v>
      </c>
      <c r="W91" s="20">
        <f>Input[[#This Row],[energy4]]/$B$1</f>
        <v>213625.62858999934</v>
      </c>
    </row>
    <row r="92" spans="1:23">
      <c r="A92" s="24" t="s">
        <v>134</v>
      </c>
      <c r="B92" s="13" t="s">
        <v>266</v>
      </c>
      <c r="C92" s="18">
        <f>VLOOKUP(Input[[#This Row],[MD5]],buildtime[#All],2,FALSE)</f>
        <v>50.51142857</v>
      </c>
      <c r="D92" s="19">
        <f>VLOOKUP(Input[[#This Row],[MD5]],buildtime[#All],3,FALSE)</f>
        <v>65.7</v>
      </c>
      <c r="E92" s="20">
        <f>VLOOKUP(Input[[#This Row],[MD5]],buildtime[#All],4,FALSE)</f>
        <v>57.42</v>
      </c>
      <c r="F92" s="18">
        <f>VLOOKUP(Input[[#This Row],[MD5]],partialcf[#All],2,FALSE)</f>
        <v>855729.62857142801</v>
      </c>
      <c r="G92" s="19">
        <f>VLOOKUP(Input[[#This Row],[MD5]],partialcf[#All],3,FALSE)</f>
        <v>836966.27526562405</v>
      </c>
      <c r="H92" s="19">
        <f>VLOOKUP(Input[[#This Row],[MD5]],partialcf[#All],4,FALSE)</f>
        <v>730116.11169062403</v>
      </c>
      <c r="I92" s="19">
        <f>Input[[#This Row],[time2]]/$B$1</f>
        <v>57.048641904761865</v>
      </c>
      <c r="J92" s="19">
        <f>Input[[#This Row],[price2]]/$B$1</f>
        <v>55.797751684374937</v>
      </c>
      <c r="K92" s="20">
        <f>Input[[#This Row],[energy2]]/$B$1</f>
        <v>48.674407446041606</v>
      </c>
      <c r="L92" s="18">
        <f>VLOOKUP(Input[[#This Row],[MD5]],fullcf[#All],2,FALSE)</f>
        <v>855729.62857142801</v>
      </c>
      <c r="M92" s="19">
        <f>VLOOKUP(Input[[#This Row],[MD5]],fullcf[#All],3,FALSE)</f>
        <v>1627430.68260937</v>
      </c>
      <c r="N92" s="19">
        <f>VLOOKUP(Input[[#This Row],[MD5]],fullcf[#All],4,FALSE)</f>
        <v>1415185.26472187</v>
      </c>
      <c r="O92" s="19">
        <f>Input[[#This Row],[time3]]/$B$1</f>
        <v>57.048641904761865</v>
      </c>
      <c r="P92" s="19">
        <f>Input[[#This Row],[price3]]/$B$1</f>
        <v>108.49537884062467</v>
      </c>
      <c r="Q92" s="20">
        <f>Input[[#This Row],[energy3]]/$B$1</f>
        <v>94.345684314791328</v>
      </c>
      <c r="R92" s="18">
        <f>VLOOKUP(Input[[#This Row],[MD5]],df[#All],2,FALSE)</f>
        <v>32193297920</v>
      </c>
      <c r="S92" s="19">
        <f>VLOOKUP(Input[[#This Row],[MD5]],df[#All],3,FALSE)</f>
        <v>8185964495.25</v>
      </c>
      <c r="T92" s="19">
        <f>VLOOKUP(Input[[#This Row],[MD5]],df[#All],4,FALSE)</f>
        <v>4833042126.8500004</v>
      </c>
      <c r="U92" s="19">
        <f>Input[[#This Row],[time4]]/$B$1</f>
        <v>2146219.8613333334</v>
      </c>
      <c r="V92" s="19">
        <f>Input[[#This Row],[price4]]/$B$1</f>
        <v>545730.96635</v>
      </c>
      <c r="W92" s="20">
        <f>Input[[#This Row],[energy4]]/$B$1</f>
        <v>322202.80845666671</v>
      </c>
    </row>
    <row r="93" spans="1:23">
      <c r="A93" s="24" t="s">
        <v>135</v>
      </c>
      <c r="B93" s="13" t="s">
        <v>267</v>
      </c>
      <c r="C93" s="18">
        <f>VLOOKUP(Input[[#This Row],[MD5]],buildtime[#All],2,FALSE)</f>
        <v>61.977142860000001</v>
      </c>
      <c r="D93" s="19">
        <f>VLOOKUP(Input[[#This Row],[MD5]],buildtime[#All],3,FALSE)</f>
        <v>61.2</v>
      </c>
      <c r="E93" s="20">
        <f>VLOOKUP(Input[[#This Row],[MD5]],buildtime[#All],4,FALSE)</f>
        <v>53.52</v>
      </c>
      <c r="F93" s="18">
        <f>VLOOKUP(Input[[#This Row],[MD5]],partialcf[#All],2,FALSE)</f>
        <v>21790.3574138392</v>
      </c>
      <c r="G93" s="19">
        <f>VLOOKUP(Input[[#This Row],[MD5]],partialcf[#All],3,FALSE)</f>
        <v>23884.1230781249</v>
      </c>
      <c r="H93" s="19">
        <f>VLOOKUP(Input[[#This Row],[MD5]],partialcf[#All],4,FALSE)</f>
        <v>20831.810128124998</v>
      </c>
      <c r="I93" s="19">
        <f>Input[[#This Row],[time2]]/$B$1</f>
        <v>1.4526904942559467</v>
      </c>
      <c r="J93" s="19">
        <f>Input[[#This Row],[price2]]/$B$1</f>
        <v>1.5922748718749933</v>
      </c>
      <c r="K93" s="20">
        <f>Input[[#This Row],[energy2]]/$B$1</f>
        <v>1.3887873418749999</v>
      </c>
      <c r="L93" s="18">
        <f>VLOOKUP(Input[[#This Row],[MD5]],fullcf[#All],2,FALSE)</f>
        <v>17074.1963379464</v>
      </c>
      <c r="M93" s="19">
        <f>VLOOKUP(Input[[#This Row],[MD5]],fullcf[#All],3,FALSE)</f>
        <v>873319.32979687501</v>
      </c>
      <c r="N93" s="19">
        <f>VLOOKUP(Input[[#This Row],[MD5]],fullcf[#All],4,FALSE)</f>
        <v>757008.98928437405</v>
      </c>
      <c r="O93" s="19">
        <f>Input[[#This Row],[time3]]/$B$1</f>
        <v>1.1382797558630933</v>
      </c>
      <c r="P93" s="19">
        <f>Input[[#This Row],[price3]]/$B$1</f>
        <v>58.221288653125001</v>
      </c>
      <c r="Q93" s="20">
        <f>Input[[#This Row],[energy3]]/$B$1</f>
        <v>50.467265952291605</v>
      </c>
      <c r="R93" s="18">
        <f>VLOOKUP(Input[[#This Row],[MD5]],df[#All],2,FALSE)</f>
        <v>79136255.699999899</v>
      </c>
      <c r="S93" s="19">
        <f>VLOOKUP(Input[[#This Row],[MD5]],df[#All],3,FALSE)</f>
        <v>41615199.25</v>
      </c>
      <c r="T93" s="19">
        <f>VLOOKUP(Input[[#This Row],[MD5]],df[#All],4,FALSE)</f>
        <v>24545688.449999999</v>
      </c>
      <c r="U93" s="19">
        <f>Input[[#This Row],[time4]]/$B$1</f>
        <v>5275.7503799999931</v>
      </c>
      <c r="V93" s="19">
        <f>Input[[#This Row],[price4]]/$B$1</f>
        <v>2774.3466166666667</v>
      </c>
      <c r="W93" s="20">
        <f>Input[[#This Row],[energy4]]/$B$1</f>
        <v>1636.37923</v>
      </c>
    </row>
    <row r="94" spans="1:23">
      <c r="A94" s="25" t="s">
        <v>136</v>
      </c>
      <c r="B94" s="13" t="s">
        <v>268</v>
      </c>
      <c r="C94" s="18">
        <f>VLOOKUP(Input[[#This Row],[MD5]],buildtime[#All],2,FALSE)</f>
        <v>56.24428571</v>
      </c>
      <c r="D94" s="19">
        <f>VLOOKUP(Input[[#This Row],[MD5]],buildtime[#All],3,FALSE)</f>
        <v>64.2</v>
      </c>
      <c r="E94" s="20">
        <f>VLOOKUP(Input[[#This Row],[MD5]],buildtime[#All],4,FALSE)</f>
        <v>56.12</v>
      </c>
      <c r="F94" s="18">
        <f>VLOOKUP(Input[[#This Row],[MD5]],partialcf[#All],2,FALSE)</f>
        <v>19343.727992946398</v>
      </c>
      <c r="G94" s="19">
        <f>VLOOKUP(Input[[#This Row],[MD5]],partialcf[#All],3,FALSE)</f>
        <v>18222.795253124899</v>
      </c>
      <c r="H94" s="19">
        <f>VLOOKUP(Input[[#This Row],[MD5]],partialcf[#All],4,FALSE)</f>
        <v>15913.778158125</v>
      </c>
      <c r="I94" s="19">
        <f>Input[[#This Row],[time2]]/$B$1</f>
        <v>1.2895818661964267</v>
      </c>
      <c r="J94" s="19">
        <f>Input[[#This Row],[price2]]/$B$1</f>
        <v>1.2148530168749934</v>
      </c>
      <c r="K94" s="20">
        <f>Input[[#This Row],[energy2]]/$B$1</f>
        <v>1.060918543875</v>
      </c>
      <c r="L94" s="18">
        <f>VLOOKUP(Input[[#This Row],[MD5]],fullcf[#All],2,FALSE)</f>
        <v>19333.637932232101</v>
      </c>
      <c r="M94" s="19">
        <f>VLOOKUP(Input[[#This Row],[MD5]],fullcf[#All],3,FALSE)</f>
        <v>874707.66184687405</v>
      </c>
      <c r="N94" s="19">
        <f>VLOOKUP(Input[[#This Row],[MD5]],fullcf[#All],4,FALSE)</f>
        <v>758200.66253937501</v>
      </c>
      <c r="O94" s="19">
        <f>Input[[#This Row],[time3]]/$B$1</f>
        <v>1.2889091954821401</v>
      </c>
      <c r="P94" s="19">
        <f>Input[[#This Row],[price3]]/$B$1</f>
        <v>58.313844123124937</v>
      </c>
      <c r="Q94" s="20">
        <f>Input[[#This Row],[energy3]]/$B$1</f>
        <v>50.546710835958336</v>
      </c>
      <c r="R94" s="18">
        <f>VLOOKUP(Input[[#This Row],[MD5]],df[#All],2,FALSE)</f>
        <v>9852482.2400000002</v>
      </c>
      <c r="S94" s="19">
        <f>VLOOKUP(Input[[#This Row],[MD5]],df[#All],3,FALSE)</f>
        <v>17190576.100000001</v>
      </c>
      <c r="T94" s="19">
        <f>VLOOKUP(Input[[#This Row],[MD5]],df[#All],4,FALSE)</f>
        <v>10282591.84</v>
      </c>
      <c r="U94" s="19">
        <f>Input[[#This Row],[time4]]/$B$1</f>
        <v>656.8321493333334</v>
      </c>
      <c r="V94" s="19">
        <f>Input[[#This Row],[price4]]/$B$1</f>
        <v>1146.0384066666668</v>
      </c>
      <c r="W94" s="20">
        <f>Input[[#This Row],[energy4]]/$B$1</f>
        <v>685.50612266666667</v>
      </c>
    </row>
    <row r="95" spans="1:23">
      <c r="A95" s="24" t="s">
        <v>137</v>
      </c>
      <c r="B95" s="13" t="s">
        <v>269</v>
      </c>
      <c r="C95" s="18">
        <f>VLOOKUP(Input[[#This Row],[MD5]],buildtime[#All],2,FALSE)</f>
        <v>61.977142860000001</v>
      </c>
      <c r="D95" s="19">
        <f>VLOOKUP(Input[[#This Row],[MD5]],buildtime[#All],3,FALSE)</f>
        <v>61.2</v>
      </c>
      <c r="E95" s="20">
        <f>VLOOKUP(Input[[#This Row],[MD5]],buildtime[#All],4,FALSE)</f>
        <v>53.52</v>
      </c>
      <c r="F95" s="18">
        <f>VLOOKUP(Input[[#This Row],[MD5]],partialcf[#All],2,FALSE)</f>
        <v>534025.31650267798</v>
      </c>
      <c r="G95" s="19">
        <f>VLOOKUP(Input[[#This Row],[MD5]],partialcf[#All],3,FALSE)</f>
        <v>529609.00743749901</v>
      </c>
      <c r="H95" s="19">
        <f>VLOOKUP(Input[[#This Row],[MD5]],partialcf[#All],4,FALSE)</f>
        <v>463095.20596250001</v>
      </c>
      <c r="I95" s="19">
        <f>Input[[#This Row],[time2]]/$B$1</f>
        <v>35.601687766845195</v>
      </c>
      <c r="J95" s="19">
        <f>Input[[#This Row],[price2]]/$B$1</f>
        <v>35.307267162499933</v>
      </c>
      <c r="K95" s="20">
        <f>Input[[#This Row],[energy2]]/$B$1</f>
        <v>30.873013730833335</v>
      </c>
      <c r="L95" s="18">
        <f>VLOOKUP(Input[[#This Row],[MD5]],fullcf[#All],2,FALSE)</f>
        <v>529482.58353839198</v>
      </c>
      <c r="M95" s="19">
        <f>VLOOKUP(Input[[#This Row],[MD5]],fullcf[#All],3,FALSE)</f>
        <v>1329440.9480625</v>
      </c>
      <c r="N95" s="19">
        <f>VLOOKUP(Input[[#This Row],[MD5]],fullcf[#All],4,FALSE)</f>
        <v>1156282.8878375001</v>
      </c>
      <c r="O95" s="19">
        <f>Input[[#This Row],[time3]]/$B$1</f>
        <v>35.298838902559467</v>
      </c>
      <c r="P95" s="19">
        <f>Input[[#This Row],[price3]]/$B$1</f>
        <v>88.6293965375</v>
      </c>
      <c r="Q95" s="20">
        <f>Input[[#This Row],[energy3]]/$B$1</f>
        <v>77.085525855833339</v>
      </c>
      <c r="R95" s="18">
        <f>VLOOKUP(Input[[#This Row],[MD5]],df[#All],2,FALSE)</f>
        <v>12819722146.1</v>
      </c>
      <c r="S95" s="19">
        <f>VLOOKUP(Input[[#This Row],[MD5]],df[#All],3,FALSE)</f>
        <v>3788213345.25</v>
      </c>
      <c r="T95" s="19">
        <f>VLOOKUP(Input[[#This Row],[MD5]],df[#All],4,FALSE)</f>
        <v>2204373016.8499899</v>
      </c>
      <c r="U95" s="19">
        <f>Input[[#This Row],[time4]]/$B$1</f>
        <v>854648.14307333331</v>
      </c>
      <c r="V95" s="19">
        <f>Input[[#This Row],[price4]]/$B$1</f>
        <v>252547.55635</v>
      </c>
      <c r="W95" s="20">
        <f>Input[[#This Row],[energy4]]/$B$1</f>
        <v>146958.20112333266</v>
      </c>
    </row>
    <row r="96" spans="1:23">
      <c r="A96" s="24" t="s">
        <v>138</v>
      </c>
      <c r="B96" s="13" t="s">
        <v>270</v>
      </c>
      <c r="C96" s="18">
        <f>VLOOKUP(Input[[#This Row],[MD5]],buildtime[#All],2,FALSE)</f>
        <v>50.51142857</v>
      </c>
      <c r="D96" s="19">
        <f>VLOOKUP(Input[[#This Row],[MD5]],buildtime[#All],3,FALSE)</f>
        <v>67.2</v>
      </c>
      <c r="E96" s="20">
        <f>VLOOKUP(Input[[#This Row],[MD5]],buildtime[#All],4,FALSE)</f>
        <v>58.72</v>
      </c>
      <c r="F96" s="18">
        <f>VLOOKUP(Input[[#This Row],[MD5]],partialcf[#All],2,FALSE)</f>
        <v>943859.101199553</v>
      </c>
      <c r="G96" s="19">
        <f>VLOOKUP(Input[[#This Row],[MD5]],partialcf[#All],3,FALSE)</f>
        <v>902591.25557812501</v>
      </c>
      <c r="H96" s="19">
        <f>VLOOKUP(Input[[#This Row],[MD5]],partialcf[#All],4,FALSE)</f>
        <v>786991.09462812403</v>
      </c>
      <c r="I96" s="19">
        <f>Input[[#This Row],[time2]]/$B$1</f>
        <v>62.923940079970201</v>
      </c>
      <c r="J96" s="19">
        <f>Input[[#This Row],[price2]]/$B$1</f>
        <v>60.172750371875004</v>
      </c>
      <c r="K96" s="20">
        <f>Input[[#This Row],[energy2]]/$B$1</f>
        <v>52.46607297520827</v>
      </c>
      <c r="L96" s="18">
        <f>VLOOKUP(Input[[#This Row],[MD5]],fullcf[#All],2,FALSE)</f>
        <v>877588.38298080303</v>
      </c>
      <c r="M96" s="19">
        <f>VLOOKUP(Input[[#This Row],[MD5]],fullcf[#All],3,FALSE)</f>
        <v>1643705.6497968701</v>
      </c>
      <c r="N96" s="19">
        <f>VLOOKUP(Input[[#This Row],[MD5]],fullcf[#All],4,FALSE)</f>
        <v>1429290.2362843701</v>
      </c>
      <c r="O96" s="19">
        <f>Input[[#This Row],[time3]]/$B$1</f>
        <v>58.505892198720204</v>
      </c>
      <c r="P96" s="19">
        <f>Input[[#This Row],[price3]]/$B$1</f>
        <v>109.58037665312467</v>
      </c>
      <c r="Q96" s="20">
        <f>Input[[#This Row],[energy3]]/$B$1</f>
        <v>95.286015752291334</v>
      </c>
      <c r="R96" s="18">
        <f>VLOOKUP(Input[[#This Row],[MD5]],df[#All],2,FALSE)</f>
        <v>33658850604</v>
      </c>
      <c r="S96" s="19">
        <f>VLOOKUP(Input[[#This Row],[MD5]],df[#All],3,FALSE)</f>
        <v>8447560095.25</v>
      </c>
      <c r="T96" s="19">
        <f>VLOOKUP(Input[[#This Row],[MD5]],df[#All],4,FALSE)</f>
        <v>4989999486.8500004</v>
      </c>
      <c r="U96" s="19">
        <f>Input[[#This Row],[time4]]/$B$1</f>
        <v>2243923.3736</v>
      </c>
      <c r="V96" s="19">
        <f>Input[[#This Row],[price4]]/$B$1</f>
        <v>563170.67301666667</v>
      </c>
      <c r="W96" s="20">
        <f>Input[[#This Row],[energy4]]/$B$1</f>
        <v>332666.63245666667</v>
      </c>
    </row>
    <row r="97" spans="1:23">
      <c r="A97" s="24" t="s">
        <v>139</v>
      </c>
      <c r="B97" s="13" t="s">
        <v>271</v>
      </c>
      <c r="C97" s="18">
        <f>VLOOKUP(Input[[#This Row],[MD5]],buildtime[#All],2,FALSE)</f>
        <v>61.977142860000001</v>
      </c>
      <c r="D97" s="19">
        <f>VLOOKUP(Input[[#This Row],[MD5]],buildtime[#All],3,FALSE)</f>
        <v>61.2</v>
      </c>
      <c r="E97" s="20">
        <f>VLOOKUP(Input[[#This Row],[MD5]],buildtime[#All],4,FALSE)</f>
        <v>53.52</v>
      </c>
      <c r="F97" s="18">
        <f>VLOOKUP(Input[[#This Row],[MD5]],partialcf[#All],2,FALSE)</f>
        <v>529788.56352544599</v>
      </c>
      <c r="G97" s="19">
        <f>VLOOKUP(Input[[#This Row],[MD5]],partialcf[#All],3,FALSE)</f>
        <v>523607.78151562402</v>
      </c>
      <c r="H97" s="19">
        <f>VLOOKUP(Input[[#This Row],[MD5]],partialcf[#All],4,FALSE)</f>
        <v>457889.37794062501</v>
      </c>
      <c r="I97" s="19">
        <f>Input[[#This Row],[time2]]/$B$1</f>
        <v>35.319237568363064</v>
      </c>
      <c r="J97" s="19">
        <f>Input[[#This Row],[price2]]/$B$1</f>
        <v>34.907185434374938</v>
      </c>
      <c r="K97" s="20">
        <f>Input[[#This Row],[energy2]]/$B$1</f>
        <v>30.525958529375</v>
      </c>
      <c r="L97" s="18">
        <f>VLOOKUP(Input[[#This Row],[MD5]],fullcf[#All],2,FALSE)</f>
        <v>528867.34757901705</v>
      </c>
      <c r="M97" s="19">
        <f>VLOOKUP(Input[[#This Row],[MD5]],fullcf[#All],3,FALSE)</f>
        <v>1328944.6888593701</v>
      </c>
      <c r="N97" s="19">
        <f>VLOOKUP(Input[[#This Row],[MD5]],fullcf[#All],4,FALSE)</f>
        <v>1155848.0309718701</v>
      </c>
      <c r="O97" s="19">
        <f>Input[[#This Row],[time3]]/$B$1</f>
        <v>35.257823171934469</v>
      </c>
      <c r="P97" s="19">
        <f>Input[[#This Row],[price3]]/$B$1</f>
        <v>88.596312590624677</v>
      </c>
      <c r="Q97" s="20">
        <f>Input[[#This Row],[energy3]]/$B$1</f>
        <v>77.056535398124666</v>
      </c>
      <c r="R97" s="18">
        <f>VLOOKUP(Input[[#This Row],[MD5]],df[#All],2,FALSE)</f>
        <v>12739333766.1</v>
      </c>
      <c r="S97" s="19">
        <f>VLOOKUP(Input[[#This Row],[MD5]],df[#All],3,FALSE)</f>
        <v>3763728095.25</v>
      </c>
      <c r="T97" s="19">
        <f>VLOOKUP(Input[[#This Row],[MD5]],df[#All],4,FALSE)</f>
        <v>2190111966.8499899</v>
      </c>
      <c r="U97" s="19">
        <f>Input[[#This Row],[time4]]/$B$1</f>
        <v>849288.91774000006</v>
      </c>
      <c r="V97" s="19">
        <f>Input[[#This Row],[price4]]/$B$1</f>
        <v>250915.20634999999</v>
      </c>
      <c r="W97" s="20">
        <f>Input[[#This Row],[energy4]]/$B$1</f>
        <v>146007.464456666</v>
      </c>
    </row>
    <row r="98" spans="1:23">
      <c r="A98" s="24" t="s">
        <v>140</v>
      </c>
      <c r="B98" s="13" t="s">
        <v>272</v>
      </c>
      <c r="C98" s="18">
        <f>VLOOKUP(Input[[#This Row],[MD5]],buildtime[#All],2,FALSE)</f>
        <v>61.977142860000001</v>
      </c>
      <c r="D98" s="19">
        <f>VLOOKUP(Input[[#This Row],[MD5]],buildtime[#All],3,FALSE)</f>
        <v>61.2</v>
      </c>
      <c r="E98" s="20">
        <f>VLOOKUP(Input[[#This Row],[MD5]],buildtime[#All],4,FALSE)</f>
        <v>53.52</v>
      </c>
      <c r="F98" s="18">
        <f>VLOOKUP(Input[[#This Row],[MD5]],partialcf[#All],2,FALSE)</f>
        <v>15594.8368642857</v>
      </c>
      <c r="G98" s="19">
        <f>VLOOKUP(Input[[#This Row],[MD5]],partialcf[#All],3,FALSE)</f>
        <v>15404.941968749899</v>
      </c>
      <c r="H98" s="19">
        <f>VLOOKUP(Input[[#This Row],[MD5]],partialcf[#All],4,FALSE)</f>
        <v>13471.64124375</v>
      </c>
      <c r="I98" s="19">
        <f>Input[[#This Row],[time2]]/$B$1</f>
        <v>1.03965579095238</v>
      </c>
      <c r="J98" s="19">
        <f>Input[[#This Row],[price2]]/$B$1</f>
        <v>1.0269961312499933</v>
      </c>
      <c r="K98" s="20">
        <f>Input[[#This Row],[energy2]]/$B$1</f>
        <v>0.89810941625000007</v>
      </c>
      <c r="L98" s="18">
        <f>VLOOKUP(Input[[#This Row],[MD5]],fullcf[#All],2,FALSE)</f>
        <v>15583.4838464285</v>
      </c>
      <c r="M98" s="19">
        <f>VLOOKUP(Input[[#This Row],[MD5]],fullcf[#All],3,FALSE)</f>
        <v>871888.20787499996</v>
      </c>
      <c r="N98" s="19">
        <f>VLOOKUP(Input[[#This Row],[MD5]],fullcf[#All],4,FALSE)</f>
        <v>755757.13836249895</v>
      </c>
      <c r="O98" s="19">
        <f>Input[[#This Row],[time3]]/$B$1</f>
        <v>1.0388989230952335</v>
      </c>
      <c r="P98" s="19">
        <f>Input[[#This Row],[price3]]/$B$1</f>
        <v>58.125880524999999</v>
      </c>
      <c r="Q98" s="20">
        <f>Input[[#This Row],[energy3]]/$B$1</f>
        <v>50.383809224166598</v>
      </c>
      <c r="R98" s="18">
        <f>VLOOKUP(Input[[#This Row],[MD5]],df[#All],2,FALSE)</f>
        <v>5953141.8499999903</v>
      </c>
      <c r="S98" s="19">
        <f>VLOOKUP(Input[[#This Row],[MD5]],df[#All],3,FALSE)</f>
        <v>16534202.7083333</v>
      </c>
      <c r="T98" s="19">
        <f>VLOOKUP(Input[[#This Row],[MD5]],df[#All],4,FALSE)</f>
        <v>9888444.0749999899</v>
      </c>
      <c r="U98" s="19">
        <f>Input[[#This Row],[time4]]/$B$1</f>
        <v>396.87612333333271</v>
      </c>
      <c r="V98" s="19">
        <f>Input[[#This Row],[price4]]/$B$1</f>
        <v>1102.2801805555534</v>
      </c>
      <c r="W98" s="20">
        <f>Input[[#This Row],[energy4]]/$B$1</f>
        <v>659.22960499999931</v>
      </c>
    </row>
    <row r="99" spans="1:23">
      <c r="A99" s="24" t="s">
        <v>141</v>
      </c>
      <c r="B99" s="13" t="s">
        <v>273</v>
      </c>
      <c r="C99" s="18">
        <f>VLOOKUP(Input[[#This Row],[MD5]],buildtime[#All],2,FALSE)</f>
        <v>61.977142860000001</v>
      </c>
      <c r="D99" s="19">
        <f>VLOOKUP(Input[[#This Row],[MD5]],buildtime[#All],3,FALSE)</f>
        <v>61.2</v>
      </c>
      <c r="E99" s="20">
        <f>VLOOKUP(Input[[#This Row],[MD5]],buildtime[#All],4,FALSE)</f>
        <v>53.52</v>
      </c>
      <c r="F99" s="18">
        <f>VLOOKUP(Input[[#This Row],[MD5]],partialcf[#All],2,FALSE)</f>
        <v>679259.33048526698</v>
      </c>
      <c r="G99" s="19">
        <f>VLOOKUP(Input[[#This Row],[MD5]],partialcf[#All],3,FALSE)</f>
        <v>704141.25557812396</v>
      </c>
      <c r="H99" s="19">
        <f>VLOOKUP(Input[[#This Row],[MD5]],partialcf[#All],4,FALSE)</f>
        <v>615001.09462812403</v>
      </c>
      <c r="I99" s="19">
        <f>Input[[#This Row],[time2]]/$B$1</f>
        <v>45.283955365684463</v>
      </c>
      <c r="J99" s="19">
        <f>Input[[#This Row],[price2]]/$B$1</f>
        <v>46.942750371874929</v>
      </c>
      <c r="K99" s="20">
        <f>Input[[#This Row],[energy2]]/$B$1</f>
        <v>41.000072975208269</v>
      </c>
      <c r="L99" s="18">
        <f>VLOOKUP(Input[[#This Row],[MD5]],fullcf[#All],2,FALSE)</f>
        <v>612713.66226651706</v>
      </c>
      <c r="M99" s="19">
        <f>VLOOKUP(Input[[#This Row],[MD5]],fullcf[#All],3,FALSE)</f>
        <v>1445255.6497968701</v>
      </c>
      <c r="N99" s="19">
        <f>VLOOKUP(Input[[#This Row],[MD5]],fullcf[#All],4,FALSE)</f>
        <v>1257300.2362843701</v>
      </c>
      <c r="O99" s="19">
        <f>Input[[#This Row],[time3]]/$B$1</f>
        <v>40.847577484434467</v>
      </c>
      <c r="P99" s="19">
        <f>Input[[#This Row],[price3]]/$B$1</f>
        <v>96.35037665312467</v>
      </c>
      <c r="Q99" s="20">
        <f>Input[[#This Row],[energy3]]/$B$1</f>
        <v>83.82001575229134</v>
      </c>
      <c r="R99" s="18">
        <f>VLOOKUP(Input[[#This Row],[MD5]],df[#All],2,FALSE)</f>
        <v>14686293286.1</v>
      </c>
      <c r="S99" s="19">
        <f>VLOOKUP(Input[[#This Row],[MD5]],df[#All],3,FALSE)</f>
        <v>5053960095.25</v>
      </c>
      <c r="T99" s="19">
        <f>VLOOKUP(Input[[#This Row],[MD5]],df[#All],4,FALSE)</f>
        <v>2953839486.8499899</v>
      </c>
      <c r="U99" s="19">
        <f>Input[[#This Row],[time4]]/$B$1</f>
        <v>979086.21907333331</v>
      </c>
      <c r="V99" s="19">
        <f>Input[[#This Row],[price4]]/$B$1</f>
        <v>336930.67301666667</v>
      </c>
      <c r="W99" s="20">
        <f>Input[[#This Row],[energy4]]/$B$1</f>
        <v>196922.632456666</v>
      </c>
    </row>
    <row r="100" spans="1:23">
      <c r="A100" s="24" t="s">
        <v>142</v>
      </c>
      <c r="B100" s="13" t="s">
        <v>274</v>
      </c>
      <c r="C100" s="18">
        <f>VLOOKUP(Input[[#This Row],[MD5]],buildtime[#All],2,FALSE)</f>
        <v>61.977142860000001</v>
      </c>
      <c r="D100" s="19">
        <f>VLOOKUP(Input[[#This Row],[MD5]],buildtime[#All],3,FALSE)</f>
        <v>61.2</v>
      </c>
      <c r="E100" s="20">
        <f>VLOOKUP(Input[[#This Row],[MD5]],buildtime[#All],4,FALSE)</f>
        <v>53.52</v>
      </c>
      <c r="F100" s="18">
        <f>VLOOKUP(Input[[#This Row],[MD5]],partialcf[#All],2,FALSE)</f>
        <v>17130.1268741071</v>
      </c>
      <c r="G100" s="19">
        <f>VLOOKUP(Input[[#This Row],[MD5]],partialcf[#All],3,FALSE)</f>
        <v>17048.56059375</v>
      </c>
      <c r="H100" s="19">
        <f>VLOOKUP(Input[[#This Row],[MD5]],partialcf[#All],4,FALSE)</f>
        <v>14906.03254375</v>
      </c>
      <c r="I100" s="19">
        <f>Input[[#This Row],[time2]]/$B$1</f>
        <v>1.1420084582738066</v>
      </c>
      <c r="J100" s="19">
        <f>Input[[#This Row],[price2]]/$B$1</f>
        <v>1.1365707062500001</v>
      </c>
      <c r="K100" s="20">
        <f>Input[[#This Row],[energy2]]/$B$1</f>
        <v>0.99373550291666668</v>
      </c>
      <c r="L100" s="18">
        <f>VLOOKUP(Input[[#This Row],[MD5]],fullcf[#All],2,FALSE)</f>
        <v>16864.580441071401</v>
      </c>
      <c r="M100" s="19">
        <f>VLOOKUP(Input[[#This Row],[MD5]],fullcf[#All],3,FALSE)</f>
        <v>873028.55231249996</v>
      </c>
      <c r="N100" s="19">
        <f>VLOOKUP(Input[[#This Row],[MD5]],fullcf[#All],4,FALSE)</f>
        <v>756755.35869999905</v>
      </c>
      <c r="O100" s="19">
        <f>Input[[#This Row],[time3]]/$B$1</f>
        <v>1.1243053627380935</v>
      </c>
      <c r="P100" s="19">
        <f>Input[[#This Row],[price3]]/$B$1</f>
        <v>58.201903487499997</v>
      </c>
      <c r="Q100" s="20">
        <f>Input[[#This Row],[energy3]]/$B$1</f>
        <v>50.450357246666606</v>
      </c>
      <c r="R100" s="18">
        <f>VLOOKUP(Input[[#This Row],[MD5]],df[#All],2,FALSE)</f>
        <v>69433947.700000003</v>
      </c>
      <c r="S100" s="19">
        <f>VLOOKUP(Input[[#This Row],[MD5]],df[#All],3,FALSE)</f>
        <v>35185629.25</v>
      </c>
      <c r="T100" s="19">
        <f>VLOOKUP(Input[[#This Row],[MD5]],df[#All],4,FALSE)</f>
        <v>20739830.449999999</v>
      </c>
      <c r="U100" s="19">
        <f>Input[[#This Row],[time4]]/$B$1</f>
        <v>4628.9298466666669</v>
      </c>
      <c r="V100" s="19">
        <f>Input[[#This Row],[price4]]/$B$1</f>
        <v>2345.7086166666668</v>
      </c>
      <c r="W100" s="20">
        <f>Input[[#This Row],[energy4]]/$B$1</f>
        <v>1382.6553633333333</v>
      </c>
    </row>
    <row r="101" spans="1:23">
      <c r="A101" s="24" t="s">
        <v>143</v>
      </c>
      <c r="B101" s="13" t="s">
        <v>275</v>
      </c>
      <c r="C101" s="18">
        <f>VLOOKUP(Input[[#This Row],[MD5]],buildtime[#All],2,FALSE)</f>
        <v>61.977142860000001</v>
      </c>
      <c r="D101" s="19">
        <f>VLOOKUP(Input[[#This Row],[MD5]],buildtime[#All],3,FALSE)</f>
        <v>61.2</v>
      </c>
      <c r="E101" s="20">
        <f>VLOOKUP(Input[[#This Row],[MD5]],buildtime[#All],4,FALSE)</f>
        <v>53.52</v>
      </c>
      <c r="F101" s="18">
        <f>VLOOKUP(Input[[#This Row],[MD5]],partialcf[#All],2,FALSE)</f>
        <v>533122.39156160702</v>
      </c>
      <c r="G101" s="19">
        <f>VLOOKUP(Input[[#This Row],[MD5]],partialcf[#All],3,FALSE)</f>
        <v>528678.26371874905</v>
      </c>
      <c r="H101" s="19">
        <f>VLOOKUP(Input[[#This Row],[MD5]],partialcf[#All],4,FALSE)</f>
        <v>462282.17241875001</v>
      </c>
      <c r="I101" s="19">
        <f>Input[[#This Row],[time2]]/$B$1</f>
        <v>35.5414927707738</v>
      </c>
      <c r="J101" s="19">
        <f>Input[[#This Row],[price2]]/$B$1</f>
        <v>35.245217581249939</v>
      </c>
      <c r="K101" s="20">
        <f>Input[[#This Row],[energy2]]/$B$1</f>
        <v>30.818811494583333</v>
      </c>
      <c r="L101" s="18">
        <f>VLOOKUP(Input[[#This Row],[MD5]],fullcf[#All],2,FALSE)</f>
        <v>528657.73168214201</v>
      </c>
      <c r="M101" s="19">
        <f>VLOOKUP(Input[[#This Row],[MD5]],fullcf[#All],3,FALSE)</f>
        <v>1328653.9113749999</v>
      </c>
      <c r="N101" s="19">
        <f>VLOOKUP(Input[[#This Row],[MD5]],fullcf[#All],4,FALSE)</f>
        <v>1155594.4003874899</v>
      </c>
      <c r="O101" s="19">
        <f>Input[[#This Row],[time3]]/$B$1</f>
        <v>35.243848778809465</v>
      </c>
      <c r="P101" s="19">
        <f>Input[[#This Row],[price3]]/$B$1</f>
        <v>88.576927424999994</v>
      </c>
      <c r="Q101" s="20">
        <f>Input[[#This Row],[energy3]]/$B$1</f>
        <v>77.039626692499326</v>
      </c>
      <c r="R101" s="18">
        <f>VLOOKUP(Input[[#This Row],[MD5]],df[#All],2,FALSE)</f>
        <v>12729631458.1</v>
      </c>
      <c r="S101" s="19">
        <f>VLOOKUP(Input[[#This Row],[MD5]],df[#All],3,FALSE)</f>
        <v>3757298525.25</v>
      </c>
      <c r="T101" s="19">
        <f>VLOOKUP(Input[[#This Row],[MD5]],df[#All],4,FALSE)</f>
        <v>2186306108.8499899</v>
      </c>
      <c r="U101" s="19">
        <f>Input[[#This Row],[time4]]/$B$1</f>
        <v>848642.09720666672</v>
      </c>
      <c r="V101" s="19">
        <f>Input[[#This Row],[price4]]/$B$1</f>
        <v>250486.56834999999</v>
      </c>
      <c r="W101" s="20">
        <f>Input[[#This Row],[energy4]]/$B$1</f>
        <v>145753.74058999933</v>
      </c>
    </row>
    <row r="102" spans="1:23">
      <c r="A102" s="24" t="s">
        <v>144</v>
      </c>
      <c r="B102" s="13" t="s">
        <v>276</v>
      </c>
      <c r="C102" s="18">
        <f>VLOOKUP(Input[[#This Row],[MD5]],buildtime[#All],2,FALSE)</f>
        <v>61.977142860000001</v>
      </c>
      <c r="D102" s="19">
        <f>VLOOKUP(Input[[#This Row],[MD5]],buildtime[#All],3,FALSE)</f>
        <v>61.2</v>
      </c>
      <c r="E102" s="20">
        <f>VLOOKUP(Input[[#This Row],[MD5]],buildtime[#All],4,FALSE)</f>
        <v>53.52</v>
      </c>
      <c r="F102" s="18">
        <f>VLOOKUP(Input[[#This Row],[MD5]],partialcf[#All],2,FALSE)</f>
        <v>533122.36512410699</v>
      </c>
      <c r="G102" s="19">
        <f>VLOOKUP(Input[[#This Row],[MD5]],partialcf[#All],3,FALSE)</f>
        <v>528678.224343749</v>
      </c>
      <c r="H102" s="19">
        <f>VLOOKUP(Input[[#This Row],[MD5]],partialcf[#All],4,FALSE)</f>
        <v>462282.13829375</v>
      </c>
      <c r="I102" s="19">
        <f>Input[[#This Row],[time2]]/$B$1</f>
        <v>35.541491008273802</v>
      </c>
      <c r="J102" s="19">
        <f>Input[[#This Row],[price2]]/$B$1</f>
        <v>35.245214956249932</v>
      </c>
      <c r="K102" s="20">
        <f>Input[[#This Row],[energy2]]/$B$1</f>
        <v>30.818809219583333</v>
      </c>
      <c r="L102" s="18">
        <f>VLOOKUP(Input[[#This Row],[MD5]],fullcf[#All],2,FALSE)</f>
        <v>528657.68761964201</v>
      </c>
      <c r="M102" s="19">
        <f>VLOOKUP(Input[[#This Row],[MD5]],fullcf[#All],3,FALSE)</f>
        <v>1328653.8785625</v>
      </c>
      <c r="N102" s="19">
        <f>VLOOKUP(Input[[#This Row],[MD5]],fullcf[#All],4,FALSE)</f>
        <v>1155594.3719500001</v>
      </c>
      <c r="O102" s="19">
        <f>Input[[#This Row],[time3]]/$B$1</f>
        <v>35.243845841309465</v>
      </c>
      <c r="P102" s="19">
        <f>Input[[#This Row],[price3]]/$B$1</f>
        <v>88.576925237500006</v>
      </c>
      <c r="Q102" s="20">
        <f>Input[[#This Row],[energy3]]/$B$1</f>
        <v>77.039624796666672</v>
      </c>
      <c r="R102" s="18">
        <f>VLOOKUP(Input[[#This Row],[MD5]],df[#All],2,FALSE)</f>
        <v>12729606818.1</v>
      </c>
      <c r="S102" s="19">
        <f>VLOOKUP(Input[[#This Row],[MD5]],df[#All],3,FALSE)</f>
        <v>3757294125.25</v>
      </c>
      <c r="T102" s="19">
        <f>VLOOKUP(Input[[#This Row],[MD5]],df[#All],4,FALSE)</f>
        <v>2186303468.8499899</v>
      </c>
      <c r="U102" s="19">
        <f>Input[[#This Row],[time4]]/$B$1</f>
        <v>848640.45454000006</v>
      </c>
      <c r="V102" s="19">
        <f>Input[[#This Row],[price4]]/$B$1</f>
        <v>250486.27501666668</v>
      </c>
      <c r="W102" s="20">
        <f>Input[[#This Row],[energy4]]/$B$1</f>
        <v>145753.56458999933</v>
      </c>
    </row>
    <row r="103" spans="1:23">
      <c r="A103" s="24" t="s">
        <v>145</v>
      </c>
      <c r="B103" s="13" t="s">
        <v>277</v>
      </c>
      <c r="C103" s="18">
        <f>VLOOKUP(Input[[#This Row],[MD5]],buildtime[#All],2,FALSE)</f>
        <v>61.977142860000001</v>
      </c>
      <c r="D103" s="19">
        <f>VLOOKUP(Input[[#This Row],[MD5]],buildtime[#All],3,FALSE)</f>
        <v>61.2</v>
      </c>
      <c r="E103" s="20">
        <f>VLOOKUP(Input[[#This Row],[MD5]],buildtime[#All],4,FALSE)</f>
        <v>53.52</v>
      </c>
      <c r="F103" s="18">
        <f>VLOOKUP(Input[[#This Row],[MD5]],partialcf[#All],2,FALSE)</f>
        <v>19626.530435714201</v>
      </c>
      <c r="G103" s="19">
        <f>VLOOKUP(Input[[#This Row],[MD5]],partialcf[#All],3,FALSE)</f>
        <v>21409.591968749901</v>
      </c>
      <c r="H103" s="19">
        <f>VLOOKUP(Input[[#This Row],[MD5]],partialcf[#All],4,FALSE)</f>
        <v>18675.671243749999</v>
      </c>
      <c r="I103" s="19">
        <f>Input[[#This Row],[time2]]/$B$1</f>
        <v>1.3084353623809468</v>
      </c>
      <c r="J103" s="19">
        <f>Input[[#This Row],[price2]]/$B$1</f>
        <v>1.4273061312499933</v>
      </c>
      <c r="K103" s="20">
        <f>Input[[#This Row],[energy2]]/$B$1</f>
        <v>1.2450447495833332</v>
      </c>
      <c r="L103" s="18">
        <f>VLOOKUP(Input[[#This Row],[MD5]],fullcf[#All],2,FALSE)</f>
        <v>15583.4838464285</v>
      </c>
      <c r="M103" s="19">
        <f>VLOOKUP(Input[[#This Row],[MD5]],fullcf[#All],3,FALSE)</f>
        <v>871888.20787499996</v>
      </c>
      <c r="N103" s="19">
        <f>VLOOKUP(Input[[#This Row],[MD5]],fullcf[#All],4,FALSE)</f>
        <v>755757.13836249895</v>
      </c>
      <c r="O103" s="19">
        <f>Input[[#This Row],[time3]]/$B$1</f>
        <v>1.0388989230952335</v>
      </c>
      <c r="P103" s="19">
        <f>Input[[#This Row],[price3]]/$B$1</f>
        <v>58.125880524999999</v>
      </c>
      <c r="Q103" s="20">
        <f>Input[[#This Row],[energy3]]/$B$1</f>
        <v>50.383809224166598</v>
      </c>
      <c r="R103" s="18">
        <f>VLOOKUP(Input[[#This Row],[MD5]],df[#All],2,FALSE)</f>
        <v>5953141.8499999903</v>
      </c>
      <c r="S103" s="19">
        <f>VLOOKUP(Input[[#This Row],[MD5]],df[#All],3,FALSE)</f>
        <v>16534202.7083333</v>
      </c>
      <c r="T103" s="19">
        <f>VLOOKUP(Input[[#This Row],[MD5]],df[#All],4,FALSE)</f>
        <v>9888444.0749999899</v>
      </c>
      <c r="U103" s="19">
        <f>Input[[#This Row],[time4]]/$B$1</f>
        <v>396.87612333333271</v>
      </c>
      <c r="V103" s="19">
        <f>Input[[#This Row],[price4]]/$B$1</f>
        <v>1102.2801805555534</v>
      </c>
      <c r="W103" s="20">
        <f>Input[[#This Row],[energy4]]/$B$1</f>
        <v>659.22960499999931</v>
      </c>
    </row>
    <row r="104" spans="1:23">
      <c r="A104" s="24" t="s">
        <v>146</v>
      </c>
      <c r="B104" s="13" t="s">
        <v>278</v>
      </c>
      <c r="C104" s="18">
        <f>VLOOKUP(Input[[#This Row],[MD5]],buildtime[#All],2,FALSE)</f>
        <v>50.51142857</v>
      </c>
      <c r="D104" s="19">
        <f>VLOOKUP(Input[[#This Row],[MD5]],buildtime[#All],3,FALSE)</f>
        <v>68.7</v>
      </c>
      <c r="E104" s="20">
        <f>VLOOKUP(Input[[#This Row],[MD5]],buildtime[#All],4,FALSE)</f>
        <v>60.02</v>
      </c>
      <c r="F104" s="18">
        <f>VLOOKUP(Input[[#This Row],[MD5]],partialcf[#All],2,FALSE)</f>
        <v>662186.77055669599</v>
      </c>
      <c r="G104" s="19">
        <f>VLOOKUP(Input[[#This Row],[MD5]],partialcf[#All],3,FALSE)</f>
        <v>622686.82762499899</v>
      </c>
      <c r="H104" s="19">
        <f>VLOOKUP(Input[[#This Row],[MD5]],partialcf[#All],4,FALSE)</f>
        <v>543756.26113749901</v>
      </c>
      <c r="I104" s="19">
        <f>Input[[#This Row],[time2]]/$B$1</f>
        <v>44.145784703779732</v>
      </c>
      <c r="J104" s="19">
        <f>Input[[#This Row],[price2]]/$B$1</f>
        <v>41.512455174999936</v>
      </c>
      <c r="K104" s="20">
        <f>Input[[#This Row],[energy2]]/$B$1</f>
        <v>36.250417409166602</v>
      </c>
      <c r="L104" s="18">
        <f>VLOOKUP(Input[[#This Row],[MD5]],fullcf[#All],2,FALSE)</f>
        <v>661519.26333794603</v>
      </c>
      <c r="M104" s="19">
        <f>VLOOKUP(Input[[#This Row],[MD5]],fullcf[#All],3,FALSE)</f>
        <v>1428191.5268437399</v>
      </c>
      <c r="N104" s="19">
        <f>VLOOKUP(Input[[#This Row],[MD5]],fullcf[#All],4,FALSE)</f>
        <v>1241860.33379375</v>
      </c>
      <c r="O104" s="19">
        <f>Input[[#This Row],[time3]]/$B$1</f>
        <v>44.101284222529735</v>
      </c>
      <c r="P104" s="19">
        <f>Input[[#This Row],[price3]]/$B$1</f>
        <v>95.212768456249322</v>
      </c>
      <c r="Q104" s="20">
        <f>Input[[#This Row],[energy3]]/$B$1</f>
        <v>82.790688919583332</v>
      </c>
      <c r="R104" s="18">
        <f>VLOOKUP(Input[[#This Row],[MD5]],df[#All],2,FALSE)</f>
        <v>22255252524</v>
      </c>
      <c r="S104" s="19">
        <f>VLOOKUP(Input[[#This Row],[MD5]],df[#All],3,FALSE)</f>
        <v>5458308182.75</v>
      </c>
      <c r="T104" s="19">
        <f>VLOOKUP(Input[[#This Row],[MD5]],df[#All],4,FALSE)</f>
        <v>3206911903.3499899</v>
      </c>
      <c r="U104" s="19">
        <f>Input[[#This Row],[time4]]/$B$1</f>
        <v>1483683.5016000001</v>
      </c>
      <c r="V104" s="19">
        <f>Input[[#This Row],[price4]]/$B$1</f>
        <v>363887.21218333335</v>
      </c>
      <c r="W104" s="20">
        <f>Input[[#This Row],[energy4]]/$B$1</f>
        <v>213794.12688999932</v>
      </c>
    </row>
    <row r="105" spans="1:23">
      <c r="A105" s="24" t="s">
        <v>147</v>
      </c>
      <c r="B105" s="13" t="s">
        <v>279</v>
      </c>
      <c r="C105" s="18">
        <f>VLOOKUP(Input[[#This Row],[MD5]],buildtime[#All],2,FALSE)</f>
        <v>61.977142860000001</v>
      </c>
      <c r="D105" s="19">
        <f>VLOOKUP(Input[[#This Row],[MD5]],buildtime[#All],3,FALSE)</f>
        <v>61.2</v>
      </c>
      <c r="E105" s="20">
        <f>VLOOKUP(Input[[#This Row],[MD5]],buildtime[#All],4,FALSE)</f>
        <v>53.52</v>
      </c>
      <c r="F105" s="18">
        <f>VLOOKUP(Input[[#This Row],[MD5]],partialcf[#All],2,FALSE)</f>
        <v>19411.1233396428</v>
      </c>
      <c r="G105" s="19">
        <f>VLOOKUP(Input[[#This Row],[MD5]],partialcf[#All],3,FALSE)</f>
        <v>21069.1860749999</v>
      </c>
      <c r="H105" s="19">
        <f>VLOOKUP(Input[[#This Row],[MD5]],partialcf[#All],4,FALSE)</f>
        <v>18380.955044999999</v>
      </c>
      <c r="I105" s="19">
        <f>Input[[#This Row],[time2]]/$B$1</f>
        <v>1.29407488930952</v>
      </c>
      <c r="J105" s="19">
        <f>Input[[#This Row],[price2]]/$B$1</f>
        <v>1.4046124049999933</v>
      </c>
      <c r="K105" s="20">
        <f>Input[[#This Row],[energy2]]/$B$1</f>
        <v>1.2253970029999999</v>
      </c>
      <c r="L105" s="18">
        <f>VLOOKUP(Input[[#This Row],[MD5]],fullcf[#All],2,FALSE)</f>
        <v>15622.465047678499</v>
      </c>
      <c r="M105" s="19">
        <f>VLOOKUP(Input[[#This Row],[MD5]],fullcf[#All],3,FALSE)</f>
        <v>871919.15491875005</v>
      </c>
      <c r="N105" s="19">
        <f>VLOOKUP(Input[[#This Row],[MD5]],fullcf[#All],4,FALSE)</f>
        <v>755784.26137624902</v>
      </c>
      <c r="O105" s="19">
        <f>Input[[#This Row],[time3]]/$B$1</f>
        <v>1.0414976698452332</v>
      </c>
      <c r="P105" s="19">
        <f>Input[[#This Row],[price3]]/$B$1</f>
        <v>58.127943661250001</v>
      </c>
      <c r="Q105" s="20">
        <f>Input[[#This Row],[energy3]]/$B$1</f>
        <v>50.385617425083268</v>
      </c>
      <c r="R105" s="18">
        <f>VLOOKUP(Input[[#This Row],[MD5]],df[#All],2,FALSE)</f>
        <v>6002523.5133333299</v>
      </c>
      <c r="S105" s="19">
        <f>VLOOKUP(Input[[#This Row],[MD5]],df[#All],3,FALSE)</f>
        <v>16548536.1166666</v>
      </c>
      <c r="T105" s="19">
        <f>VLOOKUP(Input[[#This Row],[MD5]],df[#All],4,FALSE)</f>
        <v>9896696.1966666598</v>
      </c>
      <c r="U105" s="19">
        <f>Input[[#This Row],[time4]]/$B$1</f>
        <v>400.168234222222</v>
      </c>
      <c r="V105" s="19">
        <f>Input[[#This Row],[price4]]/$B$1</f>
        <v>1103.2357411111066</v>
      </c>
      <c r="W105" s="20">
        <f>Input[[#This Row],[energy4]]/$B$1</f>
        <v>659.77974644444396</v>
      </c>
    </row>
    <row r="106" spans="1:23">
      <c r="A106" s="24" t="s">
        <v>148</v>
      </c>
      <c r="B106" s="13" t="s">
        <v>280</v>
      </c>
      <c r="C106" s="18">
        <f>VLOOKUP(Input[[#This Row],[MD5]],buildtime[#All],2,FALSE)</f>
        <v>61.977142860000001</v>
      </c>
      <c r="D106" s="19">
        <f>VLOOKUP(Input[[#This Row],[MD5]],buildtime[#All],3,FALSE)</f>
        <v>61.2</v>
      </c>
      <c r="E106" s="20">
        <f>VLOOKUP(Input[[#This Row],[MD5]],buildtime[#All],4,FALSE)</f>
        <v>53.52</v>
      </c>
      <c r="F106" s="18">
        <f>VLOOKUP(Input[[#This Row],[MD5]],partialcf[#All],2,FALSE)</f>
        <v>529788.55030669598</v>
      </c>
      <c r="G106" s="19">
        <f>VLOOKUP(Input[[#This Row],[MD5]],partialcf[#All],3,FALSE)</f>
        <v>523607.761828124</v>
      </c>
      <c r="H106" s="19">
        <f>VLOOKUP(Input[[#This Row],[MD5]],partialcf[#All],4,FALSE)</f>
        <v>457889.36087812501</v>
      </c>
      <c r="I106" s="19">
        <f>Input[[#This Row],[time2]]/$B$1</f>
        <v>35.319236687113069</v>
      </c>
      <c r="J106" s="19">
        <f>Input[[#This Row],[price2]]/$B$1</f>
        <v>34.907184121874934</v>
      </c>
      <c r="K106" s="20">
        <f>Input[[#This Row],[energy2]]/$B$1</f>
        <v>30.525957391875</v>
      </c>
      <c r="L106" s="18">
        <f>VLOOKUP(Input[[#This Row],[MD5]],fullcf[#All],2,FALSE)</f>
        <v>528867.30351651704</v>
      </c>
      <c r="M106" s="19">
        <f>VLOOKUP(Input[[#This Row],[MD5]],fullcf[#All],3,FALSE)</f>
        <v>1328944.6560468699</v>
      </c>
      <c r="N106" s="19">
        <f>VLOOKUP(Input[[#This Row],[MD5]],fullcf[#All],4,FALSE)</f>
        <v>1155848.0025343699</v>
      </c>
      <c r="O106" s="19">
        <f>Input[[#This Row],[time3]]/$B$1</f>
        <v>35.257820234434469</v>
      </c>
      <c r="P106" s="19">
        <f>Input[[#This Row],[price3]]/$B$1</f>
        <v>88.596310403124662</v>
      </c>
      <c r="Q106" s="20">
        <f>Input[[#This Row],[energy3]]/$B$1</f>
        <v>77.05653350229133</v>
      </c>
      <c r="R106" s="18">
        <f>VLOOKUP(Input[[#This Row],[MD5]],df[#All],2,FALSE)</f>
        <v>12739309126.1</v>
      </c>
      <c r="S106" s="19">
        <f>VLOOKUP(Input[[#This Row],[MD5]],df[#All],3,FALSE)</f>
        <v>3763723695.25</v>
      </c>
      <c r="T106" s="19">
        <f>VLOOKUP(Input[[#This Row],[MD5]],df[#All],4,FALSE)</f>
        <v>2190109326.8499899</v>
      </c>
      <c r="U106" s="19">
        <f>Input[[#This Row],[time4]]/$B$1</f>
        <v>849287.27507333341</v>
      </c>
      <c r="V106" s="19">
        <f>Input[[#This Row],[price4]]/$B$1</f>
        <v>250914.91301666666</v>
      </c>
      <c r="W106" s="20">
        <f>Input[[#This Row],[energy4]]/$B$1</f>
        <v>146007.28845666599</v>
      </c>
    </row>
    <row r="107" spans="1:23">
      <c r="A107" s="24" t="s">
        <v>149</v>
      </c>
      <c r="B107" s="13" t="s">
        <v>281</v>
      </c>
      <c r="C107" s="18">
        <f>VLOOKUP(Input[[#This Row],[MD5]],buildtime[#All],2,FALSE)</f>
        <v>61.977142860000001</v>
      </c>
      <c r="D107" s="19">
        <f>VLOOKUP(Input[[#This Row],[MD5]],buildtime[#All],3,FALSE)</f>
        <v>61.2</v>
      </c>
      <c r="E107" s="20">
        <f>VLOOKUP(Input[[#This Row],[MD5]],buildtime[#All],4,FALSE)</f>
        <v>53.52</v>
      </c>
      <c r="F107" s="18">
        <f>VLOOKUP(Input[[#This Row],[MD5]],partialcf[#All],2,FALSE)</f>
        <v>17199.468659821399</v>
      </c>
      <c r="G107" s="19">
        <f>VLOOKUP(Input[[#This Row],[MD5]],partialcf[#All],3,FALSE)</f>
        <v>17151.8355937499</v>
      </c>
      <c r="H107" s="19">
        <f>VLOOKUP(Input[[#This Row],[MD5]],partialcf[#All],4,FALSE)</f>
        <v>14995.537543750001</v>
      </c>
      <c r="I107" s="19">
        <f>Input[[#This Row],[time2]]/$B$1</f>
        <v>1.1466312439880932</v>
      </c>
      <c r="J107" s="19">
        <f>Input[[#This Row],[price2]]/$B$1</f>
        <v>1.1434557062499933</v>
      </c>
      <c r="K107" s="20">
        <f>Input[[#This Row],[energy2]]/$B$1</f>
        <v>0.99970250291666674</v>
      </c>
      <c r="L107" s="18">
        <f>VLOOKUP(Input[[#This Row],[MD5]],fullcf[#All],2,FALSE)</f>
        <v>16864.580441071401</v>
      </c>
      <c r="M107" s="19">
        <f>VLOOKUP(Input[[#This Row],[MD5]],fullcf[#All],3,FALSE)</f>
        <v>873028.55231249996</v>
      </c>
      <c r="N107" s="19">
        <f>VLOOKUP(Input[[#This Row],[MD5]],fullcf[#All],4,FALSE)</f>
        <v>756755.35869999905</v>
      </c>
      <c r="O107" s="19">
        <f>Input[[#This Row],[time3]]/$B$1</f>
        <v>1.1243053627380935</v>
      </c>
      <c r="P107" s="19">
        <f>Input[[#This Row],[price3]]/$B$1</f>
        <v>58.201903487499997</v>
      </c>
      <c r="Q107" s="20">
        <f>Input[[#This Row],[energy3]]/$B$1</f>
        <v>50.450357246666606</v>
      </c>
      <c r="R107" s="18">
        <f>VLOOKUP(Input[[#This Row],[MD5]],df[#All],2,FALSE)</f>
        <v>69433947.700000003</v>
      </c>
      <c r="S107" s="19">
        <f>VLOOKUP(Input[[#This Row],[MD5]],df[#All],3,FALSE)</f>
        <v>35185629.25</v>
      </c>
      <c r="T107" s="19">
        <f>VLOOKUP(Input[[#This Row],[MD5]],df[#All],4,FALSE)</f>
        <v>20739830.449999999</v>
      </c>
      <c r="U107" s="19">
        <f>Input[[#This Row],[time4]]/$B$1</f>
        <v>4628.9298466666669</v>
      </c>
      <c r="V107" s="19">
        <f>Input[[#This Row],[price4]]/$B$1</f>
        <v>2345.7086166666668</v>
      </c>
      <c r="W107" s="20">
        <f>Input[[#This Row],[energy4]]/$B$1</f>
        <v>1382.6553633333333</v>
      </c>
    </row>
    <row r="108" spans="1:23">
      <c r="A108" s="24" t="s">
        <v>150</v>
      </c>
      <c r="B108" s="13" t="s">
        <v>282</v>
      </c>
      <c r="C108" s="18">
        <f>VLOOKUP(Input[[#This Row],[MD5]],buildtime[#All],2,FALSE)</f>
        <v>50.51142857</v>
      </c>
      <c r="D108" s="19">
        <f>VLOOKUP(Input[[#This Row],[MD5]],buildtime[#All],3,FALSE)</f>
        <v>70.2</v>
      </c>
      <c r="E108" s="20">
        <f>VLOOKUP(Input[[#This Row],[MD5]],buildtime[#All],4,FALSE)</f>
        <v>61.32</v>
      </c>
      <c r="F108" s="18">
        <f>VLOOKUP(Input[[#This Row],[MD5]],partialcf[#All],2,FALSE)</f>
        <v>662186.78377544601</v>
      </c>
      <c r="G108" s="19">
        <f>VLOOKUP(Input[[#This Row],[MD5]],partialcf[#All],3,FALSE)</f>
        <v>622687.38871874905</v>
      </c>
      <c r="H108" s="19">
        <f>VLOOKUP(Input[[#This Row],[MD5]],partialcf[#All],4,FALSE)</f>
        <v>543756.74741874903</v>
      </c>
      <c r="I108" s="19">
        <f>Input[[#This Row],[time2]]/$B$1</f>
        <v>44.145785585029735</v>
      </c>
      <c r="J108" s="19">
        <f>Input[[#This Row],[price2]]/$B$1</f>
        <v>41.512492581249937</v>
      </c>
      <c r="K108" s="20">
        <f>Input[[#This Row],[energy2]]/$B$1</f>
        <v>36.250449827916604</v>
      </c>
      <c r="L108" s="18">
        <f>VLOOKUP(Input[[#This Row],[MD5]],fullcf[#All],2,FALSE)</f>
        <v>661519.30740044604</v>
      </c>
      <c r="M108" s="19">
        <f>VLOOKUP(Input[[#This Row],[MD5]],fullcf[#All],3,FALSE)</f>
        <v>1428191.6613749899</v>
      </c>
      <c r="N108" s="19">
        <f>VLOOKUP(Input[[#This Row],[MD5]],fullcf[#All],4,FALSE)</f>
        <v>1241860.4503875</v>
      </c>
      <c r="O108" s="19">
        <f>Input[[#This Row],[time3]]/$B$1</f>
        <v>44.101287160029734</v>
      </c>
      <c r="P108" s="19">
        <f>Input[[#This Row],[price3]]/$B$1</f>
        <v>95.212777424999331</v>
      </c>
      <c r="Q108" s="20">
        <f>Input[[#This Row],[energy3]]/$B$1</f>
        <v>82.790696692500006</v>
      </c>
      <c r="R108" s="18">
        <f>VLOOKUP(Input[[#This Row],[MD5]],df[#All],2,FALSE)</f>
        <v>22255277164</v>
      </c>
      <c r="S108" s="19">
        <f>VLOOKUP(Input[[#This Row],[MD5]],df[#All],3,FALSE)</f>
        <v>5458323482.75</v>
      </c>
      <c r="T108" s="19">
        <f>VLOOKUP(Input[[#This Row],[MD5]],df[#All],4,FALSE)</f>
        <v>3206921083.3499899</v>
      </c>
      <c r="U108" s="19">
        <f>Input[[#This Row],[time4]]/$B$1</f>
        <v>1483685.1442666666</v>
      </c>
      <c r="V108" s="19">
        <f>Input[[#This Row],[price4]]/$B$1</f>
        <v>363888.23218333331</v>
      </c>
      <c r="W108" s="20">
        <f>Input[[#This Row],[energy4]]/$B$1</f>
        <v>213794.73888999934</v>
      </c>
    </row>
    <row r="109" spans="1:23">
      <c r="A109" s="24" t="s">
        <v>151</v>
      </c>
      <c r="B109" s="13" t="s">
        <v>283</v>
      </c>
      <c r="C109" s="18">
        <f>VLOOKUP(Input[[#This Row],[MD5]],buildtime[#All],2,FALSE)</f>
        <v>50.51142857</v>
      </c>
      <c r="D109" s="19">
        <f>VLOOKUP(Input[[#This Row],[MD5]],buildtime[#All],3,FALSE)</f>
        <v>70.2</v>
      </c>
      <c r="E109" s="20">
        <f>VLOOKUP(Input[[#This Row],[MD5]],buildtime[#All],4,FALSE)</f>
        <v>61.32</v>
      </c>
      <c r="F109" s="18">
        <f>VLOOKUP(Input[[#This Row],[MD5]],partialcf[#All],2,FALSE)</f>
        <v>662186.501775446</v>
      </c>
      <c r="G109" s="19">
        <f>VLOOKUP(Input[[#This Row],[MD5]],partialcf[#All],3,FALSE)</f>
        <v>622687.49371874903</v>
      </c>
      <c r="H109" s="19">
        <f>VLOOKUP(Input[[#This Row],[MD5]],partialcf[#All],4,FALSE)</f>
        <v>543756.83841874904</v>
      </c>
      <c r="I109" s="19">
        <f>Input[[#This Row],[time2]]/$B$1</f>
        <v>44.145766785029736</v>
      </c>
      <c r="J109" s="19">
        <f>Input[[#This Row],[price2]]/$B$1</f>
        <v>41.512499581249934</v>
      </c>
      <c r="K109" s="20">
        <f>Input[[#This Row],[energy2]]/$B$1</f>
        <v>36.250455894583268</v>
      </c>
      <c r="L109" s="18">
        <f>VLOOKUP(Input[[#This Row],[MD5]],fullcf[#All],2,FALSE)</f>
        <v>661519.30740044604</v>
      </c>
      <c r="M109" s="19">
        <f>VLOOKUP(Input[[#This Row],[MD5]],fullcf[#All],3,FALSE)</f>
        <v>1428191.6613749899</v>
      </c>
      <c r="N109" s="19">
        <f>VLOOKUP(Input[[#This Row],[MD5]],fullcf[#All],4,FALSE)</f>
        <v>1241860.4503875</v>
      </c>
      <c r="O109" s="19">
        <f>Input[[#This Row],[time3]]/$B$1</f>
        <v>44.101287160029734</v>
      </c>
      <c r="P109" s="19">
        <f>Input[[#This Row],[price3]]/$B$1</f>
        <v>95.212777424999331</v>
      </c>
      <c r="Q109" s="20">
        <f>Input[[#This Row],[energy3]]/$B$1</f>
        <v>82.790696692500006</v>
      </c>
      <c r="R109" s="18">
        <f>VLOOKUP(Input[[#This Row],[MD5]],df[#All],2,FALSE)</f>
        <v>22255277164</v>
      </c>
      <c r="S109" s="19">
        <f>VLOOKUP(Input[[#This Row],[MD5]],df[#All],3,FALSE)</f>
        <v>5458323482.75</v>
      </c>
      <c r="T109" s="19">
        <f>VLOOKUP(Input[[#This Row],[MD5]],df[#All],4,FALSE)</f>
        <v>3206921083.3499899</v>
      </c>
      <c r="U109" s="19">
        <f>Input[[#This Row],[time4]]/$B$1</f>
        <v>1483685.1442666666</v>
      </c>
      <c r="V109" s="19">
        <f>Input[[#This Row],[price4]]/$B$1</f>
        <v>363888.23218333331</v>
      </c>
      <c r="W109" s="20">
        <f>Input[[#This Row],[energy4]]/$B$1</f>
        <v>213794.73888999934</v>
      </c>
    </row>
    <row r="110" spans="1:23">
      <c r="A110" s="24" t="s">
        <v>152</v>
      </c>
      <c r="B110" s="13" t="s">
        <v>284</v>
      </c>
      <c r="C110" s="18">
        <f>VLOOKUP(Input[[#This Row],[MD5]],buildtime[#All],2,FALSE)</f>
        <v>56.24428571</v>
      </c>
      <c r="D110" s="19">
        <f>VLOOKUP(Input[[#This Row],[MD5]],buildtime[#All],3,FALSE)</f>
        <v>64.2</v>
      </c>
      <c r="E110" s="20">
        <f>VLOOKUP(Input[[#This Row],[MD5]],buildtime[#All],4,FALSE)</f>
        <v>56.12</v>
      </c>
      <c r="F110" s="18">
        <f>VLOOKUP(Input[[#This Row],[MD5]],partialcf[#All],2,FALSE)</f>
        <v>19342.707668392799</v>
      </c>
      <c r="G110" s="19">
        <f>VLOOKUP(Input[[#This Row],[MD5]],partialcf[#All],3,FALSE)</f>
        <v>18221.9013937499</v>
      </c>
      <c r="H110" s="19">
        <f>VLOOKUP(Input[[#This Row],[MD5]],partialcf[#All],4,FALSE)</f>
        <v>15912.993823749999</v>
      </c>
      <c r="I110" s="19">
        <f>Input[[#This Row],[time2]]/$B$1</f>
        <v>1.28951384455952</v>
      </c>
      <c r="J110" s="19">
        <f>Input[[#This Row],[price2]]/$B$1</f>
        <v>1.2147934262499933</v>
      </c>
      <c r="K110" s="20">
        <f>Input[[#This Row],[energy2]]/$B$1</f>
        <v>1.0608662549166665</v>
      </c>
      <c r="L110" s="18">
        <f>VLOOKUP(Input[[#This Row],[MD5]],fullcf[#All],2,FALSE)</f>
        <v>19332.3030014285</v>
      </c>
      <c r="M110" s="19">
        <f>VLOOKUP(Input[[#This Row],[MD5]],fullcf[#All],3,FALSE)</f>
        <v>874706.61254999903</v>
      </c>
      <c r="N110" s="19">
        <f>VLOOKUP(Input[[#This Row],[MD5]],fullcf[#All],4,FALSE)</f>
        <v>758199.74349249899</v>
      </c>
      <c r="O110" s="19">
        <f>Input[[#This Row],[time3]]/$B$1</f>
        <v>1.2888202000952333</v>
      </c>
      <c r="P110" s="19">
        <f>Input[[#This Row],[price3]]/$B$1</f>
        <v>58.313774169999938</v>
      </c>
      <c r="Q110" s="20">
        <f>Input[[#This Row],[energy3]]/$B$1</f>
        <v>50.5466495661666</v>
      </c>
      <c r="R110" s="18">
        <f>VLOOKUP(Input[[#This Row],[MD5]],df[#All],2,FALSE)</f>
        <v>9609426.8133333307</v>
      </c>
      <c r="S110" s="19">
        <f>VLOOKUP(Input[[#This Row],[MD5]],df[#All],3,FALSE)</f>
        <v>17140371.033333302</v>
      </c>
      <c r="T110" s="19">
        <f>VLOOKUP(Input[[#This Row],[MD5]],df[#All],4,FALSE)</f>
        <v>10253552.9466666</v>
      </c>
      <c r="U110" s="19">
        <f>Input[[#This Row],[time4]]/$B$1</f>
        <v>640.62845422222199</v>
      </c>
      <c r="V110" s="19">
        <f>Input[[#This Row],[price4]]/$B$1</f>
        <v>1142.6914022222202</v>
      </c>
      <c r="W110" s="20">
        <f>Input[[#This Row],[energy4]]/$B$1</f>
        <v>683.57019644444006</v>
      </c>
    </row>
    <row r="111" spans="1:23">
      <c r="A111" s="24" t="s">
        <v>153</v>
      </c>
      <c r="B111" s="13" t="s">
        <v>285</v>
      </c>
      <c r="C111" s="18">
        <f>VLOOKUP(Input[[#This Row],[MD5]],buildtime[#All],2,FALSE)</f>
        <v>56.24428571</v>
      </c>
      <c r="D111" s="19">
        <f>VLOOKUP(Input[[#This Row],[MD5]],buildtime[#All],3,FALSE)</f>
        <v>64.2</v>
      </c>
      <c r="E111" s="20">
        <f>VLOOKUP(Input[[#This Row],[MD5]],buildtime[#All],4,FALSE)</f>
        <v>56.12</v>
      </c>
      <c r="F111" s="18">
        <f>VLOOKUP(Input[[#This Row],[MD5]],partialcf[#All],2,FALSE)</f>
        <v>19341.555327410701</v>
      </c>
      <c r="G111" s="19">
        <f>VLOOKUP(Input[[#This Row],[MD5]],partialcf[#All],3,FALSE)</f>
        <v>18220.3535531249</v>
      </c>
      <c r="H111" s="19">
        <f>VLOOKUP(Input[[#This Row],[MD5]],partialcf[#All],4,FALSE)</f>
        <v>15911.649763125</v>
      </c>
      <c r="I111" s="19">
        <f>Input[[#This Row],[time2]]/$B$1</f>
        <v>1.2894370218273801</v>
      </c>
      <c r="J111" s="19">
        <f>Input[[#This Row],[price2]]/$B$1</f>
        <v>1.2146902368749932</v>
      </c>
      <c r="K111" s="20">
        <f>Input[[#This Row],[energy2]]/$B$1</f>
        <v>1.0607766508750001</v>
      </c>
      <c r="L111" s="18">
        <f>VLOOKUP(Input[[#This Row],[MD5]],fullcf[#All],2,FALSE)</f>
        <v>19331.967453303499</v>
      </c>
      <c r="M111" s="19">
        <f>VLOOKUP(Input[[#This Row],[MD5]],fullcf[#All],3,FALSE)</f>
        <v>874706.03370937495</v>
      </c>
      <c r="N111" s="19">
        <f>VLOOKUP(Input[[#This Row],[MD5]],fullcf[#All],4,FALSE)</f>
        <v>758199.239231874</v>
      </c>
      <c r="O111" s="19">
        <f>Input[[#This Row],[time3]]/$B$1</f>
        <v>1.2887978302202332</v>
      </c>
      <c r="P111" s="19">
        <f>Input[[#This Row],[price3]]/$B$1</f>
        <v>58.313735580625</v>
      </c>
      <c r="Q111" s="20">
        <f>Input[[#This Row],[energy3]]/$B$1</f>
        <v>50.546615948791597</v>
      </c>
      <c r="R111" s="18">
        <f>VLOOKUP(Input[[#This Row],[MD5]],df[#All],2,FALSE)</f>
        <v>9548889.3033333309</v>
      </c>
      <c r="S111" s="19">
        <f>VLOOKUP(Input[[#This Row],[MD5]],df[#All],3,FALSE)</f>
        <v>17088344.425000001</v>
      </c>
      <c r="T111" s="19">
        <f>VLOOKUP(Input[[#This Row],[MD5]],df[#All],4,FALSE)</f>
        <v>10222660.711666601</v>
      </c>
      <c r="U111" s="19">
        <f>Input[[#This Row],[time4]]/$B$1</f>
        <v>636.59262022222208</v>
      </c>
      <c r="V111" s="19">
        <f>Input[[#This Row],[price4]]/$B$1</f>
        <v>1139.2229616666666</v>
      </c>
      <c r="W111" s="20">
        <f>Input[[#This Row],[energy4]]/$B$1</f>
        <v>681.51071411110672</v>
      </c>
    </row>
    <row r="112" spans="1:23">
      <c r="A112" s="24" t="s">
        <v>154</v>
      </c>
      <c r="B112" s="13" t="s">
        <v>286</v>
      </c>
      <c r="C112" s="18">
        <f>VLOOKUP(Input[[#This Row],[MD5]],buildtime[#All],2,FALSE)</f>
        <v>61.977142860000001</v>
      </c>
      <c r="D112" s="19">
        <f>VLOOKUP(Input[[#This Row],[MD5]],buildtime[#All],3,FALSE)</f>
        <v>61.2</v>
      </c>
      <c r="E112" s="20">
        <f>VLOOKUP(Input[[#This Row],[MD5]],buildtime[#All],4,FALSE)</f>
        <v>53.52</v>
      </c>
      <c r="F112" s="18">
        <f>VLOOKUP(Input[[#This Row],[MD5]],partialcf[#All],2,FALSE)</f>
        <v>533551.39141830301</v>
      </c>
      <c r="G112" s="19">
        <f>VLOOKUP(Input[[#This Row],[MD5]],partialcf[#All],3,FALSE)</f>
        <v>528974.43042187404</v>
      </c>
      <c r="H112" s="19">
        <f>VLOOKUP(Input[[#This Row],[MD5]],partialcf[#All],4,FALSE)</f>
        <v>462544.13947187399</v>
      </c>
      <c r="I112" s="19">
        <f>Input[[#This Row],[time2]]/$B$1</f>
        <v>35.570092761220202</v>
      </c>
      <c r="J112" s="19">
        <f>Input[[#This Row],[price2]]/$B$1</f>
        <v>35.264962028124934</v>
      </c>
      <c r="K112" s="20">
        <f>Input[[#This Row],[energy2]]/$B$1</f>
        <v>30.8362759647916</v>
      </c>
      <c r="L112" s="18">
        <f>VLOOKUP(Input[[#This Row],[MD5]],fullcf[#All],2,FALSE)</f>
        <v>529340.58567276702</v>
      </c>
      <c r="M112" s="19">
        <f>VLOOKUP(Input[[#This Row],[MD5]],fullcf[#All],3,FALSE)</f>
        <v>1329195.9932343699</v>
      </c>
      <c r="N112" s="19">
        <f>VLOOKUP(Input[[#This Row],[MD5]],fullcf[#All],4,FALSE)</f>
        <v>1156069.4939093699</v>
      </c>
      <c r="O112" s="19">
        <f>Input[[#This Row],[time3]]/$B$1</f>
        <v>35.289372378184467</v>
      </c>
      <c r="P112" s="19">
        <f>Input[[#This Row],[price3]]/$B$1</f>
        <v>88.613066215624656</v>
      </c>
      <c r="Q112" s="20">
        <f>Input[[#This Row],[energy3]]/$B$1</f>
        <v>77.071299593957988</v>
      </c>
      <c r="R112" s="18">
        <f>VLOOKUP(Input[[#This Row],[MD5]],df[#All],2,FALSE)</f>
        <v>12807665134.1</v>
      </c>
      <c r="S112" s="19">
        <f>VLOOKUP(Input[[#This Row],[MD5]],df[#All],3,FALSE)</f>
        <v>3777851415.25</v>
      </c>
      <c r="T112" s="19">
        <f>VLOOKUP(Input[[#This Row],[MD5]],df[#All],4,FALSE)</f>
        <v>2198220334.8499899</v>
      </c>
      <c r="U112" s="19">
        <f>Input[[#This Row],[time4]]/$B$1</f>
        <v>853844.34227333334</v>
      </c>
      <c r="V112" s="19">
        <f>Input[[#This Row],[price4]]/$B$1</f>
        <v>251856.76101666666</v>
      </c>
      <c r="W112" s="20">
        <f>Input[[#This Row],[energy4]]/$B$1</f>
        <v>146548.02232333267</v>
      </c>
    </row>
    <row r="113" spans="1:23">
      <c r="A113" s="24" t="s">
        <v>155</v>
      </c>
      <c r="B113" s="13" t="s">
        <v>287</v>
      </c>
      <c r="C113" s="18">
        <f>VLOOKUP(Input[[#This Row],[MD5]],buildtime[#All],2,FALSE)</f>
        <v>56.24428571</v>
      </c>
      <c r="D113" s="19">
        <f>VLOOKUP(Input[[#This Row],[MD5]],buildtime[#All],3,FALSE)</f>
        <v>64.2</v>
      </c>
      <c r="E113" s="20">
        <f>VLOOKUP(Input[[#This Row],[MD5]],buildtime[#All],4,FALSE)</f>
        <v>56.12</v>
      </c>
      <c r="F113" s="18">
        <f>VLOOKUP(Input[[#This Row],[MD5]],partialcf[#All],2,FALSE)</f>
        <v>20889.3718200892</v>
      </c>
      <c r="G113" s="19">
        <f>VLOOKUP(Input[[#This Row],[MD5]],partialcf[#All],3,FALSE)</f>
        <v>19780.457296875</v>
      </c>
      <c r="H113" s="19">
        <f>VLOOKUP(Input[[#This Row],[MD5]],partialcf[#All],4,FALSE)</f>
        <v>17275.238096875</v>
      </c>
      <c r="I113" s="19">
        <f>Input[[#This Row],[time2]]/$B$1</f>
        <v>1.3926247880059466</v>
      </c>
      <c r="J113" s="19">
        <f>Input[[#This Row],[price2]]/$B$1</f>
        <v>1.318697153125</v>
      </c>
      <c r="K113" s="20">
        <f>Input[[#This Row],[energy2]]/$B$1</f>
        <v>1.1516825397916668</v>
      </c>
      <c r="L113" s="18">
        <f>VLOOKUP(Input[[#This Row],[MD5]],fullcf[#All],2,FALSE)</f>
        <v>20816.632815624998</v>
      </c>
      <c r="M113" s="19">
        <f>VLOOKUP(Input[[#This Row],[MD5]],fullcf[#All],3,FALSE)</f>
        <v>876047.64182812499</v>
      </c>
      <c r="N113" s="19">
        <f>VLOOKUP(Input[[#This Row],[MD5]],fullcf[#All],4,FALSE)</f>
        <v>759373.46469062404</v>
      </c>
      <c r="O113" s="19">
        <f>Input[[#This Row],[time3]]/$B$1</f>
        <v>1.3877755210416665</v>
      </c>
      <c r="P113" s="19">
        <f>Input[[#This Row],[price3]]/$B$1</f>
        <v>58.403176121874999</v>
      </c>
      <c r="Q113" s="20">
        <f>Input[[#This Row],[energy3]]/$B$1</f>
        <v>50.624897646041603</v>
      </c>
      <c r="R113" s="18">
        <f>VLOOKUP(Input[[#This Row],[MD5]],df[#All],2,FALSE)</f>
        <v>73068536.299999997</v>
      </c>
      <c r="S113" s="19">
        <f>VLOOKUP(Input[[#This Row],[MD5]],df[#All],3,FALSE)</f>
        <v>35783966</v>
      </c>
      <c r="T113" s="19">
        <f>VLOOKUP(Input[[#This Row],[MD5]],df[#All],4,FALSE)</f>
        <v>21100356.399999902</v>
      </c>
      <c r="U113" s="19">
        <f>Input[[#This Row],[time4]]/$B$1</f>
        <v>4871.2357533333334</v>
      </c>
      <c r="V113" s="19">
        <f>Input[[#This Row],[price4]]/$B$1</f>
        <v>2385.5977333333335</v>
      </c>
      <c r="W113" s="20">
        <f>Input[[#This Row],[energy4]]/$B$1</f>
        <v>1406.6904266666602</v>
      </c>
    </row>
    <row r="114" spans="1:23">
      <c r="A114" s="24" t="s">
        <v>156</v>
      </c>
      <c r="B114" s="13" t="s">
        <v>288</v>
      </c>
      <c r="C114" s="18">
        <f>VLOOKUP(Input[[#This Row],[MD5]],buildtime[#All],2,FALSE)</f>
        <v>61.977142860000001</v>
      </c>
      <c r="D114" s="19">
        <f>VLOOKUP(Input[[#This Row],[MD5]],buildtime[#All],3,FALSE)</f>
        <v>61.2</v>
      </c>
      <c r="E114" s="20">
        <f>VLOOKUP(Input[[#This Row],[MD5]],buildtime[#All],4,FALSE)</f>
        <v>53.52</v>
      </c>
      <c r="F114" s="18">
        <f>VLOOKUP(Input[[#This Row],[MD5]],partialcf[#All],2,FALSE)</f>
        <v>19411.136558392802</v>
      </c>
      <c r="G114" s="19">
        <f>VLOOKUP(Input[[#This Row],[MD5]],partialcf[#All],3,FALSE)</f>
        <v>21069.2057624999</v>
      </c>
      <c r="H114" s="19">
        <f>VLOOKUP(Input[[#This Row],[MD5]],partialcf[#All],4,FALSE)</f>
        <v>18380.972107500002</v>
      </c>
      <c r="I114" s="19">
        <f>Input[[#This Row],[time2]]/$B$1</f>
        <v>1.2940757705595201</v>
      </c>
      <c r="J114" s="19">
        <f>Input[[#This Row],[price2]]/$B$1</f>
        <v>1.4046137174999933</v>
      </c>
      <c r="K114" s="20">
        <f>Input[[#This Row],[energy2]]/$B$1</f>
        <v>1.2253981405000001</v>
      </c>
      <c r="L114" s="18">
        <f>VLOOKUP(Input[[#This Row],[MD5]],fullcf[#All],2,FALSE)</f>
        <v>15622.465047678499</v>
      </c>
      <c r="M114" s="19">
        <f>VLOOKUP(Input[[#This Row],[MD5]],fullcf[#All],3,FALSE)</f>
        <v>871919.15491875005</v>
      </c>
      <c r="N114" s="19">
        <f>VLOOKUP(Input[[#This Row],[MD5]],fullcf[#All],4,FALSE)</f>
        <v>755784.26137624902</v>
      </c>
      <c r="O114" s="19">
        <f>Input[[#This Row],[time3]]/$B$1</f>
        <v>1.0414976698452332</v>
      </c>
      <c r="P114" s="19">
        <f>Input[[#This Row],[price3]]/$B$1</f>
        <v>58.127943661250001</v>
      </c>
      <c r="Q114" s="20">
        <f>Input[[#This Row],[energy3]]/$B$1</f>
        <v>50.385617425083268</v>
      </c>
      <c r="R114" s="18">
        <f>VLOOKUP(Input[[#This Row],[MD5]],df[#All],2,FALSE)</f>
        <v>6002523.5133333299</v>
      </c>
      <c r="S114" s="19">
        <f>VLOOKUP(Input[[#This Row],[MD5]],df[#All],3,FALSE)</f>
        <v>16548536.1166666</v>
      </c>
      <c r="T114" s="19">
        <f>VLOOKUP(Input[[#This Row],[MD5]],df[#All],4,FALSE)</f>
        <v>9896696.1966666598</v>
      </c>
      <c r="U114" s="19">
        <f>Input[[#This Row],[time4]]/$B$1</f>
        <v>400.168234222222</v>
      </c>
      <c r="V114" s="19">
        <f>Input[[#This Row],[price4]]/$B$1</f>
        <v>1103.2357411111066</v>
      </c>
      <c r="W114" s="20">
        <f>Input[[#This Row],[energy4]]/$B$1</f>
        <v>659.77974644444396</v>
      </c>
    </row>
    <row r="115" spans="1:23">
      <c r="A115" s="24" t="s">
        <v>157</v>
      </c>
      <c r="B115" s="13" t="s">
        <v>289</v>
      </c>
      <c r="C115" s="18">
        <f>VLOOKUP(Input[[#This Row],[MD5]],buildtime[#All],2,FALSE)</f>
        <v>61.977142860000001</v>
      </c>
      <c r="D115" s="19">
        <f>VLOOKUP(Input[[#This Row],[MD5]],buildtime[#All],3,FALSE)</f>
        <v>61.2</v>
      </c>
      <c r="E115" s="20">
        <f>VLOOKUP(Input[[#This Row],[MD5]],buildtime[#All],4,FALSE)</f>
        <v>53.52</v>
      </c>
      <c r="F115" s="18">
        <f>VLOOKUP(Input[[#This Row],[MD5]],partialcf[#All],2,FALSE)</f>
        <v>19626.3762169642</v>
      </c>
      <c r="G115" s="19">
        <f>VLOOKUP(Input[[#This Row],[MD5]],partialcf[#All],3,FALSE)</f>
        <v>21409.362281249902</v>
      </c>
      <c r="H115" s="19">
        <f>VLOOKUP(Input[[#This Row],[MD5]],partialcf[#All],4,FALSE)</f>
        <v>18675.472181249901</v>
      </c>
      <c r="I115" s="19">
        <f>Input[[#This Row],[time2]]/$B$1</f>
        <v>1.3084250811309466</v>
      </c>
      <c r="J115" s="19">
        <f>Input[[#This Row],[price2]]/$B$1</f>
        <v>1.4272908187499935</v>
      </c>
      <c r="K115" s="20">
        <f>Input[[#This Row],[energy2]]/$B$1</f>
        <v>1.2450314787499934</v>
      </c>
      <c r="L115" s="18">
        <f>VLOOKUP(Input[[#This Row],[MD5]],fullcf[#All],2,FALSE)</f>
        <v>15583.439783928499</v>
      </c>
      <c r="M115" s="19">
        <f>VLOOKUP(Input[[#This Row],[MD5]],fullcf[#All],3,FALSE)</f>
        <v>871888.17506250006</v>
      </c>
      <c r="N115" s="19">
        <f>VLOOKUP(Input[[#This Row],[MD5]],fullcf[#All],4,FALSE)</f>
        <v>755757.109925</v>
      </c>
      <c r="O115" s="19">
        <f>Input[[#This Row],[time3]]/$B$1</f>
        <v>1.0388959855952333</v>
      </c>
      <c r="P115" s="19">
        <f>Input[[#This Row],[price3]]/$B$1</f>
        <v>58.125878337500005</v>
      </c>
      <c r="Q115" s="20">
        <f>Input[[#This Row],[energy3]]/$B$1</f>
        <v>50.383807328333333</v>
      </c>
      <c r="R115" s="18">
        <f>VLOOKUP(Input[[#This Row],[MD5]],df[#All],2,FALSE)</f>
        <v>5937461.8499999903</v>
      </c>
      <c r="S115" s="19">
        <f>VLOOKUP(Input[[#This Row],[MD5]],df[#All],3,FALSE)</f>
        <v>16531402.7083333</v>
      </c>
      <c r="T115" s="19">
        <f>VLOOKUP(Input[[#This Row],[MD5]],df[#All],4,FALSE)</f>
        <v>9886764.0749999899</v>
      </c>
      <c r="U115" s="19">
        <f>Input[[#This Row],[time4]]/$B$1</f>
        <v>395.83078999999935</v>
      </c>
      <c r="V115" s="19">
        <f>Input[[#This Row],[price4]]/$B$1</f>
        <v>1102.0935138888867</v>
      </c>
      <c r="W115" s="20">
        <f>Input[[#This Row],[energy4]]/$B$1</f>
        <v>659.11760499999934</v>
      </c>
    </row>
    <row r="116" spans="1:23">
      <c r="A116" s="24" t="s">
        <v>158</v>
      </c>
      <c r="B116" s="13" t="s">
        <v>290</v>
      </c>
      <c r="C116" s="18">
        <f>VLOOKUP(Input[[#This Row],[MD5]],buildtime[#All],2,FALSE)</f>
        <v>61.977142860000001</v>
      </c>
      <c r="D116" s="19">
        <f>VLOOKUP(Input[[#This Row],[MD5]],buildtime[#All],3,FALSE)</f>
        <v>61.2</v>
      </c>
      <c r="E116" s="20">
        <f>VLOOKUP(Input[[#This Row],[MD5]],buildtime[#All],4,FALSE)</f>
        <v>53.52</v>
      </c>
      <c r="F116" s="18">
        <f>VLOOKUP(Input[[#This Row],[MD5]],partialcf[#All],2,FALSE)</f>
        <v>19626.389435714202</v>
      </c>
      <c r="G116" s="19">
        <f>VLOOKUP(Input[[#This Row],[MD5]],partialcf[#All],3,FALSE)</f>
        <v>21409.38196875</v>
      </c>
      <c r="H116" s="19">
        <f>VLOOKUP(Input[[#This Row],[MD5]],partialcf[#All],4,FALSE)</f>
        <v>18675.489243749998</v>
      </c>
      <c r="I116" s="19">
        <f>Input[[#This Row],[time2]]/$B$1</f>
        <v>1.3084259623809469</v>
      </c>
      <c r="J116" s="19">
        <f>Input[[#This Row],[price2]]/$B$1</f>
        <v>1.42729213125</v>
      </c>
      <c r="K116" s="20">
        <f>Input[[#This Row],[energy2]]/$B$1</f>
        <v>1.2450326162499998</v>
      </c>
      <c r="L116" s="18">
        <f>VLOOKUP(Input[[#This Row],[MD5]],fullcf[#All],2,FALSE)</f>
        <v>15583.439783928499</v>
      </c>
      <c r="M116" s="19">
        <f>VLOOKUP(Input[[#This Row],[MD5]],fullcf[#All],3,FALSE)</f>
        <v>871888.17506250006</v>
      </c>
      <c r="N116" s="19">
        <f>VLOOKUP(Input[[#This Row],[MD5]],fullcf[#All],4,FALSE)</f>
        <v>755757.109925</v>
      </c>
      <c r="O116" s="19">
        <f>Input[[#This Row],[time3]]/$B$1</f>
        <v>1.0388959855952333</v>
      </c>
      <c r="P116" s="19">
        <f>Input[[#This Row],[price3]]/$B$1</f>
        <v>58.125878337500005</v>
      </c>
      <c r="Q116" s="20">
        <f>Input[[#This Row],[energy3]]/$B$1</f>
        <v>50.383807328333333</v>
      </c>
      <c r="R116" s="18">
        <f>VLOOKUP(Input[[#This Row],[MD5]],df[#All],2,FALSE)</f>
        <v>5937461.8499999903</v>
      </c>
      <c r="S116" s="19">
        <f>VLOOKUP(Input[[#This Row],[MD5]],df[#All],3,FALSE)</f>
        <v>16531402.7083333</v>
      </c>
      <c r="T116" s="19">
        <f>VLOOKUP(Input[[#This Row],[MD5]],df[#All],4,FALSE)</f>
        <v>9886764.0749999899</v>
      </c>
      <c r="U116" s="19">
        <f>Input[[#This Row],[time4]]/$B$1</f>
        <v>395.83078999999935</v>
      </c>
      <c r="V116" s="19">
        <f>Input[[#This Row],[price4]]/$B$1</f>
        <v>1102.0935138888867</v>
      </c>
      <c r="W116" s="20">
        <f>Input[[#This Row],[energy4]]/$B$1</f>
        <v>659.11760499999934</v>
      </c>
    </row>
    <row r="117" spans="1:23">
      <c r="A117" s="24" t="s">
        <v>159</v>
      </c>
      <c r="B117" s="13" t="s">
        <v>291</v>
      </c>
      <c r="C117" s="18">
        <f>VLOOKUP(Input[[#This Row],[MD5]],buildtime[#All],2,FALSE)</f>
        <v>61.977142860000001</v>
      </c>
      <c r="D117" s="19">
        <f>VLOOKUP(Input[[#This Row],[MD5]],buildtime[#All],3,FALSE)</f>
        <v>61.2</v>
      </c>
      <c r="E117" s="20">
        <f>VLOOKUP(Input[[#This Row],[MD5]],buildtime[#All],4,FALSE)</f>
        <v>53.52</v>
      </c>
      <c r="F117" s="18">
        <f>VLOOKUP(Input[[#This Row],[MD5]],partialcf[#All],2,FALSE)</f>
        <v>15594.779583035701</v>
      </c>
      <c r="G117" s="19">
        <f>VLOOKUP(Input[[#This Row],[MD5]],partialcf[#All],3,FALSE)</f>
        <v>15404.8566562499</v>
      </c>
      <c r="H117" s="19">
        <f>VLOOKUP(Input[[#This Row],[MD5]],partialcf[#All],4,FALSE)</f>
        <v>13471.567306249999</v>
      </c>
      <c r="I117" s="19">
        <f>Input[[#This Row],[time2]]/$B$1</f>
        <v>1.03965197220238</v>
      </c>
      <c r="J117" s="19">
        <f>Input[[#This Row],[price2]]/$B$1</f>
        <v>1.0269904437499933</v>
      </c>
      <c r="K117" s="20">
        <f>Input[[#This Row],[energy2]]/$B$1</f>
        <v>0.89810448708333324</v>
      </c>
      <c r="L117" s="18">
        <f>VLOOKUP(Input[[#This Row],[MD5]],fullcf[#All],2,FALSE)</f>
        <v>15583.5279089285</v>
      </c>
      <c r="M117" s="19">
        <f>VLOOKUP(Input[[#This Row],[MD5]],fullcf[#All],3,FALSE)</f>
        <v>871888.24068749906</v>
      </c>
      <c r="N117" s="19">
        <f>VLOOKUP(Input[[#This Row],[MD5]],fullcf[#All],4,FALSE)</f>
        <v>755757.16680000001</v>
      </c>
      <c r="O117" s="19">
        <f>Input[[#This Row],[time3]]/$B$1</f>
        <v>1.0389018605952334</v>
      </c>
      <c r="P117" s="19">
        <f>Input[[#This Row],[price3]]/$B$1</f>
        <v>58.125882712499937</v>
      </c>
      <c r="Q117" s="20">
        <f>Input[[#This Row],[energy3]]/$B$1</f>
        <v>50.383811119999997</v>
      </c>
      <c r="R117" s="18">
        <f>VLOOKUP(Input[[#This Row],[MD5]],df[#All],2,FALSE)</f>
        <v>5977781.8499999903</v>
      </c>
      <c r="S117" s="19">
        <f>VLOOKUP(Input[[#This Row],[MD5]],df[#All],3,FALSE)</f>
        <v>16538602.7083333</v>
      </c>
      <c r="T117" s="19">
        <f>VLOOKUP(Input[[#This Row],[MD5]],df[#All],4,FALSE)</f>
        <v>9891084.0749999899</v>
      </c>
      <c r="U117" s="19">
        <f>Input[[#This Row],[time4]]/$B$1</f>
        <v>398.51878999999934</v>
      </c>
      <c r="V117" s="19">
        <f>Input[[#This Row],[price4]]/$B$1</f>
        <v>1102.5735138888867</v>
      </c>
      <c r="W117" s="20">
        <f>Input[[#This Row],[energy4]]/$B$1</f>
        <v>659.40560499999935</v>
      </c>
    </row>
    <row r="118" spans="1:23">
      <c r="A118" s="24" t="s">
        <v>160</v>
      </c>
      <c r="B118" s="13" t="s">
        <v>292</v>
      </c>
      <c r="C118" s="18">
        <f>VLOOKUP(Input[[#This Row],[MD5]],buildtime[#All],2,FALSE)</f>
        <v>61.977142860000001</v>
      </c>
      <c r="D118" s="19">
        <f>VLOOKUP(Input[[#This Row],[MD5]],buildtime[#All],3,FALSE)</f>
        <v>61.2</v>
      </c>
      <c r="E118" s="20">
        <f>VLOOKUP(Input[[#This Row],[MD5]],buildtime[#All],4,FALSE)</f>
        <v>53.52</v>
      </c>
      <c r="F118" s="18">
        <f>VLOOKUP(Input[[#This Row],[MD5]],partialcf[#All],2,FALSE)</f>
        <v>20744.1691857142</v>
      </c>
      <c r="G118" s="19">
        <f>VLOOKUP(Input[[#This Row],[MD5]],partialcf[#All],3,FALSE)</f>
        <v>22408.495875000001</v>
      </c>
      <c r="H118" s="19">
        <f>VLOOKUP(Input[[#This Row],[MD5]],partialcf[#All],4,FALSE)</f>
        <v>19551.659775</v>
      </c>
      <c r="I118" s="19">
        <f>Input[[#This Row],[time2]]/$B$1</f>
        <v>1.3829446123809466</v>
      </c>
      <c r="J118" s="19">
        <f>Input[[#This Row],[price2]]/$B$1</f>
        <v>1.4938997250000001</v>
      </c>
      <c r="K118" s="20">
        <f>Input[[#This Row],[energy2]]/$B$1</f>
        <v>1.3034439849999999</v>
      </c>
      <c r="L118" s="18">
        <f>VLOOKUP(Input[[#This Row],[MD5]],fullcf[#All],2,FALSE)</f>
        <v>16909.814556249901</v>
      </c>
      <c r="M118" s="19">
        <f>VLOOKUP(Input[[#This Row],[MD5]],fullcf[#All],3,FALSE)</f>
        <v>873071.7024375</v>
      </c>
      <c r="N118" s="19">
        <f>VLOOKUP(Input[[#This Row],[MD5]],fullcf[#All],4,FALSE)</f>
        <v>756793.10546250001</v>
      </c>
      <c r="O118" s="19">
        <f>Input[[#This Row],[time3]]/$B$1</f>
        <v>1.12732097041666</v>
      </c>
      <c r="P118" s="19">
        <f>Input[[#This Row],[price3]]/$B$1</f>
        <v>58.204780162500001</v>
      </c>
      <c r="Q118" s="20">
        <f>Input[[#This Row],[energy3]]/$B$1</f>
        <v>50.452873697500003</v>
      </c>
      <c r="R118" s="18">
        <f>VLOOKUP(Input[[#This Row],[MD5]],df[#All],2,FALSE)</f>
        <v>111493794.099999</v>
      </c>
      <c r="S118" s="19">
        <f>VLOOKUP(Input[[#This Row],[MD5]],df[#All],3,FALSE)</f>
        <v>47529915.25</v>
      </c>
      <c r="T118" s="19">
        <f>VLOOKUP(Input[[#This Row],[MD5]],df[#All],4,FALSE)</f>
        <v>27921614.850000001</v>
      </c>
      <c r="U118" s="19">
        <f>Input[[#This Row],[time4]]/$B$1</f>
        <v>7432.9196066666</v>
      </c>
      <c r="V118" s="19">
        <f>Input[[#This Row],[price4]]/$B$1</f>
        <v>3168.6610166666665</v>
      </c>
      <c r="W118" s="20">
        <f>Input[[#This Row],[energy4]]/$B$1</f>
        <v>1861.4409900000001</v>
      </c>
    </row>
    <row r="119" spans="1:23">
      <c r="A119" s="24" t="s">
        <v>161</v>
      </c>
      <c r="B119" s="13" t="s">
        <v>293</v>
      </c>
      <c r="C119" s="18">
        <f>VLOOKUP(Input[[#This Row],[MD5]],buildtime[#All],2,FALSE)</f>
        <v>61.977142860000001</v>
      </c>
      <c r="D119" s="19">
        <f>VLOOKUP(Input[[#This Row],[MD5]],buildtime[#All],3,FALSE)</f>
        <v>61.2</v>
      </c>
      <c r="E119" s="20">
        <f>VLOOKUP(Input[[#This Row],[MD5]],buildtime[#All],4,FALSE)</f>
        <v>53.52</v>
      </c>
      <c r="F119" s="18">
        <f>VLOOKUP(Input[[#This Row],[MD5]],partialcf[#All],2,FALSE)</f>
        <v>17460.915275446401</v>
      </c>
      <c r="G119" s="19">
        <f>VLOOKUP(Input[[#This Row],[MD5]],partialcf[#All],3,FALSE)</f>
        <v>17436.0177656249</v>
      </c>
      <c r="H119" s="19">
        <f>VLOOKUP(Input[[#This Row],[MD5]],partialcf[#All],4,FALSE)</f>
        <v>15243.452190624999</v>
      </c>
      <c r="I119" s="19">
        <f>Input[[#This Row],[time2]]/$B$1</f>
        <v>1.1640610183630935</v>
      </c>
      <c r="J119" s="19">
        <f>Input[[#This Row],[price2]]/$B$1</f>
        <v>1.1624011843749933</v>
      </c>
      <c r="K119" s="20">
        <f>Input[[#This Row],[energy2]]/$B$1</f>
        <v>1.0162301460416667</v>
      </c>
      <c r="L119" s="18">
        <f>VLOOKUP(Input[[#This Row],[MD5]],fullcf[#All],2,FALSE)</f>
        <v>17074.240400446401</v>
      </c>
      <c r="M119" s="19">
        <f>VLOOKUP(Input[[#This Row],[MD5]],fullcf[#All],3,FALSE)</f>
        <v>873319.36260937504</v>
      </c>
      <c r="N119" s="19">
        <f>VLOOKUP(Input[[#This Row],[MD5]],fullcf[#All],4,FALSE)</f>
        <v>757009.01772187499</v>
      </c>
      <c r="O119" s="19">
        <f>Input[[#This Row],[time3]]/$B$1</f>
        <v>1.1382826933630934</v>
      </c>
      <c r="P119" s="19">
        <f>Input[[#This Row],[price3]]/$B$1</f>
        <v>58.221290840625002</v>
      </c>
      <c r="Q119" s="20">
        <f>Input[[#This Row],[energy3]]/$B$1</f>
        <v>50.467267848124997</v>
      </c>
      <c r="R119" s="18">
        <f>VLOOKUP(Input[[#This Row],[MD5]],df[#All],2,FALSE)</f>
        <v>79160895.699999899</v>
      </c>
      <c r="S119" s="19">
        <f>VLOOKUP(Input[[#This Row],[MD5]],df[#All],3,FALSE)</f>
        <v>41619599.25</v>
      </c>
      <c r="T119" s="19">
        <f>VLOOKUP(Input[[#This Row],[MD5]],df[#All],4,FALSE)</f>
        <v>24548328.449999999</v>
      </c>
      <c r="U119" s="19">
        <f>Input[[#This Row],[time4]]/$B$1</f>
        <v>5277.3930466666598</v>
      </c>
      <c r="V119" s="19">
        <f>Input[[#This Row],[price4]]/$B$1</f>
        <v>2774.6399500000002</v>
      </c>
      <c r="W119" s="20">
        <f>Input[[#This Row],[energy4]]/$B$1</f>
        <v>1636.5552299999999</v>
      </c>
    </row>
    <row r="120" spans="1:23">
      <c r="A120" s="24" t="s">
        <v>162</v>
      </c>
      <c r="B120" s="13" t="s">
        <v>294</v>
      </c>
      <c r="C120" s="18">
        <f>VLOOKUP(Input[[#This Row],[MD5]],buildtime[#All],2,FALSE)</f>
        <v>61.977142860000001</v>
      </c>
      <c r="D120" s="19">
        <f>VLOOKUP(Input[[#This Row],[MD5]],buildtime[#All],3,FALSE)</f>
        <v>61.2</v>
      </c>
      <c r="E120" s="20">
        <f>VLOOKUP(Input[[#This Row],[MD5]],buildtime[#All],4,FALSE)</f>
        <v>53.52</v>
      </c>
      <c r="F120" s="18">
        <f>VLOOKUP(Input[[#This Row],[MD5]],partialcf[#All],2,FALSE)</f>
        <v>19624.892274196402</v>
      </c>
      <c r="G120" s="19">
        <f>VLOOKUP(Input[[#This Row],[MD5]],partialcf[#All],3,FALSE)</f>
        <v>21407.320565624901</v>
      </c>
      <c r="H120" s="19">
        <f>VLOOKUP(Input[[#This Row],[MD5]],partialcf[#All],4,FALSE)</f>
        <v>18673.700095625001</v>
      </c>
      <c r="I120" s="19">
        <f>Input[[#This Row],[time2]]/$B$1</f>
        <v>1.3083261516130935</v>
      </c>
      <c r="J120" s="19">
        <f>Input[[#This Row],[price2]]/$B$1</f>
        <v>1.4271547043749935</v>
      </c>
      <c r="K120" s="20">
        <f>Input[[#This Row],[energy2]]/$B$1</f>
        <v>1.2449133397083334</v>
      </c>
      <c r="L120" s="18">
        <f>VLOOKUP(Input[[#This Row],[MD5]],fullcf[#All],2,FALSE)</f>
        <v>15583.104235803499</v>
      </c>
      <c r="M120" s="19">
        <f>VLOOKUP(Input[[#This Row],[MD5]],fullcf[#All],3,FALSE)</f>
        <v>871887.59622187505</v>
      </c>
      <c r="N120" s="19">
        <f>VLOOKUP(Input[[#This Row],[MD5]],fullcf[#All],4,FALSE)</f>
        <v>755756.60566437501</v>
      </c>
      <c r="O120" s="19">
        <f>Input[[#This Row],[time3]]/$B$1</f>
        <v>1.0388736157202332</v>
      </c>
      <c r="P120" s="19">
        <f>Input[[#This Row],[price3]]/$B$1</f>
        <v>58.125839748125003</v>
      </c>
      <c r="Q120" s="20">
        <f>Input[[#This Row],[energy3]]/$B$1</f>
        <v>50.383773710958337</v>
      </c>
      <c r="R120" s="18">
        <f>VLOOKUP(Input[[#This Row],[MD5]],df[#All],2,FALSE)</f>
        <v>5876924.3399999896</v>
      </c>
      <c r="S120" s="19">
        <f>VLOOKUP(Input[[#This Row],[MD5]],df[#All],3,FALSE)</f>
        <v>16479376.1</v>
      </c>
      <c r="T120" s="19">
        <f>VLOOKUP(Input[[#This Row],[MD5]],df[#All],4,FALSE)</f>
        <v>9855871.8399999905</v>
      </c>
      <c r="U120" s="19">
        <f>Input[[#This Row],[time4]]/$B$1</f>
        <v>391.79495599999933</v>
      </c>
      <c r="V120" s="19">
        <f>Input[[#This Row],[price4]]/$B$1</f>
        <v>1098.6250733333334</v>
      </c>
      <c r="W120" s="20">
        <f>Input[[#This Row],[energy4]]/$B$1</f>
        <v>657.05812266666601</v>
      </c>
    </row>
    <row r="121" spans="1:23">
      <c r="A121" s="24" t="s">
        <v>163</v>
      </c>
      <c r="B121" s="13" t="s">
        <v>295</v>
      </c>
      <c r="C121" s="18">
        <f>VLOOKUP(Input[[#This Row],[MD5]],buildtime[#All],2,FALSE)</f>
        <v>50.51142857</v>
      </c>
      <c r="D121" s="19">
        <f>VLOOKUP(Input[[#This Row],[MD5]],buildtime[#All],3,FALSE)</f>
        <v>65.7</v>
      </c>
      <c r="E121" s="20">
        <f>VLOOKUP(Input[[#This Row],[MD5]],buildtime[#All],4,FALSE)</f>
        <v>57.42</v>
      </c>
      <c r="F121" s="18">
        <f>VLOOKUP(Input[[#This Row],[MD5]],partialcf[#All],2,FALSE)</f>
        <v>661600.53061026696</v>
      </c>
      <c r="G121" s="19">
        <f>VLOOKUP(Input[[#This Row],[MD5]],partialcf[#All],3,FALSE)</f>
        <v>622002.01668749901</v>
      </c>
      <c r="H121" s="19">
        <f>VLOOKUP(Input[[#This Row],[MD5]],partialcf[#All],4,FALSE)</f>
        <v>543162.75832499901</v>
      </c>
      <c r="I121" s="19">
        <f>Input[[#This Row],[time2]]/$B$1</f>
        <v>44.106702040684461</v>
      </c>
      <c r="J121" s="19">
        <f>Input[[#This Row],[price2]]/$B$1</f>
        <v>41.466801112499937</v>
      </c>
      <c r="K121" s="20">
        <f>Input[[#This Row],[energy2]]/$B$1</f>
        <v>36.210850554999936</v>
      </c>
      <c r="L121" s="18">
        <f>VLOOKUP(Input[[#This Row],[MD5]],fullcf[#All],2,FALSE)</f>
        <v>661266.11386026698</v>
      </c>
      <c r="M121" s="19">
        <f>VLOOKUP(Input[[#This Row],[MD5]],fullcf[#All],3,FALSE)</f>
        <v>1427879.4495000001</v>
      </c>
      <c r="N121" s="19">
        <f>VLOOKUP(Input[[#This Row],[MD5]],fullcf[#All],4,FALSE)</f>
        <v>1241589.8667625</v>
      </c>
      <c r="O121" s="19">
        <f>Input[[#This Row],[time3]]/$B$1</f>
        <v>44.084407590684464</v>
      </c>
      <c r="P121" s="19">
        <f>Input[[#This Row],[price3]]/$B$1</f>
        <v>95.191963300000012</v>
      </c>
      <c r="Q121" s="20">
        <f>Input[[#This Row],[energy3]]/$B$1</f>
        <v>82.772657784166668</v>
      </c>
      <c r="R121" s="18">
        <f>VLOOKUP(Input[[#This Row],[MD5]],df[#All],2,FALSE)</f>
        <v>22232047900</v>
      </c>
      <c r="S121" s="19">
        <f>VLOOKUP(Input[[#This Row],[MD5]],df[#All],3,FALSE)</f>
        <v>5454161125.25</v>
      </c>
      <c r="T121" s="19">
        <f>VLOOKUP(Input[[#This Row],[MD5]],df[#All],4,FALSE)</f>
        <v>3204423668.8499899</v>
      </c>
      <c r="U121" s="19">
        <f>Input[[#This Row],[time4]]/$B$1</f>
        <v>1482136.5266666666</v>
      </c>
      <c r="V121" s="19">
        <f>Input[[#This Row],[price4]]/$B$1</f>
        <v>363610.74168333336</v>
      </c>
      <c r="W121" s="20">
        <f>Input[[#This Row],[energy4]]/$B$1</f>
        <v>213628.24458999932</v>
      </c>
    </row>
    <row r="122" spans="1:23">
      <c r="A122" s="24" t="s">
        <v>164</v>
      </c>
      <c r="B122" s="13" t="s">
        <v>296</v>
      </c>
      <c r="C122" s="18">
        <f>VLOOKUP(Input[[#This Row],[MD5]],buildtime[#All],2,FALSE)</f>
        <v>50.51142857</v>
      </c>
      <c r="D122" s="19">
        <f>VLOOKUP(Input[[#This Row],[MD5]],buildtime[#All],3,FALSE)</f>
        <v>65.7</v>
      </c>
      <c r="E122" s="20">
        <f>VLOOKUP(Input[[#This Row],[MD5]],buildtime[#All],4,FALSE)</f>
        <v>57.42</v>
      </c>
      <c r="F122" s="18">
        <f>VLOOKUP(Input[[#This Row],[MD5]],partialcf[#All],2,FALSE)</f>
        <v>661600.53061026696</v>
      </c>
      <c r="G122" s="19">
        <f>VLOOKUP(Input[[#This Row],[MD5]],partialcf[#All],3,FALSE)</f>
        <v>622002.01668749901</v>
      </c>
      <c r="H122" s="19">
        <f>VLOOKUP(Input[[#This Row],[MD5]],partialcf[#All],4,FALSE)</f>
        <v>543162.75832499901</v>
      </c>
      <c r="I122" s="19">
        <f>Input[[#This Row],[time2]]/$B$1</f>
        <v>44.106702040684461</v>
      </c>
      <c r="J122" s="19">
        <f>Input[[#This Row],[price2]]/$B$1</f>
        <v>41.466801112499937</v>
      </c>
      <c r="K122" s="20">
        <f>Input[[#This Row],[energy2]]/$B$1</f>
        <v>36.210850554999936</v>
      </c>
      <c r="L122" s="18">
        <f>VLOOKUP(Input[[#This Row],[MD5]],fullcf[#All],2,FALSE)</f>
        <v>661266.11386026698</v>
      </c>
      <c r="M122" s="19">
        <f>VLOOKUP(Input[[#This Row],[MD5]],fullcf[#All],3,FALSE)</f>
        <v>1427879.4495000001</v>
      </c>
      <c r="N122" s="19">
        <f>VLOOKUP(Input[[#This Row],[MD5]],fullcf[#All],4,FALSE)</f>
        <v>1241589.8667625</v>
      </c>
      <c r="O122" s="19">
        <f>Input[[#This Row],[time3]]/$B$1</f>
        <v>44.084407590684464</v>
      </c>
      <c r="P122" s="19">
        <f>Input[[#This Row],[price3]]/$B$1</f>
        <v>95.191963300000012</v>
      </c>
      <c r="Q122" s="20">
        <f>Input[[#This Row],[energy3]]/$B$1</f>
        <v>82.772657784166668</v>
      </c>
      <c r="R122" s="18">
        <f>VLOOKUP(Input[[#This Row],[MD5]],df[#All],2,FALSE)</f>
        <v>22232047900</v>
      </c>
      <c r="S122" s="19">
        <f>VLOOKUP(Input[[#This Row],[MD5]],df[#All],3,FALSE)</f>
        <v>5454161125.25</v>
      </c>
      <c r="T122" s="19">
        <f>VLOOKUP(Input[[#This Row],[MD5]],df[#All],4,FALSE)</f>
        <v>3204423668.8499899</v>
      </c>
      <c r="U122" s="19">
        <f>Input[[#This Row],[time4]]/$B$1</f>
        <v>1482136.5266666666</v>
      </c>
      <c r="V122" s="19">
        <f>Input[[#This Row],[price4]]/$B$1</f>
        <v>363610.74168333336</v>
      </c>
      <c r="W122" s="20">
        <f>Input[[#This Row],[energy4]]/$B$1</f>
        <v>213628.24458999932</v>
      </c>
    </row>
    <row r="123" spans="1:23">
      <c r="A123" s="24" t="s">
        <v>165</v>
      </c>
      <c r="B123" s="13" t="s">
        <v>297</v>
      </c>
      <c r="C123" s="18">
        <f>VLOOKUP(Input[[#This Row],[MD5]],buildtime[#All],2,FALSE)</f>
        <v>61.977142860000001</v>
      </c>
      <c r="D123" s="19">
        <f>VLOOKUP(Input[[#This Row],[MD5]],buildtime[#All],3,FALSE)</f>
        <v>61.2</v>
      </c>
      <c r="E123" s="20">
        <f>VLOOKUP(Input[[#This Row],[MD5]],buildtime[#All],4,FALSE)</f>
        <v>53.52</v>
      </c>
      <c r="F123" s="18">
        <f>VLOOKUP(Input[[#This Row],[MD5]],partialcf[#All],2,FALSE)</f>
        <v>21342.950074107099</v>
      </c>
      <c r="G123" s="19">
        <f>VLOOKUP(Input[[#This Row],[MD5]],partialcf[#All],3,FALSE)</f>
        <v>23232.9324375</v>
      </c>
      <c r="H123" s="19">
        <f>VLOOKUP(Input[[#This Row],[MD5]],partialcf[#All],4,FALSE)</f>
        <v>20267.210962500001</v>
      </c>
      <c r="I123" s="19">
        <f>Input[[#This Row],[time2]]/$B$1</f>
        <v>1.4228633382738065</v>
      </c>
      <c r="J123" s="19">
        <f>Input[[#This Row],[price2]]/$B$1</f>
        <v>1.5488621625000001</v>
      </c>
      <c r="K123" s="20">
        <f>Input[[#This Row],[energy2]]/$B$1</f>
        <v>1.3511473975000001</v>
      </c>
      <c r="L123" s="18">
        <f>VLOOKUP(Input[[#This Row],[MD5]],fullcf[#All],2,FALSE)</f>
        <v>17043.945681249901</v>
      </c>
      <c r="M123" s="19">
        <f>VLOOKUP(Input[[#This Row],[MD5]],fullcf[#All],3,FALSE)</f>
        <v>873303.17306249996</v>
      </c>
      <c r="N123" s="19">
        <f>VLOOKUP(Input[[#This Row],[MD5]],fullcf[#All],4,FALSE)</f>
        <v>756994.75283749995</v>
      </c>
      <c r="O123" s="19">
        <f>Input[[#This Row],[time3]]/$B$1</f>
        <v>1.13626304541666</v>
      </c>
      <c r="P123" s="19">
        <f>Input[[#This Row],[price3]]/$B$1</f>
        <v>58.220211537499999</v>
      </c>
      <c r="Q123" s="20">
        <f>Input[[#This Row],[energy3]]/$B$1</f>
        <v>50.466316855833327</v>
      </c>
      <c r="R123" s="18">
        <f>VLOOKUP(Input[[#This Row],[MD5]],df[#All],2,FALSE)</f>
        <v>123560976.099999</v>
      </c>
      <c r="S123" s="19">
        <f>VLOOKUP(Input[[#This Row],[MD5]],df[#All],3,FALSE)</f>
        <v>57928036.916666597</v>
      </c>
      <c r="T123" s="19">
        <f>VLOOKUP(Input[[#This Row],[MD5]],df[#All],4,FALSE)</f>
        <v>34095741.850000001</v>
      </c>
      <c r="U123" s="19">
        <f>Input[[#This Row],[time4]]/$B$1</f>
        <v>8237.3984066665998</v>
      </c>
      <c r="V123" s="19">
        <f>Input[[#This Row],[price4]]/$B$1</f>
        <v>3861.869127777773</v>
      </c>
      <c r="W123" s="20">
        <f>Input[[#This Row],[energy4]]/$B$1</f>
        <v>2273.0494566666666</v>
      </c>
    </row>
    <row r="124" spans="1:23">
      <c r="A124" s="24" t="s">
        <v>166</v>
      </c>
      <c r="B124" s="13" t="s">
        <v>298</v>
      </c>
      <c r="C124" s="18">
        <f>VLOOKUP(Input[[#This Row],[MD5]],buildtime[#All],2,FALSE)</f>
        <v>56.24428571</v>
      </c>
      <c r="D124" s="19">
        <f>VLOOKUP(Input[[#This Row],[MD5]],buildtime[#All],3,FALSE)</f>
        <v>64.2</v>
      </c>
      <c r="E124" s="20">
        <f>VLOOKUP(Input[[#This Row],[MD5]],buildtime[#All],4,FALSE)</f>
        <v>56.12</v>
      </c>
      <c r="F124" s="18">
        <f>VLOOKUP(Input[[#This Row],[MD5]],partialcf[#All],2,FALSE)</f>
        <v>19345.198716964202</v>
      </c>
      <c r="G124" s="19">
        <f>VLOOKUP(Input[[#This Row],[MD5]],partialcf[#All],3,FALSE)</f>
        <v>18224.8172812499</v>
      </c>
      <c r="H124" s="19">
        <f>VLOOKUP(Input[[#This Row],[MD5]],partialcf[#All],4,FALSE)</f>
        <v>15915.533181250001</v>
      </c>
      <c r="I124" s="19">
        <f>Input[[#This Row],[time2]]/$B$1</f>
        <v>1.2896799144642801</v>
      </c>
      <c r="J124" s="19">
        <f>Input[[#This Row],[price2]]/$B$1</f>
        <v>1.2149878187499934</v>
      </c>
      <c r="K124" s="20">
        <f>Input[[#This Row],[energy2]]/$B$1</f>
        <v>1.0610355454166667</v>
      </c>
      <c r="L124" s="18">
        <f>VLOOKUP(Input[[#This Row],[MD5]],fullcf[#All],2,FALSE)</f>
        <v>19333.9294178571</v>
      </c>
      <c r="M124" s="19">
        <f>VLOOKUP(Input[[#This Row],[MD5]],fullcf[#All],3,FALSE)</f>
        <v>874708.20787499903</v>
      </c>
      <c r="N124" s="19">
        <f>VLOOKUP(Input[[#This Row],[MD5]],fullcf[#All],4,FALSE)</f>
        <v>758201.13836249895</v>
      </c>
      <c r="O124" s="19">
        <f>Input[[#This Row],[time3]]/$B$1</f>
        <v>1.2889286278571399</v>
      </c>
      <c r="P124" s="19">
        <f>Input[[#This Row],[price3]]/$B$1</f>
        <v>58.313880524999938</v>
      </c>
      <c r="Q124" s="20">
        <f>Input[[#This Row],[energy3]]/$B$1</f>
        <v>50.546742557499933</v>
      </c>
      <c r="R124" s="18">
        <f>VLOOKUP(Input[[#This Row],[MD5]],df[#All],2,FALSE)</f>
        <v>9888379.75</v>
      </c>
      <c r="S124" s="19">
        <f>VLOOKUP(Input[[#This Row],[MD5]],df[#All],3,FALSE)</f>
        <v>17238202.708333299</v>
      </c>
      <c r="T124" s="19">
        <f>VLOOKUP(Input[[#This Row],[MD5]],df[#All],4,FALSE)</f>
        <v>10310844.074999999</v>
      </c>
      <c r="U124" s="19">
        <f>Input[[#This Row],[time4]]/$B$1</f>
        <v>659.22531666666669</v>
      </c>
      <c r="V124" s="19">
        <f>Input[[#This Row],[price4]]/$B$1</f>
        <v>1149.2135138888866</v>
      </c>
      <c r="W124" s="20">
        <f>Input[[#This Row],[energy4]]/$B$1</f>
        <v>687.38960499999996</v>
      </c>
    </row>
    <row r="125" spans="1:23">
      <c r="A125" s="24" t="s">
        <v>167</v>
      </c>
      <c r="B125" s="13" t="s">
        <v>299</v>
      </c>
      <c r="C125" s="18">
        <f>VLOOKUP(Input[[#This Row],[MD5]],buildtime[#All],2,FALSE)</f>
        <v>61.977142860000001</v>
      </c>
      <c r="D125" s="19">
        <f>VLOOKUP(Input[[#This Row],[MD5]],buildtime[#All],3,FALSE)</f>
        <v>61.2</v>
      </c>
      <c r="E125" s="20">
        <f>VLOOKUP(Input[[#This Row],[MD5]],buildtime[#All],4,FALSE)</f>
        <v>53.52</v>
      </c>
      <c r="F125" s="18">
        <f>VLOOKUP(Input[[#This Row],[MD5]],partialcf[#All],2,FALSE)</f>
        <v>21161.749945535699</v>
      </c>
      <c r="G125" s="19">
        <f>VLOOKUP(Input[[#This Row],[MD5]],partialcf[#All],3,FALSE)</f>
        <v>23053.1055937499</v>
      </c>
      <c r="H125" s="19">
        <f>VLOOKUP(Input[[#This Row],[MD5]],partialcf[#All],4,FALSE)</f>
        <v>20109.971543750002</v>
      </c>
      <c r="I125" s="19">
        <f>Input[[#This Row],[time2]]/$B$1</f>
        <v>1.41078332970238</v>
      </c>
      <c r="J125" s="19">
        <f>Input[[#This Row],[price2]]/$B$1</f>
        <v>1.5368737062499933</v>
      </c>
      <c r="K125" s="20">
        <f>Input[[#This Row],[energy2]]/$B$1</f>
        <v>1.3406647695833334</v>
      </c>
      <c r="L125" s="18">
        <f>VLOOKUP(Input[[#This Row],[MD5]],fullcf[#All],2,FALSE)</f>
        <v>16864.5363785714</v>
      </c>
      <c r="M125" s="19">
        <f>VLOOKUP(Input[[#This Row],[MD5]],fullcf[#All],3,FALSE)</f>
        <v>873028.51950000005</v>
      </c>
      <c r="N125" s="19">
        <f>VLOOKUP(Input[[#This Row],[MD5]],fullcf[#All],4,FALSE)</f>
        <v>756755.33026249905</v>
      </c>
      <c r="O125" s="19">
        <f>Input[[#This Row],[time3]]/$B$1</f>
        <v>1.1243024252380933</v>
      </c>
      <c r="P125" s="19">
        <f>Input[[#This Row],[price3]]/$B$1</f>
        <v>58.201901300000003</v>
      </c>
      <c r="Q125" s="20">
        <f>Input[[#This Row],[energy3]]/$B$1</f>
        <v>50.45035535083327</v>
      </c>
      <c r="R125" s="18">
        <f>VLOOKUP(Input[[#This Row],[MD5]],df[#All],2,FALSE)</f>
        <v>69418267.700000003</v>
      </c>
      <c r="S125" s="19">
        <f>VLOOKUP(Input[[#This Row],[MD5]],df[#All],3,FALSE)</f>
        <v>35182829.25</v>
      </c>
      <c r="T125" s="19">
        <f>VLOOKUP(Input[[#This Row],[MD5]],df[#All],4,FALSE)</f>
        <v>20738150.449999999</v>
      </c>
      <c r="U125" s="19">
        <f>Input[[#This Row],[time4]]/$B$1</f>
        <v>4627.8845133333334</v>
      </c>
      <c r="V125" s="19">
        <f>Input[[#This Row],[price4]]/$B$1</f>
        <v>2345.5219499999998</v>
      </c>
      <c r="W125" s="20">
        <f>Input[[#This Row],[energy4]]/$B$1</f>
        <v>1382.5433633333332</v>
      </c>
    </row>
    <row r="126" spans="1:23">
      <c r="A126" s="24" t="s">
        <v>168</v>
      </c>
      <c r="B126" s="13" t="s">
        <v>300</v>
      </c>
      <c r="C126" s="18">
        <f>VLOOKUP(Input[[#This Row],[MD5]],buildtime[#All],2,FALSE)</f>
        <v>56.24428571</v>
      </c>
      <c r="D126" s="19">
        <f>VLOOKUP(Input[[#This Row],[MD5]],buildtime[#All],3,FALSE)</f>
        <v>64.2</v>
      </c>
      <c r="E126" s="20">
        <f>VLOOKUP(Input[[#This Row],[MD5]],buildtime[#All],4,FALSE)</f>
        <v>56.12</v>
      </c>
      <c r="F126" s="18">
        <f>VLOOKUP(Input[[#This Row],[MD5]],partialcf[#All],2,FALSE)</f>
        <v>21841.906645535699</v>
      </c>
      <c r="G126" s="19">
        <f>VLOOKUP(Input[[#This Row],[MD5]],partialcf[#All],3,FALSE)</f>
        <v>21093.919781249901</v>
      </c>
      <c r="H126" s="19">
        <f>VLOOKUP(Input[[#This Row],[MD5]],partialcf[#All],4,FALSE)</f>
        <v>18415.195681249901</v>
      </c>
      <c r="I126" s="19">
        <f>Input[[#This Row],[time2]]/$B$1</f>
        <v>1.45612710970238</v>
      </c>
      <c r="J126" s="19">
        <f>Input[[#This Row],[price2]]/$B$1</f>
        <v>1.4062613187499933</v>
      </c>
      <c r="K126" s="20">
        <f>Input[[#This Row],[energy2]]/$B$1</f>
        <v>1.2276797120833267</v>
      </c>
      <c r="L126" s="18">
        <f>VLOOKUP(Input[[#This Row],[MD5]],fullcf[#All],2,FALSE)</f>
        <v>21026.336837499901</v>
      </c>
      <c r="M126" s="19">
        <f>VLOOKUP(Input[[#This Row],[MD5]],fullcf[#All],3,FALSE)</f>
        <v>876338.48493749998</v>
      </c>
      <c r="N126" s="19">
        <f>VLOOKUP(Input[[#This Row],[MD5]],fullcf[#All],4,FALSE)</f>
        <v>759627.15214999905</v>
      </c>
      <c r="O126" s="19">
        <f>Input[[#This Row],[time3]]/$B$1</f>
        <v>1.4017557891666601</v>
      </c>
      <c r="P126" s="19">
        <f>Input[[#This Row],[price3]]/$B$1</f>
        <v>58.422565662499998</v>
      </c>
      <c r="Q126" s="20">
        <f>Input[[#This Row],[energy3]]/$B$1</f>
        <v>50.641810143333267</v>
      </c>
      <c r="R126" s="18">
        <f>VLOOKUP(Input[[#This Row],[MD5]],df[#All],2,FALSE)</f>
        <v>82811164.299999893</v>
      </c>
      <c r="S126" s="19">
        <f>VLOOKUP(Input[[#This Row],[MD5]],df[#All],3,FALSE)</f>
        <v>42220736</v>
      </c>
      <c r="T126" s="19">
        <f>VLOOKUP(Input[[#This Row],[MD5]],df[#All],4,FALSE)</f>
        <v>24910534.399999902</v>
      </c>
      <c r="U126" s="19">
        <f>Input[[#This Row],[time4]]/$B$1</f>
        <v>5520.7442866666597</v>
      </c>
      <c r="V126" s="19">
        <f>Input[[#This Row],[price4]]/$B$1</f>
        <v>2814.7157333333334</v>
      </c>
      <c r="W126" s="20">
        <f>Input[[#This Row],[energy4]]/$B$1</f>
        <v>1660.7022933333267</v>
      </c>
    </row>
    <row r="127" spans="1:23">
      <c r="A127" s="25" t="s">
        <v>169</v>
      </c>
      <c r="B127" s="13" t="s">
        <v>301</v>
      </c>
      <c r="C127" s="18">
        <f>VLOOKUP(Input[[#This Row],[MD5]],buildtime[#All],2,FALSE)</f>
        <v>61.977142860000001</v>
      </c>
      <c r="D127" s="19">
        <f>VLOOKUP(Input[[#This Row],[MD5]],buildtime[#All],3,FALSE)</f>
        <v>61.2</v>
      </c>
      <c r="E127" s="20">
        <f>VLOOKUP(Input[[#This Row],[MD5]],buildtime[#All],4,FALSE)</f>
        <v>53.52</v>
      </c>
      <c r="F127" s="18">
        <f>VLOOKUP(Input[[#This Row],[MD5]],partialcf[#All],2,FALSE)</f>
        <v>20869.024989732101</v>
      </c>
      <c r="G127" s="19">
        <f>VLOOKUP(Input[[#This Row],[MD5]],partialcf[#All],3,FALSE)</f>
        <v>22598.355421875</v>
      </c>
      <c r="H127" s="19">
        <f>VLOOKUP(Input[[#This Row],[MD5]],partialcf[#All],4,FALSE)</f>
        <v>19716.144471874901</v>
      </c>
      <c r="I127" s="19">
        <f>Input[[#This Row],[time2]]/$B$1</f>
        <v>1.3912683326488067</v>
      </c>
      <c r="J127" s="19">
        <f>Input[[#This Row],[price2]]/$B$1</f>
        <v>1.506557028125</v>
      </c>
      <c r="K127" s="20">
        <f>Input[[#This Row],[energy2]]/$B$1</f>
        <v>1.3144096314583267</v>
      </c>
      <c r="L127" s="18">
        <f>VLOOKUP(Input[[#This Row],[MD5]],fullcf[#All],2,FALSE)</f>
        <v>16901.947815625001</v>
      </c>
      <c r="M127" s="19">
        <f>VLOOKUP(Input[[#This Row],[MD5]],fullcf[#All],3,FALSE)</f>
        <v>873058.218234375</v>
      </c>
      <c r="N127" s="19">
        <f>VLOOKUP(Input[[#This Row],[MD5]],fullcf[#All],4,FALSE)</f>
        <v>756781.35890937503</v>
      </c>
      <c r="O127" s="19">
        <f>Input[[#This Row],[time3]]/$B$1</f>
        <v>1.1267965210416666</v>
      </c>
      <c r="P127" s="19">
        <f>Input[[#This Row],[price3]]/$B$1</f>
        <v>58.203881215625003</v>
      </c>
      <c r="Q127" s="20">
        <f>Input[[#This Row],[energy3]]/$B$1</f>
        <v>50.452090593958339</v>
      </c>
      <c r="R127" s="18">
        <f>VLOOKUP(Input[[#This Row],[MD5]],df[#All],2,FALSE)</f>
        <v>111503964.099999</v>
      </c>
      <c r="S127" s="19">
        <f>VLOOKUP(Input[[#This Row],[MD5]],df[#All],3,FALSE)</f>
        <v>47566106.916666597</v>
      </c>
      <c r="T127" s="19">
        <f>VLOOKUP(Input[[#This Row],[MD5]],df[#All],4,FALSE)</f>
        <v>27943059.850000001</v>
      </c>
      <c r="U127" s="19">
        <f>Input[[#This Row],[time4]]/$B$1</f>
        <v>7433.5976066665999</v>
      </c>
      <c r="V127" s="19">
        <f>Input[[#This Row],[price4]]/$B$1</f>
        <v>3171.07379444444</v>
      </c>
      <c r="W127" s="20">
        <f>Input[[#This Row],[energy4]]/$B$1</f>
        <v>1862.8706566666667</v>
      </c>
    </row>
    <row r="128" spans="1:23">
      <c r="A128" s="24" t="s">
        <v>170</v>
      </c>
      <c r="B128" s="13" t="s">
        <v>302</v>
      </c>
      <c r="C128" s="18">
        <f>VLOOKUP(Input[[#This Row],[MD5]],buildtime[#All],2,FALSE)</f>
        <v>50.51142857</v>
      </c>
      <c r="D128" s="19">
        <f>VLOOKUP(Input[[#This Row],[MD5]],buildtime[#All],3,FALSE)</f>
        <v>65.7</v>
      </c>
      <c r="E128" s="20">
        <f>VLOOKUP(Input[[#This Row],[MD5]],buildtime[#All],4,FALSE)</f>
        <v>57.42</v>
      </c>
      <c r="F128" s="18">
        <f>VLOOKUP(Input[[#This Row],[MD5]],partialcf[#All],2,FALSE)</f>
        <v>855729.62857142801</v>
      </c>
      <c r="G128" s="19">
        <f>VLOOKUP(Input[[#This Row],[MD5]],partialcf[#All],3,FALSE)</f>
        <v>836966.25557812501</v>
      </c>
      <c r="H128" s="19">
        <f>VLOOKUP(Input[[#This Row],[MD5]],partialcf[#All],4,FALSE)</f>
        <v>730116.09462812403</v>
      </c>
      <c r="I128" s="19">
        <f>Input[[#This Row],[time2]]/$B$1</f>
        <v>57.048641904761865</v>
      </c>
      <c r="J128" s="19">
        <f>Input[[#This Row],[price2]]/$B$1</f>
        <v>55.797750371875004</v>
      </c>
      <c r="K128" s="20">
        <f>Input[[#This Row],[energy2]]/$B$1</f>
        <v>48.674406308541599</v>
      </c>
      <c r="L128" s="18">
        <f>VLOOKUP(Input[[#This Row],[MD5]],fullcf[#All],2,FALSE)</f>
        <v>855729.62857142801</v>
      </c>
      <c r="M128" s="19">
        <f>VLOOKUP(Input[[#This Row],[MD5]],fullcf[#All],3,FALSE)</f>
        <v>1627430.6497968701</v>
      </c>
      <c r="N128" s="19">
        <f>VLOOKUP(Input[[#This Row],[MD5]],fullcf[#All],4,FALSE)</f>
        <v>1415185.2362843701</v>
      </c>
      <c r="O128" s="19">
        <f>Input[[#This Row],[time3]]/$B$1</f>
        <v>57.048641904761865</v>
      </c>
      <c r="P128" s="19">
        <f>Input[[#This Row],[price3]]/$B$1</f>
        <v>108.49537665312467</v>
      </c>
      <c r="Q128" s="20">
        <f>Input[[#This Row],[energy3]]/$B$1</f>
        <v>94.345682418958006</v>
      </c>
      <c r="R128" s="18">
        <f>VLOOKUP(Input[[#This Row],[MD5]],df[#All],2,FALSE)</f>
        <v>32193297920</v>
      </c>
      <c r="S128" s="19">
        <f>VLOOKUP(Input[[#This Row],[MD5]],df[#All],3,FALSE)</f>
        <v>8185960095.25</v>
      </c>
      <c r="T128" s="19">
        <f>VLOOKUP(Input[[#This Row],[MD5]],df[#All],4,FALSE)</f>
        <v>4833039486.8500004</v>
      </c>
      <c r="U128" s="19">
        <f>Input[[#This Row],[time4]]/$B$1</f>
        <v>2146219.8613333334</v>
      </c>
      <c r="V128" s="19">
        <f>Input[[#This Row],[price4]]/$B$1</f>
        <v>545730.67301666667</v>
      </c>
      <c r="W128" s="20">
        <f>Input[[#This Row],[energy4]]/$B$1</f>
        <v>322202.63245666667</v>
      </c>
    </row>
    <row r="129" spans="1:23">
      <c r="A129" s="24" t="s">
        <v>171</v>
      </c>
      <c r="B129" s="13" t="s">
        <v>303</v>
      </c>
      <c r="C129" s="18">
        <f>VLOOKUP(Input[[#This Row],[MD5]],buildtime[#All],2,FALSE)</f>
        <v>50.51142857</v>
      </c>
      <c r="D129" s="19">
        <f>VLOOKUP(Input[[#This Row],[MD5]],buildtime[#All],3,FALSE)</f>
        <v>65.7</v>
      </c>
      <c r="E129" s="20">
        <f>VLOOKUP(Input[[#This Row],[MD5]],buildtime[#All],4,FALSE)</f>
        <v>57.42</v>
      </c>
      <c r="F129" s="18">
        <f>VLOOKUP(Input[[#This Row],[MD5]],partialcf[#All],2,FALSE)</f>
        <v>662229.13807857095</v>
      </c>
      <c r="G129" s="19">
        <f>VLOOKUP(Input[[#This Row],[MD5]],partialcf[#All],3,FALSE)</f>
        <v>622833.03417187405</v>
      </c>
      <c r="H129" s="19">
        <f>VLOOKUP(Input[[#This Row],[MD5]],partialcf[#All],4,FALSE)</f>
        <v>543884.596909374</v>
      </c>
      <c r="I129" s="19">
        <f>Input[[#This Row],[time2]]/$B$1</f>
        <v>44.14860920523806</v>
      </c>
      <c r="J129" s="19">
        <f>Input[[#This Row],[price2]]/$B$1</f>
        <v>41.522202278124936</v>
      </c>
      <c r="K129" s="20">
        <f>Input[[#This Row],[energy2]]/$B$1</f>
        <v>36.258973127291597</v>
      </c>
      <c r="L129" s="18">
        <f>VLOOKUP(Input[[#This Row],[MD5]],fullcf[#All],2,FALSE)</f>
        <v>661475.77381964203</v>
      </c>
      <c r="M129" s="19">
        <f>VLOOKUP(Input[[#This Row],[MD5]],fullcf[#All],3,FALSE)</f>
        <v>1428170.2597968699</v>
      </c>
      <c r="N129" s="19">
        <f>VLOOKUP(Input[[#This Row],[MD5]],fullcf[#All],4,FALSE)</f>
        <v>1241843.52578437</v>
      </c>
      <c r="O129" s="19">
        <f>Input[[#This Row],[time3]]/$B$1</f>
        <v>44.098384921309467</v>
      </c>
      <c r="P129" s="19">
        <f>Input[[#This Row],[price3]]/$B$1</f>
        <v>95.211350653124668</v>
      </c>
      <c r="Q129" s="20">
        <f>Input[[#This Row],[energy3]]/$B$1</f>
        <v>82.789568385624662</v>
      </c>
      <c r="R129" s="18">
        <f>VLOOKUP(Input[[#This Row],[MD5]],df[#All],2,FALSE)</f>
        <v>22241765888</v>
      </c>
      <c r="S129" s="19">
        <f>VLOOKUP(Input[[#This Row],[MD5]],df[#All],3,FALSE)</f>
        <v>5460593495.25</v>
      </c>
      <c r="T129" s="19">
        <f>VLOOKUP(Input[[#This Row],[MD5]],df[#All],4,FALSE)</f>
        <v>3208231206.8499899</v>
      </c>
      <c r="U129" s="19">
        <f>Input[[#This Row],[time4]]/$B$1</f>
        <v>1482784.3925333333</v>
      </c>
      <c r="V129" s="19">
        <f>Input[[#This Row],[price4]]/$B$1</f>
        <v>364039.56634999998</v>
      </c>
      <c r="W129" s="20">
        <f>Input[[#This Row],[energy4]]/$B$1</f>
        <v>213882.08045666598</v>
      </c>
    </row>
    <row r="130" spans="1:23">
      <c r="A130" s="24" t="s">
        <v>172</v>
      </c>
      <c r="B130" s="13" t="s">
        <v>304</v>
      </c>
      <c r="C130" s="18">
        <f>VLOOKUP(Input[[#This Row],[MD5]],buildtime[#All],2,FALSE)</f>
        <v>61.977142860000001</v>
      </c>
      <c r="D130" s="19">
        <f>VLOOKUP(Input[[#This Row],[MD5]],buildtime[#All],3,FALSE)</f>
        <v>61.2</v>
      </c>
      <c r="E130" s="20">
        <f>VLOOKUP(Input[[#This Row],[MD5]],buildtime[#All],4,FALSE)</f>
        <v>53.52</v>
      </c>
      <c r="F130" s="18">
        <f>VLOOKUP(Input[[#This Row],[MD5]],partialcf[#All],2,FALSE)</f>
        <v>17130.056374107098</v>
      </c>
      <c r="G130" s="19">
        <f>VLOOKUP(Input[[#This Row],[MD5]],partialcf[#All],3,FALSE)</f>
        <v>17048.455593749899</v>
      </c>
      <c r="H130" s="19">
        <f>VLOOKUP(Input[[#This Row],[MD5]],partialcf[#All],4,FALSE)</f>
        <v>14905.941543749999</v>
      </c>
      <c r="I130" s="19">
        <f>Input[[#This Row],[time2]]/$B$1</f>
        <v>1.1420037582738065</v>
      </c>
      <c r="J130" s="19">
        <f>Input[[#This Row],[price2]]/$B$1</f>
        <v>1.1365637062499934</v>
      </c>
      <c r="K130" s="20">
        <f>Input[[#This Row],[energy2]]/$B$1</f>
        <v>0.99372943624999999</v>
      </c>
      <c r="L130" s="18">
        <f>VLOOKUP(Input[[#This Row],[MD5]],fullcf[#All],2,FALSE)</f>
        <v>16864.5363785714</v>
      </c>
      <c r="M130" s="19">
        <f>VLOOKUP(Input[[#This Row],[MD5]],fullcf[#All],3,FALSE)</f>
        <v>873028.51950000005</v>
      </c>
      <c r="N130" s="19">
        <f>VLOOKUP(Input[[#This Row],[MD5]],fullcf[#All],4,FALSE)</f>
        <v>756755.33026249905</v>
      </c>
      <c r="O130" s="19">
        <f>Input[[#This Row],[time3]]/$B$1</f>
        <v>1.1243024252380933</v>
      </c>
      <c r="P130" s="19">
        <f>Input[[#This Row],[price3]]/$B$1</f>
        <v>58.201901300000003</v>
      </c>
      <c r="Q130" s="20">
        <f>Input[[#This Row],[energy3]]/$B$1</f>
        <v>50.45035535083327</v>
      </c>
      <c r="R130" s="18">
        <f>VLOOKUP(Input[[#This Row],[MD5]],df[#All],2,FALSE)</f>
        <v>69418267.700000003</v>
      </c>
      <c r="S130" s="19">
        <f>VLOOKUP(Input[[#This Row],[MD5]],df[#All],3,FALSE)</f>
        <v>35182829.25</v>
      </c>
      <c r="T130" s="19">
        <f>VLOOKUP(Input[[#This Row],[MD5]],df[#All],4,FALSE)</f>
        <v>20738150.449999999</v>
      </c>
      <c r="U130" s="19">
        <f>Input[[#This Row],[time4]]/$B$1</f>
        <v>4627.8845133333334</v>
      </c>
      <c r="V130" s="19">
        <f>Input[[#This Row],[price4]]/$B$1</f>
        <v>2345.5219499999998</v>
      </c>
      <c r="W130" s="20">
        <f>Input[[#This Row],[energy4]]/$B$1</f>
        <v>1382.5433633333332</v>
      </c>
    </row>
    <row r="131" spans="1:23">
      <c r="A131" s="24" t="s">
        <v>173</v>
      </c>
      <c r="B131" s="13" t="s">
        <v>305</v>
      </c>
      <c r="C131" s="18">
        <f>VLOOKUP(Input[[#This Row],[MD5]],buildtime[#All],2,FALSE)</f>
        <v>44.77857143</v>
      </c>
      <c r="D131" s="19">
        <f>VLOOKUP(Input[[#This Row],[MD5]],buildtime[#All],3,FALSE)</f>
        <v>67.2</v>
      </c>
      <c r="E131" s="20">
        <f>VLOOKUP(Input[[#This Row],[MD5]],buildtime[#All],4,FALSE)</f>
        <v>58.72</v>
      </c>
      <c r="F131" s="18">
        <f>VLOOKUP(Input[[#This Row],[MD5]],partialcf[#All],2,FALSE)</f>
        <v>661600.98547589197</v>
      </c>
      <c r="G131" s="19">
        <f>VLOOKUP(Input[[#This Row],[MD5]],partialcf[#All],3,FALSE)</f>
        <v>622002.60403124895</v>
      </c>
      <c r="H131" s="19">
        <f>VLOOKUP(Input[[#This Row],[MD5]],partialcf[#All],4,FALSE)</f>
        <v>543163.26735624904</v>
      </c>
      <c r="I131" s="19">
        <f>Input[[#This Row],[time2]]/$B$1</f>
        <v>44.106732365059464</v>
      </c>
      <c r="J131" s="19">
        <f>Input[[#This Row],[price2]]/$B$1</f>
        <v>41.466840268749927</v>
      </c>
      <c r="K131" s="20">
        <f>Input[[#This Row],[energy2]]/$B$1</f>
        <v>36.210884490416603</v>
      </c>
      <c r="L131" s="18">
        <f>VLOOKUP(Input[[#This Row],[MD5]],fullcf[#All],2,FALSE)</f>
        <v>661266.61719464196</v>
      </c>
      <c r="M131" s="19">
        <f>VLOOKUP(Input[[#This Row],[MD5]],fullcf[#All],3,FALSE)</f>
        <v>1427880.0204375</v>
      </c>
      <c r="N131" s="19">
        <f>VLOOKUP(Input[[#This Row],[MD5]],fullcf[#All],4,FALSE)</f>
        <v>1241590.361575</v>
      </c>
      <c r="O131" s="19">
        <f>Input[[#This Row],[time3]]/$B$1</f>
        <v>44.084441146309466</v>
      </c>
      <c r="P131" s="19">
        <f>Input[[#This Row],[price3]]/$B$1</f>
        <v>95.192001362499994</v>
      </c>
      <c r="Q131" s="20">
        <f>Input[[#This Row],[energy3]]/$B$1</f>
        <v>82.77269077166666</v>
      </c>
      <c r="R131" s="18">
        <f>VLOOKUP(Input[[#This Row],[MD5]],df[#All],2,FALSE)</f>
        <v>22232398912</v>
      </c>
      <c r="S131" s="19">
        <f>VLOOKUP(Input[[#This Row],[MD5]],df[#All],3,FALSE)</f>
        <v>5454226525.25</v>
      </c>
      <c r="T131" s="19">
        <f>VLOOKUP(Input[[#This Row],[MD5]],df[#All],4,FALSE)</f>
        <v>3204462908.8499899</v>
      </c>
      <c r="U131" s="19">
        <f>Input[[#This Row],[time4]]/$B$1</f>
        <v>1482159.9274666666</v>
      </c>
      <c r="V131" s="19">
        <f>Input[[#This Row],[price4]]/$B$1</f>
        <v>363615.10168333334</v>
      </c>
      <c r="W131" s="20">
        <f>Input[[#This Row],[energy4]]/$B$1</f>
        <v>213630.86058999933</v>
      </c>
    </row>
    <row r="132" spans="1:23">
      <c r="A132" s="24" t="s">
        <v>174</v>
      </c>
      <c r="B132" s="13" t="s">
        <v>306</v>
      </c>
      <c r="C132" s="18">
        <f>VLOOKUP(Input[[#This Row],[MD5]],buildtime[#All],2,FALSE)</f>
        <v>56.24428571</v>
      </c>
      <c r="D132" s="19">
        <f>VLOOKUP(Input[[#This Row],[MD5]],buildtime[#All],3,FALSE)</f>
        <v>64.2</v>
      </c>
      <c r="E132" s="20">
        <f>VLOOKUP(Input[[#This Row],[MD5]],buildtime[#All],4,FALSE)</f>
        <v>56.12</v>
      </c>
      <c r="F132" s="18">
        <f>VLOOKUP(Input[[#This Row],[MD5]],partialcf[#All],2,FALSE)</f>
        <v>661600.373338392</v>
      </c>
      <c r="G132" s="19">
        <f>VLOOKUP(Input[[#This Row],[MD5]],partialcf[#All],3,FALSE)</f>
        <v>622001.849343749</v>
      </c>
      <c r="H132" s="19">
        <f>VLOOKUP(Input[[#This Row],[MD5]],partialcf[#All],4,FALSE)</f>
        <v>543162.61329374905</v>
      </c>
      <c r="I132" s="19">
        <f>Input[[#This Row],[time2]]/$B$1</f>
        <v>44.106691555892802</v>
      </c>
      <c r="J132" s="19">
        <f>Input[[#This Row],[price2]]/$B$1</f>
        <v>41.466789956249933</v>
      </c>
      <c r="K132" s="20">
        <f>Input[[#This Row],[energy2]]/$B$1</f>
        <v>36.210840886249933</v>
      </c>
      <c r="L132" s="18">
        <f>VLOOKUP(Input[[#This Row],[MD5]],fullcf[#All],2,FALSE)</f>
        <v>661265.48511964199</v>
      </c>
      <c r="M132" s="19">
        <f>VLOOKUP(Input[[#This Row],[MD5]],fullcf[#All],3,FALSE)</f>
        <v>1427878.8785625</v>
      </c>
      <c r="N132" s="19">
        <f>VLOOKUP(Input[[#This Row],[MD5]],fullcf[#All],4,FALSE)</f>
        <v>1241589.3719500001</v>
      </c>
      <c r="O132" s="19">
        <f>Input[[#This Row],[time3]]/$B$1</f>
        <v>44.084365674642797</v>
      </c>
      <c r="P132" s="19">
        <f>Input[[#This Row],[price3]]/$B$1</f>
        <v>95.191925237500001</v>
      </c>
      <c r="Q132" s="20">
        <f>Input[[#This Row],[energy3]]/$B$1</f>
        <v>82.772624796666676</v>
      </c>
      <c r="R132" s="18">
        <f>VLOOKUP(Input[[#This Row],[MD5]],df[#All],2,FALSE)</f>
        <v>22231679656</v>
      </c>
      <c r="S132" s="19">
        <f>VLOOKUP(Input[[#This Row],[MD5]],df[#All],3,FALSE)</f>
        <v>5454094125.25</v>
      </c>
      <c r="T132" s="19">
        <f>VLOOKUP(Input[[#This Row],[MD5]],df[#All],4,FALSE)</f>
        <v>3204383468.8499899</v>
      </c>
      <c r="U132" s="19">
        <f>Input[[#This Row],[time4]]/$B$1</f>
        <v>1482111.9770666666</v>
      </c>
      <c r="V132" s="19">
        <f>Input[[#This Row],[price4]]/$B$1</f>
        <v>363606.27501666668</v>
      </c>
      <c r="W132" s="20">
        <f>Input[[#This Row],[energy4]]/$B$1</f>
        <v>213625.56458999933</v>
      </c>
    </row>
    <row r="133" spans="1:23">
      <c r="A133" s="24" t="s">
        <v>175</v>
      </c>
      <c r="B133" s="13" t="s">
        <v>307</v>
      </c>
      <c r="C133" s="18">
        <f>VLOOKUP(Input[[#This Row],[MD5]],buildtime[#All],2,FALSE)</f>
        <v>56.24428571</v>
      </c>
      <c r="D133" s="19">
        <f>VLOOKUP(Input[[#This Row],[MD5]],buildtime[#All],3,FALSE)</f>
        <v>64.2</v>
      </c>
      <c r="E133" s="20">
        <f>VLOOKUP(Input[[#This Row],[MD5]],buildtime[#All],4,FALSE)</f>
        <v>56.12</v>
      </c>
      <c r="F133" s="18">
        <f>VLOOKUP(Input[[#This Row],[MD5]],partialcf[#All],2,FALSE)</f>
        <v>19343.644274196398</v>
      </c>
      <c r="G133" s="19">
        <f>VLOOKUP(Input[[#This Row],[MD5]],partialcf[#All],3,FALSE)</f>
        <v>18222.6705656249</v>
      </c>
      <c r="H133" s="19">
        <f>VLOOKUP(Input[[#This Row],[MD5]],partialcf[#All],4,FALSE)</f>
        <v>15913.670095625001</v>
      </c>
      <c r="I133" s="19">
        <f>Input[[#This Row],[time2]]/$B$1</f>
        <v>1.2895762849464265</v>
      </c>
      <c r="J133" s="19">
        <f>Input[[#This Row],[price2]]/$B$1</f>
        <v>1.2148447043749933</v>
      </c>
      <c r="K133" s="20">
        <f>Input[[#This Row],[energy2]]/$B$1</f>
        <v>1.0609113397083334</v>
      </c>
      <c r="L133" s="18">
        <f>VLOOKUP(Input[[#This Row],[MD5]],fullcf[#All],2,FALSE)</f>
        <v>19333.549807232099</v>
      </c>
      <c r="M133" s="19">
        <f>VLOOKUP(Input[[#This Row],[MD5]],fullcf[#All],3,FALSE)</f>
        <v>874707.59622187505</v>
      </c>
      <c r="N133" s="19">
        <f>VLOOKUP(Input[[#This Row],[MD5]],fullcf[#All],4,FALSE)</f>
        <v>758200.60566437501</v>
      </c>
      <c r="O133" s="19">
        <f>Input[[#This Row],[time3]]/$B$1</f>
        <v>1.2889033204821398</v>
      </c>
      <c r="P133" s="19">
        <f>Input[[#This Row],[price3]]/$B$1</f>
        <v>58.313839748125005</v>
      </c>
      <c r="Q133" s="20">
        <f>Input[[#This Row],[energy3]]/$B$1</f>
        <v>50.546707044291665</v>
      </c>
      <c r="R133" s="18">
        <f>VLOOKUP(Input[[#This Row],[MD5]],df[#All],2,FALSE)</f>
        <v>9812162.2400000002</v>
      </c>
      <c r="S133" s="19">
        <f>VLOOKUP(Input[[#This Row],[MD5]],df[#All],3,FALSE)</f>
        <v>17183376.100000001</v>
      </c>
      <c r="T133" s="19">
        <f>VLOOKUP(Input[[#This Row],[MD5]],df[#All],4,FALSE)</f>
        <v>10278271.84</v>
      </c>
      <c r="U133" s="19">
        <f>Input[[#This Row],[time4]]/$B$1</f>
        <v>654.1441493333333</v>
      </c>
      <c r="V133" s="19">
        <f>Input[[#This Row],[price4]]/$B$1</f>
        <v>1145.5584066666668</v>
      </c>
      <c r="W133" s="20">
        <f>Input[[#This Row],[energy4]]/$B$1</f>
        <v>685.21812266666666</v>
      </c>
    </row>
    <row r="134" spans="1:23">
      <c r="A134" s="24" t="s">
        <v>176</v>
      </c>
      <c r="B134" s="13" t="s">
        <v>308</v>
      </c>
      <c r="C134" s="18">
        <f>VLOOKUP(Input[[#This Row],[MD5]],buildtime[#All],2,FALSE)</f>
        <v>44.77857143</v>
      </c>
      <c r="D134" s="19">
        <f>VLOOKUP(Input[[#This Row],[MD5]],buildtime[#All],3,FALSE)</f>
        <v>67.2</v>
      </c>
      <c r="E134" s="20">
        <f>VLOOKUP(Input[[#This Row],[MD5]],buildtime[#All],4,FALSE)</f>
        <v>58.72</v>
      </c>
      <c r="F134" s="18">
        <f>VLOOKUP(Input[[#This Row],[MD5]],partialcf[#All],2,FALSE)</f>
        <v>661600.98547589197</v>
      </c>
      <c r="G134" s="19">
        <f>VLOOKUP(Input[[#This Row],[MD5]],partialcf[#All],3,FALSE)</f>
        <v>622002.60403124895</v>
      </c>
      <c r="H134" s="19">
        <f>VLOOKUP(Input[[#This Row],[MD5]],partialcf[#All],4,FALSE)</f>
        <v>543163.26735624904</v>
      </c>
      <c r="I134" s="19">
        <f>Input[[#This Row],[time2]]/$B$1</f>
        <v>44.106732365059464</v>
      </c>
      <c r="J134" s="19">
        <f>Input[[#This Row],[price2]]/$B$1</f>
        <v>41.466840268749927</v>
      </c>
      <c r="K134" s="20">
        <f>Input[[#This Row],[energy2]]/$B$1</f>
        <v>36.210884490416603</v>
      </c>
      <c r="L134" s="18">
        <f>VLOOKUP(Input[[#This Row],[MD5]],fullcf[#All],2,FALSE)</f>
        <v>661266.61719464196</v>
      </c>
      <c r="M134" s="19">
        <f>VLOOKUP(Input[[#This Row],[MD5]],fullcf[#All],3,FALSE)</f>
        <v>1427880.0204375</v>
      </c>
      <c r="N134" s="19">
        <f>VLOOKUP(Input[[#This Row],[MD5]],fullcf[#All],4,FALSE)</f>
        <v>1241590.361575</v>
      </c>
      <c r="O134" s="19">
        <f>Input[[#This Row],[time3]]/$B$1</f>
        <v>44.084441146309466</v>
      </c>
      <c r="P134" s="19">
        <f>Input[[#This Row],[price3]]/$B$1</f>
        <v>95.192001362499994</v>
      </c>
      <c r="Q134" s="20">
        <f>Input[[#This Row],[energy3]]/$B$1</f>
        <v>82.77269077166666</v>
      </c>
      <c r="R134" s="18">
        <f>VLOOKUP(Input[[#This Row],[MD5]],df[#All],2,FALSE)</f>
        <v>22232398912</v>
      </c>
      <c r="S134" s="19">
        <f>VLOOKUP(Input[[#This Row],[MD5]],df[#All],3,FALSE)</f>
        <v>5454226525.25</v>
      </c>
      <c r="T134" s="19">
        <f>VLOOKUP(Input[[#This Row],[MD5]],df[#All],4,FALSE)</f>
        <v>3204462908.8499899</v>
      </c>
      <c r="U134" s="19">
        <f>Input[[#This Row],[time4]]/$B$1</f>
        <v>1482159.9274666666</v>
      </c>
      <c r="V134" s="19">
        <f>Input[[#This Row],[price4]]/$B$1</f>
        <v>363615.10168333334</v>
      </c>
      <c r="W134" s="20">
        <f>Input[[#This Row],[energy4]]/$B$1</f>
        <v>213630.86058999933</v>
      </c>
    </row>
    <row r="135" spans="1:23">
      <c r="A135" s="24" t="s">
        <v>177</v>
      </c>
      <c r="B135" s="13" t="s">
        <v>309</v>
      </c>
      <c r="C135" s="18">
        <f>VLOOKUP(Input[[#This Row],[MD5]],buildtime[#All],2,FALSE)</f>
        <v>61.977142860000001</v>
      </c>
      <c r="D135" s="19">
        <f>VLOOKUP(Input[[#This Row],[MD5]],buildtime[#All],3,FALSE)</f>
        <v>61.2</v>
      </c>
      <c r="E135" s="20">
        <f>VLOOKUP(Input[[#This Row],[MD5]],buildtime[#All],4,FALSE)</f>
        <v>53.52</v>
      </c>
      <c r="F135" s="18">
        <f>VLOOKUP(Input[[#This Row],[MD5]],partialcf[#All],2,FALSE)</f>
        <v>21161.904164285701</v>
      </c>
      <c r="G135" s="19">
        <f>VLOOKUP(Input[[#This Row],[MD5]],partialcf[#All],3,FALSE)</f>
        <v>23053.3352812499</v>
      </c>
      <c r="H135" s="19">
        <f>VLOOKUP(Input[[#This Row],[MD5]],partialcf[#All],4,FALSE)</f>
        <v>20110.170606250002</v>
      </c>
      <c r="I135" s="19">
        <f>Input[[#This Row],[time2]]/$B$1</f>
        <v>1.41079361095238</v>
      </c>
      <c r="J135" s="19">
        <f>Input[[#This Row],[price2]]/$B$1</f>
        <v>1.5368890187499933</v>
      </c>
      <c r="K135" s="20">
        <f>Input[[#This Row],[energy2]]/$B$1</f>
        <v>1.3406780404166667</v>
      </c>
      <c r="L135" s="18">
        <f>VLOOKUP(Input[[#This Row],[MD5]],fullcf[#All],2,FALSE)</f>
        <v>16864.580441071401</v>
      </c>
      <c r="M135" s="19">
        <f>VLOOKUP(Input[[#This Row],[MD5]],fullcf[#All],3,FALSE)</f>
        <v>873028.55231249996</v>
      </c>
      <c r="N135" s="19">
        <f>VLOOKUP(Input[[#This Row],[MD5]],fullcf[#All],4,FALSE)</f>
        <v>756755.35869999905</v>
      </c>
      <c r="O135" s="19">
        <f>Input[[#This Row],[time3]]/$B$1</f>
        <v>1.1243053627380935</v>
      </c>
      <c r="P135" s="19">
        <f>Input[[#This Row],[price3]]/$B$1</f>
        <v>58.201903487499997</v>
      </c>
      <c r="Q135" s="20">
        <f>Input[[#This Row],[energy3]]/$B$1</f>
        <v>50.450357246666606</v>
      </c>
      <c r="R135" s="18">
        <f>VLOOKUP(Input[[#This Row],[MD5]],df[#All],2,FALSE)</f>
        <v>69433947.700000003</v>
      </c>
      <c r="S135" s="19">
        <f>VLOOKUP(Input[[#This Row],[MD5]],df[#All],3,FALSE)</f>
        <v>35185629.25</v>
      </c>
      <c r="T135" s="19">
        <f>VLOOKUP(Input[[#This Row],[MD5]],df[#All],4,FALSE)</f>
        <v>20739830.449999999</v>
      </c>
      <c r="U135" s="19">
        <f>Input[[#This Row],[time4]]/$B$1</f>
        <v>4628.9298466666669</v>
      </c>
      <c r="V135" s="19">
        <f>Input[[#This Row],[price4]]/$B$1</f>
        <v>2345.7086166666668</v>
      </c>
      <c r="W135" s="20">
        <f>Input[[#This Row],[energy4]]/$B$1</f>
        <v>1382.6553633333333</v>
      </c>
    </row>
    <row r="136" spans="1:23">
      <c r="A136" s="24" t="s">
        <v>178</v>
      </c>
      <c r="B136" s="13" t="s">
        <v>310</v>
      </c>
      <c r="C136" s="18">
        <f>VLOOKUP(Input[[#This Row],[MD5]],buildtime[#All],2,FALSE)</f>
        <v>61.977142860000001</v>
      </c>
      <c r="D136" s="19">
        <f>VLOOKUP(Input[[#This Row],[MD5]],buildtime[#All],3,FALSE)</f>
        <v>61.2</v>
      </c>
      <c r="E136" s="20">
        <f>VLOOKUP(Input[[#This Row],[MD5]],buildtime[#All],4,FALSE)</f>
        <v>53.52</v>
      </c>
      <c r="F136" s="18">
        <f>VLOOKUP(Input[[#This Row],[MD5]],partialcf[#All],2,FALSE)</f>
        <v>19411.277558392801</v>
      </c>
      <c r="G136" s="19">
        <f>VLOOKUP(Input[[#This Row],[MD5]],partialcf[#All],3,FALSE)</f>
        <v>21069.415762500001</v>
      </c>
      <c r="H136" s="19">
        <f>VLOOKUP(Input[[#This Row],[MD5]],partialcf[#All],4,FALSE)</f>
        <v>18381.154107499999</v>
      </c>
      <c r="I136" s="19">
        <f>Input[[#This Row],[time2]]/$B$1</f>
        <v>1.29408517055952</v>
      </c>
      <c r="J136" s="19">
        <f>Input[[#This Row],[price2]]/$B$1</f>
        <v>1.4046277175000002</v>
      </c>
      <c r="K136" s="20">
        <f>Input[[#This Row],[energy2]]/$B$1</f>
        <v>1.2254102738333332</v>
      </c>
      <c r="L136" s="18">
        <f>VLOOKUP(Input[[#This Row],[MD5]],fullcf[#All],2,FALSE)</f>
        <v>15622.5091101785</v>
      </c>
      <c r="M136" s="19">
        <f>VLOOKUP(Input[[#This Row],[MD5]],fullcf[#All],3,FALSE)</f>
        <v>871919.18773124903</v>
      </c>
      <c r="N136" s="19">
        <f>VLOOKUP(Input[[#This Row],[MD5]],fullcf[#All],4,FALSE)</f>
        <v>755784.28981374903</v>
      </c>
      <c r="O136" s="19">
        <f>Input[[#This Row],[time3]]/$B$1</f>
        <v>1.0415006073452333</v>
      </c>
      <c r="P136" s="19">
        <f>Input[[#This Row],[price3]]/$B$1</f>
        <v>58.127945848749938</v>
      </c>
      <c r="Q136" s="20">
        <f>Input[[#This Row],[energy3]]/$B$1</f>
        <v>50.385619320916604</v>
      </c>
      <c r="R136" s="18">
        <f>VLOOKUP(Input[[#This Row],[MD5]],df[#All],2,FALSE)</f>
        <v>6018203.5133333299</v>
      </c>
      <c r="S136" s="19">
        <f>VLOOKUP(Input[[#This Row],[MD5]],df[#All],3,FALSE)</f>
        <v>16551336.1166666</v>
      </c>
      <c r="T136" s="19">
        <f>VLOOKUP(Input[[#This Row],[MD5]],df[#All],4,FALSE)</f>
        <v>9898376.1966666598</v>
      </c>
      <c r="U136" s="19">
        <f>Input[[#This Row],[time4]]/$B$1</f>
        <v>401.2135675555553</v>
      </c>
      <c r="V136" s="19">
        <f>Input[[#This Row],[price4]]/$B$1</f>
        <v>1103.4224077777733</v>
      </c>
      <c r="W136" s="20">
        <f>Input[[#This Row],[energy4]]/$B$1</f>
        <v>659.89174644444404</v>
      </c>
    </row>
    <row r="137" spans="1:23">
      <c r="A137" s="24" t="s">
        <v>179</v>
      </c>
      <c r="B137" s="13" t="s">
        <v>311</v>
      </c>
      <c r="C137" s="18">
        <f>VLOOKUP(Input[[#This Row],[MD5]],buildtime[#All],2,FALSE)</f>
        <v>61.977142860000001</v>
      </c>
      <c r="D137" s="19">
        <f>VLOOKUP(Input[[#This Row],[MD5]],buildtime[#All],3,FALSE)</f>
        <v>61.2</v>
      </c>
      <c r="E137" s="20">
        <f>VLOOKUP(Input[[#This Row],[MD5]],buildtime[#All],4,FALSE)</f>
        <v>53.52</v>
      </c>
      <c r="F137" s="18">
        <f>VLOOKUP(Input[[#This Row],[MD5]],partialcf[#All],2,FALSE)</f>
        <v>17199.4113785714</v>
      </c>
      <c r="G137" s="19">
        <f>VLOOKUP(Input[[#This Row],[MD5]],partialcf[#All],3,FALSE)</f>
        <v>17151.750281249901</v>
      </c>
      <c r="H137" s="19">
        <f>VLOOKUP(Input[[#This Row],[MD5]],partialcf[#All],4,FALSE)</f>
        <v>14995.463606249999</v>
      </c>
      <c r="I137" s="19">
        <f>Input[[#This Row],[time2]]/$B$1</f>
        <v>1.1466274252380932</v>
      </c>
      <c r="J137" s="19">
        <f>Input[[#This Row],[price2]]/$B$1</f>
        <v>1.1434500187499934</v>
      </c>
      <c r="K137" s="20">
        <f>Input[[#This Row],[energy2]]/$B$1</f>
        <v>0.99969757375000001</v>
      </c>
      <c r="L137" s="18">
        <f>VLOOKUP(Input[[#This Row],[MD5]],fullcf[#All],2,FALSE)</f>
        <v>16864.5363785714</v>
      </c>
      <c r="M137" s="19">
        <f>VLOOKUP(Input[[#This Row],[MD5]],fullcf[#All],3,FALSE)</f>
        <v>873028.51950000005</v>
      </c>
      <c r="N137" s="19">
        <f>VLOOKUP(Input[[#This Row],[MD5]],fullcf[#All],4,FALSE)</f>
        <v>756755.33026249998</v>
      </c>
      <c r="O137" s="19">
        <f>Input[[#This Row],[time3]]/$B$1</f>
        <v>1.1243024252380933</v>
      </c>
      <c r="P137" s="19">
        <f>Input[[#This Row],[price3]]/$B$1</f>
        <v>58.201901300000003</v>
      </c>
      <c r="Q137" s="20">
        <f>Input[[#This Row],[energy3]]/$B$1</f>
        <v>50.450355350833334</v>
      </c>
      <c r="R137" s="18">
        <f>VLOOKUP(Input[[#This Row],[MD5]],df[#All],2,FALSE)</f>
        <v>69418267.700000003</v>
      </c>
      <c r="S137" s="19">
        <f>VLOOKUP(Input[[#This Row],[MD5]],df[#All],3,FALSE)</f>
        <v>35182829.25</v>
      </c>
      <c r="T137" s="19">
        <f>VLOOKUP(Input[[#This Row],[MD5]],df[#All],4,FALSE)</f>
        <v>20738150.449999999</v>
      </c>
      <c r="U137" s="19">
        <f>Input[[#This Row],[time4]]/$B$1</f>
        <v>4627.8845133333334</v>
      </c>
      <c r="V137" s="19">
        <f>Input[[#This Row],[price4]]/$B$1</f>
        <v>2345.5219499999998</v>
      </c>
      <c r="W137" s="20">
        <f>Input[[#This Row],[energy4]]/$B$1</f>
        <v>1382.5433633333332</v>
      </c>
    </row>
    <row r="138" spans="1:23">
      <c r="A138" s="24" t="s">
        <v>180</v>
      </c>
      <c r="B138" s="13" t="s">
        <v>312</v>
      </c>
      <c r="C138" s="18">
        <f>VLOOKUP(Input[[#This Row],[MD5]],buildtime[#All],2,FALSE)</f>
        <v>50.51142857</v>
      </c>
      <c r="D138" s="19">
        <f>VLOOKUP(Input[[#This Row],[MD5]],buildtime[#All],3,FALSE)</f>
        <v>70.2</v>
      </c>
      <c r="E138" s="20">
        <f>VLOOKUP(Input[[#This Row],[MD5]],buildtime[#All],4,FALSE)</f>
        <v>61.32</v>
      </c>
      <c r="F138" s="18">
        <f>VLOOKUP(Input[[#This Row],[MD5]],partialcf[#All],2,FALSE)</f>
        <v>662186.48855669599</v>
      </c>
      <c r="G138" s="19">
        <f>VLOOKUP(Input[[#This Row],[MD5]],partialcf[#All],3,FALSE)</f>
        <v>622687.47403124894</v>
      </c>
      <c r="H138" s="19">
        <f>VLOOKUP(Input[[#This Row],[MD5]],partialcf[#All],4,FALSE)</f>
        <v>543756.82135624904</v>
      </c>
      <c r="I138" s="19">
        <f>Input[[#This Row],[time2]]/$B$1</f>
        <v>44.145765903779733</v>
      </c>
      <c r="J138" s="19">
        <f>Input[[#This Row],[price2]]/$B$1</f>
        <v>41.51249826874993</v>
      </c>
      <c r="K138" s="20">
        <f>Input[[#This Row],[energy2]]/$B$1</f>
        <v>36.250454757083268</v>
      </c>
      <c r="L138" s="18">
        <f>VLOOKUP(Input[[#This Row],[MD5]],fullcf[#All],2,FALSE)</f>
        <v>661519.26333794603</v>
      </c>
      <c r="M138" s="19">
        <f>VLOOKUP(Input[[#This Row],[MD5]],fullcf[#All],3,FALSE)</f>
        <v>1428191.6285625</v>
      </c>
      <c r="N138" s="19">
        <f>VLOOKUP(Input[[#This Row],[MD5]],fullcf[#All],4,FALSE)</f>
        <v>1241860.4219500001</v>
      </c>
      <c r="O138" s="19">
        <f>Input[[#This Row],[time3]]/$B$1</f>
        <v>44.101284222529735</v>
      </c>
      <c r="P138" s="19">
        <f>Input[[#This Row],[price3]]/$B$1</f>
        <v>95.212775237499997</v>
      </c>
      <c r="Q138" s="20">
        <f>Input[[#This Row],[energy3]]/$B$1</f>
        <v>82.790694796666671</v>
      </c>
      <c r="R138" s="18">
        <f>VLOOKUP(Input[[#This Row],[MD5]],df[#All],2,FALSE)</f>
        <v>22255252524</v>
      </c>
      <c r="S138" s="19">
        <f>VLOOKUP(Input[[#This Row],[MD5]],df[#All],3,FALSE)</f>
        <v>5458319082.75</v>
      </c>
      <c r="T138" s="19">
        <f>VLOOKUP(Input[[#This Row],[MD5]],df[#All],4,FALSE)</f>
        <v>3206918443.3499899</v>
      </c>
      <c r="U138" s="19">
        <f>Input[[#This Row],[time4]]/$B$1</f>
        <v>1483683.5016000001</v>
      </c>
      <c r="V138" s="19">
        <f>Input[[#This Row],[price4]]/$B$1</f>
        <v>363887.93884999998</v>
      </c>
      <c r="W138" s="20">
        <f>Input[[#This Row],[energy4]]/$B$1</f>
        <v>213794.56288999933</v>
      </c>
    </row>
    <row r="139" spans="1:23">
      <c r="A139" s="24" t="s">
        <v>181</v>
      </c>
      <c r="B139" s="13" t="s">
        <v>313</v>
      </c>
      <c r="C139" s="18">
        <f>VLOOKUP(Input[[#This Row],[MD5]],buildtime[#All],2,FALSE)</f>
        <v>56.24428571</v>
      </c>
      <c r="D139" s="19">
        <f>VLOOKUP(Input[[#This Row],[MD5]],buildtime[#All],3,FALSE)</f>
        <v>64.2</v>
      </c>
      <c r="E139" s="20">
        <f>VLOOKUP(Input[[#This Row],[MD5]],buildtime[#All],4,FALSE)</f>
        <v>56.12</v>
      </c>
      <c r="F139" s="18">
        <f>VLOOKUP(Input[[#This Row],[MD5]],partialcf[#All],2,FALSE)</f>
        <v>19345.225154464199</v>
      </c>
      <c r="G139" s="19">
        <f>VLOOKUP(Input[[#This Row],[MD5]],partialcf[#All],3,FALSE)</f>
        <v>18224.8566562499</v>
      </c>
      <c r="H139" s="19">
        <f>VLOOKUP(Input[[#This Row],[MD5]],partialcf[#All],4,FALSE)</f>
        <v>15915.567306249999</v>
      </c>
      <c r="I139" s="19">
        <f>Input[[#This Row],[time2]]/$B$1</f>
        <v>1.2896816769642798</v>
      </c>
      <c r="J139" s="19">
        <f>Input[[#This Row],[price2]]/$B$1</f>
        <v>1.2149904437499934</v>
      </c>
      <c r="K139" s="20">
        <f>Input[[#This Row],[energy2]]/$B$1</f>
        <v>1.0610378204166666</v>
      </c>
      <c r="L139" s="18">
        <f>VLOOKUP(Input[[#This Row],[MD5]],fullcf[#All],2,FALSE)</f>
        <v>19333.973480357101</v>
      </c>
      <c r="M139" s="19">
        <f>VLOOKUP(Input[[#This Row],[MD5]],fullcf[#All],3,FALSE)</f>
        <v>874708.24068749906</v>
      </c>
      <c r="N139" s="19">
        <f>VLOOKUP(Input[[#This Row],[MD5]],fullcf[#All],4,FALSE)</f>
        <v>758201.16680000001</v>
      </c>
      <c r="O139" s="19">
        <f>Input[[#This Row],[time3]]/$B$1</f>
        <v>1.28893156535714</v>
      </c>
      <c r="P139" s="19">
        <f>Input[[#This Row],[price3]]/$B$1</f>
        <v>58.313882712499939</v>
      </c>
      <c r="Q139" s="20">
        <f>Input[[#This Row],[energy3]]/$B$1</f>
        <v>50.546744453333332</v>
      </c>
      <c r="R139" s="18">
        <f>VLOOKUP(Input[[#This Row],[MD5]],df[#All],2,FALSE)</f>
        <v>9913019.75</v>
      </c>
      <c r="S139" s="19">
        <f>VLOOKUP(Input[[#This Row],[MD5]],df[#All],3,FALSE)</f>
        <v>17242602.708333299</v>
      </c>
      <c r="T139" s="19">
        <f>VLOOKUP(Input[[#This Row],[MD5]],df[#All],4,FALSE)</f>
        <v>10313484.074999999</v>
      </c>
      <c r="U139" s="19">
        <f>Input[[#This Row],[time4]]/$B$1</f>
        <v>660.86798333333331</v>
      </c>
      <c r="V139" s="19">
        <f>Input[[#This Row],[price4]]/$B$1</f>
        <v>1149.5068472222199</v>
      </c>
      <c r="W139" s="20">
        <f>Input[[#This Row],[energy4]]/$B$1</f>
        <v>687.56560500000001</v>
      </c>
    </row>
    <row r="140" spans="1:23">
      <c r="A140" s="24" t="s">
        <v>182</v>
      </c>
      <c r="B140" s="13" t="s">
        <v>314</v>
      </c>
      <c r="C140" s="18">
        <f>VLOOKUP(Input[[#This Row],[MD5]],buildtime[#All],2,FALSE)</f>
        <v>61.977142860000001</v>
      </c>
      <c r="D140" s="19">
        <f>VLOOKUP(Input[[#This Row],[MD5]],buildtime[#All],3,FALSE)</f>
        <v>61.2</v>
      </c>
      <c r="E140" s="20">
        <f>VLOOKUP(Input[[#This Row],[MD5]],buildtime[#All],4,FALSE)</f>
        <v>53.52</v>
      </c>
      <c r="F140" s="18">
        <f>VLOOKUP(Input[[#This Row],[MD5]],partialcf[#All],2,FALSE)</f>
        <v>17130.2105928571</v>
      </c>
      <c r="G140" s="19">
        <f>VLOOKUP(Input[[#This Row],[MD5]],partialcf[#All],3,FALSE)</f>
        <v>17048.68528125</v>
      </c>
      <c r="H140" s="19">
        <f>VLOOKUP(Input[[#This Row],[MD5]],partialcf[#All],4,FALSE)</f>
        <v>14906.140606249999</v>
      </c>
      <c r="I140" s="19">
        <f>Input[[#This Row],[time2]]/$B$1</f>
        <v>1.1420140395238068</v>
      </c>
      <c r="J140" s="19">
        <f>Input[[#This Row],[price2]]/$B$1</f>
        <v>1.13657901875</v>
      </c>
      <c r="K140" s="20">
        <f>Input[[#This Row],[energy2]]/$B$1</f>
        <v>0.99374270708333323</v>
      </c>
      <c r="L140" s="18">
        <f>VLOOKUP(Input[[#This Row],[MD5]],fullcf[#All],2,FALSE)</f>
        <v>16864.580441071401</v>
      </c>
      <c r="M140" s="19">
        <f>VLOOKUP(Input[[#This Row],[MD5]],fullcf[#All],3,FALSE)</f>
        <v>873028.55231249996</v>
      </c>
      <c r="N140" s="19">
        <f>VLOOKUP(Input[[#This Row],[MD5]],fullcf[#All],4,FALSE)</f>
        <v>756755.35869999905</v>
      </c>
      <c r="O140" s="19">
        <f>Input[[#This Row],[time3]]/$B$1</f>
        <v>1.1243053627380935</v>
      </c>
      <c r="P140" s="19">
        <f>Input[[#This Row],[price3]]/$B$1</f>
        <v>58.201903487499997</v>
      </c>
      <c r="Q140" s="20">
        <f>Input[[#This Row],[energy3]]/$B$1</f>
        <v>50.450357246666606</v>
      </c>
      <c r="R140" s="18">
        <f>VLOOKUP(Input[[#This Row],[MD5]],df[#All],2,FALSE)</f>
        <v>69433947.700000003</v>
      </c>
      <c r="S140" s="19">
        <f>VLOOKUP(Input[[#This Row],[MD5]],df[#All],3,FALSE)</f>
        <v>35185629.25</v>
      </c>
      <c r="T140" s="19">
        <f>VLOOKUP(Input[[#This Row],[MD5]],df[#All],4,FALSE)</f>
        <v>20739830.449999999</v>
      </c>
      <c r="U140" s="19">
        <f>Input[[#This Row],[time4]]/$B$1</f>
        <v>4628.9298466666669</v>
      </c>
      <c r="V140" s="19">
        <f>Input[[#This Row],[price4]]/$B$1</f>
        <v>2345.7086166666668</v>
      </c>
      <c r="W140" s="20">
        <f>Input[[#This Row],[energy4]]/$B$1</f>
        <v>1382.6553633333333</v>
      </c>
    </row>
    <row r="141" spans="1:23">
      <c r="A141" s="24" t="s">
        <v>183</v>
      </c>
      <c r="B141" s="13" t="s">
        <v>315</v>
      </c>
      <c r="C141" s="18">
        <f>VLOOKUP(Input[[#This Row],[MD5]],buildtime[#All],2,FALSE)</f>
        <v>61.977142860000001</v>
      </c>
      <c r="D141" s="19">
        <f>VLOOKUP(Input[[#This Row],[MD5]],buildtime[#All],3,FALSE)</f>
        <v>61.2</v>
      </c>
      <c r="E141" s="20">
        <f>VLOOKUP(Input[[#This Row],[MD5]],buildtime[#All],4,FALSE)</f>
        <v>53.52</v>
      </c>
      <c r="F141" s="18">
        <f>VLOOKUP(Input[[#This Row],[MD5]],partialcf[#All],2,FALSE)</f>
        <v>534025.40022142802</v>
      </c>
      <c r="G141" s="19">
        <f>VLOOKUP(Input[[#This Row],[MD5]],partialcf[#All],3,FALSE)</f>
        <v>529609.13212499896</v>
      </c>
      <c r="H141" s="19">
        <f>VLOOKUP(Input[[#This Row],[MD5]],partialcf[#All],4,FALSE)</f>
        <v>463095.31402499898</v>
      </c>
      <c r="I141" s="19">
        <f>Input[[#This Row],[time2]]/$B$1</f>
        <v>35.601693348095203</v>
      </c>
      <c r="J141" s="19">
        <f>Input[[#This Row],[price2]]/$B$1</f>
        <v>35.307275474999933</v>
      </c>
      <c r="K141" s="20">
        <f>Input[[#This Row],[energy2]]/$B$1</f>
        <v>30.873020934999932</v>
      </c>
      <c r="L141" s="18">
        <f>VLOOKUP(Input[[#This Row],[MD5]],fullcf[#All],2,FALSE)</f>
        <v>529482.67166339199</v>
      </c>
      <c r="M141" s="19">
        <f>VLOOKUP(Input[[#This Row],[MD5]],fullcf[#All],3,FALSE)</f>
        <v>1329441.0136875</v>
      </c>
      <c r="N141" s="19">
        <f>VLOOKUP(Input[[#This Row],[MD5]],fullcf[#All],4,FALSE)</f>
        <v>1156282.9447125001</v>
      </c>
      <c r="O141" s="19">
        <f>Input[[#This Row],[time3]]/$B$1</f>
        <v>35.298844777559466</v>
      </c>
      <c r="P141" s="19">
        <f>Input[[#This Row],[price3]]/$B$1</f>
        <v>88.629400912500003</v>
      </c>
      <c r="Q141" s="20">
        <f>Input[[#This Row],[energy3]]/$B$1</f>
        <v>77.08552964750001</v>
      </c>
      <c r="R141" s="18">
        <f>VLOOKUP(Input[[#This Row],[MD5]],df[#All],2,FALSE)</f>
        <v>12819762466.1</v>
      </c>
      <c r="S141" s="19">
        <f>VLOOKUP(Input[[#This Row],[MD5]],df[#All],3,FALSE)</f>
        <v>3788220545.25</v>
      </c>
      <c r="T141" s="19">
        <f>VLOOKUP(Input[[#This Row],[MD5]],df[#All],4,FALSE)</f>
        <v>2204377336.8499899</v>
      </c>
      <c r="U141" s="19">
        <f>Input[[#This Row],[time4]]/$B$1</f>
        <v>854650.83107333339</v>
      </c>
      <c r="V141" s="19">
        <f>Input[[#This Row],[price4]]/$B$1</f>
        <v>252548.03635000001</v>
      </c>
      <c r="W141" s="20">
        <f>Input[[#This Row],[energy4]]/$B$1</f>
        <v>146958.48912333266</v>
      </c>
    </row>
    <row r="142" spans="1:23">
      <c r="A142" s="24" t="s">
        <v>184</v>
      </c>
      <c r="B142" s="13" t="s">
        <v>316</v>
      </c>
      <c r="C142" s="18">
        <f>VLOOKUP(Input[[#This Row],[MD5]],buildtime[#All],2,FALSE)</f>
        <v>50.51142857</v>
      </c>
      <c r="D142" s="19">
        <f>VLOOKUP(Input[[#This Row],[MD5]],buildtime[#All],3,FALSE)</f>
        <v>65.7</v>
      </c>
      <c r="E142" s="20">
        <f>VLOOKUP(Input[[#This Row],[MD5]],buildtime[#All],4,FALSE)</f>
        <v>57.42</v>
      </c>
      <c r="F142" s="18">
        <f>VLOOKUP(Input[[#This Row],[MD5]],partialcf[#All],2,FALSE)</f>
        <v>661600.68482901703</v>
      </c>
      <c r="G142" s="19">
        <f>VLOOKUP(Input[[#This Row],[MD5]],partialcf[#All],3,FALSE)</f>
        <v>622002.24637499906</v>
      </c>
      <c r="H142" s="19">
        <f>VLOOKUP(Input[[#This Row],[MD5]],partialcf[#All],4,FALSE)</f>
        <v>543162.95738749905</v>
      </c>
      <c r="I142" s="19">
        <f>Input[[#This Row],[time2]]/$B$1</f>
        <v>44.106712321934467</v>
      </c>
      <c r="J142" s="19">
        <f>Input[[#This Row],[price2]]/$B$1</f>
        <v>41.466816424999934</v>
      </c>
      <c r="K142" s="20">
        <f>Input[[#This Row],[energy2]]/$B$1</f>
        <v>36.210863825833272</v>
      </c>
      <c r="L142" s="18">
        <f>VLOOKUP(Input[[#This Row],[MD5]],fullcf[#All],2,FALSE)</f>
        <v>661265.43529776705</v>
      </c>
      <c r="M142" s="19">
        <f>VLOOKUP(Input[[#This Row],[MD5]],fullcf[#All],3,FALSE)</f>
        <v>1427878.9441875</v>
      </c>
      <c r="N142" s="19">
        <f>VLOOKUP(Input[[#This Row],[MD5]],fullcf[#All],4,FALSE)</f>
        <v>1241589.4288250001</v>
      </c>
      <c r="O142" s="19">
        <f>Input[[#This Row],[time3]]/$B$1</f>
        <v>44.084362353184467</v>
      </c>
      <c r="P142" s="19">
        <f>Input[[#This Row],[price3]]/$B$1</f>
        <v>95.191929612500005</v>
      </c>
      <c r="Q142" s="20">
        <f>Input[[#This Row],[energy3]]/$B$1</f>
        <v>82.772628588333333</v>
      </c>
      <c r="R142" s="18">
        <f>VLOOKUP(Input[[#This Row],[MD5]],df[#All],2,FALSE)</f>
        <v>22231713020</v>
      </c>
      <c r="S142" s="19">
        <f>VLOOKUP(Input[[#This Row],[MD5]],df[#All],3,FALSE)</f>
        <v>5454101325.25</v>
      </c>
      <c r="T142" s="19">
        <f>VLOOKUP(Input[[#This Row],[MD5]],df[#All],4,FALSE)</f>
        <v>3204387788.8499899</v>
      </c>
      <c r="U142" s="19">
        <f>Input[[#This Row],[time4]]/$B$1</f>
        <v>1482114.2013333333</v>
      </c>
      <c r="V142" s="19">
        <f>Input[[#This Row],[price4]]/$B$1</f>
        <v>363606.75501666666</v>
      </c>
      <c r="W142" s="20">
        <f>Input[[#This Row],[energy4]]/$B$1</f>
        <v>213625.85258999933</v>
      </c>
    </row>
    <row r="143" spans="1:23">
      <c r="A143" s="25" t="s">
        <v>185</v>
      </c>
      <c r="B143" s="13" t="s">
        <v>317</v>
      </c>
      <c r="C143" s="18">
        <f>VLOOKUP(Input[[#This Row],[MD5]],buildtime[#All],2,FALSE)</f>
        <v>56.24428571</v>
      </c>
      <c r="D143" s="19">
        <f>VLOOKUP(Input[[#This Row],[MD5]],buildtime[#All],3,FALSE)</f>
        <v>64.2</v>
      </c>
      <c r="E143" s="20">
        <f>VLOOKUP(Input[[#This Row],[MD5]],buildtime[#All],4,FALSE)</f>
        <v>56.12</v>
      </c>
      <c r="F143" s="18">
        <f>VLOOKUP(Input[[#This Row],[MD5]],partialcf[#All],2,FALSE)</f>
        <v>662228.91030669597</v>
      </c>
      <c r="G143" s="19">
        <f>VLOOKUP(Input[[#This Row],[MD5]],partialcf[#All],3,FALSE)</f>
        <v>622832.76182812406</v>
      </c>
      <c r="H143" s="19">
        <f>VLOOKUP(Input[[#This Row],[MD5]],partialcf[#All],4,FALSE)</f>
        <v>543884.36087812402</v>
      </c>
      <c r="I143" s="19">
        <f>Input[[#This Row],[time2]]/$B$1</f>
        <v>44.148594020446396</v>
      </c>
      <c r="J143" s="19">
        <f>Input[[#This Row],[price2]]/$B$1</f>
        <v>41.522184121874936</v>
      </c>
      <c r="K143" s="20">
        <f>Input[[#This Row],[energy2]]/$B$1</f>
        <v>36.258957391874937</v>
      </c>
      <c r="L143" s="18">
        <f>VLOOKUP(Input[[#This Row],[MD5]],fullcf[#All],2,FALSE)</f>
        <v>661475.10101651703</v>
      </c>
      <c r="M143" s="19">
        <f>VLOOKUP(Input[[#This Row],[MD5]],fullcf[#All],3,FALSE)</f>
        <v>1428169.6560468699</v>
      </c>
      <c r="N143" s="19">
        <f>VLOOKUP(Input[[#This Row],[MD5]],fullcf[#All],4,FALSE)</f>
        <v>1241843.0025343699</v>
      </c>
      <c r="O143" s="19">
        <f>Input[[#This Row],[time3]]/$B$1</f>
        <v>44.098340067767801</v>
      </c>
      <c r="P143" s="19">
        <f>Input[[#This Row],[price3]]/$B$1</f>
        <v>95.211310403124656</v>
      </c>
      <c r="Q143" s="20">
        <f>Input[[#This Row],[energy3]]/$B$1</f>
        <v>82.789533502291334</v>
      </c>
      <c r="R143" s="18">
        <f>VLOOKUP(Input[[#This Row],[MD5]],df[#All],2,FALSE)</f>
        <v>22241381964</v>
      </c>
      <c r="S143" s="19">
        <f>VLOOKUP(Input[[#This Row],[MD5]],df[#All],3,FALSE)</f>
        <v>5460523695.25</v>
      </c>
      <c r="T143" s="19">
        <f>VLOOKUP(Input[[#This Row],[MD5]],df[#All],4,FALSE)</f>
        <v>3208189326.8499899</v>
      </c>
      <c r="U143" s="19">
        <f>Input[[#This Row],[time4]]/$B$1</f>
        <v>1482758.7975999999</v>
      </c>
      <c r="V143" s="19">
        <f>Input[[#This Row],[price4]]/$B$1</f>
        <v>364034.91301666666</v>
      </c>
      <c r="W143" s="20">
        <f>Input[[#This Row],[energy4]]/$B$1</f>
        <v>213879.28845666599</v>
      </c>
    </row>
    <row r="144" spans="1:23">
      <c r="A144" s="24" t="s">
        <v>186</v>
      </c>
      <c r="B144" s="13" t="s">
        <v>318</v>
      </c>
      <c r="C144" s="18">
        <f>VLOOKUP(Input[[#This Row],[MD5]],buildtime[#All],2,FALSE)</f>
        <v>56.24428571</v>
      </c>
      <c r="D144" s="19">
        <f>VLOOKUP(Input[[#This Row],[MD5]],buildtime[#All],3,FALSE)</f>
        <v>64.2</v>
      </c>
      <c r="E144" s="20">
        <f>VLOOKUP(Input[[#This Row],[MD5]],buildtime[#All],4,FALSE)</f>
        <v>56.12</v>
      </c>
      <c r="F144" s="18">
        <f>VLOOKUP(Input[[#This Row],[MD5]],partialcf[#All],2,FALSE)</f>
        <v>20880.656164285701</v>
      </c>
      <c r="G144" s="19">
        <f>VLOOKUP(Input[[#This Row],[MD5]],partialcf[#All],3,FALSE)</f>
        <v>19868.68528125</v>
      </c>
      <c r="H144" s="19">
        <f>VLOOKUP(Input[[#This Row],[MD5]],partialcf[#All],4,FALSE)</f>
        <v>17350.140606249999</v>
      </c>
      <c r="I144" s="19">
        <f>Input[[#This Row],[time2]]/$B$1</f>
        <v>1.3920437442857134</v>
      </c>
      <c r="J144" s="19">
        <f>Input[[#This Row],[price2]]/$B$1</f>
        <v>1.3245790187499999</v>
      </c>
      <c r="K144" s="20">
        <f>Input[[#This Row],[energy2]]/$B$1</f>
        <v>1.1566760404166667</v>
      </c>
      <c r="L144" s="18">
        <f>VLOOKUP(Input[[#This Row],[MD5]],fullcf[#All],2,FALSE)</f>
        <v>20615.0260124999</v>
      </c>
      <c r="M144" s="19">
        <f>VLOOKUP(Input[[#This Row],[MD5]],fullcf[#All],3,FALSE)</f>
        <v>875848.55231249996</v>
      </c>
      <c r="N144" s="19">
        <f>VLOOKUP(Input[[#This Row],[MD5]],fullcf[#All],4,FALSE)</f>
        <v>759199.35869999905</v>
      </c>
      <c r="O144" s="19">
        <f>Input[[#This Row],[time3]]/$B$1</f>
        <v>1.3743350674999935</v>
      </c>
      <c r="P144" s="19">
        <f>Input[[#This Row],[price3]]/$B$1</f>
        <v>58.3899034875</v>
      </c>
      <c r="Q144" s="20">
        <f>Input[[#This Row],[energy3]]/$B$1</f>
        <v>50.613290579999934</v>
      </c>
      <c r="R144" s="18">
        <f>VLOOKUP(Input[[#This Row],[MD5]],df[#All],2,FALSE)</f>
        <v>73369185.599999905</v>
      </c>
      <c r="S144" s="19">
        <f>VLOOKUP(Input[[#This Row],[MD5]],df[#All],3,FALSE)</f>
        <v>35889629.25</v>
      </c>
      <c r="T144" s="19">
        <f>VLOOKUP(Input[[#This Row],[MD5]],df[#All],4,FALSE)</f>
        <v>21162230.449999899</v>
      </c>
      <c r="U144" s="19">
        <f>Input[[#This Row],[time4]]/$B$1</f>
        <v>4891.279039999994</v>
      </c>
      <c r="V144" s="19">
        <f>Input[[#This Row],[price4]]/$B$1</f>
        <v>2392.6419500000002</v>
      </c>
      <c r="W144" s="20">
        <f>Input[[#This Row],[energy4]]/$B$1</f>
        <v>1410.8153633333266</v>
      </c>
    </row>
    <row r="145" spans="1:23">
      <c r="A145" s="24" t="s">
        <v>187</v>
      </c>
      <c r="B145" s="13" t="s">
        <v>319</v>
      </c>
      <c r="C145" s="18">
        <f>VLOOKUP(Input[[#This Row],[MD5]],buildtime[#All],2,FALSE)</f>
        <v>56.24428571</v>
      </c>
      <c r="D145" s="19">
        <f>VLOOKUP(Input[[#This Row],[MD5]],buildtime[#All],3,FALSE)</f>
        <v>64.2</v>
      </c>
      <c r="E145" s="20">
        <f>VLOOKUP(Input[[#This Row],[MD5]],buildtime[#All],4,FALSE)</f>
        <v>56.12</v>
      </c>
      <c r="F145" s="18">
        <f>VLOOKUP(Input[[#This Row],[MD5]],partialcf[#All],2,FALSE)</f>
        <v>19345.2956544642</v>
      </c>
      <c r="G145" s="19">
        <f>VLOOKUP(Input[[#This Row],[MD5]],partialcf[#All],3,FALSE)</f>
        <v>18224.9616562499</v>
      </c>
      <c r="H145" s="19">
        <f>VLOOKUP(Input[[#This Row],[MD5]],partialcf[#All],4,FALSE)</f>
        <v>15915.658306249999</v>
      </c>
      <c r="I145" s="19">
        <f>Input[[#This Row],[time2]]/$B$1</f>
        <v>1.2896863769642801</v>
      </c>
      <c r="J145" s="19">
        <f>Input[[#This Row],[price2]]/$B$1</f>
        <v>1.2149974437499933</v>
      </c>
      <c r="K145" s="20">
        <f>Input[[#This Row],[energy2]]/$B$1</f>
        <v>1.0610438870833332</v>
      </c>
      <c r="L145" s="18">
        <f>VLOOKUP(Input[[#This Row],[MD5]],fullcf[#All],2,FALSE)</f>
        <v>19333.973480357101</v>
      </c>
      <c r="M145" s="19">
        <f>VLOOKUP(Input[[#This Row],[MD5]],fullcf[#All],3,FALSE)</f>
        <v>874708.24068749906</v>
      </c>
      <c r="N145" s="19">
        <f>VLOOKUP(Input[[#This Row],[MD5]],fullcf[#All],4,FALSE)</f>
        <v>758201.16680000001</v>
      </c>
      <c r="O145" s="19">
        <f>Input[[#This Row],[time3]]/$B$1</f>
        <v>1.28893156535714</v>
      </c>
      <c r="P145" s="19">
        <f>Input[[#This Row],[price3]]/$B$1</f>
        <v>58.313882712499939</v>
      </c>
      <c r="Q145" s="20">
        <f>Input[[#This Row],[energy3]]/$B$1</f>
        <v>50.546744453333332</v>
      </c>
      <c r="R145" s="18">
        <f>VLOOKUP(Input[[#This Row],[MD5]],df[#All],2,FALSE)</f>
        <v>9913019.75</v>
      </c>
      <c r="S145" s="19">
        <f>VLOOKUP(Input[[#This Row],[MD5]],df[#All],3,FALSE)</f>
        <v>17242602.708333299</v>
      </c>
      <c r="T145" s="19">
        <f>VLOOKUP(Input[[#This Row],[MD5]],df[#All],4,FALSE)</f>
        <v>10313484.074999999</v>
      </c>
      <c r="U145" s="19">
        <f>Input[[#This Row],[time4]]/$B$1</f>
        <v>660.86798333333331</v>
      </c>
      <c r="V145" s="19">
        <f>Input[[#This Row],[price4]]/$B$1</f>
        <v>1149.5068472222199</v>
      </c>
      <c r="W145" s="20">
        <f>Input[[#This Row],[energy4]]/$B$1</f>
        <v>687.56560500000001</v>
      </c>
    </row>
    <row r="146" spans="1:23">
      <c r="A146" s="24" t="s">
        <v>188</v>
      </c>
      <c r="B146" s="13" t="s">
        <v>320</v>
      </c>
      <c r="C146" s="18">
        <f>VLOOKUP(Input[[#This Row],[MD5]],buildtime[#All],2,FALSE)</f>
        <v>50.51142857</v>
      </c>
      <c r="D146" s="19">
        <f>VLOOKUP(Input[[#This Row],[MD5]],buildtime[#All],3,FALSE)</f>
        <v>65.7</v>
      </c>
      <c r="E146" s="20">
        <f>VLOOKUP(Input[[#This Row],[MD5]],buildtime[#All],4,FALSE)</f>
        <v>57.42</v>
      </c>
      <c r="F146" s="18">
        <f>VLOOKUP(Input[[#This Row],[MD5]],partialcf[#All],2,FALSE)</f>
        <v>661600.39198526705</v>
      </c>
      <c r="G146" s="19">
        <f>VLOOKUP(Input[[#This Row],[MD5]],partialcf[#All],3,FALSE)</f>
        <v>622002.05934374896</v>
      </c>
      <c r="H146" s="19">
        <f>VLOOKUP(Input[[#This Row],[MD5]],partialcf[#All],4,FALSE)</f>
        <v>543162.79529375001</v>
      </c>
      <c r="I146" s="19">
        <f>Input[[#This Row],[time2]]/$B$1</f>
        <v>44.1066927990178</v>
      </c>
      <c r="J146" s="19">
        <f>Input[[#This Row],[price2]]/$B$1</f>
        <v>41.466803956249933</v>
      </c>
      <c r="K146" s="20">
        <f>Input[[#This Row],[energy2]]/$B$1</f>
        <v>36.210853019583332</v>
      </c>
      <c r="L146" s="18">
        <f>VLOOKUP(Input[[#This Row],[MD5]],fullcf[#All],2,FALSE)</f>
        <v>661265.13364151702</v>
      </c>
      <c r="M146" s="19">
        <f>VLOOKUP(Input[[#This Row],[MD5]],fullcf[#All],3,FALSE)</f>
        <v>1427878.8129375</v>
      </c>
      <c r="N146" s="19">
        <f>VLOOKUP(Input[[#This Row],[MD5]],fullcf[#All],4,FALSE)</f>
        <v>1241589.315075</v>
      </c>
      <c r="O146" s="19">
        <f>Input[[#This Row],[time3]]/$B$1</f>
        <v>44.084342242767804</v>
      </c>
      <c r="P146" s="19">
        <f>Input[[#This Row],[price3]]/$B$1</f>
        <v>95.191920862499998</v>
      </c>
      <c r="Q146" s="20">
        <f>Input[[#This Row],[energy3]]/$B$1</f>
        <v>82.772621005000005</v>
      </c>
      <c r="R146" s="18">
        <f>VLOOKUP(Input[[#This Row],[MD5]],df[#All],2,FALSE)</f>
        <v>22231624108</v>
      </c>
      <c r="S146" s="19">
        <f>VLOOKUP(Input[[#This Row],[MD5]],df[#All],3,FALSE)</f>
        <v>5454086925.25</v>
      </c>
      <c r="T146" s="19">
        <f>VLOOKUP(Input[[#This Row],[MD5]],df[#All],4,FALSE)</f>
        <v>3204379148.8499899</v>
      </c>
      <c r="U146" s="19">
        <f>Input[[#This Row],[time4]]/$B$1</f>
        <v>1482108.2738666667</v>
      </c>
      <c r="V146" s="19">
        <f>Input[[#This Row],[price4]]/$B$1</f>
        <v>363605.79501666664</v>
      </c>
      <c r="W146" s="20">
        <f>Input[[#This Row],[energy4]]/$B$1</f>
        <v>213625.27658999932</v>
      </c>
    </row>
    <row r="147" spans="1:23">
      <c r="A147" s="24" t="s">
        <v>189</v>
      </c>
      <c r="B147" s="13" t="s">
        <v>321</v>
      </c>
      <c r="C147" s="18">
        <f>VLOOKUP(Input[[#This Row],[MD5]],buildtime[#All],2,FALSE)</f>
        <v>61.977142860000001</v>
      </c>
      <c r="D147" s="19">
        <f>VLOOKUP(Input[[#This Row],[MD5]],buildtime[#All],3,FALSE)</f>
        <v>61.2</v>
      </c>
      <c r="E147" s="20">
        <f>VLOOKUP(Input[[#This Row],[MD5]],buildtime[#All],4,FALSE)</f>
        <v>53.52</v>
      </c>
      <c r="F147" s="18">
        <f>VLOOKUP(Input[[#This Row],[MD5]],partialcf[#All],2,FALSE)</f>
        <v>15593.282421517801</v>
      </c>
      <c r="G147" s="19">
        <f>VLOOKUP(Input[[#This Row],[MD5]],partialcf[#All],3,FALSE)</f>
        <v>15402.795253124899</v>
      </c>
      <c r="H147" s="19">
        <f>VLOOKUP(Input[[#This Row],[MD5]],partialcf[#All],4,FALSE)</f>
        <v>13469.778158125</v>
      </c>
      <c r="I147" s="19">
        <f>Input[[#This Row],[time2]]/$B$1</f>
        <v>1.03955216143452</v>
      </c>
      <c r="J147" s="19">
        <f>Input[[#This Row],[price2]]/$B$1</f>
        <v>1.0268530168749932</v>
      </c>
      <c r="K147" s="20">
        <f>Input[[#This Row],[energy2]]/$B$1</f>
        <v>0.89798521054166669</v>
      </c>
      <c r="L147" s="18">
        <f>VLOOKUP(Input[[#This Row],[MD5]],fullcf[#All],2,FALSE)</f>
        <v>15583.192360803499</v>
      </c>
      <c r="M147" s="19">
        <f>VLOOKUP(Input[[#This Row],[MD5]],fullcf[#All],3,FALSE)</f>
        <v>871887.66184687405</v>
      </c>
      <c r="N147" s="19">
        <f>VLOOKUP(Input[[#This Row],[MD5]],fullcf[#All],4,FALSE)</f>
        <v>755756.66253937501</v>
      </c>
      <c r="O147" s="19">
        <f>Input[[#This Row],[time3]]/$B$1</f>
        <v>1.0388794907202332</v>
      </c>
      <c r="P147" s="19">
        <f>Input[[#This Row],[price3]]/$B$1</f>
        <v>58.125844123124935</v>
      </c>
      <c r="Q147" s="20">
        <f>Input[[#This Row],[energy3]]/$B$1</f>
        <v>50.383777502625001</v>
      </c>
      <c r="R147" s="18">
        <f>VLOOKUP(Input[[#This Row],[MD5]],df[#All],2,FALSE)</f>
        <v>5917244.3399999896</v>
      </c>
      <c r="S147" s="19">
        <f>VLOOKUP(Input[[#This Row],[MD5]],df[#All],3,FALSE)</f>
        <v>16486576.1</v>
      </c>
      <c r="T147" s="19">
        <f>VLOOKUP(Input[[#This Row],[MD5]],df[#All],4,FALSE)</f>
        <v>9860191.8399999905</v>
      </c>
      <c r="U147" s="19">
        <f>Input[[#This Row],[time4]]/$B$1</f>
        <v>394.48295599999932</v>
      </c>
      <c r="V147" s="19">
        <f>Input[[#This Row],[price4]]/$B$1</f>
        <v>1099.1050733333334</v>
      </c>
      <c r="W147" s="20">
        <f>Input[[#This Row],[energy4]]/$B$1</f>
        <v>657.34612266666602</v>
      </c>
    </row>
    <row r="148" spans="1:23">
      <c r="A148" s="24" t="s">
        <v>190</v>
      </c>
      <c r="B148" s="13" t="s">
        <v>322</v>
      </c>
      <c r="C148" s="18">
        <f>VLOOKUP(Input[[#This Row],[MD5]],buildtime[#All],2,FALSE)</f>
        <v>56.24428571</v>
      </c>
      <c r="D148" s="19">
        <f>VLOOKUP(Input[[#This Row],[MD5]],buildtime[#All],3,FALSE)</f>
        <v>64.2</v>
      </c>
      <c r="E148" s="20">
        <f>VLOOKUP(Input[[#This Row],[MD5]],buildtime[#All],4,FALSE)</f>
        <v>56.12</v>
      </c>
      <c r="F148" s="18">
        <f>VLOOKUP(Input[[#This Row],[MD5]],partialcf[#All],2,FALSE)</f>
        <v>19345.1282169642</v>
      </c>
      <c r="G148" s="19">
        <f>VLOOKUP(Input[[#This Row],[MD5]],partialcf[#All],3,FALSE)</f>
        <v>18224.7122812499</v>
      </c>
      <c r="H148" s="19">
        <f>VLOOKUP(Input[[#This Row],[MD5]],partialcf[#All],4,FALSE)</f>
        <v>15915.44218125</v>
      </c>
      <c r="I148" s="19">
        <f>Input[[#This Row],[time2]]/$B$1</f>
        <v>1.28967521446428</v>
      </c>
      <c r="J148" s="19">
        <f>Input[[#This Row],[price2]]/$B$1</f>
        <v>1.2149808187499933</v>
      </c>
      <c r="K148" s="20">
        <f>Input[[#This Row],[energy2]]/$B$1</f>
        <v>1.0610294787500001</v>
      </c>
      <c r="L148" s="18">
        <f>VLOOKUP(Input[[#This Row],[MD5]],fullcf[#All],2,FALSE)</f>
        <v>19333.885355357099</v>
      </c>
      <c r="M148" s="19">
        <f>VLOOKUP(Input[[#This Row],[MD5]],fullcf[#All],3,FALSE)</f>
        <v>874708.17506250006</v>
      </c>
      <c r="N148" s="19">
        <f>VLOOKUP(Input[[#This Row],[MD5]],fullcf[#All],4,FALSE)</f>
        <v>758201.109925</v>
      </c>
      <c r="O148" s="19">
        <f>Input[[#This Row],[time3]]/$B$1</f>
        <v>1.28892569035714</v>
      </c>
      <c r="P148" s="19">
        <f>Input[[#This Row],[price3]]/$B$1</f>
        <v>58.3138783375</v>
      </c>
      <c r="Q148" s="20">
        <f>Input[[#This Row],[energy3]]/$B$1</f>
        <v>50.546740661666668</v>
      </c>
      <c r="R148" s="18">
        <f>VLOOKUP(Input[[#This Row],[MD5]],df[#All],2,FALSE)</f>
        <v>9872699.75</v>
      </c>
      <c r="S148" s="19">
        <f>VLOOKUP(Input[[#This Row],[MD5]],df[#All],3,FALSE)</f>
        <v>17235402.708333299</v>
      </c>
      <c r="T148" s="19">
        <f>VLOOKUP(Input[[#This Row],[MD5]],df[#All],4,FALSE)</f>
        <v>10309164.074999999</v>
      </c>
      <c r="U148" s="19">
        <f>Input[[#This Row],[time4]]/$B$1</f>
        <v>658.17998333333333</v>
      </c>
      <c r="V148" s="19">
        <f>Input[[#This Row],[price4]]/$B$1</f>
        <v>1149.0268472222199</v>
      </c>
      <c r="W148" s="20">
        <f>Input[[#This Row],[energy4]]/$B$1</f>
        <v>687.27760499999999</v>
      </c>
    </row>
    <row r="149" spans="1:23">
      <c r="A149" s="24" t="s">
        <v>191</v>
      </c>
      <c r="B149" s="13" t="s">
        <v>323</v>
      </c>
      <c r="C149" s="18">
        <f>VLOOKUP(Input[[#This Row],[MD5]],buildtime[#All],2,FALSE)</f>
        <v>61.977142860000001</v>
      </c>
      <c r="D149" s="19">
        <f>VLOOKUP(Input[[#This Row],[MD5]],buildtime[#All],3,FALSE)</f>
        <v>61.2</v>
      </c>
      <c r="E149" s="20">
        <f>VLOOKUP(Input[[#This Row],[MD5]],buildtime[#All],4,FALSE)</f>
        <v>53.52</v>
      </c>
      <c r="F149" s="18">
        <f>VLOOKUP(Input[[#This Row],[MD5]],partialcf[#All],2,FALSE)</f>
        <v>19427.260611517799</v>
      </c>
      <c r="G149" s="19">
        <f>VLOOKUP(Input[[#This Row],[MD5]],partialcf[#All],3,FALSE)</f>
        <v>21089.316215624902</v>
      </c>
      <c r="H149" s="19">
        <f>VLOOKUP(Input[[#This Row],[MD5]],partialcf[#All],4,FALSE)</f>
        <v>18398.461410625001</v>
      </c>
      <c r="I149" s="19">
        <f>Input[[#This Row],[time2]]/$B$1</f>
        <v>1.2951507074345199</v>
      </c>
      <c r="J149" s="19">
        <f>Input[[#This Row],[price2]]/$B$1</f>
        <v>1.4059544143749934</v>
      </c>
      <c r="K149" s="20">
        <f>Input[[#This Row],[energy2]]/$B$1</f>
        <v>1.2265640940416667</v>
      </c>
      <c r="L149" s="18">
        <f>VLOOKUP(Input[[#This Row],[MD5]],fullcf[#All],2,FALSE)</f>
        <v>15630.3317883035</v>
      </c>
      <c r="M149" s="19">
        <f>VLOOKUP(Input[[#This Row],[MD5]],fullcf[#All],3,FALSE)</f>
        <v>871932.639121874</v>
      </c>
      <c r="N149" s="19">
        <f>VLOOKUP(Input[[#This Row],[MD5]],fullcf[#All],4,FALSE)</f>
        <v>755796.007929374</v>
      </c>
      <c r="O149" s="19">
        <f>Input[[#This Row],[time3]]/$B$1</f>
        <v>1.0420221192202332</v>
      </c>
      <c r="P149" s="19">
        <f>Input[[#This Row],[price3]]/$B$1</f>
        <v>58.128842608124934</v>
      </c>
      <c r="Q149" s="20">
        <f>Input[[#This Row],[energy3]]/$B$1</f>
        <v>50.386400528624932</v>
      </c>
      <c r="R149" s="18">
        <f>VLOOKUP(Input[[#This Row],[MD5]],df[#All],2,FALSE)</f>
        <v>5992353.5133333299</v>
      </c>
      <c r="S149" s="19">
        <f>VLOOKUP(Input[[#This Row],[MD5]],df[#All],3,FALSE)</f>
        <v>16512344.449999999</v>
      </c>
      <c r="T149" s="19">
        <f>VLOOKUP(Input[[#This Row],[MD5]],df[#All],4,FALSE)</f>
        <v>9875251.1966666598</v>
      </c>
      <c r="U149" s="19">
        <f>Input[[#This Row],[time4]]/$B$1</f>
        <v>399.490234222222</v>
      </c>
      <c r="V149" s="19">
        <f>Input[[#This Row],[price4]]/$B$1</f>
        <v>1100.8229633333333</v>
      </c>
      <c r="W149" s="20">
        <f>Input[[#This Row],[energy4]]/$B$1</f>
        <v>658.3500797777773</v>
      </c>
    </row>
    <row r="150" spans="1:23">
      <c r="A150" s="24" t="s">
        <v>192</v>
      </c>
      <c r="B150" s="13" t="s">
        <v>324</v>
      </c>
      <c r="C150" s="18">
        <f>VLOOKUP(Input[[#This Row],[MD5]],buildtime[#All],2,FALSE)</f>
        <v>56.24428571</v>
      </c>
      <c r="D150" s="19">
        <f>VLOOKUP(Input[[#This Row],[MD5]],buildtime[#All],3,FALSE)</f>
        <v>64.2</v>
      </c>
      <c r="E150" s="20">
        <f>VLOOKUP(Input[[#This Row],[MD5]],buildtime[#All],4,FALSE)</f>
        <v>56.12</v>
      </c>
      <c r="F150" s="18">
        <f>VLOOKUP(Input[[#This Row],[MD5]],partialcf[#All],2,FALSE)</f>
        <v>766692.49048526702</v>
      </c>
      <c r="G150" s="19">
        <f>VLOOKUP(Input[[#This Row],[MD5]],partialcf[#All],3,FALSE)</f>
        <v>769766.25557812396</v>
      </c>
      <c r="H150" s="19">
        <f>VLOOKUP(Input[[#This Row],[MD5]],partialcf[#All],4,FALSE)</f>
        <v>671876.09462812403</v>
      </c>
      <c r="I150" s="19">
        <f>Input[[#This Row],[time2]]/$B$1</f>
        <v>51.112832699017801</v>
      </c>
      <c r="J150" s="19">
        <f>Input[[#This Row],[price2]]/$B$1</f>
        <v>51.317750371874929</v>
      </c>
      <c r="K150" s="20">
        <f>Input[[#This Row],[energy2]]/$B$1</f>
        <v>44.791739641874933</v>
      </c>
      <c r="L150" s="18">
        <f>VLOOKUP(Input[[#This Row],[MD5]],fullcf[#All],2,FALSE)</f>
        <v>633931.45976651704</v>
      </c>
      <c r="M150" s="19">
        <f>VLOOKUP(Input[[#This Row],[MD5]],fullcf[#All],3,FALSE)</f>
        <v>1461530.6497968701</v>
      </c>
      <c r="N150" s="19">
        <f>VLOOKUP(Input[[#This Row],[MD5]],fullcf[#All],4,FALSE)</f>
        <v>1271405.2362843701</v>
      </c>
      <c r="O150" s="19">
        <f>Input[[#This Row],[time3]]/$B$1</f>
        <v>42.262097317767804</v>
      </c>
      <c r="P150" s="19">
        <f>Input[[#This Row],[price3]]/$B$1</f>
        <v>97.435376653124678</v>
      </c>
      <c r="Q150" s="20">
        <f>Input[[#This Row],[energy3]]/$B$1</f>
        <v>84.760349085624668</v>
      </c>
      <c r="R150" s="18">
        <f>VLOOKUP(Input[[#This Row],[MD5]],df[#All],2,FALSE)</f>
        <v>16151246124</v>
      </c>
      <c r="S150" s="19">
        <f>VLOOKUP(Input[[#This Row],[MD5]],df[#All],3,FALSE)</f>
        <v>5315560095.25</v>
      </c>
      <c r="T150" s="19">
        <f>VLOOKUP(Input[[#This Row],[MD5]],df[#All],4,FALSE)</f>
        <v>3110799486.8499899</v>
      </c>
      <c r="U150" s="19">
        <f>Input[[#This Row],[time4]]/$B$1</f>
        <v>1076749.7416000001</v>
      </c>
      <c r="V150" s="19">
        <f>Input[[#This Row],[price4]]/$B$1</f>
        <v>354370.67301666667</v>
      </c>
      <c r="W150" s="20">
        <f>Input[[#This Row],[energy4]]/$B$1</f>
        <v>207386.632456666</v>
      </c>
    </row>
    <row r="151" spans="1:23">
      <c r="A151" s="24" t="s">
        <v>193</v>
      </c>
      <c r="B151" s="13" t="s">
        <v>325</v>
      </c>
      <c r="C151" s="18">
        <f>VLOOKUP(Input[[#This Row],[MD5]],buildtime[#All],2,FALSE)</f>
        <v>61.977142860000001</v>
      </c>
      <c r="D151" s="19">
        <f>VLOOKUP(Input[[#This Row],[MD5]],buildtime[#All],3,FALSE)</f>
        <v>61.2</v>
      </c>
      <c r="E151" s="20">
        <f>VLOOKUP(Input[[#This Row],[MD5]],buildtime[#All],4,FALSE)</f>
        <v>53.52</v>
      </c>
      <c r="F151" s="18">
        <f>VLOOKUP(Input[[#This Row],[MD5]],partialcf[#All],2,FALSE)</f>
        <v>19411.2907771428</v>
      </c>
      <c r="G151" s="19">
        <f>VLOOKUP(Input[[#This Row],[MD5]],partialcf[#All],3,FALSE)</f>
        <v>21069.435449999899</v>
      </c>
      <c r="H151" s="19">
        <f>VLOOKUP(Input[[#This Row],[MD5]],partialcf[#All],4,FALSE)</f>
        <v>18381.171170000001</v>
      </c>
      <c r="I151" s="19">
        <f>Input[[#This Row],[time2]]/$B$1</f>
        <v>1.2940860518095201</v>
      </c>
      <c r="J151" s="19">
        <f>Input[[#This Row],[price2]]/$B$1</f>
        <v>1.4046290299999933</v>
      </c>
      <c r="K151" s="20">
        <f>Input[[#This Row],[energy2]]/$B$1</f>
        <v>1.2254114113333334</v>
      </c>
      <c r="L151" s="18">
        <f>VLOOKUP(Input[[#This Row],[MD5]],fullcf[#All],2,FALSE)</f>
        <v>15622.553172678499</v>
      </c>
      <c r="M151" s="19">
        <f>VLOOKUP(Input[[#This Row],[MD5]],fullcf[#All],3,FALSE)</f>
        <v>871919.22054374998</v>
      </c>
      <c r="N151" s="19">
        <f>VLOOKUP(Input[[#This Row],[MD5]],fullcf[#All],4,FALSE)</f>
        <v>755784.31825124903</v>
      </c>
      <c r="O151" s="19">
        <f>Input[[#This Row],[time3]]/$B$1</f>
        <v>1.0415035448452332</v>
      </c>
      <c r="P151" s="19">
        <f>Input[[#This Row],[price3]]/$B$1</f>
        <v>58.127948036249997</v>
      </c>
      <c r="Q151" s="20">
        <f>Input[[#This Row],[energy3]]/$B$1</f>
        <v>50.385621216749932</v>
      </c>
      <c r="R151" s="18">
        <f>VLOOKUP(Input[[#This Row],[MD5]],df[#All],2,FALSE)</f>
        <v>6042843.5133333299</v>
      </c>
      <c r="S151" s="19">
        <f>VLOOKUP(Input[[#This Row],[MD5]],df[#All],3,FALSE)</f>
        <v>16555736.1166666</v>
      </c>
      <c r="T151" s="19">
        <f>VLOOKUP(Input[[#This Row],[MD5]],df[#All],4,FALSE)</f>
        <v>9901016.1966666598</v>
      </c>
      <c r="U151" s="19">
        <f>Input[[#This Row],[time4]]/$B$1</f>
        <v>402.85623422222199</v>
      </c>
      <c r="V151" s="19">
        <f>Input[[#This Row],[price4]]/$B$1</f>
        <v>1103.7157411111066</v>
      </c>
      <c r="W151" s="20">
        <f>Input[[#This Row],[energy4]]/$B$1</f>
        <v>660.06774644444397</v>
      </c>
    </row>
    <row r="152" spans="1:23">
      <c r="A152" s="24" t="s">
        <v>194</v>
      </c>
      <c r="B152" s="13" t="s">
        <v>326</v>
      </c>
      <c r="C152" s="18">
        <f>VLOOKUP(Input[[#This Row],[MD5]],buildtime[#All],2,FALSE)</f>
        <v>61.977142860000001</v>
      </c>
      <c r="D152" s="19">
        <f>VLOOKUP(Input[[#This Row],[MD5]],buildtime[#All],3,FALSE)</f>
        <v>61.2</v>
      </c>
      <c r="E152" s="20">
        <f>VLOOKUP(Input[[#This Row],[MD5]],buildtime[#All],4,FALSE)</f>
        <v>53.52</v>
      </c>
      <c r="F152" s="18">
        <f>VLOOKUP(Input[[#This Row],[MD5]],partialcf[#All],2,FALSE)</f>
        <v>533122.29462410696</v>
      </c>
      <c r="G152" s="19">
        <f>VLOOKUP(Input[[#This Row],[MD5]],partialcf[#All],3,FALSE)</f>
        <v>528678.11934374901</v>
      </c>
      <c r="H152" s="19">
        <f>VLOOKUP(Input[[#This Row],[MD5]],partialcf[#All],4,FALSE)</f>
        <v>462282.047293749</v>
      </c>
      <c r="I152" s="19">
        <f>Input[[#This Row],[time2]]/$B$1</f>
        <v>35.541486308273797</v>
      </c>
      <c r="J152" s="19">
        <f>Input[[#This Row],[price2]]/$B$1</f>
        <v>35.245207956249935</v>
      </c>
      <c r="K152" s="20">
        <f>Input[[#This Row],[energy2]]/$B$1</f>
        <v>30.818803152916601</v>
      </c>
      <c r="L152" s="18">
        <f>VLOOKUP(Input[[#This Row],[MD5]],fullcf[#All],2,FALSE)</f>
        <v>528657.643557142</v>
      </c>
      <c r="M152" s="19">
        <f>VLOOKUP(Input[[#This Row],[MD5]],fullcf[#All],3,FALSE)</f>
        <v>1328653.8457499901</v>
      </c>
      <c r="N152" s="19">
        <f>VLOOKUP(Input[[#This Row],[MD5]],fullcf[#All],4,FALSE)</f>
        <v>1155594.3435124899</v>
      </c>
      <c r="O152" s="19">
        <f>Input[[#This Row],[time3]]/$B$1</f>
        <v>35.243842903809465</v>
      </c>
      <c r="P152" s="19">
        <f>Input[[#This Row],[price3]]/$B$1</f>
        <v>88.576923049999337</v>
      </c>
      <c r="Q152" s="20">
        <f>Input[[#This Row],[energy3]]/$B$1</f>
        <v>77.039622900832669</v>
      </c>
      <c r="R152" s="18">
        <f>VLOOKUP(Input[[#This Row],[MD5]],df[#All],2,FALSE)</f>
        <v>12729591138.1</v>
      </c>
      <c r="S152" s="19">
        <f>VLOOKUP(Input[[#This Row],[MD5]],df[#All],3,FALSE)</f>
        <v>3757291325.25</v>
      </c>
      <c r="T152" s="19">
        <f>VLOOKUP(Input[[#This Row],[MD5]],df[#All],4,FALSE)</f>
        <v>2186301788.8499899</v>
      </c>
      <c r="U152" s="19">
        <f>Input[[#This Row],[time4]]/$B$1</f>
        <v>848639.40920666663</v>
      </c>
      <c r="V152" s="19">
        <f>Input[[#This Row],[price4]]/$B$1</f>
        <v>250486.08835000001</v>
      </c>
      <c r="W152" s="20">
        <f>Input[[#This Row],[energy4]]/$B$1</f>
        <v>145753.45258999933</v>
      </c>
    </row>
    <row r="153" spans="1:23">
      <c r="A153" s="24" t="s">
        <v>195</v>
      </c>
      <c r="B153" s="13" t="s">
        <v>327</v>
      </c>
      <c r="C153" s="18">
        <f>VLOOKUP(Input[[#This Row],[MD5]],buildtime[#All],2,FALSE)</f>
        <v>61.977142860000001</v>
      </c>
      <c r="D153" s="19">
        <f>VLOOKUP(Input[[#This Row],[MD5]],buildtime[#All],3,FALSE)</f>
        <v>61.2</v>
      </c>
      <c r="E153" s="20">
        <f>VLOOKUP(Input[[#This Row],[MD5]],buildtime[#All],4,FALSE)</f>
        <v>53.52</v>
      </c>
      <c r="F153" s="18">
        <f>VLOOKUP(Input[[#This Row],[MD5]],partialcf[#All],2,FALSE)</f>
        <v>20869.0822709821</v>
      </c>
      <c r="G153" s="19">
        <f>VLOOKUP(Input[[#This Row],[MD5]],partialcf[#All],3,FALSE)</f>
        <v>22598.440734374901</v>
      </c>
      <c r="H153" s="19">
        <f>VLOOKUP(Input[[#This Row],[MD5]],partialcf[#All],4,FALSE)</f>
        <v>19716.218409375</v>
      </c>
      <c r="I153" s="19">
        <f>Input[[#This Row],[time2]]/$B$1</f>
        <v>1.3912721513988067</v>
      </c>
      <c r="J153" s="19">
        <f>Input[[#This Row],[price2]]/$B$1</f>
        <v>1.5065627156249934</v>
      </c>
      <c r="K153" s="20">
        <f>Input[[#This Row],[energy2]]/$B$1</f>
        <v>1.314414560625</v>
      </c>
      <c r="L153" s="18">
        <f>VLOOKUP(Input[[#This Row],[MD5]],fullcf[#All],2,FALSE)</f>
        <v>16901.991878125002</v>
      </c>
      <c r="M153" s="19">
        <f>VLOOKUP(Input[[#This Row],[MD5]],fullcf[#All],3,FALSE)</f>
        <v>873058.25104687503</v>
      </c>
      <c r="N153" s="19">
        <f>VLOOKUP(Input[[#This Row],[MD5]],fullcf[#All],4,FALSE)</f>
        <v>756781.38734687399</v>
      </c>
      <c r="O153" s="19">
        <f>Input[[#This Row],[time3]]/$B$1</f>
        <v>1.1267994585416667</v>
      </c>
      <c r="P153" s="19">
        <f>Input[[#This Row],[price3]]/$B$1</f>
        <v>58.203883403125005</v>
      </c>
      <c r="Q153" s="20">
        <f>Input[[#This Row],[energy3]]/$B$1</f>
        <v>50.452092489791596</v>
      </c>
      <c r="R153" s="18">
        <f>VLOOKUP(Input[[#This Row],[MD5]],df[#All],2,FALSE)</f>
        <v>111519644.099999</v>
      </c>
      <c r="S153" s="19">
        <f>VLOOKUP(Input[[#This Row],[MD5]],df[#All],3,FALSE)</f>
        <v>47568906.916666597</v>
      </c>
      <c r="T153" s="19">
        <f>VLOOKUP(Input[[#This Row],[MD5]],df[#All],4,FALSE)</f>
        <v>27944739.850000001</v>
      </c>
      <c r="U153" s="19">
        <f>Input[[#This Row],[time4]]/$B$1</f>
        <v>7434.6429399999333</v>
      </c>
      <c r="V153" s="19">
        <f>Input[[#This Row],[price4]]/$B$1</f>
        <v>3171.2604611111065</v>
      </c>
      <c r="W153" s="20">
        <f>Input[[#This Row],[energy4]]/$B$1</f>
        <v>1862.9826566666668</v>
      </c>
    </row>
    <row r="154" spans="1:23">
      <c r="A154" s="24" t="s">
        <v>196</v>
      </c>
      <c r="B154" s="13" t="s">
        <v>328</v>
      </c>
      <c r="C154" s="18">
        <f>VLOOKUP(Input[[#This Row],[MD5]],buildtime[#All],2,FALSE)</f>
        <v>61.977142860000001</v>
      </c>
      <c r="D154" s="19">
        <f>VLOOKUP(Input[[#This Row],[MD5]],buildtime[#All],3,FALSE)</f>
        <v>61.2</v>
      </c>
      <c r="E154" s="20">
        <f>VLOOKUP(Input[[#This Row],[MD5]],buildtime[#All],4,FALSE)</f>
        <v>53.52</v>
      </c>
      <c r="F154" s="18">
        <f>VLOOKUP(Input[[#This Row],[MD5]],partialcf[#All],2,FALSE)</f>
        <v>21421.3281678571</v>
      </c>
      <c r="G154" s="19">
        <f>VLOOKUP(Input[[#This Row],[MD5]],partialcf[#All],3,FALSE)</f>
        <v>23315.7282187499</v>
      </c>
      <c r="H154" s="19">
        <f>VLOOKUP(Input[[#This Row],[MD5]],partialcf[#All],4,FALSE)</f>
        <v>20339.490993750002</v>
      </c>
      <c r="I154" s="19">
        <f>Input[[#This Row],[time2]]/$B$1</f>
        <v>1.4280885445238067</v>
      </c>
      <c r="J154" s="19">
        <f>Input[[#This Row],[price2]]/$B$1</f>
        <v>1.5543818812499934</v>
      </c>
      <c r="K154" s="20">
        <f>Input[[#This Row],[energy2]]/$B$1</f>
        <v>1.3559660662500002</v>
      </c>
      <c r="L154" s="18">
        <f>VLOOKUP(Input[[#This Row],[MD5]],fullcf[#All],2,FALSE)</f>
        <v>17111.607775</v>
      </c>
      <c r="M154" s="19">
        <f>VLOOKUP(Input[[#This Row],[MD5]],fullcf[#All],3,FALSE)</f>
        <v>873349.02853124996</v>
      </c>
      <c r="N154" s="19">
        <f>VLOOKUP(Input[[#This Row],[MD5]],fullcf[#All],4,FALSE)</f>
        <v>757035.01793124899</v>
      </c>
      <c r="O154" s="19">
        <f>Input[[#This Row],[time3]]/$B$1</f>
        <v>1.1407738516666668</v>
      </c>
      <c r="P154" s="19">
        <f>Input[[#This Row],[price3]]/$B$1</f>
        <v>58.223268568750001</v>
      </c>
      <c r="Q154" s="20">
        <f>Input[[#This Row],[energy3]]/$B$1</f>
        <v>50.469001195416602</v>
      </c>
      <c r="R154" s="18">
        <f>VLOOKUP(Input[[#This Row],[MD5]],df[#All],2,FALSE)</f>
        <v>127744512.099999</v>
      </c>
      <c r="S154" s="19">
        <f>VLOOKUP(Input[[#This Row],[MD5]],df[#All],3,FALSE)</f>
        <v>58320876.916666597</v>
      </c>
      <c r="T154" s="19">
        <f>VLOOKUP(Input[[#This Row],[MD5]],df[#All],4,FALSE)</f>
        <v>34309157.850000001</v>
      </c>
      <c r="U154" s="19">
        <f>Input[[#This Row],[time4]]/$B$1</f>
        <v>8516.3008066665989</v>
      </c>
      <c r="V154" s="19">
        <f>Input[[#This Row],[price4]]/$B$1</f>
        <v>3888.0584611111067</v>
      </c>
      <c r="W154" s="20">
        <f>Input[[#This Row],[energy4]]/$B$1</f>
        <v>2287.2771900000002</v>
      </c>
    </row>
    <row r="155" spans="1:23">
      <c r="A155" s="24" t="s">
        <v>197</v>
      </c>
      <c r="B155" s="13" t="s">
        <v>329</v>
      </c>
      <c r="C155" s="18">
        <f>VLOOKUP(Input[[#This Row],[MD5]],buildtime[#All],2,FALSE)</f>
        <v>61.977142860000001</v>
      </c>
      <c r="D155" s="19">
        <f>VLOOKUP(Input[[#This Row],[MD5]],buildtime[#All],3,FALSE)</f>
        <v>61.2</v>
      </c>
      <c r="E155" s="20">
        <f>VLOOKUP(Input[[#This Row],[MD5]],buildtime[#All],4,FALSE)</f>
        <v>53.52</v>
      </c>
      <c r="F155" s="18">
        <f>VLOOKUP(Input[[#This Row],[MD5]],partialcf[#All],2,FALSE)</f>
        <v>17828.0188468749</v>
      </c>
      <c r="G155" s="19">
        <f>VLOOKUP(Input[[#This Row],[MD5]],partialcf[#All],3,FALSE)</f>
        <v>17982.7677656249</v>
      </c>
      <c r="H155" s="19">
        <f>VLOOKUP(Input[[#This Row],[MD5]],partialcf[#All],4,FALSE)</f>
        <v>15717.302190625</v>
      </c>
      <c r="I155" s="19">
        <f>Input[[#This Row],[time2]]/$B$1</f>
        <v>1.1885345897916599</v>
      </c>
      <c r="J155" s="19">
        <f>Input[[#This Row],[price2]]/$B$1</f>
        <v>1.1988511843749934</v>
      </c>
      <c r="K155" s="20">
        <f>Input[[#This Row],[energy2]]/$B$1</f>
        <v>1.0478201460416667</v>
      </c>
      <c r="L155" s="18">
        <f>VLOOKUP(Input[[#This Row],[MD5]],fullcf[#All],2,FALSE)</f>
        <v>17074.240400446401</v>
      </c>
      <c r="M155" s="19">
        <f>VLOOKUP(Input[[#This Row],[MD5]],fullcf[#All],3,FALSE)</f>
        <v>873319.36260937504</v>
      </c>
      <c r="N155" s="19">
        <f>VLOOKUP(Input[[#This Row],[MD5]],fullcf[#All],4,FALSE)</f>
        <v>757009.01772187499</v>
      </c>
      <c r="O155" s="19">
        <f>Input[[#This Row],[time3]]/$B$1</f>
        <v>1.1382826933630934</v>
      </c>
      <c r="P155" s="19">
        <f>Input[[#This Row],[price3]]/$B$1</f>
        <v>58.221290840625002</v>
      </c>
      <c r="Q155" s="20">
        <f>Input[[#This Row],[energy3]]/$B$1</f>
        <v>50.467267848124997</v>
      </c>
      <c r="R155" s="18">
        <f>VLOOKUP(Input[[#This Row],[MD5]],df[#All],2,FALSE)</f>
        <v>79160895.699999899</v>
      </c>
      <c r="S155" s="19">
        <f>VLOOKUP(Input[[#This Row],[MD5]],df[#All],3,FALSE)</f>
        <v>41619599.25</v>
      </c>
      <c r="T155" s="19">
        <f>VLOOKUP(Input[[#This Row],[MD5]],df[#All],4,FALSE)</f>
        <v>24548328.449999999</v>
      </c>
      <c r="U155" s="19">
        <f>Input[[#This Row],[time4]]/$B$1</f>
        <v>5277.3930466666598</v>
      </c>
      <c r="V155" s="19">
        <f>Input[[#This Row],[price4]]/$B$1</f>
        <v>2774.6399500000002</v>
      </c>
      <c r="W155" s="20">
        <f>Input[[#This Row],[energy4]]/$B$1</f>
        <v>1636.5552299999999</v>
      </c>
    </row>
    <row r="156" spans="1:23">
      <c r="A156" s="24" t="s">
        <v>198</v>
      </c>
      <c r="B156" s="13" t="s">
        <v>330</v>
      </c>
      <c r="C156" s="18">
        <f>VLOOKUP(Input[[#This Row],[MD5]],buildtime[#All],2,FALSE)</f>
        <v>50.51142857</v>
      </c>
      <c r="D156" s="19">
        <f>VLOOKUP(Input[[#This Row],[MD5]],buildtime[#All],3,FALSE)</f>
        <v>65.7</v>
      </c>
      <c r="E156" s="20">
        <f>VLOOKUP(Input[[#This Row],[MD5]],buildtime[#All],4,FALSE)</f>
        <v>57.42</v>
      </c>
      <c r="F156" s="18">
        <f>VLOOKUP(Input[[#This Row],[MD5]],partialcf[#All],2,FALSE)</f>
        <v>661600.35029776697</v>
      </c>
      <c r="G156" s="19">
        <f>VLOOKUP(Input[[#This Row],[MD5]],partialcf[#All],3,FALSE)</f>
        <v>622002.18403124902</v>
      </c>
      <c r="H156" s="19">
        <f>VLOOKUP(Input[[#This Row],[MD5]],partialcf[#All],4,FALSE)</f>
        <v>543162.90335624898</v>
      </c>
      <c r="I156" s="19">
        <f>Input[[#This Row],[time2]]/$B$1</f>
        <v>44.106690019851129</v>
      </c>
      <c r="J156" s="19">
        <f>Input[[#This Row],[price2]]/$B$1</f>
        <v>41.466812268749933</v>
      </c>
      <c r="K156" s="20">
        <f>Input[[#This Row],[energy2]]/$B$1</f>
        <v>36.210860223749933</v>
      </c>
      <c r="L156" s="18">
        <f>VLOOKUP(Input[[#This Row],[MD5]],fullcf[#All],2,FALSE)</f>
        <v>661265.81898526696</v>
      </c>
      <c r="M156" s="19">
        <f>VLOOKUP(Input[[#This Row],[MD5]],fullcf[#All],3,FALSE)</f>
        <v>1427879.4166875</v>
      </c>
      <c r="N156" s="19">
        <f>VLOOKUP(Input[[#This Row],[MD5]],fullcf[#All],4,FALSE)</f>
        <v>1241589.8383249899</v>
      </c>
      <c r="O156" s="19">
        <f>Input[[#This Row],[time3]]/$B$1</f>
        <v>44.084387932351127</v>
      </c>
      <c r="P156" s="19">
        <f>Input[[#This Row],[price3]]/$B$1</f>
        <v>95.191961112499996</v>
      </c>
      <c r="Q156" s="20">
        <f>Input[[#This Row],[energy3]]/$B$1</f>
        <v>82.772655888332665</v>
      </c>
      <c r="R156" s="18">
        <f>VLOOKUP(Input[[#This Row],[MD5]],df[#All],2,FALSE)</f>
        <v>22232009724</v>
      </c>
      <c r="S156" s="19">
        <f>VLOOKUP(Input[[#This Row],[MD5]],df[#All],3,FALSE)</f>
        <v>5454156725.25</v>
      </c>
      <c r="T156" s="19">
        <f>VLOOKUP(Input[[#This Row],[MD5]],df[#All],4,FALSE)</f>
        <v>3204421028.8499899</v>
      </c>
      <c r="U156" s="19">
        <f>Input[[#This Row],[time4]]/$B$1</f>
        <v>1482133.9816000001</v>
      </c>
      <c r="V156" s="19">
        <f>Input[[#This Row],[price4]]/$B$1</f>
        <v>363610.44835000002</v>
      </c>
      <c r="W156" s="20">
        <f>Input[[#This Row],[energy4]]/$B$1</f>
        <v>213628.06858999934</v>
      </c>
    </row>
    <row r="157" spans="1:23">
      <c r="A157" s="24" t="s">
        <v>199</v>
      </c>
      <c r="B157" s="13" t="s">
        <v>331</v>
      </c>
      <c r="C157" s="18">
        <f>VLOOKUP(Input[[#This Row],[MD5]],buildtime[#All],2,FALSE)</f>
        <v>61.977142860000001</v>
      </c>
      <c r="D157" s="19">
        <f>VLOOKUP(Input[[#This Row],[MD5]],buildtime[#All],3,FALSE)</f>
        <v>61.2</v>
      </c>
      <c r="E157" s="20">
        <f>VLOOKUP(Input[[#This Row],[MD5]],buildtime[#All],4,FALSE)</f>
        <v>53.52</v>
      </c>
      <c r="F157" s="18">
        <f>VLOOKUP(Input[[#This Row],[MD5]],partialcf[#All],2,FALSE)</f>
        <v>533122.30784285697</v>
      </c>
      <c r="G157" s="19">
        <f>VLOOKUP(Input[[#This Row],[MD5]],partialcf[#All],3,FALSE)</f>
        <v>528678.13903124898</v>
      </c>
      <c r="H157" s="19">
        <f>VLOOKUP(Input[[#This Row],[MD5]],partialcf[#All],4,FALSE)</f>
        <v>462282.064356249</v>
      </c>
      <c r="I157" s="19">
        <f>Input[[#This Row],[time2]]/$B$1</f>
        <v>35.541487189523799</v>
      </c>
      <c r="J157" s="19">
        <f>Input[[#This Row],[price2]]/$B$1</f>
        <v>35.245209268749932</v>
      </c>
      <c r="K157" s="20">
        <f>Input[[#This Row],[energy2]]/$B$1</f>
        <v>30.818804290416601</v>
      </c>
      <c r="L157" s="18">
        <f>VLOOKUP(Input[[#This Row],[MD5]],fullcf[#All],2,FALSE)</f>
        <v>528657.643557142</v>
      </c>
      <c r="M157" s="19">
        <f>VLOOKUP(Input[[#This Row],[MD5]],fullcf[#All],3,FALSE)</f>
        <v>1328653.8457499901</v>
      </c>
      <c r="N157" s="19">
        <f>VLOOKUP(Input[[#This Row],[MD5]],fullcf[#All],4,FALSE)</f>
        <v>1155594.3435124899</v>
      </c>
      <c r="O157" s="19">
        <f>Input[[#This Row],[time3]]/$B$1</f>
        <v>35.243842903809465</v>
      </c>
      <c r="P157" s="19">
        <f>Input[[#This Row],[price3]]/$B$1</f>
        <v>88.576923049999337</v>
      </c>
      <c r="Q157" s="20">
        <f>Input[[#This Row],[energy3]]/$B$1</f>
        <v>77.039622900832669</v>
      </c>
      <c r="R157" s="18">
        <f>VLOOKUP(Input[[#This Row],[MD5]],df[#All],2,FALSE)</f>
        <v>12729591138.1</v>
      </c>
      <c r="S157" s="19">
        <f>VLOOKUP(Input[[#This Row],[MD5]],df[#All],3,FALSE)</f>
        <v>3757291325.25</v>
      </c>
      <c r="T157" s="19">
        <f>VLOOKUP(Input[[#This Row],[MD5]],df[#All],4,FALSE)</f>
        <v>2186301788.8499899</v>
      </c>
      <c r="U157" s="19">
        <f>Input[[#This Row],[time4]]/$B$1</f>
        <v>848639.40920666663</v>
      </c>
      <c r="V157" s="19">
        <f>Input[[#This Row],[price4]]/$B$1</f>
        <v>250486.08835000001</v>
      </c>
      <c r="W157" s="20">
        <f>Input[[#This Row],[energy4]]/$B$1</f>
        <v>145753.45258999933</v>
      </c>
    </row>
    <row r="158" spans="1:23">
      <c r="A158" s="24" t="s">
        <v>200</v>
      </c>
      <c r="B158" s="13" t="s">
        <v>332</v>
      </c>
      <c r="C158" s="18">
        <f>VLOOKUP(Input[[#This Row],[MD5]],buildtime[#All],2,FALSE)</f>
        <v>61.977142860000001</v>
      </c>
      <c r="D158" s="19">
        <f>VLOOKUP(Input[[#This Row],[MD5]],buildtime[#All],3,FALSE)</f>
        <v>61.2</v>
      </c>
      <c r="E158" s="20">
        <f>VLOOKUP(Input[[#This Row],[MD5]],buildtime[#All],4,FALSE)</f>
        <v>53.52</v>
      </c>
      <c r="F158" s="18">
        <f>VLOOKUP(Input[[#This Row],[MD5]],partialcf[#All],2,FALSE)</f>
        <v>17199.398159821401</v>
      </c>
      <c r="G158" s="19">
        <f>VLOOKUP(Input[[#This Row],[MD5]],partialcf[#All],3,FALSE)</f>
        <v>17151.7305937499</v>
      </c>
      <c r="H158" s="19">
        <f>VLOOKUP(Input[[#This Row],[MD5]],partialcf[#All],4,FALSE)</f>
        <v>14995.44654375</v>
      </c>
      <c r="I158" s="19">
        <f>Input[[#This Row],[time2]]/$B$1</f>
        <v>1.1466265439880934</v>
      </c>
      <c r="J158" s="19">
        <f>Input[[#This Row],[price2]]/$B$1</f>
        <v>1.1434487062499934</v>
      </c>
      <c r="K158" s="20">
        <f>Input[[#This Row],[energy2]]/$B$1</f>
        <v>0.99969643625000004</v>
      </c>
      <c r="L158" s="18">
        <f>VLOOKUP(Input[[#This Row],[MD5]],fullcf[#All],2,FALSE)</f>
        <v>16864.5363785714</v>
      </c>
      <c r="M158" s="19">
        <f>VLOOKUP(Input[[#This Row],[MD5]],fullcf[#All],3,FALSE)</f>
        <v>873028.51950000005</v>
      </c>
      <c r="N158" s="19">
        <f>VLOOKUP(Input[[#This Row],[MD5]],fullcf[#All],4,FALSE)</f>
        <v>756755.33026249998</v>
      </c>
      <c r="O158" s="19">
        <f>Input[[#This Row],[time3]]/$B$1</f>
        <v>1.1243024252380933</v>
      </c>
      <c r="P158" s="19">
        <f>Input[[#This Row],[price3]]/$B$1</f>
        <v>58.201901300000003</v>
      </c>
      <c r="Q158" s="20">
        <f>Input[[#This Row],[energy3]]/$B$1</f>
        <v>50.450355350833334</v>
      </c>
      <c r="R158" s="18">
        <f>VLOOKUP(Input[[#This Row],[MD5]],df[#All],2,FALSE)</f>
        <v>69418267.700000003</v>
      </c>
      <c r="S158" s="19">
        <f>VLOOKUP(Input[[#This Row],[MD5]],df[#All],3,FALSE)</f>
        <v>35182829.25</v>
      </c>
      <c r="T158" s="19">
        <f>VLOOKUP(Input[[#This Row],[MD5]],df[#All],4,FALSE)</f>
        <v>20738150.449999999</v>
      </c>
      <c r="U158" s="19">
        <f>Input[[#This Row],[time4]]/$B$1</f>
        <v>4627.8845133333334</v>
      </c>
      <c r="V158" s="19">
        <f>Input[[#This Row],[price4]]/$B$1</f>
        <v>2345.5219499999998</v>
      </c>
      <c r="W158" s="20">
        <f>Input[[#This Row],[energy4]]/$B$1</f>
        <v>1382.5433633333332</v>
      </c>
    </row>
    <row r="159" spans="1:23">
      <c r="A159" s="24" t="s">
        <v>201</v>
      </c>
      <c r="B159" s="13" t="s">
        <v>333</v>
      </c>
      <c r="C159" s="18">
        <f>VLOOKUP(Input[[#This Row],[MD5]],buildtime[#All],2,FALSE)</f>
        <v>61.977142860000001</v>
      </c>
      <c r="D159" s="19">
        <f>VLOOKUP(Input[[#This Row],[MD5]],buildtime[#All],3,FALSE)</f>
        <v>61.2</v>
      </c>
      <c r="E159" s="20">
        <f>VLOOKUP(Input[[#This Row],[MD5]],buildtime[#All],4,FALSE)</f>
        <v>53.52</v>
      </c>
      <c r="F159" s="18">
        <f>VLOOKUP(Input[[#This Row],[MD5]],partialcf[#All],2,FALSE)</f>
        <v>684017.88263660704</v>
      </c>
      <c r="G159" s="19">
        <f>VLOOKUP(Input[[#This Row],[MD5]],partialcf[#All],3,FALSE)</f>
        <v>710885.69165624899</v>
      </c>
      <c r="H159" s="19">
        <f>VLOOKUP(Input[[#This Row],[MD5]],partialcf[#All],4,FALSE)</f>
        <v>620851.56180625001</v>
      </c>
      <c r="I159" s="19">
        <f>Input[[#This Row],[time2]]/$B$1</f>
        <v>45.601192175773804</v>
      </c>
      <c r="J159" s="19">
        <f>Input[[#This Row],[price2]]/$B$1</f>
        <v>47.392379443749931</v>
      </c>
      <c r="K159" s="20">
        <f>Input[[#This Row],[energy2]]/$B$1</f>
        <v>41.390104120416666</v>
      </c>
      <c r="L159" s="18">
        <f>VLOOKUP(Input[[#This Row],[MD5]],fullcf[#All],2,FALSE)</f>
        <v>613396.64844464196</v>
      </c>
      <c r="M159" s="19">
        <f>VLOOKUP(Input[[#This Row],[MD5]],fullcf[#All],3,FALSE)</f>
        <v>1445797.83009375</v>
      </c>
      <c r="N159" s="19">
        <f>VLOOKUP(Input[[#This Row],[MD5]],fullcf[#All],4,FALSE)</f>
        <v>1257775.41511875</v>
      </c>
      <c r="O159" s="19">
        <f>Input[[#This Row],[time3]]/$B$1</f>
        <v>40.893109896309461</v>
      </c>
      <c r="P159" s="19">
        <f>Input[[#This Row],[price3]]/$B$1</f>
        <v>96.386522006250004</v>
      </c>
      <c r="Q159" s="20">
        <f>Input[[#This Row],[energy3]]/$B$1</f>
        <v>83.851694341249996</v>
      </c>
      <c r="R159" s="18">
        <f>VLOOKUP(Input[[#This Row],[MD5]],df[#All],2,FALSE)</f>
        <v>14764391922.1</v>
      </c>
      <c r="S159" s="19">
        <f>VLOOKUP(Input[[#This Row],[MD5]],df[#All],3,FALSE)</f>
        <v>5074524585.25</v>
      </c>
      <c r="T159" s="19">
        <f>VLOOKUP(Input[[#This Row],[MD5]],df[#All],4,FALSE)</f>
        <v>2965760672.8499899</v>
      </c>
      <c r="U159" s="19">
        <f>Input[[#This Row],[time4]]/$B$1</f>
        <v>984292.79480666667</v>
      </c>
      <c r="V159" s="19">
        <f>Input[[#This Row],[price4]]/$B$1</f>
        <v>338301.63901666668</v>
      </c>
      <c r="W159" s="20">
        <f>Input[[#This Row],[energy4]]/$B$1</f>
        <v>197717.37818999932</v>
      </c>
    </row>
    <row r="160" spans="1:23">
      <c r="A160" s="24" t="s">
        <v>202</v>
      </c>
      <c r="B160" s="13" t="s">
        <v>334</v>
      </c>
      <c r="C160" s="18">
        <f>VLOOKUP(Input[[#This Row],[MD5]],buildtime[#All],2,FALSE)</f>
        <v>61.977142860000001</v>
      </c>
      <c r="D160" s="19">
        <f>VLOOKUP(Input[[#This Row],[MD5]],buildtime[#All],3,FALSE)</f>
        <v>61.2</v>
      </c>
      <c r="E160" s="20">
        <f>VLOOKUP(Input[[#This Row],[MD5]],buildtime[#All],4,FALSE)</f>
        <v>53.52</v>
      </c>
      <c r="F160" s="18">
        <f>VLOOKUP(Input[[#This Row],[MD5]],partialcf[#All],2,FALSE)</f>
        <v>17130.0695928571</v>
      </c>
      <c r="G160" s="19">
        <f>VLOOKUP(Input[[#This Row],[MD5]],partialcf[#All],3,FALSE)</f>
        <v>17048.475281249899</v>
      </c>
      <c r="H160" s="19">
        <f>VLOOKUP(Input[[#This Row],[MD5]],partialcf[#All],4,FALSE)</f>
        <v>14905.95860625</v>
      </c>
      <c r="I160" s="19">
        <f>Input[[#This Row],[time2]]/$B$1</f>
        <v>1.1420046395238066</v>
      </c>
      <c r="J160" s="19">
        <f>Input[[#This Row],[price2]]/$B$1</f>
        <v>1.1365650187499934</v>
      </c>
      <c r="K160" s="20">
        <f>Input[[#This Row],[energy2]]/$B$1</f>
        <v>0.99373057375000007</v>
      </c>
      <c r="L160" s="18">
        <f>VLOOKUP(Input[[#This Row],[MD5]],fullcf[#All],2,FALSE)</f>
        <v>16864.5363785714</v>
      </c>
      <c r="M160" s="19">
        <f>VLOOKUP(Input[[#This Row],[MD5]],fullcf[#All],3,FALSE)</f>
        <v>873028.51950000005</v>
      </c>
      <c r="N160" s="19">
        <f>VLOOKUP(Input[[#This Row],[MD5]],fullcf[#All],4,FALSE)</f>
        <v>756755.33026249905</v>
      </c>
      <c r="O160" s="19">
        <f>Input[[#This Row],[time3]]/$B$1</f>
        <v>1.1243024252380933</v>
      </c>
      <c r="P160" s="19">
        <f>Input[[#This Row],[price3]]/$B$1</f>
        <v>58.201901300000003</v>
      </c>
      <c r="Q160" s="20">
        <f>Input[[#This Row],[energy3]]/$B$1</f>
        <v>50.45035535083327</v>
      </c>
      <c r="R160" s="18">
        <f>VLOOKUP(Input[[#This Row],[MD5]],df[#All],2,FALSE)</f>
        <v>69418267.700000003</v>
      </c>
      <c r="S160" s="19">
        <f>VLOOKUP(Input[[#This Row],[MD5]],df[#All],3,FALSE)</f>
        <v>35182829.25</v>
      </c>
      <c r="T160" s="19">
        <f>VLOOKUP(Input[[#This Row],[MD5]],df[#All],4,FALSE)</f>
        <v>20738150.449999999</v>
      </c>
      <c r="U160" s="19">
        <f>Input[[#This Row],[time4]]/$B$1</f>
        <v>4627.8845133333334</v>
      </c>
      <c r="V160" s="19">
        <f>Input[[#This Row],[price4]]/$B$1</f>
        <v>2345.5219499999998</v>
      </c>
      <c r="W160" s="20">
        <f>Input[[#This Row],[energy4]]/$B$1</f>
        <v>1382.5433633333332</v>
      </c>
    </row>
    <row r="161" spans="1:23">
      <c r="A161" s="24" t="s">
        <v>203</v>
      </c>
      <c r="B161" s="13" t="s">
        <v>335</v>
      </c>
      <c r="C161" s="18">
        <f>VLOOKUP(Input[[#This Row],[MD5]],buildtime[#All],2,FALSE)</f>
        <v>56.24428571</v>
      </c>
      <c r="D161" s="19">
        <f>VLOOKUP(Input[[#This Row],[MD5]],buildtime[#All],3,FALSE)</f>
        <v>64.2</v>
      </c>
      <c r="E161" s="20">
        <f>VLOOKUP(Input[[#This Row],[MD5]],buildtime[#All],4,FALSE)</f>
        <v>56.12</v>
      </c>
      <c r="F161" s="18">
        <f>VLOOKUP(Input[[#This Row],[MD5]],partialcf[#All],2,FALSE)</f>
        <v>20880.515164285702</v>
      </c>
      <c r="G161" s="19">
        <f>VLOOKUP(Input[[#This Row],[MD5]],partialcf[#All],3,FALSE)</f>
        <v>19868.475281249899</v>
      </c>
      <c r="H161" s="19">
        <f>VLOOKUP(Input[[#This Row],[MD5]],partialcf[#All],4,FALSE)</f>
        <v>17349.958606249998</v>
      </c>
      <c r="I161" s="19">
        <f>Input[[#This Row],[time2]]/$B$1</f>
        <v>1.3920343442857135</v>
      </c>
      <c r="J161" s="19">
        <f>Input[[#This Row],[price2]]/$B$1</f>
        <v>1.3245650187499933</v>
      </c>
      <c r="K161" s="20">
        <f>Input[[#This Row],[energy2]]/$B$1</f>
        <v>1.1566639070833333</v>
      </c>
      <c r="L161" s="18">
        <f>VLOOKUP(Input[[#This Row],[MD5]],fullcf[#All],2,FALSE)</f>
        <v>20614.981950000001</v>
      </c>
      <c r="M161" s="19">
        <f>VLOOKUP(Input[[#This Row],[MD5]],fullcf[#All],3,FALSE)</f>
        <v>875848.51950000005</v>
      </c>
      <c r="N161" s="19">
        <f>VLOOKUP(Input[[#This Row],[MD5]],fullcf[#All],4,FALSE)</f>
        <v>759199.33026249998</v>
      </c>
      <c r="O161" s="19">
        <f>Input[[#This Row],[time3]]/$B$1</f>
        <v>1.37433213</v>
      </c>
      <c r="P161" s="19">
        <f>Input[[#This Row],[price3]]/$B$1</f>
        <v>58.389901300000005</v>
      </c>
      <c r="Q161" s="20">
        <f>Input[[#This Row],[energy3]]/$B$1</f>
        <v>50.613288684166662</v>
      </c>
      <c r="R161" s="18">
        <f>VLOOKUP(Input[[#This Row],[MD5]],df[#All],2,FALSE)</f>
        <v>73353505.599999905</v>
      </c>
      <c r="S161" s="19">
        <f>VLOOKUP(Input[[#This Row],[MD5]],df[#All],3,FALSE)</f>
        <v>35886829.25</v>
      </c>
      <c r="T161" s="19">
        <f>VLOOKUP(Input[[#This Row],[MD5]],df[#All],4,FALSE)</f>
        <v>21160550.449999899</v>
      </c>
      <c r="U161" s="19">
        <f>Input[[#This Row],[time4]]/$B$1</f>
        <v>4890.2337066666605</v>
      </c>
      <c r="V161" s="19">
        <f>Input[[#This Row],[price4]]/$B$1</f>
        <v>2392.4552833333332</v>
      </c>
      <c r="W161" s="20">
        <f>Input[[#This Row],[energy4]]/$B$1</f>
        <v>1410.7033633333265</v>
      </c>
    </row>
    <row r="162" spans="1:23">
      <c r="A162" s="24" t="s">
        <v>204</v>
      </c>
      <c r="B162" s="13" t="s">
        <v>336</v>
      </c>
      <c r="C162" s="18">
        <f>VLOOKUP(Input[[#This Row],[MD5]],buildtime[#All],2,FALSE)</f>
        <v>61.977142860000001</v>
      </c>
      <c r="D162" s="19">
        <f>VLOOKUP(Input[[#This Row],[MD5]],buildtime[#All],3,FALSE)</f>
        <v>61.2</v>
      </c>
      <c r="E162" s="20">
        <f>VLOOKUP(Input[[#This Row],[MD5]],buildtime[#All],4,FALSE)</f>
        <v>53.52</v>
      </c>
      <c r="F162" s="18">
        <f>VLOOKUP(Input[[#This Row],[MD5]],partialcf[#All],2,FALSE)</f>
        <v>21161.917383035699</v>
      </c>
      <c r="G162" s="19">
        <f>VLOOKUP(Input[[#This Row],[MD5]],partialcf[#All],3,FALSE)</f>
        <v>23053.3549687499</v>
      </c>
      <c r="H162" s="19">
        <f>VLOOKUP(Input[[#This Row],[MD5]],partialcf[#All],4,FALSE)</f>
        <v>20110.187668750001</v>
      </c>
      <c r="I162" s="19">
        <f>Input[[#This Row],[time2]]/$B$1</f>
        <v>1.4107944922023801</v>
      </c>
      <c r="J162" s="19">
        <f>Input[[#This Row],[price2]]/$B$1</f>
        <v>1.5368903312499933</v>
      </c>
      <c r="K162" s="20">
        <f>Input[[#This Row],[energy2]]/$B$1</f>
        <v>1.3406791779166667</v>
      </c>
      <c r="L162" s="18">
        <f>VLOOKUP(Input[[#This Row],[MD5]],fullcf[#All],2,FALSE)</f>
        <v>16864.624503571398</v>
      </c>
      <c r="M162" s="19">
        <f>VLOOKUP(Input[[#This Row],[MD5]],fullcf[#All],3,FALSE)</f>
        <v>873028.58512499998</v>
      </c>
      <c r="N162" s="19">
        <f>VLOOKUP(Input[[#This Row],[MD5]],fullcf[#All],4,FALSE)</f>
        <v>756755.38713749906</v>
      </c>
      <c r="O162" s="19">
        <f>Input[[#This Row],[time3]]/$B$1</f>
        <v>1.1243083002380931</v>
      </c>
      <c r="P162" s="19">
        <f>Input[[#This Row],[price3]]/$B$1</f>
        <v>58.201905674999999</v>
      </c>
      <c r="Q162" s="20">
        <f>Input[[#This Row],[energy3]]/$B$1</f>
        <v>50.450359142499934</v>
      </c>
      <c r="R162" s="18">
        <f>VLOOKUP(Input[[#This Row],[MD5]],df[#All],2,FALSE)</f>
        <v>69458587.700000003</v>
      </c>
      <c r="S162" s="19">
        <f>VLOOKUP(Input[[#This Row],[MD5]],df[#All],3,FALSE)</f>
        <v>35190029.25</v>
      </c>
      <c r="T162" s="19">
        <f>VLOOKUP(Input[[#This Row],[MD5]],df[#All],4,FALSE)</f>
        <v>20742470.449999999</v>
      </c>
      <c r="U162" s="19">
        <f>Input[[#This Row],[time4]]/$B$1</f>
        <v>4630.5725133333335</v>
      </c>
      <c r="V162" s="19">
        <f>Input[[#This Row],[price4]]/$B$1</f>
        <v>2346.0019499999999</v>
      </c>
      <c r="W162" s="20">
        <f>Input[[#This Row],[energy4]]/$B$1</f>
        <v>1382.8313633333332</v>
      </c>
    </row>
    <row r="163" spans="1:23">
      <c r="A163" s="24" t="s">
        <v>205</v>
      </c>
      <c r="B163" s="13" t="s">
        <v>337</v>
      </c>
      <c r="C163" s="18">
        <f>VLOOKUP(Input[[#This Row],[MD5]],buildtime[#All],2,FALSE)</f>
        <v>61.977142860000001</v>
      </c>
      <c r="D163" s="19">
        <f>VLOOKUP(Input[[#This Row],[MD5]],buildtime[#All],3,FALSE)</f>
        <v>61.2</v>
      </c>
      <c r="E163" s="20">
        <f>VLOOKUP(Input[[#This Row],[MD5]],buildtime[#All],4,FALSE)</f>
        <v>53.52</v>
      </c>
      <c r="F163" s="18">
        <f>VLOOKUP(Input[[#This Row],[MD5]],partialcf[#All],2,FALSE)</f>
        <v>20869.011770982099</v>
      </c>
      <c r="G163" s="19">
        <f>VLOOKUP(Input[[#This Row],[MD5]],partialcf[#All],3,FALSE)</f>
        <v>22598.335734374901</v>
      </c>
      <c r="H163" s="19">
        <f>VLOOKUP(Input[[#This Row],[MD5]],partialcf[#All],4,FALSE)</f>
        <v>19716.127409375</v>
      </c>
      <c r="I163" s="19">
        <f>Input[[#This Row],[time2]]/$B$1</f>
        <v>1.3912674513988066</v>
      </c>
      <c r="J163" s="19">
        <f>Input[[#This Row],[price2]]/$B$1</f>
        <v>1.5065557156249934</v>
      </c>
      <c r="K163" s="20">
        <f>Input[[#This Row],[energy2]]/$B$1</f>
        <v>1.3144084939583334</v>
      </c>
      <c r="L163" s="18">
        <f>VLOOKUP(Input[[#This Row],[MD5]],fullcf[#All],2,FALSE)</f>
        <v>16901.947815625001</v>
      </c>
      <c r="M163" s="19">
        <f>VLOOKUP(Input[[#This Row],[MD5]],fullcf[#All],3,FALSE)</f>
        <v>873058.218234375</v>
      </c>
      <c r="N163" s="19">
        <f>VLOOKUP(Input[[#This Row],[MD5]],fullcf[#All],4,FALSE)</f>
        <v>756781.35890937503</v>
      </c>
      <c r="O163" s="19">
        <f>Input[[#This Row],[time3]]/$B$1</f>
        <v>1.1267965210416666</v>
      </c>
      <c r="P163" s="19">
        <f>Input[[#This Row],[price3]]/$B$1</f>
        <v>58.203881215625003</v>
      </c>
      <c r="Q163" s="20">
        <f>Input[[#This Row],[energy3]]/$B$1</f>
        <v>50.452090593958339</v>
      </c>
      <c r="R163" s="18">
        <f>VLOOKUP(Input[[#This Row],[MD5]],df[#All],2,FALSE)</f>
        <v>111503964.099999</v>
      </c>
      <c r="S163" s="19">
        <f>VLOOKUP(Input[[#This Row],[MD5]],df[#All],3,FALSE)</f>
        <v>47566106.916666597</v>
      </c>
      <c r="T163" s="19">
        <f>VLOOKUP(Input[[#This Row],[MD5]],df[#All],4,FALSE)</f>
        <v>27943059.850000001</v>
      </c>
      <c r="U163" s="19">
        <f>Input[[#This Row],[time4]]/$B$1</f>
        <v>7433.5976066665999</v>
      </c>
      <c r="V163" s="19">
        <f>Input[[#This Row],[price4]]/$B$1</f>
        <v>3171.07379444444</v>
      </c>
      <c r="W163" s="20">
        <f>Input[[#This Row],[energy4]]/$B$1</f>
        <v>1862.8706566666667</v>
      </c>
    </row>
    <row r="164" spans="1:23">
      <c r="A164" s="24" t="s">
        <v>206</v>
      </c>
      <c r="B164" s="13" t="s">
        <v>338</v>
      </c>
      <c r="C164" s="18">
        <f>VLOOKUP(Input[[#This Row],[MD5]],buildtime[#All],2,FALSE)</f>
        <v>61.977142860000001</v>
      </c>
      <c r="D164" s="19">
        <f>VLOOKUP(Input[[#This Row],[MD5]],buildtime[#All],3,FALSE)</f>
        <v>61.2</v>
      </c>
      <c r="E164" s="20">
        <f>VLOOKUP(Input[[#This Row],[MD5]],buildtime[#All],4,FALSE)</f>
        <v>53.52</v>
      </c>
      <c r="F164" s="18">
        <f>VLOOKUP(Input[[#This Row],[MD5]],partialcf[#All],2,FALSE)</f>
        <v>533551.47513705306</v>
      </c>
      <c r="G164" s="19">
        <f>VLOOKUP(Input[[#This Row],[MD5]],partialcf[#All],3,FALSE)</f>
        <v>528974.55510937399</v>
      </c>
      <c r="H164" s="19">
        <f>VLOOKUP(Input[[#This Row],[MD5]],partialcf[#All],4,FALSE)</f>
        <v>462544.247534375</v>
      </c>
      <c r="I164" s="19">
        <f>Input[[#This Row],[time2]]/$B$1</f>
        <v>35.570098342470203</v>
      </c>
      <c r="J164" s="19">
        <f>Input[[#This Row],[price2]]/$B$1</f>
        <v>35.264970340624934</v>
      </c>
      <c r="K164" s="20">
        <f>Input[[#This Row],[energy2]]/$B$1</f>
        <v>30.836283168958332</v>
      </c>
      <c r="L164" s="18">
        <f>VLOOKUP(Input[[#This Row],[MD5]],fullcf[#All],2,FALSE)</f>
        <v>529340.67379776703</v>
      </c>
      <c r="M164" s="19">
        <f>VLOOKUP(Input[[#This Row],[MD5]],fullcf[#All],3,FALSE)</f>
        <v>1329196.05885937</v>
      </c>
      <c r="N164" s="19">
        <f>VLOOKUP(Input[[#This Row],[MD5]],fullcf[#All],4,FALSE)</f>
        <v>1156069.5507843699</v>
      </c>
      <c r="O164" s="19">
        <f>Input[[#This Row],[time3]]/$B$1</f>
        <v>35.289378253184466</v>
      </c>
      <c r="P164" s="19">
        <f>Input[[#This Row],[price3]]/$B$1</f>
        <v>88.613070590624659</v>
      </c>
      <c r="Q164" s="20">
        <f>Input[[#This Row],[energy3]]/$B$1</f>
        <v>77.07130338562466</v>
      </c>
      <c r="R164" s="18">
        <f>VLOOKUP(Input[[#This Row],[MD5]],df[#All],2,FALSE)</f>
        <v>12807705454.1</v>
      </c>
      <c r="S164" s="19">
        <f>VLOOKUP(Input[[#This Row],[MD5]],df[#All],3,FALSE)</f>
        <v>3777858615.25</v>
      </c>
      <c r="T164" s="19">
        <f>VLOOKUP(Input[[#This Row],[MD5]],df[#All],4,FALSE)</f>
        <v>2198224654.8499899</v>
      </c>
      <c r="U164" s="19">
        <f>Input[[#This Row],[time4]]/$B$1</f>
        <v>853847.03027333331</v>
      </c>
      <c r="V164" s="19">
        <f>Input[[#This Row],[price4]]/$B$1</f>
        <v>251857.24101666667</v>
      </c>
      <c r="W164" s="20">
        <f>Input[[#This Row],[energy4]]/$B$1</f>
        <v>146548.31032333267</v>
      </c>
    </row>
    <row r="165" spans="1:23">
      <c r="A165" s="24" t="s">
        <v>207</v>
      </c>
      <c r="B165" s="13" t="s">
        <v>339</v>
      </c>
      <c r="C165" s="18">
        <f>VLOOKUP(Input[[#This Row],[MD5]],buildtime[#All],2,FALSE)</f>
        <v>50.51142857</v>
      </c>
      <c r="D165" s="19">
        <f>VLOOKUP(Input[[#This Row],[MD5]],buildtime[#All],3,FALSE)</f>
        <v>65.7</v>
      </c>
      <c r="E165" s="20">
        <f>VLOOKUP(Input[[#This Row],[MD5]],buildtime[#All],4,FALSE)</f>
        <v>57.42</v>
      </c>
      <c r="F165" s="18">
        <f>VLOOKUP(Input[[#This Row],[MD5]],partialcf[#All],2,FALSE)</f>
        <v>19345.3692075892</v>
      </c>
      <c r="G165" s="19">
        <f>VLOOKUP(Input[[#This Row],[MD5]],partialcf[#All],3,FALSE)</f>
        <v>18225.066656249899</v>
      </c>
      <c r="H165" s="19">
        <f>VLOOKUP(Input[[#This Row],[MD5]],partialcf[#All],4,FALSE)</f>
        <v>15915.74930625</v>
      </c>
      <c r="I165" s="19">
        <f>Input[[#This Row],[time2]]/$B$1</f>
        <v>1.2896912805059466</v>
      </c>
      <c r="J165" s="19">
        <f>Input[[#This Row],[price2]]/$B$1</f>
        <v>1.2150044437499932</v>
      </c>
      <c r="K165" s="20">
        <f>Input[[#This Row],[energy2]]/$B$1</f>
        <v>1.06104995375</v>
      </c>
      <c r="L165" s="18">
        <f>VLOOKUP(Input[[#This Row],[MD5]],fullcf[#All],2,FALSE)</f>
        <v>19333.791470982102</v>
      </c>
      <c r="M165" s="19">
        <f>VLOOKUP(Input[[#This Row],[MD5]],fullcf[#All],3,FALSE)</f>
        <v>874708.20787499903</v>
      </c>
      <c r="N165" s="19">
        <f>VLOOKUP(Input[[#This Row],[MD5]],fullcf[#All],4,FALSE)</f>
        <v>758201.13836249895</v>
      </c>
      <c r="O165" s="19">
        <f>Input[[#This Row],[time3]]/$B$1</f>
        <v>1.2889194313988068</v>
      </c>
      <c r="P165" s="19">
        <f>Input[[#This Row],[price3]]/$B$1</f>
        <v>58.313880524999938</v>
      </c>
      <c r="Q165" s="20">
        <f>Input[[#This Row],[energy3]]/$B$1</f>
        <v>50.546742557499933</v>
      </c>
      <c r="R165" s="18">
        <f>VLOOKUP(Input[[#This Row],[MD5]],df[#All],2,FALSE)</f>
        <v>9890383.75</v>
      </c>
      <c r="S165" s="19">
        <f>VLOOKUP(Input[[#This Row],[MD5]],df[#All],3,FALSE)</f>
        <v>17239802.708333299</v>
      </c>
      <c r="T165" s="19">
        <f>VLOOKUP(Input[[#This Row],[MD5]],df[#All],4,FALSE)</f>
        <v>10311804.074999999</v>
      </c>
      <c r="U165" s="19">
        <f>Input[[#This Row],[time4]]/$B$1</f>
        <v>659.35891666666669</v>
      </c>
      <c r="V165" s="19">
        <f>Input[[#This Row],[price4]]/$B$1</f>
        <v>1149.3201805555532</v>
      </c>
      <c r="W165" s="20">
        <f>Input[[#This Row],[energy4]]/$B$1</f>
        <v>687.45360499999992</v>
      </c>
    </row>
    <row r="166" spans="1:23">
      <c r="A166" s="24" t="s">
        <v>208</v>
      </c>
      <c r="B166" s="13" t="s">
        <v>340</v>
      </c>
      <c r="C166" s="18">
        <f>VLOOKUP(Input[[#This Row],[MD5]],buildtime[#All],2,FALSE)</f>
        <v>50.51142857</v>
      </c>
      <c r="D166" s="19">
        <f>VLOOKUP(Input[[#This Row],[MD5]],buildtime[#All],3,FALSE)</f>
        <v>67.2</v>
      </c>
      <c r="E166" s="20">
        <f>VLOOKUP(Input[[#This Row],[MD5]],buildtime[#All],4,FALSE)</f>
        <v>58.72</v>
      </c>
      <c r="F166" s="18">
        <f>VLOOKUP(Input[[#This Row],[MD5]],partialcf[#All],2,FALSE)</f>
        <v>943855.659965178</v>
      </c>
      <c r="G166" s="19">
        <f>VLOOKUP(Input[[#This Row],[MD5]],partialcf[#All],3,FALSE)</f>
        <v>902591.25557812501</v>
      </c>
      <c r="H166" s="19">
        <f>VLOOKUP(Input[[#This Row],[MD5]],partialcf[#All],4,FALSE)</f>
        <v>786991.09462812403</v>
      </c>
      <c r="I166" s="19">
        <f>Input[[#This Row],[time2]]/$B$1</f>
        <v>62.923710664345201</v>
      </c>
      <c r="J166" s="19">
        <f>Input[[#This Row],[price2]]/$B$1</f>
        <v>60.172750371875004</v>
      </c>
      <c r="K166" s="20">
        <f>Input[[#This Row],[energy2]]/$B$1</f>
        <v>52.46607297520827</v>
      </c>
      <c r="L166" s="18">
        <f>VLOOKUP(Input[[#This Row],[MD5]],fullcf[#All],2,FALSE)</f>
        <v>877585.07834017801</v>
      </c>
      <c r="M166" s="19">
        <f>VLOOKUP(Input[[#This Row],[MD5]],fullcf[#All],3,FALSE)</f>
        <v>1643705.6497968701</v>
      </c>
      <c r="N166" s="19">
        <f>VLOOKUP(Input[[#This Row],[MD5]],fullcf[#All],4,FALSE)</f>
        <v>1429290.2362843701</v>
      </c>
      <c r="O166" s="19">
        <f>Input[[#This Row],[time3]]/$B$1</f>
        <v>58.505671889345201</v>
      </c>
      <c r="P166" s="19">
        <f>Input[[#This Row],[price3]]/$B$1</f>
        <v>109.58037665312467</v>
      </c>
      <c r="Q166" s="20">
        <f>Input[[#This Row],[energy3]]/$B$1</f>
        <v>95.286015752291334</v>
      </c>
      <c r="R166" s="18">
        <f>VLOOKUP(Input[[#This Row],[MD5]],df[#All],2,FALSE)</f>
        <v>33658300824</v>
      </c>
      <c r="S166" s="19">
        <f>VLOOKUP(Input[[#This Row],[MD5]],df[#All],3,FALSE)</f>
        <v>8447560095.25</v>
      </c>
      <c r="T166" s="19">
        <f>VLOOKUP(Input[[#This Row],[MD5]],df[#All],4,FALSE)</f>
        <v>4989999486.8500004</v>
      </c>
      <c r="U166" s="19">
        <f>Input[[#This Row],[time4]]/$B$1</f>
        <v>2243886.7215999998</v>
      </c>
      <c r="V166" s="19">
        <f>Input[[#This Row],[price4]]/$B$1</f>
        <v>563170.67301666667</v>
      </c>
      <c r="W166" s="20">
        <f>Input[[#This Row],[energy4]]/$B$1</f>
        <v>332666.63245666667</v>
      </c>
    </row>
    <row r="167" spans="1:23">
      <c r="A167" s="24" t="s">
        <v>209</v>
      </c>
      <c r="B167" s="13" t="s">
        <v>341</v>
      </c>
      <c r="C167" s="18">
        <f>VLOOKUP(Input[[#This Row],[MD5]],buildtime[#All],2,FALSE)</f>
        <v>61.977142860000001</v>
      </c>
      <c r="D167" s="19">
        <f>VLOOKUP(Input[[#This Row],[MD5]],buildtime[#All],3,FALSE)</f>
        <v>61.2</v>
      </c>
      <c r="E167" s="20">
        <f>VLOOKUP(Input[[#This Row],[MD5]],buildtime[#All],4,FALSE)</f>
        <v>53.52</v>
      </c>
      <c r="F167" s="18">
        <f>VLOOKUP(Input[[#This Row],[MD5]],partialcf[#All],2,FALSE)</f>
        <v>533551.54563705297</v>
      </c>
      <c r="G167" s="19">
        <f>VLOOKUP(Input[[#This Row],[MD5]],partialcf[#All],3,FALSE)</f>
        <v>528974.66010937397</v>
      </c>
      <c r="H167" s="19">
        <f>VLOOKUP(Input[[#This Row],[MD5]],partialcf[#All],4,FALSE)</f>
        <v>462544.33853437501</v>
      </c>
      <c r="I167" s="19">
        <f>Input[[#This Row],[time2]]/$B$1</f>
        <v>35.570103042470201</v>
      </c>
      <c r="J167" s="19">
        <f>Input[[#This Row],[price2]]/$B$1</f>
        <v>35.264977340624931</v>
      </c>
      <c r="K167" s="20">
        <f>Input[[#This Row],[energy2]]/$B$1</f>
        <v>30.836289235624999</v>
      </c>
      <c r="L167" s="18">
        <f>VLOOKUP(Input[[#This Row],[MD5]],fullcf[#All],2,FALSE)</f>
        <v>529340.67379776703</v>
      </c>
      <c r="M167" s="19">
        <f>VLOOKUP(Input[[#This Row],[MD5]],fullcf[#All],3,FALSE)</f>
        <v>1329196.05885937</v>
      </c>
      <c r="N167" s="19">
        <f>VLOOKUP(Input[[#This Row],[MD5]],fullcf[#All],4,FALSE)</f>
        <v>1156069.5507843699</v>
      </c>
      <c r="O167" s="19">
        <f>Input[[#This Row],[time3]]/$B$1</f>
        <v>35.289378253184466</v>
      </c>
      <c r="P167" s="19">
        <f>Input[[#This Row],[price3]]/$B$1</f>
        <v>88.613070590624659</v>
      </c>
      <c r="Q167" s="20">
        <f>Input[[#This Row],[energy3]]/$B$1</f>
        <v>77.07130338562466</v>
      </c>
      <c r="R167" s="18">
        <f>VLOOKUP(Input[[#This Row],[MD5]],df[#All],2,FALSE)</f>
        <v>12807705454.1</v>
      </c>
      <c r="S167" s="19">
        <f>VLOOKUP(Input[[#This Row],[MD5]],df[#All],3,FALSE)</f>
        <v>3777858615.25</v>
      </c>
      <c r="T167" s="19">
        <f>VLOOKUP(Input[[#This Row],[MD5]],df[#All],4,FALSE)</f>
        <v>2198224654.8499899</v>
      </c>
      <c r="U167" s="19">
        <f>Input[[#This Row],[time4]]/$B$1</f>
        <v>853847.03027333331</v>
      </c>
      <c r="V167" s="19">
        <f>Input[[#This Row],[price4]]/$B$1</f>
        <v>251857.24101666667</v>
      </c>
      <c r="W167" s="20">
        <f>Input[[#This Row],[energy4]]/$B$1</f>
        <v>146548.31032333267</v>
      </c>
    </row>
    <row r="168" spans="1:23">
      <c r="A168" s="24" t="s">
        <v>210</v>
      </c>
      <c r="B168" s="13" t="s">
        <v>342</v>
      </c>
      <c r="C168" s="18">
        <f>VLOOKUP(Input[[#This Row],[MD5]],buildtime[#All],2,FALSE)</f>
        <v>56.24428571</v>
      </c>
      <c r="D168" s="19">
        <f>VLOOKUP(Input[[#This Row],[MD5]],buildtime[#All],3,FALSE)</f>
        <v>64.2</v>
      </c>
      <c r="E168" s="20">
        <f>VLOOKUP(Input[[#This Row],[MD5]],buildtime[#All],4,FALSE)</f>
        <v>56.12</v>
      </c>
      <c r="F168" s="18">
        <f>VLOOKUP(Input[[#This Row],[MD5]],partialcf[#All],2,FALSE)</f>
        <v>19342.778168392801</v>
      </c>
      <c r="G168" s="19">
        <f>VLOOKUP(Input[[#This Row],[MD5]],partialcf[#All],3,FALSE)</f>
        <v>18222.0063937499</v>
      </c>
      <c r="H168" s="19">
        <f>VLOOKUP(Input[[#This Row],[MD5]],partialcf[#All],4,FALSE)</f>
        <v>15913.084823749999</v>
      </c>
      <c r="I168" s="19">
        <f>Input[[#This Row],[time2]]/$B$1</f>
        <v>1.2895185445595201</v>
      </c>
      <c r="J168" s="19">
        <f>Input[[#This Row],[price2]]/$B$1</f>
        <v>1.2148004262499934</v>
      </c>
      <c r="K168" s="20">
        <f>Input[[#This Row],[energy2]]/$B$1</f>
        <v>1.0608723215833333</v>
      </c>
      <c r="L168" s="18">
        <f>VLOOKUP(Input[[#This Row],[MD5]],fullcf[#All],2,FALSE)</f>
        <v>19332.347063928501</v>
      </c>
      <c r="M168" s="19">
        <f>VLOOKUP(Input[[#This Row],[MD5]],fullcf[#All],3,FALSE)</f>
        <v>874706.64536249905</v>
      </c>
      <c r="N168" s="19">
        <f>VLOOKUP(Input[[#This Row],[MD5]],fullcf[#All],4,FALSE)</f>
        <v>758199.77193000005</v>
      </c>
      <c r="O168" s="19">
        <f>Input[[#This Row],[time3]]/$B$1</f>
        <v>1.2888231375952335</v>
      </c>
      <c r="P168" s="19">
        <f>Input[[#This Row],[price3]]/$B$1</f>
        <v>58.31377635749994</v>
      </c>
      <c r="Q168" s="20">
        <f>Input[[#This Row],[energy3]]/$B$1</f>
        <v>50.546651462</v>
      </c>
      <c r="R168" s="18">
        <f>VLOOKUP(Input[[#This Row],[MD5]],df[#All],2,FALSE)</f>
        <v>9625106.8133333307</v>
      </c>
      <c r="S168" s="19">
        <f>VLOOKUP(Input[[#This Row],[MD5]],df[#All],3,FALSE)</f>
        <v>17143171.033333302</v>
      </c>
      <c r="T168" s="19">
        <f>VLOOKUP(Input[[#This Row],[MD5]],df[#All],4,FALSE)</f>
        <v>10255232.9466666</v>
      </c>
      <c r="U168" s="19">
        <f>Input[[#This Row],[time4]]/$B$1</f>
        <v>641.67378755555535</v>
      </c>
      <c r="V168" s="19">
        <f>Input[[#This Row],[price4]]/$B$1</f>
        <v>1142.8780688888867</v>
      </c>
      <c r="W168" s="20">
        <f>Input[[#This Row],[energy4]]/$B$1</f>
        <v>683.68219644444002</v>
      </c>
    </row>
    <row r="169" spans="1:23">
      <c r="A169" s="24" t="s">
        <v>211</v>
      </c>
      <c r="B169" s="13" t="s">
        <v>343</v>
      </c>
      <c r="C169" s="18">
        <f>VLOOKUP(Input[[#This Row],[MD5]],buildtime[#All],2,FALSE)</f>
        <v>61.977142860000001</v>
      </c>
      <c r="D169" s="19">
        <f>VLOOKUP(Input[[#This Row],[MD5]],buildtime[#All],3,FALSE)</f>
        <v>61.2</v>
      </c>
      <c r="E169" s="20">
        <f>VLOOKUP(Input[[#This Row],[MD5]],buildtime[#All],4,FALSE)</f>
        <v>53.52</v>
      </c>
      <c r="F169" s="18">
        <f>VLOOKUP(Input[[#This Row],[MD5]],partialcf[#All],2,FALSE)</f>
        <v>533122.44884285703</v>
      </c>
      <c r="G169" s="19">
        <f>VLOOKUP(Input[[#This Row],[MD5]],partialcf[#All],3,FALSE)</f>
        <v>528678.34903124894</v>
      </c>
      <c r="H169" s="19">
        <f>VLOOKUP(Input[[#This Row],[MD5]],partialcf[#All],4,FALSE)</f>
        <v>462282.24635625002</v>
      </c>
      <c r="I169" s="19">
        <f>Input[[#This Row],[time2]]/$B$1</f>
        <v>35.541496589523803</v>
      </c>
      <c r="J169" s="19">
        <f>Input[[#This Row],[price2]]/$B$1</f>
        <v>35.245223268749932</v>
      </c>
      <c r="K169" s="20">
        <f>Input[[#This Row],[energy2]]/$B$1</f>
        <v>30.81881642375</v>
      </c>
      <c r="L169" s="18">
        <f>VLOOKUP(Input[[#This Row],[MD5]],fullcf[#All],2,FALSE)</f>
        <v>528657.68761964201</v>
      </c>
      <c r="M169" s="19">
        <f>VLOOKUP(Input[[#This Row],[MD5]],fullcf[#All],3,FALSE)</f>
        <v>1328653.8785625</v>
      </c>
      <c r="N169" s="19">
        <f>VLOOKUP(Input[[#This Row],[MD5]],fullcf[#All],4,FALSE)</f>
        <v>1155594.3719500001</v>
      </c>
      <c r="O169" s="19">
        <f>Input[[#This Row],[time3]]/$B$1</f>
        <v>35.243845841309465</v>
      </c>
      <c r="P169" s="19">
        <f>Input[[#This Row],[price3]]/$B$1</f>
        <v>88.576925237500006</v>
      </c>
      <c r="Q169" s="20">
        <f>Input[[#This Row],[energy3]]/$B$1</f>
        <v>77.039624796666672</v>
      </c>
      <c r="R169" s="18">
        <f>VLOOKUP(Input[[#This Row],[MD5]],df[#All],2,FALSE)</f>
        <v>12729606818.1</v>
      </c>
      <c r="S169" s="19">
        <f>VLOOKUP(Input[[#This Row],[MD5]],df[#All],3,FALSE)</f>
        <v>3757294125.25</v>
      </c>
      <c r="T169" s="19">
        <f>VLOOKUP(Input[[#This Row],[MD5]],df[#All],4,FALSE)</f>
        <v>2186303468.8499899</v>
      </c>
      <c r="U169" s="19">
        <f>Input[[#This Row],[time4]]/$B$1</f>
        <v>848640.45454000006</v>
      </c>
      <c r="V169" s="19">
        <f>Input[[#This Row],[price4]]/$B$1</f>
        <v>250486.27501666668</v>
      </c>
      <c r="W169" s="20">
        <f>Input[[#This Row],[energy4]]/$B$1</f>
        <v>145753.56458999933</v>
      </c>
    </row>
    <row r="170" spans="1:23">
      <c r="A170" s="24" t="s">
        <v>212</v>
      </c>
      <c r="B170" s="13" t="s">
        <v>344</v>
      </c>
      <c r="C170" s="18">
        <f>VLOOKUP(Input[[#This Row],[MD5]],buildtime[#All],2,FALSE)</f>
        <v>61.977142860000001</v>
      </c>
      <c r="D170" s="19">
        <f>VLOOKUP(Input[[#This Row],[MD5]],buildtime[#All],3,FALSE)</f>
        <v>61.2</v>
      </c>
      <c r="E170" s="20">
        <f>VLOOKUP(Input[[#This Row],[MD5]],buildtime[#All],4,FALSE)</f>
        <v>53.52</v>
      </c>
      <c r="F170" s="18">
        <f>VLOOKUP(Input[[#This Row],[MD5]],partialcf[#All],2,FALSE)</f>
        <v>17130.1533116071</v>
      </c>
      <c r="G170" s="19">
        <f>VLOOKUP(Input[[#This Row],[MD5]],partialcf[#All],3,FALSE)</f>
        <v>17048.599968749899</v>
      </c>
      <c r="H170" s="19">
        <f>VLOOKUP(Input[[#This Row],[MD5]],partialcf[#All],4,FALSE)</f>
        <v>14906.06666875</v>
      </c>
      <c r="I170" s="19">
        <f>Input[[#This Row],[time2]]/$B$1</f>
        <v>1.1420102207738068</v>
      </c>
      <c r="J170" s="19">
        <f>Input[[#This Row],[price2]]/$B$1</f>
        <v>1.1365733312499933</v>
      </c>
      <c r="K170" s="20">
        <f>Input[[#This Row],[energy2]]/$B$1</f>
        <v>0.99373777791666662</v>
      </c>
      <c r="L170" s="18">
        <f>VLOOKUP(Input[[#This Row],[MD5]],fullcf[#All],2,FALSE)</f>
        <v>16864.624503571398</v>
      </c>
      <c r="M170" s="19">
        <f>VLOOKUP(Input[[#This Row],[MD5]],fullcf[#All],3,FALSE)</f>
        <v>873028.58512499998</v>
      </c>
      <c r="N170" s="19">
        <f>VLOOKUP(Input[[#This Row],[MD5]],fullcf[#All],4,FALSE)</f>
        <v>756755.38713749906</v>
      </c>
      <c r="O170" s="19">
        <f>Input[[#This Row],[time3]]/$B$1</f>
        <v>1.1243083002380931</v>
      </c>
      <c r="P170" s="19">
        <f>Input[[#This Row],[price3]]/$B$1</f>
        <v>58.201905674999999</v>
      </c>
      <c r="Q170" s="20">
        <f>Input[[#This Row],[energy3]]/$B$1</f>
        <v>50.450359142499934</v>
      </c>
      <c r="R170" s="18">
        <f>VLOOKUP(Input[[#This Row],[MD5]],df[#All],2,FALSE)</f>
        <v>69458587.700000003</v>
      </c>
      <c r="S170" s="19">
        <f>VLOOKUP(Input[[#This Row],[MD5]],df[#All],3,FALSE)</f>
        <v>35190029.25</v>
      </c>
      <c r="T170" s="19">
        <f>VLOOKUP(Input[[#This Row],[MD5]],df[#All],4,FALSE)</f>
        <v>20742470.449999999</v>
      </c>
      <c r="U170" s="19">
        <f>Input[[#This Row],[time4]]/$B$1</f>
        <v>4630.5725133333335</v>
      </c>
      <c r="V170" s="19">
        <f>Input[[#This Row],[price4]]/$B$1</f>
        <v>2346.0019499999999</v>
      </c>
      <c r="W170" s="20">
        <f>Input[[#This Row],[energy4]]/$B$1</f>
        <v>1382.8313633333332</v>
      </c>
    </row>
    <row r="171" spans="1:23" ht="16" thickBot="1">
      <c r="A171" s="24" t="s">
        <v>213</v>
      </c>
      <c r="B171" s="13" t="s">
        <v>345</v>
      </c>
      <c r="C171" s="21">
        <f>VLOOKUP(Input[[#This Row],[MD5]],buildtime[#All],2,FALSE)</f>
        <v>61.977142860000001</v>
      </c>
      <c r="D171" s="22">
        <f>VLOOKUP(Input[[#This Row],[MD5]],buildtime[#All],3,FALSE)</f>
        <v>61.2</v>
      </c>
      <c r="E171" s="23">
        <f>VLOOKUP(Input[[#This Row],[MD5]],buildtime[#All],4,FALSE)</f>
        <v>53.52</v>
      </c>
      <c r="F171" s="21">
        <f>VLOOKUP(Input[[#This Row],[MD5]],partialcf[#All],2,FALSE)</f>
        <v>15593.198702767801</v>
      </c>
      <c r="G171" s="22">
        <f>VLOOKUP(Input[[#This Row],[MD5]],partialcf[#All],3,FALSE)</f>
        <v>15402.6705656249</v>
      </c>
      <c r="H171" s="22">
        <f>VLOOKUP(Input[[#This Row],[MD5]],partialcf[#All],4,FALSE)</f>
        <v>13469.670095625001</v>
      </c>
      <c r="I171" s="22">
        <f>Input[[#This Row],[time2]]/$B$1</f>
        <v>1.0395465801845201</v>
      </c>
      <c r="J171" s="22">
        <f>Input[[#This Row],[price2]]/$B$1</f>
        <v>1.0268447043749933</v>
      </c>
      <c r="K171" s="23">
        <f>Input[[#This Row],[energy2]]/$B$1</f>
        <v>0.89797800637500003</v>
      </c>
      <c r="L171" s="21">
        <f>VLOOKUP(Input[[#This Row],[MD5]],fullcf[#All],2,FALSE)</f>
        <v>15583.104235803499</v>
      </c>
      <c r="M171" s="22">
        <f>VLOOKUP(Input[[#This Row],[MD5]],fullcf[#All],3,FALSE)</f>
        <v>871887.59622187505</v>
      </c>
      <c r="N171" s="22">
        <f>VLOOKUP(Input[[#This Row],[MD5]],fullcf[#All],4,FALSE)</f>
        <v>755756.60566437501</v>
      </c>
      <c r="O171" s="22">
        <f>Input[[#This Row],[time3]]/$B$1</f>
        <v>1.0388736157202332</v>
      </c>
      <c r="P171" s="22">
        <f>Input[[#This Row],[price3]]/$B$1</f>
        <v>58.125839748125003</v>
      </c>
      <c r="Q171" s="23">
        <f>Input[[#This Row],[energy3]]/$B$1</f>
        <v>50.383773710958337</v>
      </c>
      <c r="R171" s="21">
        <f>VLOOKUP(Input[[#This Row],[MD5]],df[#All],2,FALSE)</f>
        <v>5876924.3399999896</v>
      </c>
      <c r="S171" s="22">
        <f>VLOOKUP(Input[[#This Row],[MD5]],df[#All],3,FALSE)</f>
        <v>16479376.1</v>
      </c>
      <c r="T171" s="22">
        <f>VLOOKUP(Input[[#This Row],[MD5]],df[#All],4,FALSE)</f>
        <v>9855871.8399999905</v>
      </c>
      <c r="U171" s="22">
        <f>Input[[#This Row],[time4]]/$B$1</f>
        <v>391.79495599999933</v>
      </c>
      <c r="V171" s="22">
        <f>Input[[#This Row],[price4]]/$B$1</f>
        <v>1098.6250733333334</v>
      </c>
      <c r="W171" s="23">
        <f>Input[[#This Row],[energy4]]/$B$1</f>
        <v>657.05812266666601</v>
      </c>
    </row>
  </sheetData>
  <mergeCells count="10">
    <mergeCell ref="C2:E3"/>
    <mergeCell ref="U3:W3"/>
    <mergeCell ref="R3:T3"/>
    <mergeCell ref="F3:H3"/>
    <mergeCell ref="I3:K3"/>
    <mergeCell ref="F2:K2"/>
    <mergeCell ref="L2:Q2"/>
    <mergeCell ref="R2:W2"/>
    <mergeCell ref="O3:Q3"/>
    <mergeCell ref="L3:N3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BF176"/>
  <sheetViews>
    <sheetView tabSelected="1" topLeftCell="AJ3" zoomScale="75" zoomScaleNormal="75" zoomScalePageLayoutView="75" workbookViewId="0">
      <selection activeCell="BA10" sqref="BA10"/>
    </sheetView>
  </sheetViews>
  <sheetFormatPr baseColWidth="10" defaultRowHeight="15" x14ac:dyDescent="0"/>
  <cols>
    <col min="1" max="1" width="6.1640625" customWidth="1"/>
    <col min="2" max="2" width="12.5" bestFit="1" customWidth="1"/>
    <col min="3" max="3" width="33.83203125" bestFit="1" customWidth="1"/>
    <col min="4" max="4" width="10.1640625" hidden="1" customWidth="1"/>
    <col min="5" max="5" width="10.33203125" hidden="1" customWidth="1"/>
    <col min="6" max="6" width="11.83203125" hidden="1" customWidth="1"/>
    <col min="7" max="8" width="9.5" customWidth="1"/>
    <col min="9" max="9" width="11.83203125" hidden="1" customWidth="1"/>
    <col min="10" max="10" width="11.6640625" hidden="1" customWidth="1"/>
    <col min="11" max="11" width="13.1640625" hidden="1" customWidth="1"/>
    <col min="12" max="13" width="9.5" hidden="1" customWidth="1"/>
    <col min="14" max="14" width="11.83203125" hidden="1" customWidth="1"/>
    <col min="15" max="15" width="11.6640625" hidden="1" customWidth="1"/>
    <col min="16" max="16" width="13.1640625" hidden="1" customWidth="1"/>
    <col min="17" max="18" width="9.5" hidden="1" customWidth="1"/>
    <col min="19" max="19" width="11.83203125" hidden="1" customWidth="1"/>
    <col min="20" max="20" width="11.6640625" hidden="1" customWidth="1"/>
    <col min="21" max="21" width="13.1640625" hidden="1" customWidth="1"/>
    <col min="22" max="22" width="13.5" customWidth="1"/>
    <col min="23" max="23" width="9.5" customWidth="1"/>
    <col min="24" max="25" width="11.5" customWidth="1"/>
    <col min="26" max="26" width="8.5" customWidth="1"/>
    <col min="27" max="27" width="7.1640625" customWidth="1"/>
    <col min="28" max="28" width="9.5" customWidth="1"/>
    <col min="29" max="29" width="9.83203125" customWidth="1"/>
    <col min="30" max="30" width="9.6640625" bestFit="1" customWidth="1"/>
    <col min="31" max="31" width="6.33203125" customWidth="1"/>
    <col min="32" max="32" width="8.83203125" customWidth="1"/>
    <col min="33" max="33" width="12.1640625" customWidth="1"/>
    <col min="34" max="34" width="7.6640625" customWidth="1"/>
    <col min="35" max="35" width="3.5" customWidth="1"/>
    <col min="36" max="37" width="8.83203125" customWidth="1"/>
    <col min="38" max="38" width="12.1640625" customWidth="1"/>
    <col min="39" max="39" width="8.83203125" customWidth="1"/>
    <col min="40" max="40" width="7.1640625" customWidth="1"/>
    <col min="41" max="43" width="8.83203125" bestFit="1" customWidth="1"/>
    <col min="52" max="52" width="34.1640625" bestFit="1" customWidth="1"/>
    <col min="53" max="53" width="14.6640625" customWidth="1"/>
    <col min="54" max="54" width="14" bestFit="1" customWidth="1"/>
    <col min="55" max="55" width="14" customWidth="1"/>
    <col min="56" max="56" width="12" customWidth="1"/>
    <col min="57" max="57" width="12.83203125" customWidth="1"/>
    <col min="58" max="58" width="13.1640625" customWidth="1"/>
  </cols>
  <sheetData>
    <row r="1" spans="1:58">
      <c r="A1" s="69" t="str">
        <f>CONCATENATE(IF(Z6=2,"loss","profit"),"_",IF(Z7=2,"loss","profit"),"_",IF(Z8=2,"loss","profit"))</f>
        <v>profit_profit_profit</v>
      </c>
      <c r="B1" s="69"/>
      <c r="Y1" t="s">
        <v>381</v>
      </c>
      <c r="Z1" t="s">
        <v>7</v>
      </c>
      <c r="AA1" t="s">
        <v>373</v>
      </c>
      <c r="AD1" t="s">
        <v>373</v>
      </c>
      <c r="AE1">
        <v>1</v>
      </c>
    </row>
    <row r="2" spans="1:58" ht="23" customHeight="1">
      <c r="C2" s="51"/>
      <c r="Y2" t="s">
        <v>388</v>
      </c>
      <c r="Z2">
        <v>1</v>
      </c>
      <c r="AA2">
        <v>-1</v>
      </c>
      <c r="AD2" t="s">
        <v>7</v>
      </c>
      <c r="AE2">
        <v>2</v>
      </c>
    </row>
    <row r="3" spans="1:58" ht="27" customHeight="1">
      <c r="L3" s="5">
        <v>99</v>
      </c>
      <c r="M3" s="5"/>
      <c r="R3" s="32"/>
      <c r="Y3" t="s">
        <v>389</v>
      </c>
      <c r="Z3">
        <v>1</v>
      </c>
      <c r="AA3">
        <v>-1</v>
      </c>
      <c r="BC3" s="56" t="s">
        <v>400</v>
      </c>
      <c r="BD3" s="56" t="s">
        <v>401</v>
      </c>
    </row>
    <row r="4" spans="1:58" ht="27" customHeight="1">
      <c r="L4" s="5">
        <v>1</v>
      </c>
      <c r="M4" s="5"/>
      <c r="R4" s="32"/>
      <c r="Y4" s="68" t="s">
        <v>388</v>
      </c>
      <c r="Z4" s="68"/>
      <c r="AA4" s="68"/>
      <c r="AB4" s="68"/>
      <c r="AC4" s="68"/>
      <c r="AD4" s="68"/>
      <c r="AG4" s="68" t="s">
        <v>389</v>
      </c>
      <c r="AH4" s="68"/>
      <c r="AI4" s="68"/>
      <c r="AJ4" s="52"/>
      <c r="AK4" s="52"/>
      <c r="AL4" s="52"/>
      <c r="BC4" s="57">
        <f>Table11[TP]/(Table11[TP]+Table11[FP])</f>
        <v>0.64210526315789473</v>
      </c>
      <c r="BD4" s="57">
        <f>Table11[TP]/(Table11[TP]+Table11[FN])</f>
        <v>0.70114942528735635</v>
      </c>
    </row>
    <row r="5" spans="1:58" ht="27" customHeight="1">
      <c r="L5" s="5">
        <v>3</v>
      </c>
      <c r="M5" s="5"/>
      <c r="R5" s="32"/>
      <c r="Y5" s="39" t="s">
        <v>381</v>
      </c>
      <c r="Z5" s="39" t="s">
        <v>377</v>
      </c>
      <c r="AA5" s="39" t="s">
        <v>387</v>
      </c>
      <c r="AB5" s="30" t="s">
        <v>378</v>
      </c>
      <c r="AC5" s="34" t="s">
        <v>380</v>
      </c>
      <c r="AD5" s="39" t="s">
        <v>379</v>
      </c>
      <c r="AE5" s="40"/>
      <c r="AF5" s="40"/>
      <c r="AG5" s="50" t="s">
        <v>381</v>
      </c>
      <c r="AH5" s="50" t="s">
        <v>377</v>
      </c>
      <c r="AI5" s="50" t="s">
        <v>387</v>
      </c>
      <c r="AJ5" s="41"/>
      <c r="AK5" s="41"/>
      <c r="AL5" s="42"/>
      <c r="AM5" s="42"/>
      <c r="AN5" s="42"/>
      <c r="AO5" s="42"/>
    </row>
    <row r="6" spans="1:58" ht="21" customHeight="1">
      <c r="C6" t="s">
        <v>386</v>
      </c>
      <c r="G6">
        <v>1</v>
      </c>
      <c r="I6" s="73"/>
      <c r="J6" s="73"/>
      <c r="K6" s="73"/>
      <c r="L6" s="73"/>
      <c r="M6" s="14"/>
      <c r="N6" s="69"/>
      <c r="O6" s="69"/>
      <c r="P6" s="69"/>
      <c r="Q6" s="69"/>
      <c r="R6" s="33"/>
      <c r="S6" s="69"/>
      <c r="T6" s="69"/>
      <c r="U6" s="69"/>
      <c r="V6" s="69"/>
      <c r="W6" s="33"/>
      <c r="Y6" s="31" t="s">
        <v>374</v>
      </c>
      <c r="Z6" s="28">
        <v>1</v>
      </c>
      <c r="AA6" s="5">
        <f>IF(Z6=2, VLOOKUP($D$7,Table9[#All],2,FALSE),VLOOKUP($D$7,Table9[#All],3,FALSE))</f>
        <v>-1</v>
      </c>
      <c r="AB6" s="29">
        <v>3</v>
      </c>
      <c r="AC6" s="32">
        <f>AB6/SUM($AB$6,$AB$7,$AB$8)</f>
        <v>0.5</v>
      </c>
      <c r="AD6" s="4">
        <v>50</v>
      </c>
      <c r="AE6" s="4"/>
      <c r="AG6" s="31" t="s">
        <v>374</v>
      </c>
      <c r="AH6" s="28">
        <f>Params[[#This Row],[type]]</f>
        <v>1</v>
      </c>
      <c r="AI6" s="5">
        <f>IF(AH6=2, VLOOKUP($S$7,Table9[#All],2,FALSE),VLOOKUP($S$7,Table9[#All],3,FALSE))</f>
        <v>-1</v>
      </c>
      <c r="AM6" t="s">
        <v>373</v>
      </c>
      <c r="AN6" s="74">
        <v>1</v>
      </c>
      <c r="AY6" s="55" t="s">
        <v>392</v>
      </c>
      <c r="AZ6">
        <f>STDEVP(Table3[norm-rt-df])/BA6</f>
        <v>3.4379343202152412E-3</v>
      </c>
      <c r="BA6">
        <f>SUM(IF(FREQUENCY(Table3[norm-rt-df],Table3[norm-rt-df])&gt;0.1,1,0))</f>
        <v>91</v>
      </c>
      <c r="BC6" s="77" t="s">
        <v>402</v>
      </c>
      <c r="BD6" s="77"/>
      <c r="BE6" s="77"/>
      <c r="BF6" s="77"/>
    </row>
    <row r="7" spans="1:58" ht="19" customHeight="1">
      <c r="B7">
        <v>1</v>
      </c>
      <c r="C7" s="71"/>
      <c r="D7" s="67" t="s">
        <v>388</v>
      </c>
      <c r="E7" s="67"/>
      <c r="F7" s="67"/>
      <c r="G7" s="67"/>
      <c r="H7" s="67"/>
      <c r="I7" s="67" t="s">
        <v>370</v>
      </c>
      <c r="J7" s="67"/>
      <c r="K7" s="67"/>
      <c r="L7" s="67"/>
      <c r="M7" s="67"/>
      <c r="N7" s="67" t="s">
        <v>371</v>
      </c>
      <c r="O7" s="67"/>
      <c r="P7" s="67"/>
      <c r="Q7" s="67"/>
      <c r="R7" s="67"/>
      <c r="S7" s="67" t="s">
        <v>389</v>
      </c>
      <c r="T7" s="67"/>
      <c r="U7" s="67"/>
      <c r="V7" s="67"/>
      <c r="W7" s="67"/>
      <c r="Y7" s="31" t="s">
        <v>375</v>
      </c>
      <c r="Z7" s="28">
        <v>1</v>
      </c>
      <c r="AA7" s="5">
        <f>IF(Z7=2, VLOOKUP($D$7,Table9[#All],2,FALSE),VLOOKUP($D$7,Table9[#All],3,FALSE))</f>
        <v>-1</v>
      </c>
      <c r="AB7" s="29">
        <v>2</v>
      </c>
      <c r="AC7" s="32">
        <f>AB7/SUM($AB$6,$AB$7,$AB$8)</f>
        <v>0.33333333333333331</v>
      </c>
      <c r="AD7" s="4">
        <v>50</v>
      </c>
      <c r="AE7" s="4"/>
      <c r="AF7" s="4"/>
      <c r="AG7" s="31" t="s">
        <v>375</v>
      </c>
      <c r="AH7" s="28">
        <f>Params[[#This Row],[type]]</f>
        <v>1</v>
      </c>
      <c r="AI7" s="5">
        <f>IF(AH7=2, VLOOKUP($S$7,Table9[#All],2,FALSE),VLOOKUP($S$7,Table9[#All],3,FALSE))</f>
        <v>-1</v>
      </c>
      <c r="AM7" t="s">
        <v>7</v>
      </c>
      <c r="AN7" s="74">
        <v>2</v>
      </c>
      <c r="AY7" s="55" t="s">
        <v>393</v>
      </c>
      <c r="AZ7">
        <f>STDEVP(Table3[norm-bt])/BA7</f>
        <v>2.1898686082406919E-2</v>
      </c>
      <c r="BA7">
        <f>SUM(IF(FREQUENCY(Table3[norm-bt],Table3[norm-bt])&gt;0.1,1,0))</f>
        <v>8</v>
      </c>
      <c r="BC7" s="53" t="s">
        <v>394</v>
      </c>
      <c r="BD7" s="53" t="s">
        <v>395</v>
      </c>
      <c r="BE7" s="53" t="s">
        <v>396</v>
      </c>
      <c r="BF7" s="53" t="s">
        <v>397</v>
      </c>
    </row>
    <row r="8" spans="1:58" s="3" customFormat="1" ht="19" customHeight="1">
      <c r="C8" s="71"/>
      <c r="D8" s="72" t="s">
        <v>5</v>
      </c>
      <c r="E8" s="72"/>
      <c r="F8" s="72"/>
      <c r="G8" s="45" t="s">
        <v>6</v>
      </c>
      <c r="H8" s="45"/>
      <c r="I8" s="70" t="s">
        <v>5</v>
      </c>
      <c r="J8" s="70"/>
      <c r="K8" s="70"/>
      <c r="L8" s="45" t="s">
        <v>6</v>
      </c>
      <c r="M8" s="45"/>
      <c r="N8" s="70" t="s">
        <v>5</v>
      </c>
      <c r="O8" s="70"/>
      <c r="P8" s="70"/>
      <c r="Q8" s="45" t="s">
        <v>6</v>
      </c>
      <c r="R8" s="45"/>
      <c r="S8" s="70" t="s">
        <v>5</v>
      </c>
      <c r="T8" s="70"/>
      <c r="U8" s="70"/>
      <c r="V8" s="45" t="s">
        <v>6</v>
      </c>
      <c r="W8" s="45"/>
      <c r="Y8" s="31" t="s">
        <v>376</v>
      </c>
      <c r="Z8" s="28">
        <v>1</v>
      </c>
      <c r="AA8" s="5">
        <f>IF(Z8=2, VLOOKUP($D$7,Table9[#All],2,FALSE),VLOOKUP($D$7,Table9[#All],3,FALSE))</f>
        <v>-1</v>
      </c>
      <c r="AB8" s="29">
        <v>1</v>
      </c>
      <c r="AC8" s="32">
        <f>AB8/SUM($AB$6,$AB$7,$AB$8)</f>
        <v>0.16666666666666666</v>
      </c>
      <c r="AD8" s="4">
        <v>50</v>
      </c>
      <c r="AE8" s="4"/>
      <c r="AF8" s="4"/>
      <c r="AG8" s="31" t="s">
        <v>376</v>
      </c>
      <c r="AH8" s="28">
        <f>Params[[#This Row],[type]]</f>
        <v>1</v>
      </c>
      <c r="AI8" s="5">
        <f>IF(AH8=2, VLOOKUP($S$7,Table9[#All],2,FALSE),VLOOKUP($S$7,Table9[#All],3,FALSE))</f>
        <v>-1</v>
      </c>
      <c r="AL8"/>
      <c r="AM8"/>
      <c r="AN8" s="74">
        <v>3</v>
      </c>
      <c r="BA8" s="3" t="s">
        <v>398</v>
      </c>
      <c r="BB8" s="3" t="s">
        <v>399</v>
      </c>
      <c r="BC8" s="3">
        <f>SUM(Table10[TN])</f>
        <v>46</v>
      </c>
      <c r="BD8" s="3">
        <f>SUM(Table10[FN])</f>
        <v>26</v>
      </c>
      <c r="BE8" s="3">
        <f>SUM(Table10[FP])</f>
        <v>34</v>
      </c>
      <c r="BF8" s="3">
        <f>SUM(Table10[TP])</f>
        <v>61</v>
      </c>
    </row>
    <row r="9" spans="1:58" s="35" customFormat="1" ht="30" customHeight="1">
      <c r="B9" s="75" t="s">
        <v>369</v>
      </c>
      <c r="C9" s="36" t="s">
        <v>368</v>
      </c>
      <c r="D9" s="37" t="s">
        <v>2</v>
      </c>
      <c r="E9" s="37" t="s">
        <v>3</v>
      </c>
      <c r="F9" s="37" t="s">
        <v>4</v>
      </c>
      <c r="G9" s="48" t="s">
        <v>364</v>
      </c>
      <c r="H9" s="49" t="s">
        <v>382</v>
      </c>
      <c r="I9" s="49" t="s">
        <v>353</v>
      </c>
      <c r="J9" s="49" t="s">
        <v>354</v>
      </c>
      <c r="K9" s="49" t="s">
        <v>356</v>
      </c>
      <c r="L9" s="48" t="s">
        <v>365</v>
      </c>
      <c r="M9" s="49" t="s">
        <v>383</v>
      </c>
      <c r="N9" s="49" t="s">
        <v>357</v>
      </c>
      <c r="O9" s="49" t="s">
        <v>358</v>
      </c>
      <c r="P9" s="49" t="s">
        <v>355</v>
      </c>
      <c r="Q9" s="48" t="s">
        <v>366</v>
      </c>
      <c r="R9" s="49" t="s">
        <v>384</v>
      </c>
      <c r="S9" s="49" t="s">
        <v>362</v>
      </c>
      <c r="T9" s="49" t="s">
        <v>361</v>
      </c>
      <c r="U9" s="49" t="s">
        <v>363</v>
      </c>
      <c r="V9" s="49" t="s">
        <v>367</v>
      </c>
      <c r="W9" s="49" t="s">
        <v>385</v>
      </c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Y9" s="59" t="s">
        <v>369</v>
      </c>
      <c r="AZ9" s="59" t="s">
        <v>368</v>
      </c>
      <c r="BA9" s="59" t="s">
        <v>391</v>
      </c>
      <c r="BB9" s="59" t="s">
        <v>390</v>
      </c>
      <c r="BC9" s="59" t="s">
        <v>394</v>
      </c>
      <c r="BD9" s="59" t="s">
        <v>395</v>
      </c>
      <c r="BE9" s="59" t="s">
        <v>396</v>
      </c>
      <c r="BF9" s="59" t="s">
        <v>397</v>
      </c>
    </row>
    <row r="10" spans="1:58">
      <c r="B10" s="76" t="s">
        <v>294</v>
      </c>
      <c r="C10" s="10" t="s">
        <v>162</v>
      </c>
      <c r="D10" s="8">
        <f>VLOOKUP(Table3[[#This Row],[MD5]],Input[],3,FALSE)+(Distances!$AA$6*(ABS(Distances!$AD$6-VLOOKUP(Table3[[#This Row],[MD5]],Input[],3,FALSE))*Distances!$AC$6))</f>
        <v>55.98857143</v>
      </c>
      <c r="E10" s="7">
        <f>VLOOKUP(Table3[[#This Row],[MD5]],Input[],4,FALSE)+(Distances!$AA$7*(ABS(Distances!$AD$7-VLOOKUP(Table3[[#This Row],[MD5]],Input[],4,FALSE))*Distances!$AC$7))</f>
        <v>57.466666666666669</v>
      </c>
      <c r="F10" s="7">
        <f>VLOOKUP(Table3[[#This Row],[MD5]],Input[],5,FALSE)+(Distances!$AA$8*(ABS(Distances!$AD$8-VLOOKUP(Table3[[#This Row],[MD5]],Input[],5,FALSE))*Distances!$AC$8))</f>
        <v>52.933333333333337</v>
      </c>
      <c r="G10" s="46">
        <f>SQRT(SUM((Table3[[#This Row],[time]]-Distances!$AD$6)^2,(Table3[[#This Row],[price]]-Distances!$AD$7)^2,(Table3[[#This Row],[energy]]-Distances!$AD$8)^2))</f>
        <v>10.010921202754911</v>
      </c>
      <c r="H10" s="46">
        <f>((Table3[[#This Row],[score-bt]]-MIN(Table3[score-bt]))*$G$6)/(MAX(Table3[score-bt])-MIN(Table3[score-bt]))</f>
        <v>0</v>
      </c>
      <c r="I10" s="8">
        <f>VLOOKUP(Table3[[#This Row],[MD5]],Input[],9,FALSE)+(Distances!$AA$6*(ABS(Distances!$AD$6-VLOOKUP(Table3[[#This Row],[MD5]],Input[],9,FALSE))*Distances!$AC$6))</f>
        <v>-23.037510772580358</v>
      </c>
      <c r="J10" s="7">
        <f>VLOOKUP(Table3[[#This Row],[MD5]],Input[],10,FALSE)+(Distances!$AA$7*(ABS(Distances!$AD$7-VLOOKUP(Table3[[#This Row],[MD5]],Input[],10,FALSE))*Distances!$AC$7))</f>
        <v>-14.763793727500007</v>
      </c>
      <c r="K10" s="7">
        <f>VLOOKUP(Table3[[#This Row],[MD5]],Input[],11,FALSE)+(Distances!$AA$8*(ABS(Distances!$AD$8-VLOOKUP(Table3[[#This Row],[MD5]],Input[],11,FALSE))*Distances!$AC$8))</f>
        <v>-6.8809344370069443</v>
      </c>
      <c r="L10" s="44">
        <f>SQRT(SUM((Table3[[#This Row],[time''2]]-Distances!$AD$6)^2,(Table3[[#This Row],[price''2]]-Distances!$AD$7)^2,(Table3[[#This Row],[energy''2]]-Distances!$AD$8)^2))</f>
        <v>112.9790585031582</v>
      </c>
      <c r="M10" s="44">
        <f>((Table3[[#This Row],[score-rt-partialcf]]-MIN(Table3[score-rt-partialcf]))*$G$6)/(MAX(Table3[score-rt-partialcf])-MIN(Table3[score-rt-partialcf]))</f>
        <v>0.99288554760537062</v>
      </c>
      <c r="N10" s="8">
        <f>VLOOKUP(Table3[[#This Row],[MD5]],Input[],15,FALSE)+(Distances!$AA$6*(ABS(Distances!$AD$6-VLOOKUP(Table3[[#This Row],[MD5]],Input[],15,FALSE))*Distances!$AC$6))</f>
        <v>-23.441689576419648</v>
      </c>
      <c r="O10" s="7">
        <f>VLOOKUP(Table3[[#This Row],[MD5]],Input[],16,FALSE)+(Distances!$AA$7*(ABS(Distances!$AD$7-VLOOKUP(Table3[[#This Row],[MD5]],Input[],16,FALSE))*Distances!$AC$7))</f>
        <v>55.417226498750004</v>
      </c>
      <c r="P10" s="7">
        <f>VLOOKUP(Table3[[#This Row],[MD5]],Input[],17,FALSE)+(Distances!$AA$8*(ABS(Distances!$AD$8-VLOOKUP(Table3[[#This Row],[MD5]],Input[],11,FALSE))*Distances!$AC$8))</f>
        <v>42.257925934243062</v>
      </c>
      <c r="Q10" s="47">
        <f>SQRT(SUM((Table3[[#This Row],[time''3]]-Distances!$AD$6)^2,(Table3[[#This Row],[price''3]]-Distances!$AD$7)^2,(Table3[[#This Row],[energy''3]]-Distances!$AD$8)^2))</f>
        <v>74.047064908864627</v>
      </c>
      <c r="R10" s="47">
        <f>((Table3[[#This Row],[score-rt-fullcf]]-MIN(Table3[score-rt-fullcf]))*$G$6)/(MAX(Table3[score-rt-fullcf])-MIN(Table3[score-rt-fullcf]))</f>
        <v>0.99981395048207744</v>
      </c>
      <c r="S10" s="8">
        <f>VLOOKUP(Table3[[#This Row],[MD5]],Input[],21,FALSE)+(Distances!$AI$6*(ABS(Distances!$L$3-VLOOKUP(Table3[[#This Row],[MD5]],Input[],21,FALSE))*Distances!$AC$6))</f>
        <v>245.39747799999967</v>
      </c>
      <c r="T10" s="7">
        <f>VLOOKUP(Table3[[#This Row],[MD5]],Input[],22,FALSE)+(Distances!$AI$7*(ABS(Distances!$AB$7-VLOOKUP(Table3[[#This Row],[MD5]],Input[],22,FALSE))*Distances!$AC$7))</f>
        <v>733.08338222222233</v>
      </c>
      <c r="U10" s="7">
        <f>VLOOKUP(Table3[[#This Row],[MD5]],Input[],23,FALSE)+(Distances!$AI$8*(ABS(Distances!$AD$8-VLOOKUP(Table3[[#This Row],[MD5]],Input[],23,FALSE))*Distances!$AC$8))</f>
        <v>555.88176888888836</v>
      </c>
      <c r="V10" s="43">
        <f>SQRT(SUM((Table3[[#This Row],[time''4]]-Distances!$AD$6)^2,(Table3[[#This Row],[price''4]]-Distances!$AD$7)^2,(Table3[[#This Row],[energy''4]]-Distances!$AD$8)^2))</f>
        <v>872.18085599895028</v>
      </c>
      <c r="W10" s="58">
        <f>((Table3[[#This Row],[score-rt-df]]-MIN(Table3[score-rt-df]))*$G$6)/(MAX(Table3[score-rt-df])-MIN(Table3[score-rt-df]))</f>
        <v>0</v>
      </c>
      <c r="X10" s="6"/>
      <c r="Y10" s="6"/>
      <c r="AY10" t="str">
        <f>Table3[[#This Row],[QW'#]]</f>
        <v>qw116</v>
      </c>
      <c r="AZ10" t="str">
        <f>VLOOKUP(Table10[[#This Row],[QW'#]],Table3[],2,FALSE)</f>
        <v>30bea28c116d5c6a0d348a08cf58ce6f</v>
      </c>
      <c r="BA10" s="54">
        <f>IF(ABS(VLOOKUP(Table10[[#This Row],[QW'#]],Table3[],7,FALSE)-0)&lt;=$AZ$6,1,0)</f>
        <v>1</v>
      </c>
      <c r="BB10" s="54">
        <f>IF(ABS(VLOOKUP(Table10[[#This Row],[QW'#]],Table3[],22,FALSE)-0)&lt;=$AZ$6,1,0)</f>
        <v>1</v>
      </c>
      <c r="BC10" s="54">
        <f>IF(AND(Table10[[#This Row],[Retrieved]]=0, Table10[[#This Row],[Relevant]]=0),1,0)</f>
        <v>0</v>
      </c>
      <c r="BD10" s="54">
        <f>IF(AND(Table10[[#This Row],[Retrieved]]=0, Table10[[#This Row],[Relevant]]=1),1,0)</f>
        <v>0</v>
      </c>
      <c r="BE10" s="54">
        <f>IF(AND(Table10[[#This Row],[Retrieved]]=1, Table10[[#This Row],[Relevant]]=0),1,0)</f>
        <v>0</v>
      </c>
      <c r="BF10" s="54">
        <f>IF(AND(Table10[[#This Row],[Retrieved]]=1, Table10[[#This Row],[Relevant]]=1),1,0)</f>
        <v>1</v>
      </c>
    </row>
    <row r="11" spans="1:58">
      <c r="B11" s="76" t="s">
        <v>345</v>
      </c>
      <c r="C11" s="10" t="s">
        <v>213</v>
      </c>
      <c r="D11" s="8">
        <f>VLOOKUP(Table3[[#This Row],[MD5]],Input[],3,FALSE)+(Distances!$AA$6*(ABS(Distances!$AD$6-VLOOKUP(Table3[[#This Row],[MD5]],Input[],3,FALSE))*Distances!$AC$6))</f>
        <v>55.98857143</v>
      </c>
      <c r="E11" s="7">
        <f>VLOOKUP(Table3[[#This Row],[MD5]],Input[],4,FALSE)+(Distances!$AA$7*(ABS(Distances!$AD$7-VLOOKUP(Table3[[#This Row],[MD5]],Input[],4,FALSE))*Distances!$AC$7))</f>
        <v>57.466666666666669</v>
      </c>
      <c r="F11" s="7">
        <f>VLOOKUP(Table3[[#This Row],[MD5]],Input[],5,FALSE)+(Distances!$AA$8*(ABS(Distances!$AD$8-VLOOKUP(Table3[[#This Row],[MD5]],Input[],5,FALSE))*Distances!$AC$8))</f>
        <v>52.933333333333337</v>
      </c>
      <c r="G11" s="46">
        <f>SQRT(SUM((Table3[[#This Row],[time]]-Distances!$AD$6)^2,(Table3[[#This Row],[price]]-Distances!$AD$7)^2,(Table3[[#This Row],[energy]]-Distances!$AD$8)^2))</f>
        <v>10.010921202754911</v>
      </c>
      <c r="H11" s="46">
        <f>((Table3[[#This Row],[score-bt]]-MIN(Table3[score-bt]))*$G$6)/(MAX(Table3[score-bt])-MIN(Table3[score-bt]))</f>
        <v>0</v>
      </c>
      <c r="I11" s="8">
        <f>VLOOKUP(Table3[[#This Row],[MD5]],Input[],9,FALSE)+(Distances!$AA$6*(ABS(Distances!$AD$6-VLOOKUP(Table3[[#This Row],[MD5]],Input[],9,FALSE))*Distances!$AC$6))</f>
        <v>-23.440680129723219</v>
      </c>
      <c r="J11" s="7">
        <f>VLOOKUP(Table3[[#This Row],[MD5]],Input[],10,FALSE)+(Distances!$AA$7*(ABS(Distances!$AD$7-VLOOKUP(Table3[[#This Row],[MD5]],Input[],10,FALSE))*Distances!$AC$7))</f>
        <v>-15.297540394166676</v>
      </c>
      <c r="K11" s="7">
        <f>VLOOKUP(Table3[[#This Row],[MD5]],Input[],11,FALSE)+(Distances!$AA$8*(ABS(Distances!$AD$8-VLOOKUP(Table3[[#This Row],[MD5]],Input[],11,FALSE))*Distances!$AC$8))</f>
        <v>-7.2856923258958322</v>
      </c>
      <c r="L11" s="44">
        <f>SQRT(SUM((Table3[[#This Row],[time''2]]-Distances!$AD$6)^2,(Table3[[#This Row],[price''2]]-Distances!$AD$7)^2,(Table3[[#This Row],[energy''2]]-Distances!$AD$8)^2))</f>
        <v>113.74951790975358</v>
      </c>
      <c r="M11" s="44">
        <f>((Table3[[#This Row],[score-rt-partialcf]]-MIN(Table3[score-rt-partialcf]))*$G$6)/(MAX(Table3[score-rt-partialcf])-MIN(Table3[score-rt-partialcf]))</f>
        <v>1</v>
      </c>
      <c r="N11" s="8">
        <f>VLOOKUP(Table3[[#This Row],[MD5]],Input[],15,FALSE)+(Distances!$AA$6*(ABS(Distances!$AD$6-VLOOKUP(Table3[[#This Row],[MD5]],Input[],15,FALSE))*Distances!$AC$6))</f>
        <v>-23.441689576419648</v>
      </c>
      <c r="O11" s="7">
        <f>VLOOKUP(Table3[[#This Row],[MD5]],Input[],16,FALSE)+(Distances!$AA$7*(ABS(Distances!$AD$7-VLOOKUP(Table3[[#This Row],[MD5]],Input[],16,FALSE))*Distances!$AC$7))</f>
        <v>55.417226498750004</v>
      </c>
      <c r="P11" s="7">
        <f>VLOOKUP(Table3[[#This Row],[MD5]],Input[],17,FALSE)+(Distances!$AA$8*(ABS(Distances!$AD$8-VLOOKUP(Table3[[#This Row],[MD5]],Input[],11,FALSE))*Distances!$AC$8))</f>
        <v>42.200103378687501</v>
      </c>
      <c r="Q11" s="47">
        <f>SQRT(SUM((Table3[[#This Row],[time''3]]-Distances!$AD$6)^2,(Table3[[#This Row],[price''3]]-Distances!$AD$7)^2,(Table3[[#This Row],[energy''3]]-Distances!$AD$8)^2))</f>
        <v>74.05313293899934</v>
      </c>
      <c r="R11" s="47">
        <f>((Table3[[#This Row],[score-rt-fullcf]]-MIN(Table3[score-rt-fullcf]))*$G$6)/(MAX(Table3[score-rt-fullcf])-MIN(Table3[score-rt-fullcf]))</f>
        <v>1</v>
      </c>
      <c r="S11" s="8">
        <f>VLOOKUP(Table3[[#This Row],[MD5]],Input[],21,FALSE)+(Distances!$AI$6*(ABS(Distances!$L$3-VLOOKUP(Table3[[#This Row],[MD5]],Input[],21,FALSE))*Distances!$AC$6))</f>
        <v>245.39747799999967</v>
      </c>
      <c r="T11" s="7">
        <f>VLOOKUP(Table3[[#This Row],[MD5]],Input[],22,FALSE)+(Distances!$AI$7*(ABS(Distances!$AB$7-VLOOKUP(Table3[[#This Row],[MD5]],Input[],22,FALSE))*Distances!$AC$7))</f>
        <v>733.08338222222233</v>
      </c>
      <c r="U11" s="7">
        <f>VLOOKUP(Table3[[#This Row],[MD5]],Input[],23,FALSE)+(Distances!$AI$8*(ABS(Distances!$AD$8-VLOOKUP(Table3[[#This Row],[MD5]],Input[],23,FALSE))*Distances!$AC$8))</f>
        <v>555.88176888888836</v>
      </c>
      <c r="V11" s="43">
        <f>SQRT(SUM((Table3[[#This Row],[time''4]]-Distances!$AD$6)^2,(Table3[[#This Row],[price''4]]-Distances!$AD$7)^2,(Table3[[#This Row],[energy''4]]-Distances!$AD$8)^2))</f>
        <v>872.18085599895028</v>
      </c>
      <c r="W11" s="58">
        <f>((Table3[[#This Row],[score-rt-df]]-MIN(Table3[score-rt-df]))*$G$6)/(MAX(Table3[score-rt-df])-MIN(Table3[score-rt-df]))</f>
        <v>0</v>
      </c>
      <c r="AY11" t="str">
        <f>Table3[[#This Row],[QW'#]]</f>
        <v>qw167</v>
      </c>
      <c r="AZ11" t="str">
        <f>VLOOKUP(Table10[[#This Row],[QW'#]],Table3[],2,FALSE)</f>
        <v>1603d83bb945caa4847ea5b7feecf0d0</v>
      </c>
      <c r="BA11" s="54">
        <f>IF(ABS(VLOOKUP(Table10[[#This Row],[QW'#]],Table3[],7,FALSE)-0)&lt;=$AZ$6,1,0)</f>
        <v>1</v>
      </c>
      <c r="BB11" s="54">
        <f>IF(ABS(VLOOKUP(Table10[[#This Row],[QW'#]],Table3[],22,FALSE)-0)&lt;=$AZ$6,1,0)</f>
        <v>1</v>
      </c>
      <c r="BC11" s="54">
        <f>IF(AND(Table10[[#This Row],[Retrieved]]=0, Table10[[#This Row],[Relevant]]=0),1,0)</f>
        <v>0</v>
      </c>
      <c r="BD11" s="54">
        <f>IF(AND(Table10[[#This Row],[Retrieved]]=0, Table10[[#This Row],[Relevant]]=1),1,0)</f>
        <v>0</v>
      </c>
      <c r="BE11" s="54">
        <f>IF(AND(Table10[[#This Row],[Retrieved]]=1, Table10[[#This Row],[Relevant]]=0),1,0)</f>
        <v>0</v>
      </c>
      <c r="BF11" s="54">
        <f>IF(AND(Table10[[#This Row],[Retrieved]]=1, Table10[[#This Row],[Relevant]]=1),1,0)</f>
        <v>1</v>
      </c>
    </row>
    <row r="12" spans="1:58">
      <c r="B12" s="76" t="s">
        <v>321</v>
      </c>
      <c r="C12" s="10" t="s">
        <v>189</v>
      </c>
      <c r="D12" s="8">
        <f>VLOOKUP(Table3[[#This Row],[MD5]],Input[],3,FALSE)+(Distances!$AA$6*(ABS(Distances!$AD$6-VLOOKUP(Table3[[#This Row],[MD5]],Input[],3,FALSE))*Distances!$AC$6))</f>
        <v>55.98857143</v>
      </c>
      <c r="E12" s="7">
        <f>VLOOKUP(Table3[[#This Row],[MD5]],Input[],4,FALSE)+(Distances!$AA$7*(ABS(Distances!$AD$7-VLOOKUP(Table3[[#This Row],[MD5]],Input[],4,FALSE))*Distances!$AC$7))</f>
        <v>57.466666666666669</v>
      </c>
      <c r="F12" s="7">
        <f>VLOOKUP(Table3[[#This Row],[MD5]],Input[],5,FALSE)+(Distances!$AA$8*(ABS(Distances!$AD$8-VLOOKUP(Table3[[#This Row],[MD5]],Input[],5,FALSE))*Distances!$AC$8))</f>
        <v>52.933333333333337</v>
      </c>
      <c r="G12" s="46">
        <f>SQRT(SUM((Table3[[#This Row],[time]]-Distances!$AD$6)^2,(Table3[[#This Row],[price]]-Distances!$AD$7)^2,(Table3[[#This Row],[energy]]-Distances!$AD$8)^2))</f>
        <v>10.010921202754911</v>
      </c>
      <c r="H12" s="46">
        <f>((Table3[[#This Row],[score-bt]]-MIN(Table3[score-bt]))*$G$6)/(MAX(Table3[score-bt])-MIN(Table3[score-bt]))</f>
        <v>0</v>
      </c>
      <c r="I12" s="8">
        <f>VLOOKUP(Table3[[#This Row],[MD5]],Input[],9,FALSE)+(Distances!$AA$6*(ABS(Distances!$AD$6-VLOOKUP(Table3[[#This Row],[MD5]],Input[],9,FALSE))*Distances!$AC$6))</f>
        <v>-23.440671757848218</v>
      </c>
      <c r="J12" s="7">
        <f>VLOOKUP(Table3[[#This Row],[MD5]],Input[],10,FALSE)+(Distances!$AA$7*(ABS(Distances!$AD$7-VLOOKUP(Table3[[#This Row],[MD5]],Input[],10,FALSE))*Distances!$AC$7))</f>
        <v>-15.297529310833342</v>
      </c>
      <c r="K12" s="7">
        <f>VLOOKUP(Table3[[#This Row],[MD5]],Input[],11,FALSE)+(Distances!$AA$8*(ABS(Distances!$AD$8-VLOOKUP(Table3[[#This Row],[MD5]],Input[],11,FALSE))*Distances!$AC$8))</f>
        <v>-7.2856839210347202</v>
      </c>
      <c r="L12" s="44">
        <f>SQRT(SUM((Table3[[#This Row],[time''2]]-Distances!$AD$6)^2,(Table3[[#This Row],[price''2]]-Distances!$AD$7)^2,(Table3[[#This Row],[energy''2]]-Distances!$AD$8)^2))</f>
        <v>113.74950190943184</v>
      </c>
      <c r="M12" s="44">
        <f>((Table3[[#This Row],[score-rt-partialcf]]-MIN(Table3[score-rt-partialcf]))*$G$6)/(MAX(Table3[score-rt-partialcf])-MIN(Table3[score-rt-partialcf]))</f>
        <v>0.99999985225240118</v>
      </c>
      <c r="N12" s="8">
        <f>VLOOKUP(Table3[[#This Row],[MD5]],Input[],15,FALSE)+(Distances!$AA$6*(ABS(Distances!$AD$6-VLOOKUP(Table3[[#This Row],[MD5]],Input[],15,FALSE))*Distances!$AC$6))</f>
        <v>-23.441680763919649</v>
      </c>
      <c r="O12" s="7">
        <f>VLOOKUP(Table3[[#This Row],[MD5]],Input[],16,FALSE)+(Distances!$AA$7*(ABS(Distances!$AD$7-VLOOKUP(Table3[[#This Row],[MD5]],Input[],16,FALSE))*Distances!$AC$7))</f>
        <v>55.417229415416621</v>
      </c>
      <c r="P12" s="7">
        <f>VLOOKUP(Table3[[#This Row],[MD5]],Input[],17,FALSE)+(Distances!$AA$8*(ABS(Distances!$AD$8-VLOOKUP(Table3[[#This Row],[MD5]],Input[],11,FALSE))*Distances!$AC$8))</f>
        <v>42.200108371048614</v>
      </c>
      <c r="Q12" s="47">
        <f>SQRT(SUM((Table3[[#This Row],[time''3]]-Distances!$AD$6)^2,(Table3[[#This Row],[price''3]]-Distances!$AD$7)^2,(Table3[[#This Row],[energy''3]]-Distances!$AD$8)^2))</f>
        <v>74.053123886789052</v>
      </c>
      <c r="R12" s="47">
        <f>((Table3[[#This Row],[score-rt-fullcf]]-MIN(Table3[score-rt-fullcf]))*$G$6)/(MAX(Table3[score-rt-fullcf])-MIN(Table3[score-rt-fullcf]))</f>
        <v>0.99999972245369206</v>
      </c>
      <c r="S12" s="8">
        <f>VLOOKUP(Table3[[#This Row],[MD5]],Input[],21,FALSE)+(Distances!$AI$6*(ABS(Distances!$L$3-VLOOKUP(Table3[[#This Row],[MD5]],Input[],21,FALSE))*Distances!$AC$6))</f>
        <v>246.74147799999966</v>
      </c>
      <c r="T12" s="7">
        <f>VLOOKUP(Table3[[#This Row],[MD5]],Input[],22,FALSE)+(Distances!$AI$7*(ABS(Distances!$AB$7-VLOOKUP(Table3[[#This Row],[MD5]],Input[],22,FALSE))*Distances!$AC$7))</f>
        <v>733.40338222222226</v>
      </c>
      <c r="U12" s="7">
        <f>VLOOKUP(Table3[[#This Row],[MD5]],Input[],23,FALSE)+(Distances!$AI$8*(ABS(Distances!$AD$8-VLOOKUP(Table3[[#This Row],[MD5]],Input[],23,FALSE))*Distances!$AC$8))</f>
        <v>556.12176888888837</v>
      </c>
      <c r="V12" s="43">
        <f>SQRT(SUM((Table3[[#This Row],[time''4]]-Distances!$AD$6)^2,(Table3[[#This Row],[price''4]]-Distances!$AD$7)^2,(Table3[[#This Row],[energy''4]]-Distances!$AD$8)^2))</f>
        <v>872.8726350055972</v>
      </c>
      <c r="W12" s="58">
        <f>((Table3[[#This Row],[score-rt-df]]-MIN(Table3[score-rt-df]))*$G$6)/(MAX(Table3[score-rt-df])-MIN(Table3[score-rt-df]))</f>
        <v>5.6971140005304987E-7</v>
      </c>
      <c r="AY12" t="str">
        <f>Table3[[#This Row],[QW'#]]</f>
        <v>qw143</v>
      </c>
      <c r="AZ12" t="str">
        <f>VLOOKUP(Table10[[#This Row],[QW'#]],Table3[],2,FALSE)</f>
        <v>6eccbe4f33c3ecd95cb7b2557ac90ff9</v>
      </c>
      <c r="BA12" s="54">
        <f>IF(ABS(VLOOKUP(Table10[[#This Row],[QW'#]],Table3[],7,FALSE)-0)&lt;=$AZ$6,1,0)</f>
        <v>1</v>
      </c>
      <c r="BB12" s="54">
        <f>IF(ABS(VLOOKUP(Table10[[#This Row],[QW'#]],Table3[],22,FALSE)-0)&lt;=$AZ$6,1,0)</f>
        <v>1</v>
      </c>
      <c r="BC12" s="54">
        <f>IF(AND(Table10[[#This Row],[Retrieved]]=0, Table10[[#This Row],[Relevant]]=0),1,0)</f>
        <v>0</v>
      </c>
      <c r="BD12" s="54">
        <f>IF(AND(Table10[[#This Row],[Retrieved]]=0, Table10[[#This Row],[Relevant]]=1),1,0)</f>
        <v>0</v>
      </c>
      <c r="BE12" s="54">
        <f>IF(AND(Table10[[#This Row],[Retrieved]]=1, Table10[[#This Row],[Relevant]]=0),1,0)</f>
        <v>0</v>
      </c>
      <c r="BF12" s="54">
        <f>IF(AND(Table10[[#This Row],[Retrieved]]=1, Table10[[#This Row],[Relevant]]=1),1,0)</f>
        <v>1</v>
      </c>
    </row>
    <row r="13" spans="1:58">
      <c r="B13" s="76" t="s">
        <v>238</v>
      </c>
      <c r="C13" s="10" t="s">
        <v>106</v>
      </c>
      <c r="D13" s="8">
        <f>VLOOKUP(Table3[[#This Row],[MD5]],Input[],3,FALSE)+(Distances!$AA$6*(ABS(Distances!$AD$6-VLOOKUP(Table3[[#This Row],[MD5]],Input[],3,FALSE))*Distances!$AC$6))</f>
        <v>55.98857143</v>
      </c>
      <c r="E13" s="7">
        <f>VLOOKUP(Table3[[#This Row],[MD5]],Input[],4,FALSE)+(Distances!$AA$7*(ABS(Distances!$AD$7-VLOOKUP(Table3[[#This Row],[MD5]],Input[],4,FALSE))*Distances!$AC$7))</f>
        <v>57.466666666666669</v>
      </c>
      <c r="F13" s="7">
        <f>VLOOKUP(Table3[[#This Row],[MD5]],Input[],5,FALSE)+(Distances!$AA$8*(ABS(Distances!$AD$8-VLOOKUP(Table3[[#This Row],[MD5]],Input[],5,FALSE))*Distances!$AC$8))</f>
        <v>52.933333333333337</v>
      </c>
      <c r="G13" s="46">
        <f>SQRT(SUM((Table3[[#This Row],[time]]-Distances!$AD$6)^2,(Table3[[#This Row],[price]]-Distances!$AD$7)^2,(Table3[[#This Row],[energy]]-Distances!$AD$8)^2))</f>
        <v>10.010921202754911</v>
      </c>
      <c r="H13" s="46">
        <f>((Table3[[#This Row],[score-bt]]-MIN(Table3[score-bt]))*$G$6)/(MAX(Table3[score-bt])-MIN(Table3[score-bt]))</f>
        <v>0</v>
      </c>
      <c r="I13" s="8">
        <f>VLOOKUP(Table3[[#This Row],[MD5]],Input[],9,FALSE)+(Distances!$AA$6*(ABS(Distances!$AD$6-VLOOKUP(Table3[[#This Row],[MD5]],Input[],9,FALSE))*Distances!$AC$6))</f>
        <v>-23.03750240070536</v>
      </c>
      <c r="J13" s="7">
        <f>VLOOKUP(Table3[[#This Row],[MD5]],Input[],10,FALSE)+(Distances!$AA$7*(ABS(Distances!$AD$7-VLOOKUP(Table3[[#This Row],[MD5]],Input[],10,FALSE))*Distances!$AC$7))</f>
        <v>-14.763782644166673</v>
      </c>
      <c r="K13" s="7">
        <f>VLOOKUP(Table3[[#This Row],[MD5]],Input[],11,FALSE)+(Distances!$AA$8*(ABS(Distances!$AD$8-VLOOKUP(Table3[[#This Row],[MD5]],Input[],11,FALSE))*Distances!$AC$8))</f>
        <v>-6.8809260321458341</v>
      </c>
      <c r="L13" s="44">
        <f>SQRT(SUM((Table3[[#This Row],[time''2]]-Distances!$AD$6)^2,(Table3[[#This Row],[price''2]]-Distances!$AD$7)^2,(Table3[[#This Row],[energy''2]]-Distances!$AD$8)^2))</f>
        <v>112.97904250606992</v>
      </c>
      <c r="M13" s="44">
        <f>((Table3[[#This Row],[score-rt-partialcf]]-MIN(Table3[score-rt-partialcf]))*$G$6)/(MAX(Table3[score-rt-partialcf])-MIN(Table3[score-rt-partialcf]))</f>
        <v>0.99288539988762969</v>
      </c>
      <c r="N13" s="8">
        <f>VLOOKUP(Table3[[#This Row],[MD5]],Input[],15,FALSE)+(Distances!$AA$6*(ABS(Distances!$AD$6-VLOOKUP(Table3[[#This Row],[MD5]],Input[],15,FALSE))*Distances!$AC$6))</f>
        <v>-23.441680763919649</v>
      </c>
      <c r="O13" s="7">
        <f>VLOOKUP(Table3[[#This Row],[MD5]],Input[],16,FALSE)+(Distances!$AA$7*(ABS(Distances!$AD$7-VLOOKUP(Table3[[#This Row],[MD5]],Input[],16,FALSE))*Distances!$AC$7))</f>
        <v>55.417229415416621</v>
      </c>
      <c r="P13" s="7">
        <f>VLOOKUP(Table3[[#This Row],[MD5]],Input[],17,FALSE)+(Distances!$AA$8*(ABS(Distances!$AD$8-VLOOKUP(Table3[[#This Row],[MD5]],Input[],11,FALSE))*Distances!$AC$8))</f>
        <v>42.257930926604168</v>
      </c>
      <c r="Q13" s="47">
        <f>SQRT(SUM((Table3[[#This Row],[time''3]]-Distances!$AD$6)^2,(Table3[[#This Row],[price''3]]-Distances!$AD$7)^2,(Table3[[#This Row],[energy''3]]-Distances!$AD$8)^2))</f>
        <v>74.047055859811024</v>
      </c>
      <c r="R13" s="47">
        <f>((Table3[[#This Row],[score-rt-fullcf]]-MIN(Table3[score-rt-fullcf]))*$G$6)/(MAX(Table3[score-rt-fullcf])-MIN(Table3[score-rt-fullcf]))</f>
        <v>0.99981367303255542</v>
      </c>
      <c r="S13" s="8">
        <f>VLOOKUP(Table3[[#This Row],[MD5]],Input[],21,FALSE)+(Distances!$AI$6*(ABS(Distances!$L$3-VLOOKUP(Table3[[#This Row],[MD5]],Input[],21,FALSE))*Distances!$AC$6))</f>
        <v>246.74147799999966</v>
      </c>
      <c r="T13" s="7">
        <f>VLOOKUP(Table3[[#This Row],[MD5]],Input[],22,FALSE)+(Distances!$AI$7*(ABS(Distances!$AB$7-VLOOKUP(Table3[[#This Row],[MD5]],Input[],22,FALSE))*Distances!$AC$7))</f>
        <v>733.40338222222226</v>
      </c>
      <c r="U13" s="7">
        <f>VLOOKUP(Table3[[#This Row],[MD5]],Input[],23,FALSE)+(Distances!$AI$8*(ABS(Distances!$AD$8-VLOOKUP(Table3[[#This Row],[MD5]],Input[],23,FALSE))*Distances!$AC$8))</f>
        <v>556.12176888888837</v>
      </c>
      <c r="V13" s="43">
        <f>SQRT(SUM((Table3[[#This Row],[time''4]]-Distances!$AD$6)^2,(Table3[[#This Row],[price''4]]-Distances!$AD$7)^2,(Table3[[#This Row],[energy''4]]-Distances!$AD$8)^2))</f>
        <v>872.8726350055972</v>
      </c>
      <c r="W13" s="58">
        <f>((Table3[[#This Row],[score-rt-df]]-MIN(Table3[score-rt-df]))*$G$6)/(MAX(Table3[score-rt-df])-MIN(Table3[score-rt-df]))</f>
        <v>5.6971140005304987E-7</v>
      </c>
      <c r="AY13" t="str">
        <f>Table3[[#This Row],[QW'#]]</f>
        <v>qw60</v>
      </c>
      <c r="AZ13" t="str">
        <f>VLOOKUP(Table10[[#This Row],[QW'#]],Table3[],2,FALSE)</f>
        <v>86f1ad9c276a54b3cb1be3b5dff8e2e9</v>
      </c>
      <c r="BA13" s="54">
        <f>IF(ABS(VLOOKUP(Table10[[#This Row],[QW'#]],Table3[],7,FALSE)-0)&lt;=$AZ$6,1,0)</f>
        <v>1</v>
      </c>
      <c r="BB13" s="54">
        <f>IF(ABS(VLOOKUP(Table10[[#This Row],[QW'#]],Table3[],22,FALSE)-0)&lt;=$AZ$6,1,0)</f>
        <v>1</v>
      </c>
      <c r="BC13" s="54">
        <f>IF(AND(Table10[[#This Row],[Retrieved]]=0, Table10[[#This Row],[Relevant]]=0),1,0)</f>
        <v>0</v>
      </c>
      <c r="BD13" s="54">
        <f>IF(AND(Table10[[#This Row],[Retrieved]]=0, Table10[[#This Row],[Relevant]]=1),1,0)</f>
        <v>0</v>
      </c>
      <c r="BE13" s="54">
        <f>IF(AND(Table10[[#This Row],[Retrieved]]=1, Table10[[#This Row],[Relevant]]=0),1,0)</f>
        <v>0</v>
      </c>
      <c r="BF13" s="54">
        <f>IF(AND(Table10[[#This Row],[Retrieved]]=1, Table10[[#This Row],[Relevant]]=1),1,0)</f>
        <v>1</v>
      </c>
    </row>
    <row r="14" spans="1:58">
      <c r="B14" s="76" t="s">
        <v>28</v>
      </c>
      <c r="C14" s="10" t="s">
        <v>66</v>
      </c>
      <c r="D14" s="8">
        <f>VLOOKUP(Table3[[#This Row],[MD5]],Input[],3,FALSE)+(Distances!$AA$6*(ABS(Distances!$AD$6-VLOOKUP(Table3[[#This Row],[MD5]],Input[],3,FALSE))*Distances!$AC$6))</f>
        <v>55.98857143</v>
      </c>
      <c r="E14" s="7">
        <f>VLOOKUP(Table3[[#This Row],[MD5]],Input[],4,FALSE)+(Distances!$AA$7*(ABS(Distances!$AD$7-VLOOKUP(Table3[[#This Row],[MD5]],Input[],4,FALSE))*Distances!$AC$7))</f>
        <v>57.466666666666669</v>
      </c>
      <c r="F14" s="7">
        <f>VLOOKUP(Table3[[#This Row],[MD5]],Input[],5,FALSE)+(Distances!$AA$8*(ABS(Distances!$AD$8-VLOOKUP(Table3[[#This Row],[MD5]],Input[],5,FALSE))*Distances!$AC$8))</f>
        <v>52.933333333333337</v>
      </c>
      <c r="G14" s="46">
        <f>SQRT(SUM((Table3[[#This Row],[time]]-Distances!$AD$6)^2,(Table3[[#This Row],[price]]-Distances!$AD$7)^2,(Table3[[#This Row],[energy]]-Distances!$AD$8)^2))</f>
        <v>10.010921202754911</v>
      </c>
      <c r="H14" s="46">
        <f>((Table3[[#This Row],[score-bt]]-MIN(Table3[score-bt]))*$G$6)/(MAX(Table3[score-bt])-MIN(Table3[score-bt]))</f>
        <v>0</v>
      </c>
      <c r="I14" s="8">
        <f>VLOOKUP(Table3[[#This Row],[MD5]],Input[],9,FALSE)+(Distances!$AA$6*(ABS(Distances!$AD$6-VLOOKUP(Table3[[#This Row],[MD5]],Input[],9,FALSE))*Distances!$AC$6))</f>
        <v>-23.059036060312511</v>
      </c>
      <c r="J14" s="7">
        <f>VLOOKUP(Table3[[#This Row],[MD5]],Input[],10,FALSE)+(Distances!$AA$7*(ABS(Distances!$AD$7-VLOOKUP(Table3[[#This Row],[MD5]],Input[],10,FALSE))*Distances!$AC$7))</f>
        <v>-14.794031612499998</v>
      </c>
      <c r="K14" s="7">
        <f>VLOOKUP(Table3[[#This Row],[MD5]],Input[],11,FALSE)+(Distances!$AA$8*(ABS(Distances!$AD$8-VLOOKUP(Table3[[#This Row],[MD5]],Input[],11,FALSE))*Distances!$AC$8))</f>
        <v>-6.9038413253819435</v>
      </c>
      <c r="L14" s="44">
        <f>SQRT(SUM((Table3[[#This Row],[time''2]]-Distances!$AD$6)^2,(Table3[[#This Row],[price''2]]-Distances!$AD$7)^2,(Table3[[#This Row],[energy''2]]-Distances!$AD$8)^2))</f>
        <v>113.02184054530318</v>
      </c>
      <c r="M14" s="44">
        <f>((Table3[[#This Row],[score-rt-partialcf]]-MIN(Table3[score-rt-partialcf]))*$G$6)/(MAX(Table3[score-rt-partialcf])-MIN(Table3[score-rt-partialcf]))</f>
        <v>0.99328059866137686</v>
      </c>
      <c r="N14" s="8">
        <f>VLOOKUP(Table3[[#This Row],[MD5]],Input[],15,FALSE)+(Distances!$AA$6*(ABS(Distances!$AD$6-VLOOKUP(Table3[[#This Row],[MD5]],Input[],15,FALSE))*Distances!$AC$6))</f>
        <v>-23.437787050044651</v>
      </c>
      <c r="O14" s="7">
        <f>VLOOKUP(Table3[[#This Row],[MD5]],Input[],16,FALSE)+(Distances!$AA$7*(ABS(Distances!$AD$7-VLOOKUP(Table3[[#This Row],[MD5]],Input[],16,FALSE))*Distances!$AC$7))</f>
        <v>55.418603381250001</v>
      </c>
      <c r="P14" s="7">
        <f>VLOOKUP(Table3[[#This Row],[MD5]],Input[],17,FALSE)+(Distances!$AA$8*(ABS(Distances!$AD$8-VLOOKUP(Table3[[#This Row],[MD5]],Input[],11,FALSE))*Distances!$AC$8))</f>
        <v>42.256463618367988</v>
      </c>
      <c r="Q14" s="47">
        <f>SQRT(SUM((Table3[[#This Row],[time''3]]-Distances!$AD$6)^2,(Table3[[#This Row],[price''3]]-Distances!$AD$7)^2,(Table3[[#This Row],[energy''3]]-Distances!$AD$8)^2))</f>
        <v>74.043447955269201</v>
      </c>
      <c r="R14" s="47">
        <f>((Table3[[#This Row],[score-rt-fullcf]]-MIN(Table3[score-rt-fullcf]))*$G$6)/(MAX(Table3[score-rt-fullcf])-MIN(Table3[score-rt-fullcf]))</f>
        <v>0.99970305247105273</v>
      </c>
      <c r="S14" s="8">
        <f>VLOOKUP(Table3[[#This Row],[MD5]],Input[],21,FALSE)+(Distances!$AI$6*(ABS(Distances!$L$3-VLOOKUP(Table3[[#This Row],[MD5]],Input[],21,FALSE))*Distances!$AC$6))</f>
        <v>247.56620011111102</v>
      </c>
      <c r="T14" s="7">
        <f>VLOOKUP(Table3[[#This Row],[MD5]],Input[],22,FALSE)+(Distances!$AI$7*(ABS(Distances!$AB$7-VLOOKUP(Table3[[#This Row],[MD5]],Input[],22,FALSE))*Distances!$AC$7))</f>
        <v>733.84486703703556</v>
      </c>
      <c r="U14" s="7">
        <f>VLOOKUP(Table3[[#This Row],[MD5]],Input[],23,FALSE)+(Distances!$AI$8*(ABS(Distances!$AD$8-VLOOKUP(Table3[[#This Row],[MD5]],Input[],23,FALSE))*Distances!$AC$8))</f>
        <v>556.43355342592565</v>
      </c>
      <c r="V14" s="43">
        <f>SQRT(SUM((Table3[[#This Row],[time''4]]-Distances!$AD$6)^2,(Table3[[#This Row],[price''4]]-Distances!$AD$7)^2,(Table3[[#This Row],[energy''4]]-Distances!$AD$8)^2))</f>
        <v>873.58522745914968</v>
      </c>
      <c r="W14" s="58">
        <f>((Table3[[#This Row],[score-rt-df]]-MIN(Table3[score-rt-df]))*$G$6)/(MAX(Table3[score-rt-df])-MIN(Table3[score-rt-df]))</f>
        <v>1.1565636180010584E-6</v>
      </c>
      <c r="AY14" t="str">
        <f>Table3[[#This Row],[QW'#]]</f>
        <v>qw20</v>
      </c>
      <c r="AZ14" t="str">
        <f>VLOOKUP(Table10[[#This Row],[QW'#]],Table3[],2,FALSE)</f>
        <v>8e7ce4d03aa79c562b0af4327172ab65</v>
      </c>
      <c r="BA14" s="54">
        <f>IF(ABS(VLOOKUP(Table10[[#This Row],[QW'#]],Table3[],7,FALSE)-0)&lt;=$AZ$6,1,0)</f>
        <v>1</v>
      </c>
      <c r="BB14" s="54">
        <f>IF(ABS(VLOOKUP(Table10[[#This Row],[QW'#]],Table3[],22,FALSE)-0)&lt;=$AZ$6,1,0)</f>
        <v>1</v>
      </c>
      <c r="BC14" s="54">
        <f>IF(AND(Table10[[#This Row],[Retrieved]]=0, Table10[[#This Row],[Relevant]]=0),1,0)</f>
        <v>0</v>
      </c>
      <c r="BD14" s="54">
        <f>IF(AND(Table10[[#This Row],[Retrieved]]=0, Table10[[#This Row],[Relevant]]=1),1,0)</f>
        <v>0</v>
      </c>
      <c r="BE14" s="54">
        <f>IF(AND(Table10[[#This Row],[Retrieved]]=1, Table10[[#This Row],[Relevant]]=0),1,0)</f>
        <v>0</v>
      </c>
      <c r="BF14" s="54">
        <f>IF(AND(Table10[[#This Row],[Retrieved]]=1, Table10[[#This Row],[Relevant]]=1),1,0)</f>
        <v>1</v>
      </c>
    </row>
    <row r="15" spans="1:58">
      <c r="B15" s="76" t="s">
        <v>38</v>
      </c>
      <c r="C15" s="10" t="s">
        <v>76</v>
      </c>
      <c r="D15" s="8">
        <f>VLOOKUP(Table3[[#This Row],[MD5]],Input[],3,FALSE)+(Distances!$AA$6*(ABS(Distances!$AD$6-VLOOKUP(Table3[[#This Row],[MD5]],Input[],3,FALSE))*Distances!$AC$6))</f>
        <v>55.98857143</v>
      </c>
      <c r="E15" s="7">
        <f>VLOOKUP(Table3[[#This Row],[MD5]],Input[],4,FALSE)+(Distances!$AA$7*(ABS(Distances!$AD$7-VLOOKUP(Table3[[#This Row],[MD5]],Input[],4,FALSE))*Distances!$AC$7))</f>
        <v>57.466666666666669</v>
      </c>
      <c r="F15" s="7">
        <f>VLOOKUP(Table3[[#This Row],[MD5]],Input[],5,FALSE)+(Distances!$AA$8*(ABS(Distances!$AD$8-VLOOKUP(Table3[[#This Row],[MD5]],Input[],5,FALSE))*Distances!$AC$8))</f>
        <v>52.933333333333337</v>
      </c>
      <c r="G15" s="46">
        <f>SQRT(SUM((Table3[[#This Row],[time]]-Distances!$AD$6)^2,(Table3[[#This Row],[price]]-Distances!$AD$7)^2,(Table3[[#This Row],[energy]]-Distances!$AD$8)^2))</f>
        <v>10.010921202754911</v>
      </c>
      <c r="H15" s="46">
        <f>((Table3[[#This Row],[score-bt]]-MIN(Table3[score-bt]))*$G$6)/(MAX(Table3[score-bt])-MIN(Table3[score-bt]))</f>
        <v>0</v>
      </c>
      <c r="I15" s="8">
        <f>VLOOKUP(Table3[[#This Row],[MD5]],Input[],9,FALSE)+(Distances!$AA$6*(ABS(Distances!$AD$6-VLOOKUP(Table3[[#This Row],[MD5]],Input[],9,FALSE))*Distances!$AC$6))</f>
        <v>-23.05728231072322</v>
      </c>
      <c r="J15" s="7">
        <f>VLOOKUP(Table3[[#This Row],[MD5]],Input[],10,FALSE)+(Distances!$AA$7*(ABS(Distances!$AD$7-VLOOKUP(Table3[[#This Row],[MD5]],Input[],10,FALSE))*Distances!$AC$7))</f>
        <v>-14.792071864166674</v>
      </c>
      <c r="K15" s="7">
        <f>VLOOKUP(Table3[[#This Row],[MD5]],Input[],11,FALSE)+(Distances!$AA$8*(ABS(Distances!$AD$8-VLOOKUP(Table3[[#This Row],[MD5]],Input[],11,FALSE))*Distances!$AC$8))</f>
        <v>-6.9023502951458324</v>
      </c>
      <c r="L15" s="44">
        <f>SQRT(SUM((Table3[[#This Row],[time''2]]-Distances!$AD$6)^2,(Table3[[#This Row],[price''2]]-Distances!$AD$7)^2,(Table3[[#This Row],[energy''2]]-Distances!$AD$8)^2))</f>
        <v>113.01883269699583</v>
      </c>
      <c r="M15" s="44">
        <f>((Table3[[#This Row],[score-rt-partialcf]]-MIN(Table3[score-rt-partialcf]))*$G$6)/(MAX(Table3[score-rt-partialcf])-MIN(Table3[score-rt-partialcf]))</f>
        <v>0.99325282407207383</v>
      </c>
      <c r="N15" s="8">
        <f>VLOOKUP(Table3[[#This Row],[MD5]],Input[],15,FALSE)+(Distances!$AA$6*(ABS(Distances!$AD$6-VLOOKUP(Table3[[#This Row],[MD5]],Input[],15,FALSE))*Distances!$AC$6))</f>
        <v>-23.43697563366965</v>
      </c>
      <c r="O15" s="7">
        <f>VLOOKUP(Table3[[#This Row],[MD5]],Input[],16,FALSE)+(Distances!$AA$7*(ABS(Distances!$AD$7-VLOOKUP(Table3[[#This Row],[MD5]],Input[],16,FALSE))*Distances!$AC$7))</f>
        <v>55.419225488750001</v>
      </c>
      <c r="P15" s="7">
        <f>VLOOKUP(Table3[[#This Row],[MD5]],Input[],17,FALSE)+(Distances!$AA$8*(ABS(Distances!$AD$8-VLOOKUP(Table3[[#This Row],[MD5]],Input[],11,FALSE))*Distances!$AC$8))</f>
        <v>42.257489551937439</v>
      </c>
      <c r="Q15" s="47">
        <f>SQRT(SUM((Table3[[#This Row],[time''3]]-Distances!$AD$6)^2,(Table3[[#This Row],[price''3]]-Distances!$AD$7)^2,(Table3[[#This Row],[energy''3]]-Distances!$AD$8)^2))</f>
        <v>74.042581418778653</v>
      </c>
      <c r="R15" s="47">
        <f>((Table3[[#This Row],[score-rt-fullcf]]-MIN(Table3[score-rt-fullcf]))*$G$6)/(MAX(Table3[score-rt-fullcf])-MIN(Table3[score-rt-fullcf]))</f>
        <v>0.99967648393188113</v>
      </c>
      <c r="S15" s="8">
        <f>VLOOKUP(Table3[[#This Row],[MD5]],Input[],21,FALSE)+(Distances!$AI$6*(ABS(Distances!$L$3-VLOOKUP(Table3[[#This Row],[MD5]],Input[],21,FALSE))*Distances!$AC$6))</f>
        <v>247.90111711111101</v>
      </c>
      <c r="T15" s="7">
        <f>VLOOKUP(Table3[[#This Row],[MD5]],Input[],22,FALSE)+(Distances!$AI$7*(ABS(Distances!$AB$7-VLOOKUP(Table3[[#This Row],[MD5]],Input[],22,FALSE))*Distances!$AC$7))</f>
        <v>734.22864222222222</v>
      </c>
      <c r="U15" s="7">
        <f>VLOOKUP(Table3[[#This Row],[MD5]],Input[],23,FALSE)+(Distances!$AI$8*(ABS(Distances!$AD$8-VLOOKUP(Table3[[#This Row],[MD5]],Input[],23,FALSE))*Distances!$AC$8))</f>
        <v>556.71839981481435</v>
      </c>
      <c r="V15" s="43">
        <f>SQRT(SUM((Table3[[#This Row],[time''4]]-Distances!$AD$6)^2,(Table3[[#This Row],[price''4]]-Distances!$AD$7)^2,(Table3[[#This Row],[energy''4]]-Distances!$AD$8)^2))</f>
        <v>874.12654902020768</v>
      </c>
      <c r="W15" s="58">
        <f>((Table3[[#This Row],[score-rt-df]]-MIN(Table3[score-rt-df]))*$G$6)/(MAX(Table3[score-rt-df])-MIN(Table3[score-rt-df]))</f>
        <v>1.6023664849080279E-6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Y15" t="str">
        <f>Table3[[#This Row],[QW'#]]</f>
        <v>qw30</v>
      </c>
      <c r="AZ15" t="str">
        <f>VLOOKUP(Table10[[#This Row],[QW'#]],Table3[],2,FALSE)</f>
        <v>c6efe53695aac2f3f4ce1aaaf648d68d</v>
      </c>
      <c r="BA15" s="54">
        <f>IF(ABS(VLOOKUP(Table10[[#This Row],[QW'#]],Table3[],7,FALSE)-0)&lt;=$AZ$6,1,0)</f>
        <v>1</v>
      </c>
      <c r="BB15" s="54">
        <f>IF(ABS(VLOOKUP(Table10[[#This Row],[QW'#]],Table3[],22,FALSE)-0)&lt;=$AZ$6,1,0)</f>
        <v>1</v>
      </c>
      <c r="BC15" s="54">
        <f>IF(AND(Table10[[#This Row],[Retrieved]]=0, Table10[[#This Row],[Relevant]]=0),1,0)</f>
        <v>0</v>
      </c>
      <c r="BD15" s="54">
        <f>IF(AND(Table10[[#This Row],[Retrieved]]=0, Table10[[#This Row],[Relevant]]=1),1,0)</f>
        <v>0</v>
      </c>
      <c r="BE15" s="54">
        <f>IF(AND(Table10[[#This Row],[Retrieved]]=1, Table10[[#This Row],[Relevant]]=0),1,0)</f>
        <v>0</v>
      </c>
      <c r="BF15" s="54">
        <f>IF(AND(Table10[[#This Row],[Retrieved]]=1, Table10[[#This Row],[Relevant]]=1),1,0)</f>
        <v>1</v>
      </c>
    </row>
    <row r="16" spans="1:58">
      <c r="B16" s="76" t="s">
        <v>33</v>
      </c>
      <c r="C16" s="10" t="s">
        <v>71</v>
      </c>
      <c r="D16" s="8">
        <f>VLOOKUP(Table3[[#This Row],[MD5]],Input[],3,FALSE)+(Distances!$AA$6*(ABS(Distances!$AD$6-VLOOKUP(Table3[[#This Row],[MD5]],Input[],3,FALSE))*Distances!$AC$6))</f>
        <v>55.98857143</v>
      </c>
      <c r="E16" s="7">
        <f>VLOOKUP(Table3[[#This Row],[MD5]],Input[],4,FALSE)+(Distances!$AA$7*(ABS(Distances!$AD$7-VLOOKUP(Table3[[#This Row],[MD5]],Input[],4,FALSE))*Distances!$AC$7))</f>
        <v>57.466666666666669</v>
      </c>
      <c r="F16" s="7">
        <f>VLOOKUP(Table3[[#This Row],[MD5]],Input[],5,FALSE)+(Distances!$AA$8*(ABS(Distances!$AD$8-VLOOKUP(Table3[[#This Row],[MD5]],Input[],5,FALSE))*Distances!$AC$8))</f>
        <v>52.933333333333337</v>
      </c>
      <c r="G16" s="46">
        <f>SQRT(SUM((Table3[[#This Row],[time]]-Distances!$AD$6)^2,(Table3[[#This Row],[price]]-Distances!$AD$7)^2,(Table3[[#This Row],[energy]]-Distances!$AD$8)^2))</f>
        <v>10.010921202754911</v>
      </c>
      <c r="H16" s="46">
        <f>((Table3[[#This Row],[score-bt]]-MIN(Table3[score-bt]))*$G$6)/(MAX(Table3[score-bt])-MIN(Table3[score-bt]))</f>
        <v>0</v>
      </c>
      <c r="I16" s="8">
        <f>VLOOKUP(Table3[[#This Row],[MD5]],Input[],9,FALSE)+(Distances!$AA$6*(ABS(Distances!$AD$6-VLOOKUP(Table3[[#This Row],[MD5]],Input[],9,FALSE))*Distances!$AC$6))</f>
        <v>-23.05902768843751</v>
      </c>
      <c r="J16" s="7">
        <f>VLOOKUP(Table3[[#This Row],[MD5]],Input[],10,FALSE)+(Distances!$AA$7*(ABS(Distances!$AD$7-VLOOKUP(Table3[[#This Row],[MD5]],Input[],10,FALSE))*Distances!$AC$7))</f>
        <v>-14.794020529166664</v>
      </c>
      <c r="K16" s="7">
        <f>VLOOKUP(Table3[[#This Row],[MD5]],Input[],11,FALSE)+(Distances!$AA$8*(ABS(Distances!$AD$8-VLOOKUP(Table3[[#This Row],[MD5]],Input[],11,FALSE))*Distances!$AC$8))</f>
        <v>-6.9038329205208324</v>
      </c>
      <c r="L16" s="44">
        <f>SQRT(SUM((Table3[[#This Row],[time''2]]-Distances!$AD$6)^2,(Table3[[#This Row],[price''2]]-Distances!$AD$7)^2,(Table3[[#This Row],[energy''2]]-Distances!$AD$8)^2))</f>
        <v>113.0218245480071</v>
      </c>
      <c r="M16" s="44">
        <f>((Table3[[#This Row],[score-rt-partialcf]]-MIN(Table3[score-rt-partialcf]))*$G$6)/(MAX(Table3[score-rt-partialcf])-MIN(Table3[score-rt-partialcf]))</f>
        <v>0.99328045094171713</v>
      </c>
      <c r="N16" s="8">
        <f>VLOOKUP(Table3[[#This Row],[MD5]],Input[],15,FALSE)+(Distances!$AA$6*(ABS(Distances!$AD$6-VLOOKUP(Table3[[#This Row],[MD5]],Input[],15,FALSE))*Distances!$AC$6))</f>
        <v>-23.437778237544649</v>
      </c>
      <c r="O16" s="7">
        <f>VLOOKUP(Table3[[#This Row],[MD5]],Input[],16,FALSE)+(Distances!$AA$7*(ABS(Distances!$AD$7-VLOOKUP(Table3[[#This Row],[MD5]],Input[],16,FALSE))*Distances!$AC$7))</f>
        <v>55.418606297916668</v>
      </c>
      <c r="P16" s="7">
        <f>VLOOKUP(Table3[[#This Row],[MD5]],Input[],17,FALSE)+(Distances!$AA$8*(ABS(Distances!$AD$8-VLOOKUP(Table3[[#This Row],[MD5]],Input[],11,FALSE))*Distances!$AC$8))</f>
        <v>42.256468610729101</v>
      </c>
      <c r="Q16" s="47">
        <f>SQRT(SUM((Table3[[#This Row],[time''3]]-Distances!$AD$6)^2,(Table3[[#This Row],[price''3]]-Distances!$AD$7)^2,(Table3[[#This Row],[energy''3]]-Distances!$AD$8)^2))</f>
        <v>74.043438906193657</v>
      </c>
      <c r="R16" s="47">
        <f>((Table3[[#This Row],[score-rt-fullcf]]-MIN(Table3[score-rt-fullcf]))*$G$6)/(MAX(Table3[score-rt-fullcf])-MIN(Table3[score-rt-fullcf]))</f>
        <v>0.99970277502085803</v>
      </c>
      <c r="S16" s="8">
        <f>VLOOKUP(Table3[[#This Row],[MD5]],Input[],21,FALSE)+(Distances!$AI$6*(ABS(Distances!$L$3-VLOOKUP(Table3[[#This Row],[MD5]],Input[],21,FALSE))*Distances!$AC$6))</f>
        <v>248.91020011111101</v>
      </c>
      <c r="T16" s="7">
        <f>VLOOKUP(Table3[[#This Row],[MD5]],Input[],22,FALSE)+(Distances!$AI$7*(ABS(Distances!$AB$7-VLOOKUP(Table3[[#This Row],[MD5]],Input[],22,FALSE))*Distances!$AC$7))</f>
        <v>734.16486703703549</v>
      </c>
      <c r="U16" s="7">
        <f>VLOOKUP(Table3[[#This Row],[MD5]],Input[],23,FALSE)+(Distances!$AI$8*(ABS(Distances!$AD$8-VLOOKUP(Table3[[#This Row],[MD5]],Input[],23,FALSE))*Distances!$AC$8))</f>
        <v>556.67355342592566</v>
      </c>
      <c r="V16" s="43">
        <f>SQRT(SUM((Table3[[#This Row],[time''4]]-Distances!$AD$6)^2,(Table3[[#This Row],[price''4]]-Distances!$AD$7)^2,(Table3[[#This Row],[energy''4]]-Distances!$AD$8)^2))</f>
        <v>874.27965934093481</v>
      </c>
      <c r="W16" s="58">
        <f>((Table3[[#This Row],[score-rt-df]]-MIN(Table3[score-rt-df]))*$G$6)/(MAX(Table3[score-rt-df])-MIN(Table3[score-rt-df]))</f>
        <v>1.7284597810992915E-6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Y16" t="str">
        <f>Table3[[#This Row],[QW'#]]</f>
        <v>qw25</v>
      </c>
      <c r="AZ16" t="str">
        <f>VLOOKUP(Table10[[#This Row],[QW'#]],Table3[],2,FALSE)</f>
        <v>ba83934d7e09f4ef0bb2d3b957d5b540</v>
      </c>
      <c r="BA16" s="54">
        <f>IF(ABS(VLOOKUP(Table10[[#This Row],[QW'#]],Table3[],7,FALSE)-0)&lt;=$AZ$6,1,0)</f>
        <v>1</v>
      </c>
      <c r="BB16" s="54">
        <f>IF(ABS(VLOOKUP(Table10[[#This Row],[QW'#]],Table3[],22,FALSE)-0)&lt;=$AZ$6,1,0)</f>
        <v>1</v>
      </c>
      <c r="BC16" s="54">
        <f>IF(AND(Table10[[#This Row],[Retrieved]]=0, Table10[[#This Row],[Relevant]]=0),1,0)</f>
        <v>0</v>
      </c>
      <c r="BD16" s="54">
        <f>IF(AND(Table10[[#This Row],[Retrieved]]=0, Table10[[#This Row],[Relevant]]=1),1,0)</f>
        <v>0</v>
      </c>
      <c r="BE16" s="54">
        <f>IF(AND(Table10[[#This Row],[Retrieved]]=1, Table10[[#This Row],[Relevant]]=0),1,0)</f>
        <v>0</v>
      </c>
      <c r="BF16" s="54">
        <f>IF(AND(Table10[[#This Row],[Retrieved]]=1, Table10[[#This Row],[Relevant]]=1),1,0)</f>
        <v>1</v>
      </c>
    </row>
    <row r="17" spans="2:58">
      <c r="B17" s="76" t="s">
        <v>323</v>
      </c>
      <c r="C17" s="10" t="s">
        <v>191</v>
      </c>
      <c r="D17" s="8">
        <f>VLOOKUP(Table3[[#This Row],[MD5]],Input[],3,FALSE)+(Distances!$AA$6*(ABS(Distances!$AD$6-VLOOKUP(Table3[[#This Row],[MD5]],Input[],3,FALSE))*Distances!$AC$6))</f>
        <v>55.98857143</v>
      </c>
      <c r="E17" s="7">
        <f>VLOOKUP(Table3[[#This Row],[MD5]],Input[],4,FALSE)+(Distances!$AA$7*(ABS(Distances!$AD$7-VLOOKUP(Table3[[#This Row],[MD5]],Input[],4,FALSE))*Distances!$AC$7))</f>
        <v>57.466666666666669</v>
      </c>
      <c r="F17" s="7">
        <f>VLOOKUP(Table3[[#This Row],[MD5]],Input[],5,FALSE)+(Distances!$AA$8*(ABS(Distances!$AD$8-VLOOKUP(Table3[[#This Row],[MD5]],Input[],5,FALSE))*Distances!$AC$8))</f>
        <v>52.933333333333337</v>
      </c>
      <c r="G17" s="46">
        <f>SQRT(SUM((Table3[[#This Row],[time]]-Distances!$AD$6)^2,(Table3[[#This Row],[price]]-Distances!$AD$7)^2,(Table3[[#This Row],[energy]]-Distances!$AD$8)^2))</f>
        <v>10.010921202754911</v>
      </c>
      <c r="H17" s="46">
        <f>((Table3[[#This Row],[score-bt]]-MIN(Table3[score-bt]))*$G$6)/(MAX(Table3[score-bt])-MIN(Table3[score-bt]))</f>
        <v>0</v>
      </c>
      <c r="I17" s="8">
        <f>VLOOKUP(Table3[[#This Row],[MD5]],Input[],9,FALSE)+(Distances!$AA$6*(ABS(Distances!$AD$6-VLOOKUP(Table3[[#This Row],[MD5]],Input[],9,FALSE))*Distances!$AC$6))</f>
        <v>-23.057273938848219</v>
      </c>
      <c r="J17" s="7">
        <f>VLOOKUP(Table3[[#This Row],[MD5]],Input[],10,FALSE)+(Distances!$AA$7*(ABS(Distances!$AD$7-VLOOKUP(Table3[[#This Row],[MD5]],Input[],10,FALSE))*Distances!$AC$7))</f>
        <v>-14.792060780833342</v>
      </c>
      <c r="K17" s="7">
        <f>VLOOKUP(Table3[[#This Row],[MD5]],Input[],11,FALSE)+(Distances!$AA$8*(ABS(Distances!$AD$8-VLOOKUP(Table3[[#This Row],[MD5]],Input[],11,FALSE))*Distances!$AC$8))</f>
        <v>-6.9023418902847222</v>
      </c>
      <c r="L17" s="44">
        <f>SQRT(SUM((Table3[[#This Row],[time''2]]-Distances!$AD$6)^2,(Table3[[#This Row],[price''2]]-Distances!$AD$7)^2,(Table3[[#This Row],[energy''2]]-Distances!$AD$8)^2))</f>
        <v>113.01881669970699</v>
      </c>
      <c r="M17" s="44">
        <f>((Table3[[#This Row],[score-rt-partialcf]]-MIN(Table3[score-rt-partialcf]))*$G$6)/(MAX(Table3[score-rt-partialcf])-MIN(Table3[score-rt-partialcf]))</f>
        <v>0.99325267635248082</v>
      </c>
      <c r="N17" s="8">
        <f>VLOOKUP(Table3[[#This Row],[MD5]],Input[],15,FALSE)+(Distances!$AA$6*(ABS(Distances!$AD$6-VLOOKUP(Table3[[#This Row],[MD5]],Input[],15,FALSE))*Distances!$AC$6))</f>
        <v>-23.436966821169648</v>
      </c>
      <c r="O17" s="7">
        <f>VLOOKUP(Table3[[#This Row],[MD5]],Input[],16,FALSE)+(Distances!$AA$7*(ABS(Distances!$AD$7-VLOOKUP(Table3[[#This Row],[MD5]],Input[],16,FALSE))*Distances!$AC$7))</f>
        <v>55.419228405416625</v>
      </c>
      <c r="P17" s="7">
        <f>VLOOKUP(Table3[[#This Row],[MD5]],Input[],17,FALSE)+(Distances!$AA$8*(ABS(Distances!$AD$8-VLOOKUP(Table3[[#This Row],[MD5]],Input[],11,FALSE))*Distances!$AC$8))</f>
        <v>42.257494544298545</v>
      </c>
      <c r="Q17" s="47">
        <f>SQRT(SUM((Table3[[#This Row],[time''3]]-Distances!$AD$6)^2,(Table3[[#This Row],[price''3]]-Distances!$AD$7)^2,(Table3[[#This Row],[energy''3]]-Distances!$AD$8)^2))</f>
        <v>74.042572369787464</v>
      </c>
      <c r="R17" s="47">
        <f>((Table3[[#This Row],[score-rt-fullcf]]-MIN(Table3[score-rt-fullcf]))*$G$6)/(MAX(Table3[score-rt-fullcf])-MIN(Table3[score-rt-fullcf]))</f>
        <v>0.9996762064842728</v>
      </c>
      <c r="S17" s="8">
        <f>VLOOKUP(Table3[[#This Row],[MD5]],Input[],21,FALSE)+(Distances!$AI$6*(ABS(Distances!$L$3-VLOOKUP(Table3[[#This Row],[MD5]],Input[],21,FALSE))*Distances!$AC$6))</f>
        <v>249.245117111111</v>
      </c>
      <c r="T17" s="7">
        <f>VLOOKUP(Table3[[#This Row],[MD5]],Input[],22,FALSE)+(Distances!$AI$7*(ABS(Distances!$AB$7-VLOOKUP(Table3[[#This Row],[MD5]],Input[],22,FALSE))*Distances!$AC$7))</f>
        <v>734.54864222222227</v>
      </c>
      <c r="U17" s="7">
        <f>VLOOKUP(Table3[[#This Row],[MD5]],Input[],23,FALSE)+(Distances!$AI$8*(ABS(Distances!$AD$8-VLOOKUP(Table3[[#This Row],[MD5]],Input[],23,FALSE))*Distances!$AC$8))</f>
        <v>556.95839981481436</v>
      </c>
      <c r="V17" s="43">
        <f>SQRT(SUM((Table3[[#This Row],[time''4]]-Distances!$AD$6)^2,(Table3[[#This Row],[price''4]]-Distances!$AD$7)^2,(Table3[[#This Row],[energy''4]]-Distances!$AD$8)^2))</f>
        <v>874.82128426536678</v>
      </c>
      <c r="W17" s="58">
        <f>((Table3[[#This Row],[score-rt-df]]-MIN(Table3[score-rt-df]))*$G$6)/(MAX(Table3[score-rt-df])-MIN(Table3[score-rt-df]))</f>
        <v>2.1745124815092298E-6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Y17" t="str">
        <f>Table3[[#This Row],[QW'#]]</f>
        <v>qw145</v>
      </c>
      <c r="AZ17" t="str">
        <f>VLOOKUP(Table10[[#This Row],[QW'#]],Table3[],2,FALSE)</f>
        <v>4097de217f6afc4078b3201c486e6766</v>
      </c>
      <c r="BA17" s="54">
        <f>IF(ABS(VLOOKUP(Table10[[#This Row],[QW'#]],Table3[],7,FALSE)-0)&lt;=$AZ$6,1,0)</f>
        <v>1</v>
      </c>
      <c r="BB17" s="54">
        <f>IF(ABS(VLOOKUP(Table10[[#This Row],[QW'#]],Table3[],22,FALSE)-0)&lt;=$AZ$6,1,0)</f>
        <v>1</v>
      </c>
      <c r="BC17" s="54">
        <f>IF(AND(Table10[[#This Row],[Retrieved]]=0, Table10[[#This Row],[Relevant]]=0),1,0)</f>
        <v>0</v>
      </c>
      <c r="BD17" s="54">
        <f>IF(AND(Table10[[#This Row],[Retrieved]]=0, Table10[[#This Row],[Relevant]]=1),1,0)</f>
        <v>0</v>
      </c>
      <c r="BE17" s="54">
        <f>IF(AND(Table10[[#This Row],[Retrieved]]=1, Table10[[#This Row],[Relevant]]=0),1,0)</f>
        <v>0</v>
      </c>
      <c r="BF17" s="54">
        <f>IF(AND(Table10[[#This Row],[Retrieved]]=1, Table10[[#This Row],[Relevant]]=1),1,0)</f>
        <v>1</v>
      </c>
    </row>
    <row r="18" spans="2:58">
      <c r="B18" s="76" t="s">
        <v>289</v>
      </c>
      <c r="C18" s="10" t="s">
        <v>157</v>
      </c>
      <c r="D18" s="8">
        <f>VLOOKUP(Table3[[#This Row],[MD5]],Input[],3,FALSE)+(Distances!$AA$6*(ABS(Distances!$AD$6-VLOOKUP(Table3[[#This Row],[MD5]],Input[],3,FALSE))*Distances!$AC$6))</f>
        <v>55.98857143</v>
      </c>
      <c r="E18" s="7">
        <f>VLOOKUP(Table3[[#This Row],[MD5]],Input[],4,FALSE)+(Distances!$AA$7*(ABS(Distances!$AD$7-VLOOKUP(Table3[[#This Row],[MD5]],Input[],4,FALSE))*Distances!$AC$7))</f>
        <v>57.466666666666669</v>
      </c>
      <c r="F18" s="7">
        <f>VLOOKUP(Table3[[#This Row],[MD5]],Input[],5,FALSE)+(Distances!$AA$8*(ABS(Distances!$AD$8-VLOOKUP(Table3[[#This Row],[MD5]],Input[],5,FALSE))*Distances!$AC$8))</f>
        <v>52.933333333333337</v>
      </c>
      <c r="G18" s="46">
        <f>SQRT(SUM((Table3[[#This Row],[time]]-Distances!$AD$6)^2,(Table3[[#This Row],[price]]-Distances!$AD$7)^2,(Table3[[#This Row],[energy]]-Distances!$AD$8)^2))</f>
        <v>10.010921202754911</v>
      </c>
      <c r="H18" s="46">
        <f>((Table3[[#This Row],[score-bt]]-MIN(Table3[score-bt]))*$G$6)/(MAX(Table3[score-bt])-MIN(Table3[score-bt]))</f>
        <v>0</v>
      </c>
      <c r="I18" s="8">
        <f>VLOOKUP(Table3[[#This Row],[MD5]],Input[],9,FALSE)+(Distances!$AA$6*(ABS(Distances!$AD$6-VLOOKUP(Table3[[#This Row],[MD5]],Input[],9,FALSE))*Distances!$AC$6))</f>
        <v>-23.03736237830358</v>
      </c>
      <c r="J18" s="7">
        <f>VLOOKUP(Table3[[#This Row],[MD5]],Input[],10,FALSE)+(Distances!$AA$7*(ABS(Distances!$AD$7-VLOOKUP(Table3[[#This Row],[MD5]],Input[],10,FALSE))*Distances!$AC$7))</f>
        <v>-14.763612241666673</v>
      </c>
      <c r="K18" s="7">
        <f>VLOOKUP(Table3[[#This Row],[MD5]],Input[],11,FALSE)+(Distances!$AA$8*(ABS(Distances!$AD$8-VLOOKUP(Table3[[#This Row],[MD5]],Input[],11,FALSE))*Distances!$AC$8))</f>
        <v>-6.8807966081250065</v>
      </c>
      <c r="L18" s="44">
        <f>SQRT(SUM((Table3[[#This Row],[time''2]]-Distances!$AD$6)^2,(Table3[[#This Row],[price''2]]-Distances!$AD$7)^2,(Table3[[#This Row],[energy''2]]-Distances!$AD$8)^2))</f>
        <v>112.97878914443844</v>
      </c>
      <c r="M18" s="44">
        <f>((Table3[[#This Row],[score-rt-partialcf]]-MIN(Table3[score-rt-partialcf]))*$G$6)/(MAX(Table3[score-rt-partialcf])-MIN(Table3[score-rt-partialcf]))</f>
        <v>0.99288306033638218</v>
      </c>
      <c r="N18" s="8">
        <f>VLOOKUP(Table3[[#This Row],[MD5]],Input[],15,FALSE)+(Distances!$AA$6*(ABS(Distances!$AD$6-VLOOKUP(Table3[[#This Row],[MD5]],Input[],15,FALSE))*Distances!$AC$6))</f>
        <v>-23.441656021607152</v>
      </c>
      <c r="O18" s="7">
        <f>VLOOKUP(Table3[[#This Row],[MD5]],Input[],16,FALSE)+(Distances!$AA$7*(ABS(Distances!$AD$7-VLOOKUP(Table3[[#This Row],[MD5]],Input[],16,FALSE))*Distances!$AC$7))</f>
        <v>55.417252225000006</v>
      </c>
      <c r="P18" s="7">
        <f>VLOOKUP(Table3[[#This Row],[MD5]],Input[],17,FALSE)+(Distances!$AA$8*(ABS(Distances!$AD$8-VLOOKUP(Table3[[#This Row],[MD5]],Input[],11,FALSE))*Distances!$AC$8))</f>
        <v>42.25797924145833</v>
      </c>
      <c r="Q18" s="47">
        <f>SQRT(SUM((Table3[[#This Row],[time''3]]-Distances!$AD$6)^2,(Table3[[#This Row],[price''3]]-Distances!$AD$7)^2,(Table3[[#This Row],[energy''3]]-Distances!$AD$8)^2))</f>
        <v>74.047027936920088</v>
      </c>
      <c r="R18" s="47">
        <f>((Table3[[#This Row],[score-rt-fullcf]]-MIN(Table3[score-rt-fullcf]))*$G$6)/(MAX(Table3[score-rt-fullcf])-MIN(Table3[score-rt-fullcf]))</f>
        <v>0.99981281689962886</v>
      </c>
      <c r="S18" s="8">
        <f>VLOOKUP(Table3[[#This Row],[MD5]],Input[],21,FALSE)+(Distances!$AI$6*(ABS(Distances!$L$3-VLOOKUP(Table3[[#This Row],[MD5]],Input[],21,FALSE))*Distances!$AC$6))</f>
        <v>247.41539499999968</v>
      </c>
      <c r="T18" s="7">
        <f>VLOOKUP(Table3[[#This Row],[MD5]],Input[],22,FALSE)+(Distances!$AI$7*(ABS(Distances!$AB$7-VLOOKUP(Table3[[#This Row],[MD5]],Input[],22,FALSE))*Distances!$AC$7))</f>
        <v>735.39567592592448</v>
      </c>
      <c r="U18" s="7">
        <f>VLOOKUP(Table3[[#This Row],[MD5]],Input[],23,FALSE)+(Distances!$AI$8*(ABS(Distances!$AD$8-VLOOKUP(Table3[[#This Row],[MD5]],Input[],23,FALSE))*Distances!$AC$8))</f>
        <v>557.5980041666661</v>
      </c>
      <c r="V18" s="43">
        <f>SQRT(SUM((Table3[[#This Row],[time''4]]-Distances!$AD$6)^2,(Table3[[#This Row],[price''4]]-Distances!$AD$7)^2,(Table3[[#This Row],[energy''4]]-Distances!$AD$8)^2))</f>
        <v>875.44034896441894</v>
      </c>
      <c r="W18" s="58">
        <f>((Table3[[#This Row],[score-rt-df]]-MIN(Table3[score-rt-df]))*$G$6)/(MAX(Table3[score-rt-df])-MIN(Table3[score-rt-df]))</f>
        <v>2.6843403499927171E-6</v>
      </c>
      <c r="AY18" t="str">
        <f>Table3[[#This Row],[QW'#]]</f>
        <v>qw111</v>
      </c>
      <c r="AZ18" t="str">
        <f>VLOOKUP(Table10[[#This Row],[QW'#]],Table3[],2,FALSE)</f>
        <v>684db1b58ca9006d06cd3301bf3f9fe7</v>
      </c>
      <c r="BA18" s="54">
        <f>IF(ABS(VLOOKUP(Table10[[#This Row],[QW'#]],Table3[],7,FALSE)-0)&lt;=$AZ$6,1,0)</f>
        <v>1</v>
      </c>
      <c r="BB18" s="54">
        <f>IF(ABS(VLOOKUP(Table10[[#This Row],[QW'#]],Table3[],22,FALSE)-0)&lt;=$AZ$6,1,0)</f>
        <v>1</v>
      </c>
      <c r="BC18" s="54">
        <f>IF(AND(Table10[[#This Row],[Retrieved]]=0, Table10[[#This Row],[Relevant]]=0),1,0)</f>
        <v>0</v>
      </c>
      <c r="BD18" s="54">
        <f>IF(AND(Table10[[#This Row],[Retrieved]]=0, Table10[[#This Row],[Relevant]]=1),1,0)</f>
        <v>0</v>
      </c>
      <c r="BE18" s="54">
        <f>IF(AND(Table10[[#This Row],[Retrieved]]=1, Table10[[#This Row],[Relevant]]=0),1,0)</f>
        <v>0</v>
      </c>
      <c r="BF18" s="54">
        <f>IF(AND(Table10[[#This Row],[Retrieved]]=1, Table10[[#This Row],[Relevant]]=1),1,0)</f>
        <v>1</v>
      </c>
    </row>
    <row r="19" spans="2:58">
      <c r="B19" s="76" t="s">
        <v>290</v>
      </c>
      <c r="C19" s="10" t="s">
        <v>158</v>
      </c>
      <c r="D19" s="8">
        <f>VLOOKUP(Table3[[#This Row],[MD5]],Input[],3,FALSE)+(Distances!$AA$6*(ABS(Distances!$AD$6-VLOOKUP(Table3[[#This Row],[MD5]],Input[],3,FALSE))*Distances!$AC$6))</f>
        <v>55.98857143</v>
      </c>
      <c r="E19" s="7">
        <f>VLOOKUP(Table3[[#This Row],[MD5]],Input[],4,FALSE)+(Distances!$AA$7*(ABS(Distances!$AD$7-VLOOKUP(Table3[[#This Row],[MD5]],Input[],4,FALSE))*Distances!$AC$7))</f>
        <v>57.466666666666669</v>
      </c>
      <c r="F19" s="7">
        <f>VLOOKUP(Table3[[#This Row],[MD5]],Input[],5,FALSE)+(Distances!$AA$8*(ABS(Distances!$AD$8-VLOOKUP(Table3[[#This Row],[MD5]],Input[],5,FALSE))*Distances!$AC$8))</f>
        <v>52.933333333333337</v>
      </c>
      <c r="G19" s="46">
        <f>SQRT(SUM((Table3[[#This Row],[time]]-Distances!$AD$6)^2,(Table3[[#This Row],[price]]-Distances!$AD$7)^2,(Table3[[#This Row],[energy]]-Distances!$AD$8)^2))</f>
        <v>10.010921202754911</v>
      </c>
      <c r="H19" s="46">
        <f>((Table3[[#This Row],[score-bt]]-MIN(Table3[score-bt]))*$G$6)/(MAX(Table3[score-bt])-MIN(Table3[score-bt]))</f>
        <v>0</v>
      </c>
      <c r="I19" s="8">
        <f>VLOOKUP(Table3[[#This Row],[MD5]],Input[],9,FALSE)+(Distances!$AA$6*(ABS(Distances!$AD$6-VLOOKUP(Table3[[#This Row],[MD5]],Input[],9,FALSE))*Distances!$AC$6))</f>
        <v>-23.03736105642858</v>
      </c>
      <c r="J19" s="7">
        <f>VLOOKUP(Table3[[#This Row],[MD5]],Input[],10,FALSE)+(Distances!$AA$7*(ABS(Distances!$AD$7-VLOOKUP(Table3[[#This Row],[MD5]],Input[],10,FALSE))*Distances!$AC$7))</f>
        <v>-14.763610491666666</v>
      </c>
      <c r="K19" s="7">
        <f>VLOOKUP(Table3[[#This Row],[MD5]],Input[],11,FALSE)+(Distances!$AA$8*(ABS(Distances!$AD$8-VLOOKUP(Table3[[#This Row],[MD5]],Input[],11,FALSE))*Distances!$AC$8))</f>
        <v>-6.8807952810416664</v>
      </c>
      <c r="L19" s="44">
        <f>SQRT(SUM((Table3[[#This Row],[time''2]]-Distances!$AD$6)^2,(Table3[[#This Row],[price''2]]-Distances!$AD$7)^2,(Table3[[#This Row],[energy''2]]-Distances!$AD$8)^2))</f>
        <v>112.9787866185825</v>
      </c>
      <c r="M19" s="44">
        <f>((Table3[[#This Row],[score-rt-partialcf]]-MIN(Table3[score-rt-partialcf]))*$G$6)/(MAX(Table3[score-rt-partialcf])-MIN(Table3[score-rt-partialcf]))</f>
        <v>0.99288303701252945</v>
      </c>
      <c r="N19" s="8">
        <f>VLOOKUP(Table3[[#This Row],[MD5]],Input[],15,FALSE)+(Distances!$AA$6*(ABS(Distances!$AD$6-VLOOKUP(Table3[[#This Row],[MD5]],Input[],15,FALSE))*Distances!$AC$6))</f>
        <v>-23.441656021607152</v>
      </c>
      <c r="O19" s="7">
        <f>VLOOKUP(Table3[[#This Row],[MD5]],Input[],16,FALSE)+(Distances!$AA$7*(ABS(Distances!$AD$7-VLOOKUP(Table3[[#This Row],[MD5]],Input[],16,FALSE))*Distances!$AC$7))</f>
        <v>55.417252225000006</v>
      </c>
      <c r="P19" s="7">
        <f>VLOOKUP(Table3[[#This Row],[MD5]],Input[],17,FALSE)+(Distances!$AA$8*(ABS(Distances!$AD$8-VLOOKUP(Table3[[#This Row],[MD5]],Input[],11,FALSE))*Distances!$AC$8))</f>
        <v>42.257979431041669</v>
      </c>
      <c r="Q19" s="47">
        <f>SQRT(SUM((Table3[[#This Row],[time''3]]-Distances!$AD$6)^2,(Table3[[#This Row],[price''3]]-Distances!$AD$7)^2,(Table3[[#This Row],[energy''3]]-Distances!$AD$8)^2))</f>
        <v>74.047027917098106</v>
      </c>
      <c r="R19" s="47">
        <f>((Table3[[#This Row],[score-rt-fullcf]]-MIN(Table3[score-rt-fullcf]))*$G$6)/(MAX(Table3[score-rt-fullcf])-MIN(Table3[score-rt-fullcf]))</f>
        <v>0.9998128162918748</v>
      </c>
      <c r="S19" s="8">
        <f>VLOOKUP(Table3[[#This Row],[MD5]],Input[],21,FALSE)+(Distances!$AI$6*(ABS(Distances!$L$3-VLOOKUP(Table3[[#This Row],[MD5]],Input[],21,FALSE))*Distances!$AC$6))</f>
        <v>247.41539499999968</v>
      </c>
      <c r="T19" s="7">
        <f>VLOOKUP(Table3[[#This Row],[MD5]],Input[],22,FALSE)+(Distances!$AI$7*(ABS(Distances!$AB$7-VLOOKUP(Table3[[#This Row],[MD5]],Input[],22,FALSE))*Distances!$AC$7))</f>
        <v>735.39567592592448</v>
      </c>
      <c r="U19" s="7">
        <f>VLOOKUP(Table3[[#This Row],[MD5]],Input[],23,FALSE)+(Distances!$AI$8*(ABS(Distances!$AD$8-VLOOKUP(Table3[[#This Row],[MD5]],Input[],23,FALSE))*Distances!$AC$8))</f>
        <v>557.5980041666661</v>
      </c>
      <c r="V19" s="43">
        <f>SQRT(SUM((Table3[[#This Row],[time''4]]-Distances!$AD$6)^2,(Table3[[#This Row],[price''4]]-Distances!$AD$7)^2,(Table3[[#This Row],[energy''4]]-Distances!$AD$8)^2))</f>
        <v>875.44034896441894</v>
      </c>
      <c r="W19" s="58">
        <f>((Table3[[#This Row],[score-rt-df]]-MIN(Table3[score-rt-df]))*$G$6)/(MAX(Table3[score-rt-df])-MIN(Table3[score-rt-df]))</f>
        <v>2.6843403499927171E-6</v>
      </c>
      <c r="AY19" t="str">
        <f>Table3[[#This Row],[QW'#]]</f>
        <v>qw112</v>
      </c>
      <c r="AZ19" t="str">
        <f>VLOOKUP(Table10[[#This Row],[QW'#]],Table3[],2,FALSE)</f>
        <v>1a12dcaad03fe1bc5d2685c326aaa45b</v>
      </c>
      <c r="BA19" s="54">
        <f>IF(ABS(VLOOKUP(Table10[[#This Row],[QW'#]],Table3[],7,FALSE)-0)&lt;=$AZ$6,1,0)</f>
        <v>1</v>
      </c>
      <c r="BB19" s="54">
        <f>IF(ABS(VLOOKUP(Table10[[#This Row],[QW'#]],Table3[],22,FALSE)-0)&lt;=$AZ$6,1,0)</f>
        <v>1</v>
      </c>
      <c r="BC19" s="54">
        <f>IF(AND(Table10[[#This Row],[Retrieved]]=0, Table10[[#This Row],[Relevant]]=0),1,0)</f>
        <v>0</v>
      </c>
      <c r="BD19" s="54">
        <f>IF(AND(Table10[[#This Row],[Retrieved]]=0, Table10[[#This Row],[Relevant]]=1),1,0)</f>
        <v>0</v>
      </c>
      <c r="BE19" s="54">
        <f>IF(AND(Table10[[#This Row],[Retrieved]]=1, Table10[[#This Row],[Relevant]]=0),1,0)</f>
        <v>0</v>
      </c>
      <c r="BF19" s="54">
        <f>IF(AND(Table10[[#This Row],[Retrieved]]=1, Table10[[#This Row],[Relevant]]=1),1,0)</f>
        <v>1</v>
      </c>
    </row>
    <row r="20" spans="2:58">
      <c r="B20" s="76" t="s">
        <v>25</v>
      </c>
      <c r="C20" s="10" t="s">
        <v>63</v>
      </c>
      <c r="D20" s="8">
        <f>VLOOKUP(Table3[[#This Row],[MD5]],Input[],3,FALSE)+(Distances!$AA$6*(ABS(Distances!$AD$6-VLOOKUP(Table3[[#This Row],[MD5]],Input[],3,FALSE))*Distances!$AC$6))</f>
        <v>55.98857143</v>
      </c>
      <c r="E20" s="7">
        <f>VLOOKUP(Table3[[#This Row],[MD5]],Input[],4,FALSE)+(Distances!$AA$7*(ABS(Distances!$AD$7-VLOOKUP(Table3[[#This Row],[MD5]],Input[],4,FALSE))*Distances!$AC$7))</f>
        <v>57.466666666666669</v>
      </c>
      <c r="F20" s="7">
        <f>VLOOKUP(Table3[[#This Row],[MD5]],Input[],5,FALSE)+(Distances!$AA$8*(ABS(Distances!$AD$8-VLOOKUP(Table3[[#This Row],[MD5]],Input[],5,FALSE))*Distances!$AC$8))</f>
        <v>52.933333333333337</v>
      </c>
      <c r="G20" s="46">
        <f>SQRT(SUM((Table3[[#This Row],[time]]-Distances!$AD$6)^2,(Table3[[#This Row],[price]]-Distances!$AD$7)^2,(Table3[[#This Row],[energy]]-Distances!$AD$8)^2))</f>
        <v>10.010921202754911</v>
      </c>
      <c r="H20" s="46">
        <f>((Table3[[#This Row],[score-bt]]-MIN(Table3[score-bt]))*$G$6)/(MAX(Table3[score-bt])-MIN(Table3[score-bt]))</f>
        <v>0</v>
      </c>
      <c r="I20" s="8">
        <f>VLOOKUP(Table3[[#This Row],[MD5]],Input[],9,FALSE)+(Distances!$AA$6*(ABS(Distances!$AD$6-VLOOKUP(Table3[[#This Row],[MD5]],Input[],9,FALSE))*Distances!$AC$6))</f>
        <v>-23.44053041357143</v>
      </c>
      <c r="J20" s="7">
        <f>VLOOKUP(Table3[[#This Row],[MD5]],Input[],10,FALSE)+(Distances!$AA$7*(ABS(Distances!$AD$7-VLOOKUP(Table3[[#This Row],[MD5]],Input[],10,FALSE))*Distances!$AC$7))</f>
        <v>-15.297357158333341</v>
      </c>
      <c r="K20" s="7">
        <f>VLOOKUP(Table3[[#This Row],[MD5]],Input[],11,FALSE)+(Distances!$AA$8*(ABS(Distances!$AD$8-VLOOKUP(Table3[[#This Row],[MD5]],Input[],11,FALSE))*Distances!$AC$8))</f>
        <v>-7.2855531699305542</v>
      </c>
      <c r="L20" s="44">
        <f>SQRT(SUM((Table3[[#This Row],[time''2]]-Distances!$AD$6)^2,(Table3[[#This Row],[price''2]]-Distances!$AD$7)^2,(Table3[[#This Row],[energy''2]]-Distances!$AD$8)^2))</f>
        <v>113.7492459811255</v>
      </c>
      <c r="M20" s="44">
        <f>((Table3[[#This Row],[score-rt-partialcf]]-MIN(Table3[score-rt-partialcf]))*$G$6)/(MAX(Table3[score-rt-partialcf])-MIN(Table3[score-rt-partialcf]))</f>
        <v>0.99999748900037733</v>
      </c>
      <c r="N20" s="8">
        <f>VLOOKUP(Table3[[#This Row],[MD5]],Input[],15,FALSE)+(Distances!$AA$6*(ABS(Distances!$AD$6-VLOOKUP(Table3[[#This Row],[MD5]],Input[],15,FALSE))*Distances!$AC$6))</f>
        <v>-23.441656021607152</v>
      </c>
      <c r="O20" s="7">
        <f>VLOOKUP(Table3[[#This Row],[MD5]],Input[],16,FALSE)+(Distances!$AA$7*(ABS(Distances!$AD$7-VLOOKUP(Table3[[#This Row],[MD5]],Input[],16,FALSE))*Distances!$AC$7))</f>
        <v>55.417252225000006</v>
      </c>
      <c r="P20" s="7">
        <f>VLOOKUP(Table3[[#This Row],[MD5]],Input[],17,FALSE)+(Distances!$AA$8*(ABS(Distances!$AD$8-VLOOKUP(Table3[[#This Row],[MD5]],Input[],11,FALSE))*Distances!$AC$8))</f>
        <v>42.200156875486115</v>
      </c>
      <c r="Q20" s="47">
        <f>SQRT(SUM((Table3[[#This Row],[time''3]]-Distances!$AD$6)^2,(Table3[[#This Row],[price''3]]-Distances!$AD$7)^2,(Table3[[#This Row],[energy''3]]-Distances!$AD$8)^2))</f>
        <v>74.05309590849231</v>
      </c>
      <c r="R20" s="47">
        <f>((Table3[[#This Row],[score-rt-fullcf]]-MIN(Table3[score-rt-fullcf]))*$G$6)/(MAX(Table3[score-rt-fullcf])-MIN(Table3[score-rt-fullcf]))</f>
        <v>0.99999886462198961</v>
      </c>
      <c r="S20" s="8">
        <f>VLOOKUP(Table3[[#This Row],[MD5]],Input[],21,FALSE)+(Distances!$AI$6*(ABS(Distances!$L$3-VLOOKUP(Table3[[#This Row],[MD5]],Input[],21,FALSE))*Distances!$AC$6))</f>
        <v>247.41539499999968</v>
      </c>
      <c r="T20" s="7">
        <f>VLOOKUP(Table3[[#This Row],[MD5]],Input[],22,FALSE)+(Distances!$AI$7*(ABS(Distances!$AB$7-VLOOKUP(Table3[[#This Row],[MD5]],Input[],22,FALSE))*Distances!$AC$7))</f>
        <v>735.39567592592448</v>
      </c>
      <c r="U20" s="7">
        <f>VLOOKUP(Table3[[#This Row],[MD5]],Input[],23,FALSE)+(Distances!$AI$8*(ABS(Distances!$AD$8-VLOOKUP(Table3[[#This Row],[MD5]],Input[],23,FALSE))*Distances!$AC$8))</f>
        <v>557.5980041666661</v>
      </c>
      <c r="V20" s="43">
        <f>SQRT(SUM((Table3[[#This Row],[time''4]]-Distances!$AD$6)^2,(Table3[[#This Row],[price''4]]-Distances!$AD$7)^2,(Table3[[#This Row],[energy''4]]-Distances!$AD$8)^2))</f>
        <v>875.44034896441894</v>
      </c>
      <c r="W20" s="58">
        <f>((Table3[[#This Row],[score-rt-df]]-MIN(Table3[score-rt-df]))*$G$6)/(MAX(Table3[score-rt-df])-MIN(Table3[score-rt-df]))</f>
        <v>2.6843403499927171E-6</v>
      </c>
      <c r="AY20" t="str">
        <f>Table3[[#This Row],[QW'#]]</f>
        <v>qw17</v>
      </c>
      <c r="AZ20" t="str">
        <f>VLOOKUP(Table10[[#This Row],[QW'#]],Table3[],2,FALSE)</f>
        <v>9f6bcbf45841a3489be322d79177d9ca</v>
      </c>
      <c r="BA20" s="54">
        <f>IF(ABS(VLOOKUP(Table10[[#This Row],[QW'#]],Table3[],7,FALSE)-0)&lt;=$AZ$6,1,0)</f>
        <v>1</v>
      </c>
      <c r="BB20" s="54">
        <f>IF(ABS(VLOOKUP(Table10[[#This Row],[QW'#]],Table3[],22,FALSE)-0)&lt;=$AZ$6,1,0)</f>
        <v>1</v>
      </c>
      <c r="BC20" s="54">
        <f>IF(AND(Table10[[#This Row],[Retrieved]]=0, Table10[[#This Row],[Relevant]]=0),1,0)</f>
        <v>0</v>
      </c>
      <c r="BD20" s="54">
        <f>IF(AND(Table10[[#This Row],[Retrieved]]=0, Table10[[#This Row],[Relevant]]=1),1,0)</f>
        <v>0</v>
      </c>
      <c r="BE20" s="54">
        <f>IF(AND(Table10[[#This Row],[Retrieved]]=1, Table10[[#This Row],[Relevant]]=0),1,0)</f>
        <v>0</v>
      </c>
      <c r="BF20" s="54">
        <f>IF(AND(Table10[[#This Row],[Retrieved]]=1, Table10[[#This Row],[Relevant]]=1),1,0)</f>
        <v>1</v>
      </c>
    </row>
    <row r="21" spans="2:58">
      <c r="B21" s="76" t="s">
        <v>259</v>
      </c>
      <c r="C21" s="10" t="s">
        <v>127</v>
      </c>
      <c r="D21" s="8">
        <f>VLOOKUP(Table3[[#This Row],[MD5]],Input[],3,FALSE)+(Distances!$AA$6*(ABS(Distances!$AD$6-VLOOKUP(Table3[[#This Row],[MD5]],Input[],3,FALSE))*Distances!$AC$6))</f>
        <v>55.98857143</v>
      </c>
      <c r="E21" s="7">
        <f>VLOOKUP(Table3[[#This Row],[MD5]],Input[],4,FALSE)+(Distances!$AA$7*(ABS(Distances!$AD$7-VLOOKUP(Table3[[#This Row],[MD5]],Input[],4,FALSE))*Distances!$AC$7))</f>
        <v>57.466666666666669</v>
      </c>
      <c r="F21" s="7">
        <f>VLOOKUP(Table3[[#This Row],[MD5]],Input[],5,FALSE)+(Distances!$AA$8*(ABS(Distances!$AD$8-VLOOKUP(Table3[[#This Row],[MD5]],Input[],5,FALSE))*Distances!$AC$8))</f>
        <v>52.933333333333337</v>
      </c>
      <c r="G21" s="46">
        <f>SQRT(SUM((Table3[[#This Row],[time]]-Distances!$AD$6)^2,(Table3[[#This Row],[price]]-Distances!$AD$7)^2,(Table3[[#This Row],[energy]]-Distances!$AD$8)^2))</f>
        <v>10.010921202754911</v>
      </c>
      <c r="H21" s="46">
        <f>((Table3[[#This Row],[score-bt]]-MIN(Table3[score-bt]))*$G$6)/(MAX(Table3[score-bt])-MIN(Table3[score-bt]))</f>
        <v>0</v>
      </c>
      <c r="I21" s="8">
        <f>VLOOKUP(Table3[[#This Row],[MD5]],Input[],9,FALSE)+(Distances!$AA$6*(ABS(Distances!$AD$6-VLOOKUP(Table3[[#This Row],[MD5]],Input[],9,FALSE))*Distances!$AC$6))</f>
        <v>-23.440531735446427</v>
      </c>
      <c r="J21" s="7">
        <f>VLOOKUP(Table3[[#This Row],[MD5]],Input[],10,FALSE)+(Distances!$AA$7*(ABS(Distances!$AD$7-VLOOKUP(Table3[[#This Row],[MD5]],Input[],10,FALSE))*Distances!$AC$7))</f>
        <v>-15.29735890833334</v>
      </c>
      <c r="K21" s="7">
        <f>VLOOKUP(Table3[[#This Row],[MD5]],Input[],11,FALSE)+(Distances!$AA$8*(ABS(Distances!$AD$8-VLOOKUP(Table3[[#This Row],[MD5]],Input[],11,FALSE))*Distances!$AC$8))</f>
        <v>-7.2855544970138881</v>
      </c>
      <c r="L21" s="44">
        <f>SQRT(SUM((Table3[[#This Row],[time''2]]-Distances!$AD$6)^2,(Table3[[#This Row],[price''2]]-Distances!$AD$7)^2,(Table3[[#This Row],[energy''2]]-Distances!$AD$8)^2))</f>
        <v>113.74924850749196</v>
      </c>
      <c r="M21" s="44">
        <f>((Table3[[#This Row],[score-rt-partialcf]]-MIN(Table3[score-rt-partialcf]))*$G$6)/(MAX(Table3[score-rt-partialcf])-MIN(Table3[score-rt-partialcf]))</f>
        <v>0.9999975123289444</v>
      </c>
      <c r="N21" s="8">
        <f>VLOOKUP(Table3[[#This Row],[MD5]],Input[],15,FALSE)+(Distances!$AA$6*(ABS(Distances!$AD$6-VLOOKUP(Table3[[#This Row],[MD5]],Input[],15,FALSE))*Distances!$AC$6))</f>
        <v>-23.441656021607152</v>
      </c>
      <c r="O21" s="7">
        <f>VLOOKUP(Table3[[#This Row],[MD5]],Input[],16,FALSE)+(Distances!$AA$7*(ABS(Distances!$AD$7-VLOOKUP(Table3[[#This Row],[MD5]],Input[],16,FALSE))*Distances!$AC$7))</f>
        <v>55.417252225000006</v>
      </c>
      <c r="P21" s="7">
        <f>VLOOKUP(Table3[[#This Row],[MD5]],Input[],17,FALSE)+(Distances!$AA$8*(ABS(Distances!$AD$8-VLOOKUP(Table3[[#This Row],[MD5]],Input[],11,FALSE))*Distances!$AC$8))</f>
        <v>42.200156685902776</v>
      </c>
      <c r="Q21" s="47">
        <f>SQRT(SUM((Table3[[#This Row],[time''3]]-Distances!$AD$6)^2,(Table3[[#This Row],[price''3]]-Distances!$AD$7)^2,(Table3[[#This Row],[energy''3]]-Distances!$AD$8)^2))</f>
        <v>74.053095928460678</v>
      </c>
      <c r="R21" s="47">
        <f>((Table3[[#This Row],[score-rt-fullcf]]-MIN(Table3[score-rt-fullcf]))*$G$6)/(MAX(Table3[score-rt-fullcf])-MIN(Table3[score-rt-fullcf]))</f>
        <v>0.99999886523423198</v>
      </c>
      <c r="S21" s="8">
        <f>VLOOKUP(Table3[[#This Row],[MD5]],Input[],21,FALSE)+(Distances!$AI$6*(ABS(Distances!$L$3-VLOOKUP(Table3[[#This Row],[MD5]],Input[],21,FALSE))*Distances!$AC$6))</f>
        <v>247.41539499999968</v>
      </c>
      <c r="T21" s="7">
        <f>VLOOKUP(Table3[[#This Row],[MD5]],Input[],22,FALSE)+(Distances!$AI$7*(ABS(Distances!$AB$7-VLOOKUP(Table3[[#This Row],[MD5]],Input[],22,FALSE))*Distances!$AC$7))</f>
        <v>735.39567592592448</v>
      </c>
      <c r="U21" s="7">
        <f>VLOOKUP(Table3[[#This Row],[MD5]],Input[],23,FALSE)+(Distances!$AI$8*(ABS(Distances!$AD$8-VLOOKUP(Table3[[#This Row],[MD5]],Input[],23,FALSE))*Distances!$AC$8))</f>
        <v>557.5980041666661</v>
      </c>
      <c r="V21" s="43">
        <f>SQRT(SUM((Table3[[#This Row],[time''4]]-Distances!$AD$6)^2,(Table3[[#This Row],[price''4]]-Distances!$AD$7)^2,(Table3[[#This Row],[energy''4]]-Distances!$AD$8)^2))</f>
        <v>875.44034896441894</v>
      </c>
      <c r="W21" s="58">
        <f>((Table3[[#This Row],[score-rt-df]]-MIN(Table3[score-rt-df]))*$G$6)/(MAX(Table3[score-rt-df])-MIN(Table3[score-rt-df]))</f>
        <v>2.6843403499927171E-6</v>
      </c>
      <c r="AY21" t="str">
        <f>Table3[[#This Row],[QW'#]]</f>
        <v>qw81</v>
      </c>
      <c r="AZ21" t="str">
        <f>VLOOKUP(Table10[[#This Row],[QW'#]],Table3[],2,FALSE)</f>
        <v>9b72cf3dc9d867340ba8d9f2351f73b7</v>
      </c>
      <c r="BA21" s="54">
        <f>IF(ABS(VLOOKUP(Table10[[#This Row],[QW'#]],Table3[],7,FALSE)-0)&lt;=$AZ$6,1,0)</f>
        <v>1</v>
      </c>
      <c r="BB21" s="54">
        <f>IF(ABS(VLOOKUP(Table10[[#This Row],[QW'#]],Table3[],22,FALSE)-0)&lt;=$AZ$6,1,0)</f>
        <v>1</v>
      </c>
      <c r="BC21" s="54">
        <f>IF(AND(Table10[[#This Row],[Retrieved]]=0, Table10[[#This Row],[Relevant]]=0),1,0)</f>
        <v>0</v>
      </c>
      <c r="BD21" s="54">
        <f>IF(AND(Table10[[#This Row],[Retrieved]]=0, Table10[[#This Row],[Relevant]]=1),1,0)</f>
        <v>0</v>
      </c>
      <c r="BE21" s="54">
        <f>IF(AND(Table10[[#This Row],[Retrieved]]=1, Table10[[#This Row],[Relevant]]=0),1,0)</f>
        <v>0</v>
      </c>
      <c r="BF21" s="54">
        <f>IF(AND(Table10[[#This Row],[Retrieved]]=1, Table10[[#This Row],[Relevant]]=1),1,0)</f>
        <v>1</v>
      </c>
    </row>
    <row r="22" spans="2:58">
      <c r="B22" s="76" t="s">
        <v>237</v>
      </c>
      <c r="C22" s="10" t="s">
        <v>105</v>
      </c>
      <c r="D22" s="8">
        <f>VLOOKUP(Table3[[#This Row],[MD5]],Input[],3,FALSE)+(Distances!$AA$6*(ABS(Distances!$AD$6-VLOOKUP(Table3[[#This Row],[MD5]],Input[],3,FALSE))*Distances!$AC$6))</f>
        <v>55.98857143</v>
      </c>
      <c r="E22" s="7">
        <f>VLOOKUP(Table3[[#This Row],[MD5]],Input[],4,FALSE)+(Distances!$AA$7*(ABS(Distances!$AD$7-VLOOKUP(Table3[[#This Row],[MD5]],Input[],4,FALSE))*Distances!$AC$7))</f>
        <v>57.466666666666669</v>
      </c>
      <c r="F22" s="7">
        <f>VLOOKUP(Table3[[#This Row],[MD5]],Input[],5,FALSE)+(Distances!$AA$8*(ABS(Distances!$AD$8-VLOOKUP(Table3[[#This Row],[MD5]],Input[],5,FALSE))*Distances!$AC$8))</f>
        <v>52.933333333333337</v>
      </c>
      <c r="G22" s="46">
        <f>SQRT(SUM((Table3[[#This Row],[time]]-Distances!$AD$6)^2,(Table3[[#This Row],[price]]-Distances!$AD$7)^2,(Table3[[#This Row],[energy]]-Distances!$AD$8)^2))</f>
        <v>10.010921202754911</v>
      </c>
      <c r="H22" s="46">
        <f>((Table3[[#This Row],[score-bt]]-MIN(Table3[score-bt]))*$G$6)/(MAX(Table3[score-bt])-MIN(Table3[score-bt]))</f>
        <v>0</v>
      </c>
      <c r="I22" s="8">
        <f>VLOOKUP(Table3[[#This Row],[MD5]],Input[],9,FALSE)+(Distances!$AA$6*(ABS(Distances!$AD$6-VLOOKUP(Table3[[#This Row],[MD5]],Input[],9,FALSE))*Distances!$AC$6))</f>
        <v>-23.44052468544643</v>
      </c>
      <c r="J22" s="7">
        <f>VLOOKUP(Table3[[#This Row],[MD5]],Input[],10,FALSE)+(Distances!$AA$7*(ABS(Distances!$AD$7-VLOOKUP(Table3[[#This Row],[MD5]],Input[],10,FALSE))*Distances!$AC$7))</f>
        <v>-15.297349575000005</v>
      </c>
      <c r="K22" s="7">
        <f>VLOOKUP(Table3[[#This Row],[MD5]],Input[],11,FALSE)+(Distances!$AA$8*(ABS(Distances!$AD$8-VLOOKUP(Table3[[#This Row],[MD5]],Input[],11,FALSE))*Distances!$AC$8))</f>
        <v>-7.28554741923611</v>
      </c>
      <c r="L22" s="44">
        <f>SQRT(SUM((Table3[[#This Row],[time''2]]-Distances!$AD$6)^2,(Table3[[#This Row],[price''2]]-Distances!$AD$7)^2,(Table3[[#This Row],[energy''2]]-Distances!$AD$8)^2))</f>
        <v>113.74923503353757</v>
      </c>
      <c r="M22" s="44">
        <f>((Table3[[#This Row],[score-rt-partialcf]]-MIN(Table3[score-rt-partialcf]))*$G$6)/(MAX(Table3[score-rt-partialcf])-MIN(Table3[score-rt-partialcf]))</f>
        <v>0.99999738790992088</v>
      </c>
      <c r="N22" s="8">
        <f>VLOOKUP(Table3[[#This Row],[MD5]],Input[],15,FALSE)+(Distances!$AA$6*(ABS(Distances!$AD$6-VLOOKUP(Table3[[#This Row],[MD5]],Input[],15,FALSE))*Distances!$AC$6))</f>
        <v>-23.441651615357152</v>
      </c>
      <c r="O22" s="7">
        <f>VLOOKUP(Table3[[#This Row],[MD5]],Input[],16,FALSE)+(Distances!$AA$7*(ABS(Distances!$AD$7-VLOOKUP(Table3[[#This Row],[MD5]],Input[],16,FALSE))*Distances!$AC$7))</f>
        <v>55.417253683333335</v>
      </c>
      <c r="P22" s="7">
        <f>VLOOKUP(Table3[[#This Row],[MD5]],Input[],17,FALSE)+(Distances!$AA$8*(ABS(Distances!$AD$8-VLOOKUP(Table3[[#This Row],[MD5]],Input[],11,FALSE))*Distances!$AC$8))</f>
        <v>42.200159592847157</v>
      </c>
      <c r="Q22" s="47">
        <f>SQRT(SUM((Table3[[#This Row],[time''3]]-Distances!$AD$6)^2,(Table3[[#This Row],[price''3]]-Distances!$AD$7)^2,(Table3[[#This Row],[energy''3]]-Distances!$AD$8)^2))</f>
        <v>74.053091359092733</v>
      </c>
      <c r="R22" s="47">
        <f>((Table3[[#This Row],[score-rt-fullcf]]-MIN(Table3[score-rt-fullcf]))*$G$6)/(MAX(Table3[score-rt-fullcf])-MIN(Table3[score-rt-fullcf]))</f>
        <v>0.99999872513461407</v>
      </c>
      <c r="S22" s="8">
        <f>VLOOKUP(Table3[[#This Row],[MD5]],Input[],21,FALSE)+(Distances!$AI$6*(ABS(Distances!$L$3-VLOOKUP(Table3[[#This Row],[MD5]],Input[],21,FALSE))*Distances!$AC$6))</f>
        <v>247.93806166666636</v>
      </c>
      <c r="T22" s="7">
        <f>VLOOKUP(Table3[[#This Row],[MD5]],Input[],22,FALSE)+(Distances!$AI$7*(ABS(Distances!$AB$7-VLOOKUP(Table3[[#This Row],[MD5]],Input[],22,FALSE))*Distances!$AC$7))</f>
        <v>735.520120370369</v>
      </c>
      <c r="U22" s="7">
        <f>VLOOKUP(Table3[[#This Row],[MD5]],Input[],23,FALSE)+(Distances!$AI$8*(ABS(Distances!$AD$8-VLOOKUP(Table3[[#This Row],[MD5]],Input[],23,FALSE))*Distances!$AC$8))</f>
        <v>557.69133749999946</v>
      </c>
      <c r="V22" s="43">
        <f>SQRT(SUM((Table3[[#This Row],[time''4]]-Distances!$AD$6)^2,(Table3[[#This Row],[price''4]]-Distances!$AD$7)^2,(Table3[[#This Row],[energy''4]]-Distances!$AD$8)^2))</f>
        <v>875.70988681269353</v>
      </c>
      <c r="W22" s="58">
        <f>((Table3[[#This Row],[score-rt-df]]-MIN(Table3[score-rt-df]))*$G$6)/(MAX(Table3[score-rt-df])-MIN(Table3[score-rt-df]))</f>
        <v>2.9063169977838991E-6</v>
      </c>
      <c r="AY22" t="str">
        <f>Table3[[#This Row],[QW'#]]</f>
        <v>qw59</v>
      </c>
      <c r="AZ22" t="str">
        <f>VLOOKUP(Table10[[#This Row],[QW'#]],Table3[],2,FALSE)</f>
        <v>0218d44871290ac3e5695123d974a043</v>
      </c>
      <c r="BA22" s="54">
        <f>IF(ABS(VLOOKUP(Table10[[#This Row],[QW'#]],Table3[],7,FALSE)-0)&lt;=$AZ$6,1,0)</f>
        <v>1</v>
      </c>
      <c r="BB22" s="54">
        <f>IF(ABS(VLOOKUP(Table10[[#This Row],[QW'#]],Table3[],22,FALSE)-0)&lt;=$AZ$6,1,0)</f>
        <v>1</v>
      </c>
      <c r="BC22" s="54">
        <f>IF(AND(Table10[[#This Row],[Retrieved]]=0, Table10[[#This Row],[Relevant]]=0),1,0)</f>
        <v>0</v>
      </c>
      <c r="BD22" s="54">
        <f>IF(AND(Table10[[#This Row],[Retrieved]]=0, Table10[[#This Row],[Relevant]]=1),1,0)</f>
        <v>0</v>
      </c>
      <c r="BE22" s="54">
        <f>IF(AND(Table10[[#This Row],[Retrieved]]=1, Table10[[#This Row],[Relevant]]=0),1,0)</f>
        <v>0</v>
      </c>
      <c r="BF22" s="54">
        <f>IF(AND(Table10[[#This Row],[Retrieved]]=1, Table10[[#This Row],[Relevant]]=1),1,0)</f>
        <v>1</v>
      </c>
    </row>
    <row r="23" spans="2:58">
      <c r="B23" s="76" t="s">
        <v>261</v>
      </c>
      <c r="C23" s="10" t="s">
        <v>129</v>
      </c>
      <c r="D23" s="8">
        <f>VLOOKUP(Table3[[#This Row],[MD5]],Input[],3,FALSE)+(Distances!$AA$6*(ABS(Distances!$AD$6-VLOOKUP(Table3[[#This Row],[MD5]],Input[],3,FALSE))*Distances!$AC$6))</f>
        <v>55.98857143</v>
      </c>
      <c r="E23" s="7">
        <f>VLOOKUP(Table3[[#This Row],[MD5]],Input[],4,FALSE)+(Distances!$AA$7*(ABS(Distances!$AD$7-VLOOKUP(Table3[[#This Row],[MD5]],Input[],4,FALSE))*Distances!$AC$7))</f>
        <v>57.466666666666669</v>
      </c>
      <c r="F23" s="7">
        <f>VLOOKUP(Table3[[#This Row],[MD5]],Input[],5,FALSE)+(Distances!$AA$8*(ABS(Distances!$AD$8-VLOOKUP(Table3[[#This Row],[MD5]],Input[],5,FALSE))*Distances!$AC$8))</f>
        <v>52.933333333333337</v>
      </c>
      <c r="G23" s="46">
        <f>SQRT(SUM((Table3[[#This Row],[time]]-Distances!$AD$6)^2,(Table3[[#This Row],[price]]-Distances!$AD$7)^2,(Table3[[#This Row],[energy]]-Distances!$AD$8)^2))</f>
        <v>10.010921202754911</v>
      </c>
      <c r="H23" s="46">
        <f>((Table3[[#This Row],[score-bt]]-MIN(Table3[score-bt]))*$G$6)/(MAX(Table3[score-bt])-MIN(Table3[score-bt]))</f>
        <v>0</v>
      </c>
      <c r="I23" s="8">
        <f>VLOOKUP(Table3[[#This Row],[MD5]],Input[],9,FALSE)+(Distances!$AA$6*(ABS(Distances!$AD$6-VLOOKUP(Table3[[#This Row],[MD5]],Input[],9,FALSE))*Distances!$AC$6))</f>
        <v>-23.03735532830358</v>
      </c>
      <c r="J23" s="7">
        <f>VLOOKUP(Table3[[#This Row],[MD5]],Input[],10,FALSE)+(Distances!$AA$7*(ABS(Distances!$AD$7-VLOOKUP(Table3[[#This Row],[MD5]],Input[],10,FALSE))*Distances!$AC$7))</f>
        <v>-14.763602908333342</v>
      </c>
      <c r="K23" s="7">
        <f>VLOOKUP(Table3[[#This Row],[MD5]],Input[],11,FALSE)+(Distances!$AA$8*(ABS(Distances!$AD$8-VLOOKUP(Table3[[#This Row],[MD5]],Input[],11,FALSE))*Distances!$AC$8))</f>
        <v>-6.8807895303472222</v>
      </c>
      <c r="L23" s="44">
        <f>SQRT(SUM((Table3[[#This Row],[time''2]]-Distances!$AD$6)^2,(Table3[[#This Row],[price''2]]-Distances!$AD$7)^2,(Table3[[#This Row],[energy''2]]-Distances!$AD$8)^2))</f>
        <v>112.97877567320694</v>
      </c>
      <c r="M23" s="44">
        <f>((Table3[[#This Row],[score-rt-partialcf]]-MIN(Table3[score-rt-partialcf]))*$G$6)/(MAX(Table3[score-rt-partialcf])-MIN(Table3[score-rt-partialcf]))</f>
        <v>0.99288293594250199</v>
      </c>
      <c r="N23" s="8">
        <f>VLOOKUP(Table3[[#This Row],[MD5]],Input[],15,FALSE)+(Distances!$AA$6*(ABS(Distances!$AD$6-VLOOKUP(Table3[[#This Row],[MD5]],Input[],15,FALSE))*Distances!$AC$6))</f>
        <v>-23.441651615357152</v>
      </c>
      <c r="O23" s="7">
        <f>VLOOKUP(Table3[[#This Row],[MD5]],Input[],16,FALSE)+(Distances!$AA$7*(ABS(Distances!$AD$7-VLOOKUP(Table3[[#This Row],[MD5]],Input[],16,FALSE))*Distances!$AC$7))</f>
        <v>55.417253683333335</v>
      </c>
      <c r="P23" s="7">
        <f>VLOOKUP(Table3[[#This Row],[MD5]],Input[],17,FALSE)+(Distances!$AA$8*(ABS(Distances!$AD$8-VLOOKUP(Table3[[#This Row],[MD5]],Input[],11,FALSE))*Distances!$AC$8))</f>
        <v>42.257982148402711</v>
      </c>
      <c r="Q23" s="47">
        <f>SQRT(SUM((Table3[[#This Row],[time''3]]-Distances!$AD$6)^2,(Table3[[#This Row],[price''3]]-Distances!$AD$7)^2,(Table3[[#This Row],[energy''3]]-Distances!$AD$8)^2))</f>
        <v>74.047023369447686</v>
      </c>
      <c r="R23" s="47">
        <f>((Table3[[#This Row],[score-rt-fullcf]]-MIN(Table3[score-rt-fullcf]))*$G$6)/(MAX(Table3[score-rt-fullcf])-MIN(Table3[score-rt-fullcf]))</f>
        <v>0.99981267685812947</v>
      </c>
      <c r="S23" s="8">
        <f>VLOOKUP(Table3[[#This Row],[MD5]],Input[],21,FALSE)+(Distances!$AI$6*(ABS(Distances!$L$3-VLOOKUP(Table3[[#This Row],[MD5]],Input[],21,FALSE))*Distances!$AC$6))</f>
        <v>247.93806166666636</v>
      </c>
      <c r="T23" s="7">
        <f>VLOOKUP(Table3[[#This Row],[MD5]],Input[],22,FALSE)+(Distances!$AI$7*(ABS(Distances!$AB$7-VLOOKUP(Table3[[#This Row],[MD5]],Input[],22,FALSE))*Distances!$AC$7))</f>
        <v>735.520120370369</v>
      </c>
      <c r="U23" s="7">
        <f>VLOOKUP(Table3[[#This Row],[MD5]],Input[],23,FALSE)+(Distances!$AI$8*(ABS(Distances!$AD$8-VLOOKUP(Table3[[#This Row],[MD5]],Input[],23,FALSE))*Distances!$AC$8))</f>
        <v>557.69133749999946</v>
      </c>
      <c r="V23" s="43">
        <f>SQRT(SUM((Table3[[#This Row],[time''4]]-Distances!$AD$6)^2,(Table3[[#This Row],[price''4]]-Distances!$AD$7)^2,(Table3[[#This Row],[energy''4]]-Distances!$AD$8)^2))</f>
        <v>875.70988681269353</v>
      </c>
      <c r="W23" s="58">
        <f>((Table3[[#This Row],[score-rt-df]]-MIN(Table3[score-rt-df]))*$G$6)/(MAX(Table3[score-rt-df])-MIN(Table3[score-rt-df]))</f>
        <v>2.9063169977838991E-6</v>
      </c>
      <c r="AY23" t="str">
        <f>Table3[[#This Row],[QW'#]]</f>
        <v>qw83</v>
      </c>
      <c r="AZ23" t="str">
        <f>VLOOKUP(Table10[[#This Row],[QW'#]],Table3[],2,FALSE)</f>
        <v>3546f4605ff5137190df875004787e0c</v>
      </c>
      <c r="BA23" s="54">
        <f>IF(ABS(VLOOKUP(Table10[[#This Row],[QW'#]],Table3[],7,FALSE)-0)&lt;=$AZ$6,1,0)</f>
        <v>1</v>
      </c>
      <c r="BB23" s="54">
        <f>IF(ABS(VLOOKUP(Table10[[#This Row],[QW'#]],Table3[],22,FALSE)-0)&lt;=$AZ$6,1,0)</f>
        <v>1</v>
      </c>
      <c r="BC23" s="54">
        <f>IF(AND(Table10[[#This Row],[Retrieved]]=0, Table10[[#This Row],[Relevant]]=0),1,0)</f>
        <v>0</v>
      </c>
      <c r="BD23" s="54">
        <f>IF(AND(Table10[[#This Row],[Retrieved]]=0, Table10[[#This Row],[Relevant]]=1),1,0)</f>
        <v>0</v>
      </c>
      <c r="BE23" s="54">
        <f>IF(AND(Table10[[#This Row],[Retrieved]]=1, Table10[[#This Row],[Relevant]]=0),1,0)</f>
        <v>0</v>
      </c>
      <c r="BF23" s="54">
        <f>IF(AND(Table10[[#This Row],[Retrieved]]=1, Table10[[#This Row],[Relevant]]=1),1,0)</f>
        <v>1</v>
      </c>
    </row>
    <row r="24" spans="2:58">
      <c r="B24" s="76" t="s">
        <v>272</v>
      </c>
      <c r="C24" s="10" t="s">
        <v>140</v>
      </c>
      <c r="D24" s="8">
        <f>VLOOKUP(Table3[[#This Row],[MD5]],Input[],3,FALSE)+(Distances!$AA$6*(ABS(Distances!$AD$6-VLOOKUP(Table3[[#This Row],[MD5]],Input[],3,FALSE))*Distances!$AC$6))</f>
        <v>55.98857143</v>
      </c>
      <c r="E24" s="7">
        <f>VLOOKUP(Table3[[#This Row],[MD5]],Input[],4,FALSE)+(Distances!$AA$7*(ABS(Distances!$AD$7-VLOOKUP(Table3[[#This Row],[MD5]],Input[],4,FALSE))*Distances!$AC$7))</f>
        <v>57.466666666666669</v>
      </c>
      <c r="F24" s="7">
        <f>VLOOKUP(Table3[[#This Row],[MD5]],Input[],5,FALSE)+(Distances!$AA$8*(ABS(Distances!$AD$8-VLOOKUP(Table3[[#This Row],[MD5]],Input[],5,FALSE))*Distances!$AC$8))</f>
        <v>52.933333333333337</v>
      </c>
      <c r="G24" s="46">
        <f>SQRT(SUM((Table3[[#This Row],[time]]-Distances!$AD$6)^2,(Table3[[#This Row],[price]]-Distances!$AD$7)^2,(Table3[[#This Row],[energy]]-Distances!$AD$8)^2))</f>
        <v>10.010921202754911</v>
      </c>
      <c r="H24" s="46">
        <f>((Table3[[#This Row],[score-bt]]-MIN(Table3[score-bt]))*$G$6)/(MAX(Table3[score-bt])-MIN(Table3[score-bt]))</f>
        <v>0</v>
      </c>
      <c r="I24" s="8">
        <f>VLOOKUP(Table3[[#This Row],[MD5]],Input[],9,FALSE)+(Distances!$AA$6*(ABS(Distances!$AD$6-VLOOKUP(Table3[[#This Row],[MD5]],Input[],9,FALSE))*Distances!$AC$6))</f>
        <v>-23.440516313571429</v>
      </c>
      <c r="J24" s="7">
        <f>VLOOKUP(Table3[[#This Row],[MD5]],Input[],10,FALSE)+(Distances!$AA$7*(ABS(Distances!$AD$7-VLOOKUP(Table3[[#This Row],[MD5]],Input[],10,FALSE))*Distances!$AC$7))</f>
        <v>-15.297338491666673</v>
      </c>
      <c r="K24" s="7">
        <f>VLOOKUP(Table3[[#This Row],[MD5]],Input[],11,FALSE)+(Distances!$AA$8*(ABS(Distances!$AD$8-VLOOKUP(Table3[[#This Row],[MD5]],Input[],11,FALSE))*Distances!$AC$8))</f>
        <v>-7.285539014374999</v>
      </c>
      <c r="L24" s="44">
        <f>SQRT(SUM((Table3[[#This Row],[time''2]]-Distances!$AD$6)^2,(Table3[[#This Row],[price''2]]-Distances!$AD$7)^2,(Table3[[#This Row],[energy''2]]-Distances!$AD$8)^2))</f>
        <v>113.74921903321679</v>
      </c>
      <c r="M24" s="44">
        <f>((Table3[[#This Row],[score-rt-partialcf]]-MIN(Table3[score-rt-partialcf]))*$G$6)/(MAX(Table3[score-rt-partialcf])-MIN(Table3[score-rt-partialcf]))</f>
        <v>0.99999724016233082</v>
      </c>
      <c r="N24" s="8">
        <f>VLOOKUP(Table3[[#This Row],[MD5]],Input[],15,FALSE)+(Distances!$AA$6*(ABS(Distances!$AD$6-VLOOKUP(Table3[[#This Row],[MD5]],Input[],15,FALSE))*Distances!$AC$6))</f>
        <v>-23.441651615357152</v>
      </c>
      <c r="O24" s="7">
        <f>VLOOKUP(Table3[[#This Row],[MD5]],Input[],16,FALSE)+(Distances!$AA$7*(ABS(Distances!$AD$7-VLOOKUP(Table3[[#This Row],[MD5]],Input[],16,FALSE))*Distances!$AC$7))</f>
        <v>55.417253683333335</v>
      </c>
      <c r="P24" s="7">
        <f>VLOOKUP(Table3[[#This Row],[MD5]],Input[],17,FALSE)+(Distances!$AA$8*(ABS(Distances!$AD$8-VLOOKUP(Table3[[#This Row],[MD5]],Input[],11,FALSE))*Distances!$AC$8))</f>
        <v>42.200160793541599</v>
      </c>
      <c r="Q24" s="47">
        <f>SQRT(SUM((Table3[[#This Row],[time''3]]-Distances!$AD$6)^2,(Table3[[#This Row],[price''3]]-Distances!$AD$7)^2,(Table3[[#This Row],[energy''3]]-Distances!$AD$8)^2))</f>
        <v>74.053091232626386</v>
      </c>
      <c r="R24" s="47">
        <f>((Table3[[#This Row],[score-rt-fullcf]]-MIN(Table3[score-rt-fullcf]))*$G$6)/(MAX(Table3[score-rt-fullcf])-MIN(Table3[score-rt-fullcf]))</f>
        <v>0.99999872125707845</v>
      </c>
      <c r="S24" s="8">
        <f>VLOOKUP(Table3[[#This Row],[MD5]],Input[],21,FALSE)+(Distances!$AI$6*(ABS(Distances!$L$3-VLOOKUP(Table3[[#This Row],[MD5]],Input[],21,FALSE))*Distances!$AC$6))</f>
        <v>247.93806166666636</v>
      </c>
      <c r="T24" s="7">
        <f>VLOOKUP(Table3[[#This Row],[MD5]],Input[],22,FALSE)+(Distances!$AI$7*(ABS(Distances!$AB$7-VLOOKUP(Table3[[#This Row],[MD5]],Input[],22,FALSE))*Distances!$AC$7))</f>
        <v>735.520120370369</v>
      </c>
      <c r="U24" s="7">
        <f>VLOOKUP(Table3[[#This Row],[MD5]],Input[],23,FALSE)+(Distances!$AI$8*(ABS(Distances!$AD$8-VLOOKUP(Table3[[#This Row],[MD5]],Input[],23,FALSE))*Distances!$AC$8))</f>
        <v>557.69133749999946</v>
      </c>
      <c r="V24" s="43">
        <f>SQRT(SUM((Table3[[#This Row],[time''4]]-Distances!$AD$6)^2,(Table3[[#This Row],[price''4]]-Distances!$AD$7)^2,(Table3[[#This Row],[energy''4]]-Distances!$AD$8)^2))</f>
        <v>875.70988681269353</v>
      </c>
      <c r="W24" s="58">
        <f>((Table3[[#This Row],[score-rt-df]]-MIN(Table3[score-rt-df]))*$G$6)/(MAX(Table3[score-rt-df])-MIN(Table3[score-rt-df]))</f>
        <v>2.9063169977838991E-6</v>
      </c>
      <c r="AY24" t="str">
        <f>Table3[[#This Row],[QW'#]]</f>
        <v>qw94</v>
      </c>
      <c r="AZ24" t="str">
        <f>VLOOKUP(Table10[[#This Row],[QW'#]],Table3[],2,FALSE)</f>
        <v>8943e9a60593e74faa6f765244edc206</v>
      </c>
      <c r="BA24" s="54">
        <f>IF(ABS(VLOOKUP(Table10[[#This Row],[QW'#]],Table3[],7,FALSE)-0)&lt;=$AZ$6,1,0)</f>
        <v>1</v>
      </c>
      <c r="BB24" s="54">
        <f>IF(ABS(VLOOKUP(Table10[[#This Row],[QW'#]],Table3[],22,FALSE)-0)&lt;=$AZ$6,1,0)</f>
        <v>1</v>
      </c>
      <c r="BC24" s="54">
        <f>IF(AND(Table10[[#This Row],[Retrieved]]=0, Table10[[#This Row],[Relevant]]=0),1,0)</f>
        <v>0</v>
      </c>
      <c r="BD24" s="54">
        <f>IF(AND(Table10[[#This Row],[Retrieved]]=0, Table10[[#This Row],[Relevant]]=1),1,0)</f>
        <v>0</v>
      </c>
      <c r="BE24" s="54">
        <f>IF(AND(Table10[[#This Row],[Retrieved]]=1, Table10[[#This Row],[Relevant]]=0),1,0)</f>
        <v>0</v>
      </c>
      <c r="BF24" s="54">
        <f>IF(AND(Table10[[#This Row],[Retrieved]]=1, Table10[[#This Row],[Relevant]]=1),1,0)</f>
        <v>1</v>
      </c>
    </row>
    <row r="25" spans="2:58">
      <c r="B25" s="76" t="s">
        <v>277</v>
      </c>
      <c r="C25" s="10" t="s">
        <v>145</v>
      </c>
      <c r="D25" s="8">
        <f>VLOOKUP(Table3[[#This Row],[MD5]],Input[],3,FALSE)+(Distances!$AA$6*(ABS(Distances!$AD$6-VLOOKUP(Table3[[#This Row],[MD5]],Input[],3,FALSE))*Distances!$AC$6))</f>
        <v>55.98857143</v>
      </c>
      <c r="E25" s="7">
        <f>VLOOKUP(Table3[[#This Row],[MD5]],Input[],4,FALSE)+(Distances!$AA$7*(ABS(Distances!$AD$7-VLOOKUP(Table3[[#This Row],[MD5]],Input[],4,FALSE))*Distances!$AC$7))</f>
        <v>57.466666666666669</v>
      </c>
      <c r="F25" s="7">
        <f>VLOOKUP(Table3[[#This Row],[MD5]],Input[],5,FALSE)+(Distances!$AA$8*(ABS(Distances!$AD$8-VLOOKUP(Table3[[#This Row],[MD5]],Input[],5,FALSE))*Distances!$AC$8))</f>
        <v>52.933333333333337</v>
      </c>
      <c r="G25" s="46">
        <f>SQRT(SUM((Table3[[#This Row],[time]]-Distances!$AD$6)^2,(Table3[[#This Row],[price]]-Distances!$AD$7)^2,(Table3[[#This Row],[energy]]-Distances!$AD$8)^2))</f>
        <v>10.010921202754911</v>
      </c>
      <c r="H25" s="46">
        <f>((Table3[[#This Row],[score-bt]]-MIN(Table3[score-bt]))*$G$6)/(MAX(Table3[score-bt])-MIN(Table3[score-bt]))</f>
        <v>0</v>
      </c>
      <c r="I25" s="8">
        <f>VLOOKUP(Table3[[#This Row],[MD5]],Input[],9,FALSE)+(Distances!$AA$6*(ABS(Distances!$AD$6-VLOOKUP(Table3[[#This Row],[MD5]],Input[],9,FALSE))*Distances!$AC$6))</f>
        <v>-23.037346956428578</v>
      </c>
      <c r="J25" s="7">
        <f>VLOOKUP(Table3[[#This Row],[MD5]],Input[],10,FALSE)+(Distances!$AA$7*(ABS(Distances!$AD$7-VLOOKUP(Table3[[#This Row],[MD5]],Input[],10,FALSE))*Distances!$AC$7))</f>
        <v>-14.763591825000008</v>
      </c>
      <c r="K25" s="7">
        <f>VLOOKUP(Table3[[#This Row],[MD5]],Input[],11,FALSE)+(Distances!$AA$8*(ABS(Distances!$AD$8-VLOOKUP(Table3[[#This Row],[MD5]],Input[],11,FALSE))*Distances!$AC$8))</f>
        <v>-6.8807811254861102</v>
      </c>
      <c r="L25" s="44">
        <f>SQRT(SUM((Table3[[#This Row],[time''2]]-Distances!$AD$6)^2,(Table3[[#This Row],[price''2]]-Distances!$AD$7)^2,(Table3[[#This Row],[energy''2]]-Distances!$AD$8)^2))</f>
        <v>112.97875967611961</v>
      </c>
      <c r="M25" s="44">
        <f>((Table3[[#This Row],[score-rt-partialcf]]-MIN(Table3[score-rt-partialcf]))*$G$6)/(MAX(Table3[score-rt-partialcf])-MIN(Table3[score-rt-partialcf]))</f>
        <v>0.99288278822476972</v>
      </c>
      <c r="N25" s="8">
        <f>VLOOKUP(Table3[[#This Row],[MD5]],Input[],15,FALSE)+(Distances!$AA$6*(ABS(Distances!$AD$6-VLOOKUP(Table3[[#This Row],[MD5]],Input[],15,FALSE))*Distances!$AC$6))</f>
        <v>-23.441651615357152</v>
      </c>
      <c r="O25" s="7">
        <f>VLOOKUP(Table3[[#This Row],[MD5]],Input[],16,FALSE)+(Distances!$AA$7*(ABS(Distances!$AD$7-VLOOKUP(Table3[[#This Row],[MD5]],Input[],16,FALSE))*Distances!$AC$7))</f>
        <v>55.417253683333335</v>
      </c>
      <c r="P25" s="7">
        <f>VLOOKUP(Table3[[#This Row],[MD5]],Input[],17,FALSE)+(Distances!$AA$8*(ABS(Distances!$AD$8-VLOOKUP(Table3[[#This Row],[MD5]],Input[],11,FALSE))*Distances!$AC$8))</f>
        <v>42.257983349097152</v>
      </c>
      <c r="Q25" s="47">
        <f>SQRT(SUM((Table3[[#This Row],[time''3]]-Distances!$AD$6)^2,(Table3[[#This Row],[price''3]]-Distances!$AD$7)^2,(Table3[[#This Row],[energy''3]]-Distances!$AD$8)^2))</f>
        <v>74.047023243908583</v>
      </c>
      <c r="R25" s="47">
        <f>((Table3[[#This Row],[score-rt-fullcf]]-MIN(Table3[score-rt-fullcf]))*$G$6)/(MAX(Table3[score-rt-fullcf])-MIN(Table3[score-rt-fullcf]))</f>
        <v>0.99981267300902377</v>
      </c>
      <c r="S25" s="8">
        <f>VLOOKUP(Table3[[#This Row],[MD5]],Input[],21,FALSE)+(Distances!$AI$6*(ABS(Distances!$L$3-VLOOKUP(Table3[[#This Row],[MD5]],Input[],21,FALSE))*Distances!$AC$6))</f>
        <v>247.93806166666636</v>
      </c>
      <c r="T25" s="7">
        <f>VLOOKUP(Table3[[#This Row],[MD5]],Input[],22,FALSE)+(Distances!$AI$7*(ABS(Distances!$AB$7-VLOOKUP(Table3[[#This Row],[MD5]],Input[],22,FALSE))*Distances!$AC$7))</f>
        <v>735.520120370369</v>
      </c>
      <c r="U25" s="7">
        <f>VLOOKUP(Table3[[#This Row],[MD5]],Input[],23,FALSE)+(Distances!$AI$8*(ABS(Distances!$AD$8-VLOOKUP(Table3[[#This Row],[MD5]],Input[],23,FALSE))*Distances!$AC$8))</f>
        <v>557.69133749999946</v>
      </c>
      <c r="V25" s="43">
        <f>SQRT(SUM((Table3[[#This Row],[time''4]]-Distances!$AD$6)^2,(Table3[[#This Row],[price''4]]-Distances!$AD$7)^2,(Table3[[#This Row],[energy''4]]-Distances!$AD$8)^2))</f>
        <v>875.70988681269353</v>
      </c>
      <c r="W25" s="58">
        <f>((Table3[[#This Row],[score-rt-df]]-MIN(Table3[score-rt-df]))*$G$6)/(MAX(Table3[score-rt-df])-MIN(Table3[score-rt-df]))</f>
        <v>2.9063169977838991E-6</v>
      </c>
      <c r="AY25" t="str">
        <f>Table3[[#This Row],[QW'#]]</f>
        <v>qw99</v>
      </c>
      <c r="AZ25" t="str">
        <f>VLOOKUP(Table10[[#This Row],[QW'#]],Table3[],2,FALSE)</f>
        <v>49d00c65b6c3c8b6988f0f2f6e5eecbf</v>
      </c>
      <c r="BA25" s="54">
        <f>IF(ABS(VLOOKUP(Table10[[#This Row],[QW'#]],Table3[],7,FALSE)-0)&lt;=$AZ$6,1,0)</f>
        <v>1</v>
      </c>
      <c r="BB25" s="54">
        <f>IF(ABS(VLOOKUP(Table10[[#This Row],[QW'#]],Table3[],22,FALSE)-0)&lt;=$AZ$6,1,0)</f>
        <v>1</v>
      </c>
      <c r="BC25" s="54">
        <f>IF(AND(Table10[[#This Row],[Retrieved]]=0, Table10[[#This Row],[Relevant]]=0),1,0)</f>
        <v>0</v>
      </c>
      <c r="BD25" s="54">
        <f>IF(AND(Table10[[#This Row],[Retrieved]]=0, Table10[[#This Row],[Relevant]]=1),1,0)</f>
        <v>0</v>
      </c>
      <c r="BE25" s="54">
        <f>IF(AND(Table10[[#This Row],[Retrieved]]=1, Table10[[#This Row],[Relevant]]=0),1,0)</f>
        <v>0</v>
      </c>
      <c r="BF25" s="54">
        <f>IF(AND(Table10[[#This Row],[Retrieved]]=1, Table10[[#This Row],[Relevant]]=1),1,0)</f>
        <v>1</v>
      </c>
    </row>
    <row r="26" spans="2:58">
      <c r="B26" s="76" t="s">
        <v>291</v>
      </c>
      <c r="C26" s="10" t="s">
        <v>159</v>
      </c>
      <c r="D26" s="8">
        <f>VLOOKUP(Table3[[#This Row],[MD5]],Input[],3,FALSE)+(Distances!$AA$6*(ABS(Distances!$AD$6-VLOOKUP(Table3[[#This Row],[MD5]],Input[],3,FALSE))*Distances!$AC$6))</f>
        <v>55.98857143</v>
      </c>
      <c r="E26" s="7">
        <f>VLOOKUP(Table3[[#This Row],[MD5]],Input[],4,FALSE)+(Distances!$AA$7*(ABS(Distances!$AD$7-VLOOKUP(Table3[[#This Row],[MD5]],Input[],4,FALSE))*Distances!$AC$7))</f>
        <v>57.466666666666669</v>
      </c>
      <c r="F26" s="7">
        <f>VLOOKUP(Table3[[#This Row],[MD5]],Input[],5,FALSE)+(Distances!$AA$8*(ABS(Distances!$AD$8-VLOOKUP(Table3[[#This Row],[MD5]],Input[],5,FALSE))*Distances!$AC$8))</f>
        <v>52.933333333333337</v>
      </c>
      <c r="G26" s="46">
        <f>SQRT(SUM((Table3[[#This Row],[time]]-Distances!$AD$6)^2,(Table3[[#This Row],[price]]-Distances!$AD$7)^2,(Table3[[#This Row],[energy]]-Distances!$AD$8)^2))</f>
        <v>10.010921202754911</v>
      </c>
      <c r="H26" s="46">
        <f>((Table3[[#This Row],[score-bt]]-MIN(Table3[score-bt]))*$G$6)/(MAX(Table3[score-bt])-MIN(Table3[score-bt]))</f>
        <v>0</v>
      </c>
      <c r="I26" s="8">
        <f>VLOOKUP(Table3[[#This Row],[MD5]],Input[],9,FALSE)+(Distances!$AA$6*(ABS(Distances!$AD$6-VLOOKUP(Table3[[#This Row],[MD5]],Input[],9,FALSE))*Distances!$AC$6))</f>
        <v>-23.440522041696433</v>
      </c>
      <c r="J26" s="7">
        <f>VLOOKUP(Table3[[#This Row],[MD5]],Input[],10,FALSE)+(Distances!$AA$7*(ABS(Distances!$AD$7-VLOOKUP(Table3[[#This Row],[MD5]],Input[],10,FALSE))*Distances!$AC$7))</f>
        <v>-15.297346075000009</v>
      </c>
      <c r="K26" s="7">
        <f>VLOOKUP(Table3[[#This Row],[MD5]],Input[],11,FALSE)+(Distances!$AA$8*(ABS(Distances!$AD$8-VLOOKUP(Table3[[#This Row],[MD5]],Input[],11,FALSE))*Distances!$AC$8))</f>
        <v>-7.285544765069444</v>
      </c>
      <c r="L26" s="44">
        <f>SQRT(SUM((Table3[[#This Row],[time''2]]-Distances!$AD$6)^2,(Table3[[#This Row],[price''2]]-Distances!$AD$7)^2,(Table3[[#This Row],[energy''2]]-Distances!$AD$8)^2))</f>
        <v>113.74922998080467</v>
      </c>
      <c r="M26" s="44">
        <f>((Table3[[#This Row],[score-rt-partialcf]]-MIN(Table3[score-rt-partialcf]))*$G$6)/(MAX(Table3[score-rt-partialcf])-MIN(Table3[score-rt-partialcf]))</f>
        <v>0.99999734125278694</v>
      </c>
      <c r="N26" s="8">
        <f>VLOOKUP(Table3[[#This Row],[MD5]],Input[],15,FALSE)+(Distances!$AA$6*(ABS(Distances!$AD$6-VLOOKUP(Table3[[#This Row],[MD5]],Input[],15,FALSE))*Distances!$AC$6))</f>
        <v>-23.441647209107153</v>
      </c>
      <c r="O26" s="7">
        <f>VLOOKUP(Table3[[#This Row],[MD5]],Input[],16,FALSE)+(Distances!$AA$7*(ABS(Distances!$AD$7-VLOOKUP(Table3[[#This Row],[MD5]],Input[],16,FALSE))*Distances!$AC$7))</f>
        <v>55.417255141666622</v>
      </c>
      <c r="P26" s="7">
        <f>VLOOKUP(Table3[[#This Row],[MD5]],Input[],17,FALSE)+(Distances!$AA$8*(ABS(Distances!$AD$8-VLOOKUP(Table3[[#This Row],[MD5]],Input[],11,FALSE))*Distances!$AC$8))</f>
        <v>42.200161867847221</v>
      </c>
      <c r="Q26" s="47">
        <f>SQRT(SUM((Table3[[#This Row],[time''3]]-Distances!$AD$6)^2,(Table3[[#This Row],[price''3]]-Distances!$AD$7)^2,(Table3[[#This Row],[energy''3]]-Distances!$AD$8)^2))</f>
        <v>74.0530868562861</v>
      </c>
      <c r="R26" s="47">
        <f>((Table3[[#This Row],[score-rt-fullcf]]-MIN(Table3[score-rt-fullcf]))*$G$6)/(MAX(Table3[score-rt-fullcf])-MIN(Table3[score-rt-fullcf]))</f>
        <v>0.99999858707580669</v>
      </c>
      <c r="S26" s="8">
        <f>VLOOKUP(Table3[[#This Row],[MD5]],Input[],21,FALSE)+(Distances!$AI$6*(ABS(Distances!$L$3-VLOOKUP(Table3[[#This Row],[MD5]],Input[],21,FALSE))*Distances!$AC$6))</f>
        <v>248.75939499999967</v>
      </c>
      <c r="T26" s="7">
        <f>VLOOKUP(Table3[[#This Row],[MD5]],Input[],22,FALSE)+(Distances!$AI$7*(ABS(Distances!$AB$7-VLOOKUP(Table3[[#This Row],[MD5]],Input[],22,FALSE))*Distances!$AC$7))</f>
        <v>735.71567592592453</v>
      </c>
      <c r="U26" s="7">
        <f>VLOOKUP(Table3[[#This Row],[MD5]],Input[],23,FALSE)+(Distances!$AI$8*(ABS(Distances!$AD$8-VLOOKUP(Table3[[#This Row],[MD5]],Input[],23,FALSE))*Distances!$AC$8))</f>
        <v>557.83800416666611</v>
      </c>
      <c r="V26" s="43">
        <f>SQRT(SUM((Table3[[#This Row],[time''4]]-Distances!$AD$6)^2,(Table3[[#This Row],[price''4]]-Distances!$AD$7)^2,(Table3[[#This Row],[energy''4]]-Distances!$AD$8)^2))</f>
        <v>876.13396452100642</v>
      </c>
      <c r="W26" s="58">
        <f>((Table3[[#This Row],[score-rt-df]]-MIN(Table3[score-rt-df]))*$G$6)/(MAX(Table3[score-rt-df])-MIN(Table3[score-rt-df]))</f>
        <v>3.2555642322515642E-6</v>
      </c>
      <c r="AY26" t="str">
        <f>Table3[[#This Row],[QW'#]]</f>
        <v>qw113</v>
      </c>
      <c r="AZ26" t="str">
        <f>VLOOKUP(Table10[[#This Row],[QW'#]],Table3[],2,FALSE)</f>
        <v>118a08374ae56f176d3104b75951912e</v>
      </c>
      <c r="BA26" s="54">
        <f>IF(ABS(VLOOKUP(Table10[[#This Row],[QW'#]],Table3[],7,FALSE)-0)&lt;=$AZ$6,1,0)</f>
        <v>1</v>
      </c>
      <c r="BB26" s="54">
        <f>IF(ABS(VLOOKUP(Table10[[#This Row],[QW'#]],Table3[],22,FALSE)-0)&lt;=$AZ$6,1,0)</f>
        <v>1</v>
      </c>
      <c r="BC26" s="54">
        <f>IF(AND(Table10[[#This Row],[Retrieved]]=0, Table10[[#This Row],[Relevant]]=0),1,0)</f>
        <v>0</v>
      </c>
      <c r="BD26" s="54">
        <f>IF(AND(Table10[[#This Row],[Retrieved]]=0, Table10[[#This Row],[Relevant]]=1),1,0)</f>
        <v>0</v>
      </c>
      <c r="BE26" s="54">
        <f>IF(AND(Table10[[#This Row],[Retrieved]]=1, Table10[[#This Row],[Relevant]]=0),1,0)</f>
        <v>0</v>
      </c>
      <c r="BF26" s="54">
        <f>IF(AND(Table10[[#This Row],[Retrieved]]=1, Table10[[#This Row],[Relevant]]=1),1,0)</f>
        <v>1</v>
      </c>
    </row>
    <row r="27" spans="2:58">
      <c r="B27" s="76" t="s">
        <v>224</v>
      </c>
      <c r="C27" s="10" t="s">
        <v>92</v>
      </c>
      <c r="D27" s="8">
        <f>VLOOKUP(Table3[[#This Row],[MD5]],Input[],3,FALSE)+(Distances!$AA$6*(ABS(Distances!$AD$6-VLOOKUP(Table3[[#This Row],[MD5]],Input[],3,FALSE))*Distances!$AC$6))</f>
        <v>55.98857143</v>
      </c>
      <c r="E27" s="7">
        <f>VLOOKUP(Table3[[#This Row],[MD5]],Input[],4,FALSE)+(Distances!$AA$7*(ABS(Distances!$AD$7-VLOOKUP(Table3[[#This Row],[MD5]],Input[],4,FALSE))*Distances!$AC$7))</f>
        <v>57.466666666666669</v>
      </c>
      <c r="F27" s="7">
        <f>VLOOKUP(Table3[[#This Row],[MD5]],Input[],5,FALSE)+(Distances!$AA$8*(ABS(Distances!$AD$8-VLOOKUP(Table3[[#This Row],[MD5]],Input[],5,FALSE))*Distances!$AC$8))</f>
        <v>52.933333333333337</v>
      </c>
      <c r="G27" s="46">
        <f>SQRT(SUM((Table3[[#This Row],[time]]-Distances!$AD$6)^2,(Table3[[#This Row],[price]]-Distances!$AD$7)^2,(Table3[[#This Row],[energy]]-Distances!$AD$8)^2))</f>
        <v>10.010921202754911</v>
      </c>
      <c r="H27" s="46">
        <f>((Table3[[#This Row],[score-bt]]-MIN(Table3[score-bt]))*$G$6)/(MAX(Table3[score-bt])-MIN(Table3[score-bt]))</f>
        <v>0</v>
      </c>
      <c r="I27" s="8">
        <f>VLOOKUP(Table3[[#This Row],[MD5]],Input[],9,FALSE)+(Distances!$AA$6*(ABS(Distances!$AD$6-VLOOKUP(Table3[[#This Row],[MD5]],Input[],9,FALSE))*Distances!$AC$6))</f>
        <v>-23.440514991696428</v>
      </c>
      <c r="J27" s="7">
        <f>VLOOKUP(Table3[[#This Row],[MD5]],Input[],10,FALSE)+(Distances!$AA$7*(ABS(Distances!$AD$7-VLOOKUP(Table3[[#This Row],[MD5]],Input[],10,FALSE))*Distances!$AC$7))</f>
        <v>-15.297336741666674</v>
      </c>
      <c r="K27" s="7">
        <f>VLOOKUP(Table3[[#This Row],[MD5]],Input[],11,FALSE)+(Distances!$AA$8*(ABS(Distances!$AD$8-VLOOKUP(Table3[[#This Row],[MD5]],Input[],11,FALSE))*Distances!$AC$8))</f>
        <v>-7.2855376872916668</v>
      </c>
      <c r="L27" s="44">
        <f>SQRT(SUM((Table3[[#This Row],[time''2]]-Distances!$AD$6)^2,(Table3[[#This Row],[price''2]]-Distances!$AD$7)^2,(Table3[[#This Row],[energy''2]]-Distances!$AD$8)^2))</f>
        <v>113.74921650685035</v>
      </c>
      <c r="M27" s="44">
        <f>((Table3[[#This Row],[score-rt-partialcf]]-MIN(Table3[score-rt-partialcf]))*$G$6)/(MAX(Table3[score-rt-partialcf])-MIN(Table3[score-rt-partialcf]))</f>
        <v>0.99999721683376397</v>
      </c>
      <c r="N27" s="8">
        <f>VLOOKUP(Table3[[#This Row],[MD5]],Input[],15,FALSE)+(Distances!$AA$6*(ABS(Distances!$AD$6-VLOOKUP(Table3[[#This Row],[MD5]],Input[],15,FALSE))*Distances!$AC$6))</f>
        <v>-23.441647209107153</v>
      </c>
      <c r="O27" s="7">
        <f>VLOOKUP(Table3[[#This Row],[MD5]],Input[],16,FALSE)+(Distances!$AA$7*(ABS(Distances!$AD$7-VLOOKUP(Table3[[#This Row],[MD5]],Input[],16,FALSE))*Distances!$AC$7))</f>
        <v>55.417255141666622</v>
      </c>
      <c r="P27" s="7">
        <f>VLOOKUP(Table3[[#This Row],[MD5]],Input[],17,FALSE)+(Distances!$AA$8*(ABS(Distances!$AD$8-VLOOKUP(Table3[[#This Row],[MD5]],Input[],11,FALSE))*Distances!$AC$8))</f>
        <v>42.200162878958331</v>
      </c>
      <c r="Q27" s="47">
        <f>SQRT(SUM((Table3[[#This Row],[time''3]]-Distances!$AD$6)^2,(Table3[[#This Row],[price''3]]-Distances!$AD$7)^2,(Table3[[#This Row],[energy''3]]-Distances!$AD$8)^2))</f>
        <v>74.053086749788136</v>
      </c>
      <c r="R27" s="47">
        <f>((Table3[[#This Row],[score-rt-fullcf]]-MIN(Table3[score-rt-fullcf]))*$G$6)/(MAX(Table3[score-rt-fullcf])-MIN(Table3[score-rt-fullcf]))</f>
        <v>0.99999858381051399</v>
      </c>
      <c r="S27" s="8">
        <f>VLOOKUP(Table3[[#This Row],[MD5]],Input[],21,FALSE)+(Distances!$AI$6*(ABS(Distances!$L$3-VLOOKUP(Table3[[#This Row],[MD5]],Input[],21,FALSE))*Distances!$AC$6))</f>
        <v>248.75939499999967</v>
      </c>
      <c r="T27" s="7">
        <f>VLOOKUP(Table3[[#This Row],[MD5]],Input[],22,FALSE)+(Distances!$AI$7*(ABS(Distances!$AB$7-VLOOKUP(Table3[[#This Row],[MD5]],Input[],22,FALSE))*Distances!$AC$7))</f>
        <v>735.71567592592453</v>
      </c>
      <c r="U27" s="7">
        <f>VLOOKUP(Table3[[#This Row],[MD5]],Input[],23,FALSE)+(Distances!$AI$8*(ABS(Distances!$AD$8-VLOOKUP(Table3[[#This Row],[MD5]],Input[],23,FALSE))*Distances!$AC$8))</f>
        <v>557.83800416666611</v>
      </c>
      <c r="V27" s="43">
        <f>SQRT(SUM((Table3[[#This Row],[time''4]]-Distances!$AD$6)^2,(Table3[[#This Row],[price''4]]-Distances!$AD$7)^2,(Table3[[#This Row],[energy''4]]-Distances!$AD$8)^2))</f>
        <v>876.13396452100642</v>
      </c>
      <c r="W27" s="58">
        <f>((Table3[[#This Row],[score-rt-df]]-MIN(Table3[score-rt-df]))*$G$6)/(MAX(Table3[score-rt-df])-MIN(Table3[score-rt-df]))</f>
        <v>3.2555642322515642E-6</v>
      </c>
      <c r="AY27" t="str">
        <f>Table3[[#This Row],[QW'#]]</f>
        <v>qw46</v>
      </c>
      <c r="AZ27" t="str">
        <f>VLOOKUP(Table10[[#This Row],[QW'#]],Table3[],2,FALSE)</f>
        <v>3a4fe8b316c365a6263907d1f56fd19d</v>
      </c>
      <c r="BA27" s="54">
        <f>IF(ABS(VLOOKUP(Table10[[#This Row],[QW'#]],Table3[],7,FALSE)-0)&lt;=$AZ$6,1,0)</f>
        <v>1</v>
      </c>
      <c r="BB27" s="54">
        <f>IF(ABS(VLOOKUP(Table10[[#This Row],[QW'#]],Table3[],22,FALSE)-0)&lt;=$AZ$6,1,0)</f>
        <v>1</v>
      </c>
      <c r="BC27" s="54">
        <f>IF(AND(Table10[[#This Row],[Retrieved]]=0, Table10[[#This Row],[Relevant]]=0),1,0)</f>
        <v>0</v>
      </c>
      <c r="BD27" s="54">
        <f>IF(AND(Table10[[#This Row],[Retrieved]]=0, Table10[[#This Row],[Relevant]]=1),1,0)</f>
        <v>0</v>
      </c>
      <c r="BE27" s="54">
        <f>IF(AND(Table10[[#This Row],[Retrieved]]=1, Table10[[#This Row],[Relevant]]=0),1,0)</f>
        <v>0</v>
      </c>
      <c r="BF27" s="54">
        <f>IF(AND(Table10[[#This Row],[Retrieved]]=1, Table10[[#This Row],[Relevant]]=1),1,0)</f>
        <v>1</v>
      </c>
    </row>
    <row r="28" spans="2:58">
      <c r="B28" s="76" t="s">
        <v>235</v>
      </c>
      <c r="C28" s="10" t="s">
        <v>103</v>
      </c>
      <c r="D28" s="8">
        <f>VLOOKUP(Table3[[#This Row],[MD5]],Input[],3,FALSE)+(Distances!$AA$6*(ABS(Distances!$AD$6-VLOOKUP(Table3[[#This Row],[MD5]],Input[],3,FALSE))*Distances!$AC$6))</f>
        <v>55.98857143</v>
      </c>
      <c r="E28" s="7">
        <f>VLOOKUP(Table3[[#This Row],[MD5]],Input[],4,FALSE)+(Distances!$AA$7*(ABS(Distances!$AD$7-VLOOKUP(Table3[[#This Row],[MD5]],Input[],4,FALSE))*Distances!$AC$7))</f>
        <v>57.466666666666669</v>
      </c>
      <c r="F28" s="7">
        <f>VLOOKUP(Table3[[#This Row],[MD5]],Input[],5,FALSE)+(Distances!$AA$8*(ABS(Distances!$AD$8-VLOOKUP(Table3[[#This Row],[MD5]],Input[],5,FALSE))*Distances!$AC$8))</f>
        <v>52.933333333333337</v>
      </c>
      <c r="G28" s="46">
        <f>SQRT(SUM((Table3[[#This Row],[time]]-Distances!$AD$6)^2,(Table3[[#This Row],[price]]-Distances!$AD$7)^2,(Table3[[#This Row],[energy]]-Distances!$AD$8)^2))</f>
        <v>10.010921202754911</v>
      </c>
      <c r="H28" s="46">
        <f>((Table3[[#This Row],[score-bt]]-MIN(Table3[score-bt]))*$G$6)/(MAX(Table3[score-bt])-MIN(Table3[score-bt]))</f>
        <v>0</v>
      </c>
      <c r="I28" s="8">
        <f>VLOOKUP(Table3[[#This Row],[MD5]],Input[],9,FALSE)+(Distances!$AA$6*(ABS(Distances!$AD$6-VLOOKUP(Table3[[#This Row],[MD5]],Input[],9,FALSE))*Distances!$AC$6))</f>
        <v>-23.037352684553582</v>
      </c>
      <c r="J28" s="7">
        <f>VLOOKUP(Table3[[#This Row],[MD5]],Input[],10,FALSE)+(Distances!$AA$7*(ABS(Distances!$AD$7-VLOOKUP(Table3[[#This Row],[MD5]],Input[],10,FALSE))*Distances!$AC$7))</f>
        <v>-14.763599408333334</v>
      </c>
      <c r="K28" s="7">
        <f>VLOOKUP(Table3[[#This Row],[MD5]],Input[],11,FALSE)+(Distances!$AA$8*(ABS(Distances!$AD$8-VLOOKUP(Table3[[#This Row],[MD5]],Input[],11,FALSE))*Distances!$AC$8))</f>
        <v>-6.8807868761805562</v>
      </c>
      <c r="L28" s="44">
        <f>SQRT(SUM((Table3[[#This Row],[time''2]]-Distances!$AD$6)^2,(Table3[[#This Row],[price''2]]-Distances!$AD$7)^2,(Table3[[#This Row],[energy''2]]-Distances!$AD$8)^2))</f>
        <v>112.97877062149514</v>
      </c>
      <c r="M28" s="44">
        <f>((Table3[[#This Row],[score-rt-partialcf]]-MIN(Table3[score-rt-partialcf]))*$G$6)/(MAX(Table3[score-rt-partialcf])-MIN(Table3[score-rt-partialcf]))</f>
        <v>0.99288288929479696</v>
      </c>
      <c r="N28" s="8">
        <f>VLOOKUP(Table3[[#This Row],[MD5]],Input[],15,FALSE)+(Distances!$AA$6*(ABS(Distances!$AD$6-VLOOKUP(Table3[[#This Row],[MD5]],Input[],15,FALSE))*Distances!$AC$6))</f>
        <v>-23.441647209107153</v>
      </c>
      <c r="O28" s="7">
        <f>VLOOKUP(Table3[[#This Row],[MD5]],Input[],16,FALSE)+(Distances!$AA$7*(ABS(Distances!$AD$7-VLOOKUP(Table3[[#This Row],[MD5]],Input[],16,FALSE))*Distances!$AC$7))</f>
        <v>55.417255141666622</v>
      </c>
      <c r="P28" s="7">
        <f>VLOOKUP(Table3[[#This Row],[MD5]],Input[],17,FALSE)+(Distances!$AA$8*(ABS(Distances!$AD$8-VLOOKUP(Table3[[#This Row],[MD5]],Input[],11,FALSE))*Distances!$AC$8))</f>
        <v>42.257984423402775</v>
      </c>
      <c r="Q28" s="47">
        <f>SQRT(SUM((Table3[[#This Row],[time''3]]-Distances!$AD$6)^2,(Table3[[#This Row],[price''3]]-Distances!$AD$7)^2,(Table3[[#This Row],[energy''3]]-Distances!$AD$8)^2))</f>
        <v>74.047018868048582</v>
      </c>
      <c r="R28" s="47">
        <f>((Table3[[#This Row],[score-rt-fullcf]]-MIN(Table3[score-rt-fullcf]))*$G$6)/(MAX(Table3[score-rt-fullcf])-MIN(Table3[score-rt-fullcf]))</f>
        <v>0.99981253884247778</v>
      </c>
      <c r="S28" s="8">
        <f>VLOOKUP(Table3[[#This Row],[MD5]],Input[],21,FALSE)+(Distances!$AI$6*(ABS(Distances!$L$3-VLOOKUP(Table3[[#This Row],[MD5]],Input[],21,FALSE))*Distances!$AC$6))</f>
        <v>248.75939499999967</v>
      </c>
      <c r="T28" s="7">
        <f>VLOOKUP(Table3[[#This Row],[MD5]],Input[],22,FALSE)+(Distances!$AI$7*(ABS(Distances!$AB$7-VLOOKUP(Table3[[#This Row],[MD5]],Input[],22,FALSE))*Distances!$AC$7))</f>
        <v>735.71567592592453</v>
      </c>
      <c r="U28" s="7">
        <f>VLOOKUP(Table3[[#This Row],[MD5]],Input[],23,FALSE)+(Distances!$AI$8*(ABS(Distances!$AD$8-VLOOKUP(Table3[[#This Row],[MD5]],Input[],23,FALSE))*Distances!$AC$8))</f>
        <v>557.83800416666611</v>
      </c>
      <c r="V28" s="43">
        <f>SQRT(SUM((Table3[[#This Row],[time''4]]-Distances!$AD$6)^2,(Table3[[#This Row],[price''4]]-Distances!$AD$7)^2,(Table3[[#This Row],[energy''4]]-Distances!$AD$8)^2))</f>
        <v>876.13396452100642</v>
      </c>
      <c r="W28" s="58">
        <f>((Table3[[#This Row],[score-rt-df]]-MIN(Table3[score-rt-df]))*$G$6)/(MAX(Table3[score-rt-df])-MIN(Table3[score-rt-df]))</f>
        <v>3.2555642322515642E-6</v>
      </c>
      <c r="AY28" t="str">
        <f>Table3[[#This Row],[QW'#]]</f>
        <v>qw57</v>
      </c>
      <c r="AZ28" t="str">
        <f>VLOOKUP(Table10[[#This Row],[QW'#]],Table3[],2,FALSE)</f>
        <v>1983dd3dee9c860ef396491b4e58b247</v>
      </c>
      <c r="BA28" s="54">
        <f>IF(ABS(VLOOKUP(Table10[[#This Row],[QW'#]],Table3[],7,FALSE)-0)&lt;=$AZ$6,1,0)</f>
        <v>1</v>
      </c>
      <c r="BB28" s="54">
        <f>IF(ABS(VLOOKUP(Table10[[#This Row],[QW'#]],Table3[],22,FALSE)-0)&lt;=$AZ$6,1,0)</f>
        <v>1</v>
      </c>
      <c r="BC28" s="54">
        <f>IF(AND(Table10[[#This Row],[Retrieved]]=0, Table10[[#This Row],[Relevant]]=0),1,0)</f>
        <v>0</v>
      </c>
      <c r="BD28" s="54">
        <f>IF(AND(Table10[[#This Row],[Retrieved]]=0, Table10[[#This Row],[Relevant]]=1),1,0)</f>
        <v>0</v>
      </c>
      <c r="BE28" s="54">
        <f>IF(AND(Table10[[#This Row],[Retrieved]]=1, Table10[[#This Row],[Relevant]]=0),1,0)</f>
        <v>0</v>
      </c>
      <c r="BF28" s="54">
        <f>IF(AND(Table10[[#This Row],[Retrieved]]=1, Table10[[#This Row],[Relevant]]=1),1,0)</f>
        <v>1</v>
      </c>
    </row>
    <row r="29" spans="2:58">
      <c r="B29" s="76" t="s">
        <v>248</v>
      </c>
      <c r="C29" s="10" t="s">
        <v>116</v>
      </c>
      <c r="D29" s="8">
        <f>VLOOKUP(Table3[[#This Row],[MD5]],Input[],3,FALSE)+(Distances!$AA$6*(ABS(Distances!$AD$6-VLOOKUP(Table3[[#This Row],[MD5]],Input[],3,FALSE))*Distances!$AC$6))</f>
        <v>55.98857143</v>
      </c>
      <c r="E29" s="7">
        <f>VLOOKUP(Table3[[#This Row],[MD5]],Input[],4,FALSE)+(Distances!$AA$7*(ABS(Distances!$AD$7-VLOOKUP(Table3[[#This Row],[MD5]],Input[],4,FALSE))*Distances!$AC$7))</f>
        <v>57.466666666666669</v>
      </c>
      <c r="F29" s="7">
        <f>VLOOKUP(Table3[[#This Row],[MD5]],Input[],5,FALSE)+(Distances!$AA$8*(ABS(Distances!$AD$8-VLOOKUP(Table3[[#This Row],[MD5]],Input[],5,FALSE))*Distances!$AC$8))</f>
        <v>52.933333333333337</v>
      </c>
      <c r="G29" s="46">
        <f>SQRT(SUM((Table3[[#This Row],[time]]-Distances!$AD$6)^2,(Table3[[#This Row],[price]]-Distances!$AD$7)^2,(Table3[[#This Row],[energy]]-Distances!$AD$8)^2))</f>
        <v>10.010921202754911</v>
      </c>
      <c r="H29" s="46">
        <f>((Table3[[#This Row],[score-bt]]-MIN(Table3[score-bt]))*$G$6)/(MAX(Table3[score-bt])-MIN(Table3[score-bt]))</f>
        <v>0</v>
      </c>
      <c r="I29" s="8">
        <f>VLOOKUP(Table3[[#This Row],[MD5]],Input[],9,FALSE)+(Distances!$AA$6*(ABS(Distances!$AD$6-VLOOKUP(Table3[[#This Row],[MD5]],Input[],9,FALSE))*Distances!$AC$6))</f>
        <v>-23.037345634553581</v>
      </c>
      <c r="J29" s="7">
        <f>VLOOKUP(Table3[[#This Row],[MD5]],Input[],10,FALSE)+(Distances!$AA$7*(ABS(Distances!$AD$7-VLOOKUP(Table3[[#This Row],[MD5]],Input[],10,FALSE))*Distances!$AC$7))</f>
        <v>-14.763590075000005</v>
      </c>
      <c r="K29" s="7">
        <f>VLOOKUP(Table3[[#This Row],[MD5]],Input[],11,FALSE)+(Distances!$AA$8*(ABS(Distances!$AD$8-VLOOKUP(Table3[[#This Row],[MD5]],Input[],11,FALSE))*Distances!$AC$8))</f>
        <v>-6.8807797984027763</v>
      </c>
      <c r="L29" s="44">
        <f>SQRT(SUM((Table3[[#This Row],[time''2]]-Distances!$AD$6)^2,(Table3[[#This Row],[price''2]]-Distances!$AD$7)^2,(Table3[[#This Row],[energy''2]]-Distances!$AD$8)^2))</f>
        <v>112.97875715026373</v>
      </c>
      <c r="M29" s="44">
        <f>((Table3[[#This Row],[score-rt-partialcf]]-MIN(Table3[score-rt-partialcf]))*$G$6)/(MAX(Table3[score-rt-partialcf])-MIN(Table3[score-rt-partialcf]))</f>
        <v>0.99288276490091754</v>
      </c>
      <c r="N29" s="8">
        <f>VLOOKUP(Table3[[#This Row],[MD5]],Input[],15,FALSE)+(Distances!$AA$6*(ABS(Distances!$AD$6-VLOOKUP(Table3[[#This Row],[MD5]],Input[],15,FALSE))*Distances!$AC$6))</f>
        <v>-23.441647209107153</v>
      </c>
      <c r="O29" s="7">
        <f>VLOOKUP(Table3[[#This Row],[MD5]],Input[],16,FALSE)+(Distances!$AA$7*(ABS(Distances!$AD$7-VLOOKUP(Table3[[#This Row],[MD5]],Input[],16,FALSE))*Distances!$AC$7))</f>
        <v>55.417255141666622</v>
      </c>
      <c r="P29" s="7">
        <f>VLOOKUP(Table3[[#This Row],[MD5]],Input[],17,FALSE)+(Distances!$AA$8*(ABS(Distances!$AD$8-VLOOKUP(Table3[[#This Row],[MD5]],Input[],11,FALSE))*Distances!$AC$8))</f>
        <v>42.257985434513884</v>
      </c>
      <c r="Q29" s="47">
        <f>SQRT(SUM((Table3[[#This Row],[time''3]]-Distances!$AD$6)^2,(Table3[[#This Row],[price''3]]-Distances!$AD$7)^2,(Table3[[#This Row],[energy''3]]-Distances!$AD$8)^2))</f>
        <v>74.047018762331462</v>
      </c>
      <c r="R29" s="47">
        <f>((Table3[[#This Row],[score-rt-fullcf]]-MIN(Table3[score-rt-fullcf]))*$G$6)/(MAX(Table3[score-rt-fullcf])-MIN(Table3[score-rt-fullcf]))</f>
        <v>0.99981253560112615</v>
      </c>
      <c r="S29" s="8">
        <f>VLOOKUP(Table3[[#This Row],[MD5]],Input[],21,FALSE)+(Distances!$AI$6*(ABS(Distances!$L$3-VLOOKUP(Table3[[#This Row],[MD5]],Input[],21,FALSE))*Distances!$AC$6))</f>
        <v>248.75939499999967</v>
      </c>
      <c r="T29" s="7">
        <f>VLOOKUP(Table3[[#This Row],[MD5]],Input[],22,FALSE)+(Distances!$AI$7*(ABS(Distances!$AB$7-VLOOKUP(Table3[[#This Row],[MD5]],Input[],22,FALSE))*Distances!$AC$7))</f>
        <v>735.71567592592453</v>
      </c>
      <c r="U29" s="7">
        <f>VLOOKUP(Table3[[#This Row],[MD5]],Input[],23,FALSE)+(Distances!$AI$8*(ABS(Distances!$AD$8-VLOOKUP(Table3[[#This Row],[MD5]],Input[],23,FALSE))*Distances!$AC$8))</f>
        <v>557.83800416666611</v>
      </c>
      <c r="V29" s="43">
        <f>SQRT(SUM((Table3[[#This Row],[time''4]]-Distances!$AD$6)^2,(Table3[[#This Row],[price''4]]-Distances!$AD$7)^2,(Table3[[#This Row],[energy''4]]-Distances!$AD$8)^2))</f>
        <v>876.13396452100642</v>
      </c>
      <c r="W29" s="58">
        <f>((Table3[[#This Row],[score-rt-df]]-MIN(Table3[score-rt-df]))*$G$6)/(MAX(Table3[score-rt-df])-MIN(Table3[score-rt-df]))</f>
        <v>3.2555642322515642E-6</v>
      </c>
      <c r="AY29" t="str">
        <f>Table3[[#This Row],[QW'#]]</f>
        <v>qw70</v>
      </c>
      <c r="AZ29" t="str">
        <f>VLOOKUP(Table10[[#This Row],[QW'#]],Table3[],2,FALSE)</f>
        <v>2188a41d261b6f1cd903b6f1c00803ad</v>
      </c>
      <c r="BA29" s="54">
        <f>IF(ABS(VLOOKUP(Table10[[#This Row],[QW'#]],Table3[],7,FALSE)-0)&lt;=$AZ$6,1,0)</f>
        <v>1</v>
      </c>
      <c r="BB29" s="54">
        <f>IF(ABS(VLOOKUP(Table10[[#This Row],[QW'#]],Table3[],22,FALSE)-0)&lt;=$AZ$6,1,0)</f>
        <v>1</v>
      </c>
      <c r="BC29" s="54">
        <f>IF(AND(Table10[[#This Row],[Retrieved]]=0, Table10[[#This Row],[Relevant]]=0),1,0)</f>
        <v>0</v>
      </c>
      <c r="BD29" s="54">
        <f>IF(AND(Table10[[#This Row],[Retrieved]]=0, Table10[[#This Row],[Relevant]]=1),1,0)</f>
        <v>0</v>
      </c>
      <c r="BE29" s="54">
        <f>IF(AND(Table10[[#This Row],[Retrieved]]=1, Table10[[#This Row],[Relevant]]=0),1,0)</f>
        <v>0</v>
      </c>
      <c r="BF29" s="54">
        <f>IF(AND(Table10[[#This Row],[Retrieved]]=1, Table10[[#This Row],[Relevant]]=1),1,0)</f>
        <v>1</v>
      </c>
    </row>
    <row r="30" spans="2:58">
      <c r="B30" s="76" t="s">
        <v>279</v>
      </c>
      <c r="C30" s="10" t="s">
        <v>147</v>
      </c>
      <c r="D30" s="8">
        <f>VLOOKUP(Table3[[#This Row],[MD5]],Input[],3,FALSE)+(Distances!$AA$6*(ABS(Distances!$AD$6-VLOOKUP(Table3[[#This Row],[MD5]],Input[],3,FALSE))*Distances!$AC$6))</f>
        <v>55.98857143</v>
      </c>
      <c r="E30" s="7">
        <f>VLOOKUP(Table3[[#This Row],[MD5]],Input[],4,FALSE)+(Distances!$AA$7*(ABS(Distances!$AD$7-VLOOKUP(Table3[[#This Row],[MD5]],Input[],4,FALSE))*Distances!$AC$7))</f>
        <v>57.466666666666669</v>
      </c>
      <c r="F30" s="7">
        <f>VLOOKUP(Table3[[#This Row],[MD5]],Input[],5,FALSE)+(Distances!$AA$8*(ABS(Distances!$AD$8-VLOOKUP(Table3[[#This Row],[MD5]],Input[],5,FALSE))*Distances!$AC$8))</f>
        <v>52.933333333333337</v>
      </c>
      <c r="G30" s="46">
        <f>SQRT(SUM((Table3[[#This Row],[time]]-Distances!$AD$6)^2,(Table3[[#This Row],[price]]-Distances!$AD$7)^2,(Table3[[#This Row],[energy]]-Distances!$AD$8)^2))</f>
        <v>10.010921202754911</v>
      </c>
      <c r="H30" s="46">
        <f>((Table3[[#This Row],[score-bt]]-MIN(Table3[score-bt]))*$G$6)/(MAX(Table3[score-bt])-MIN(Table3[score-bt]))</f>
        <v>0</v>
      </c>
      <c r="I30" s="8">
        <f>VLOOKUP(Table3[[#This Row],[MD5]],Input[],9,FALSE)+(Distances!$AA$6*(ABS(Distances!$AD$6-VLOOKUP(Table3[[#This Row],[MD5]],Input[],9,FALSE))*Distances!$AC$6))</f>
        <v>-23.058887666035719</v>
      </c>
      <c r="J30" s="7">
        <f>VLOOKUP(Table3[[#This Row],[MD5]],Input[],10,FALSE)+(Distances!$AA$7*(ABS(Distances!$AD$7-VLOOKUP(Table3[[#This Row],[MD5]],Input[],10,FALSE))*Distances!$AC$7))</f>
        <v>-14.793850126666674</v>
      </c>
      <c r="K30" s="7">
        <f>VLOOKUP(Table3[[#This Row],[MD5]],Input[],11,FALSE)+(Distances!$AA$8*(ABS(Distances!$AD$8-VLOOKUP(Table3[[#This Row],[MD5]],Input[],11,FALSE))*Distances!$AC$8))</f>
        <v>-6.9037034965000004</v>
      </c>
      <c r="L30" s="44">
        <f>SQRT(SUM((Table3[[#This Row],[time''2]]-Distances!$AD$6)^2,(Table3[[#This Row],[price''2]]-Distances!$AD$7)^2,(Table3[[#This Row],[energy''2]]-Distances!$AD$8)^2))</f>
        <v>113.02157118379196</v>
      </c>
      <c r="M30" s="44">
        <f>((Table3[[#This Row],[score-rt-partialcf]]-MIN(Table3[score-rt-partialcf]))*$G$6)/(MAX(Table3[score-rt-partialcf])-MIN(Table3[score-rt-partialcf]))</f>
        <v>0.99327811136661215</v>
      </c>
      <c r="N30" s="8">
        <f>VLOOKUP(Table3[[#This Row],[MD5]],Input[],15,FALSE)+(Distances!$AA$6*(ABS(Distances!$AD$6-VLOOKUP(Table3[[#This Row],[MD5]],Input[],15,FALSE))*Distances!$AC$6))</f>
        <v>-23.437753495232151</v>
      </c>
      <c r="O30" s="7">
        <f>VLOOKUP(Table3[[#This Row],[MD5]],Input[],16,FALSE)+(Distances!$AA$7*(ABS(Distances!$AD$7-VLOOKUP(Table3[[#This Row],[MD5]],Input[],16,FALSE))*Distances!$AC$7))</f>
        <v>55.418629107500003</v>
      </c>
      <c r="P30" s="7">
        <f>VLOOKUP(Table3[[#This Row],[MD5]],Input[],17,FALSE)+(Distances!$AA$8*(ABS(Distances!$AD$8-VLOOKUP(Table3[[#This Row],[MD5]],Input[],11,FALSE))*Distances!$AC$8))</f>
        <v>42.25651692558327</v>
      </c>
      <c r="Q30" s="47">
        <f>SQRT(SUM((Table3[[#This Row],[time''3]]-Distances!$AD$6)^2,(Table3[[#This Row],[price''3]]-Distances!$AD$7)^2,(Table3[[#This Row],[energy''3]]-Distances!$AD$8)^2))</f>
        <v>74.043410982712757</v>
      </c>
      <c r="R30" s="47">
        <f>((Table3[[#This Row],[score-rt-fullcf]]-MIN(Table3[score-rt-fullcf]))*$G$6)/(MAX(Table3[score-rt-fullcf])-MIN(Table3[score-rt-fullcf]))</f>
        <v>0.99970191886984283</v>
      </c>
      <c r="S30" s="8">
        <f>VLOOKUP(Table3[[#This Row],[MD5]],Input[],21,FALSE)+(Distances!$AI$6*(ABS(Distances!$L$3-VLOOKUP(Table3[[#This Row],[MD5]],Input[],21,FALSE))*Distances!$AC$6))</f>
        <v>249.584117111111</v>
      </c>
      <c r="T30" s="7">
        <f>VLOOKUP(Table3[[#This Row],[MD5]],Input[],22,FALSE)+(Distances!$AI$7*(ABS(Distances!$AB$7-VLOOKUP(Table3[[#This Row],[MD5]],Input[],22,FALSE))*Distances!$AC$7))</f>
        <v>736.15716074073771</v>
      </c>
      <c r="U30" s="7">
        <f>VLOOKUP(Table3[[#This Row],[MD5]],Input[],23,FALSE)+(Distances!$AI$8*(ABS(Distances!$AD$8-VLOOKUP(Table3[[#This Row],[MD5]],Input[],23,FALSE))*Distances!$AC$8))</f>
        <v>558.14978870370328</v>
      </c>
      <c r="V30" s="43">
        <f>SQRT(SUM((Table3[[#This Row],[time''4]]-Distances!$AD$6)^2,(Table3[[#This Row],[price''4]]-Distances!$AD$7)^2,(Table3[[#This Row],[energy''4]]-Distances!$AD$8)^2))</f>
        <v>876.84757900015359</v>
      </c>
      <c r="W30" s="58">
        <f>((Table3[[#This Row],[score-rt-df]]-MIN(Table3[score-rt-df]))*$G$6)/(MAX(Table3[score-rt-df])-MIN(Table3[score-rt-df]))</f>
        <v>3.843258134649156E-6</v>
      </c>
      <c r="AY30" t="str">
        <f>Table3[[#This Row],[QW'#]]</f>
        <v>qw101</v>
      </c>
      <c r="AZ30" t="str">
        <f>VLOOKUP(Table10[[#This Row],[QW'#]],Table3[],2,FALSE)</f>
        <v>35f885b68b06206c910a0a43ec6d6614</v>
      </c>
      <c r="BA30" s="54">
        <f>IF(ABS(VLOOKUP(Table10[[#This Row],[QW'#]],Table3[],7,FALSE)-0)&lt;=$AZ$6,1,0)</f>
        <v>1</v>
      </c>
      <c r="BB30" s="54">
        <f>IF(ABS(VLOOKUP(Table10[[#This Row],[QW'#]],Table3[],22,FALSE)-0)&lt;=$AZ$6,1,0)</f>
        <v>1</v>
      </c>
      <c r="BC30" s="54">
        <f>IF(AND(Table10[[#This Row],[Retrieved]]=0, Table10[[#This Row],[Relevant]]=0),1,0)</f>
        <v>0</v>
      </c>
      <c r="BD30" s="54">
        <f>IF(AND(Table10[[#This Row],[Retrieved]]=0, Table10[[#This Row],[Relevant]]=1),1,0)</f>
        <v>0</v>
      </c>
      <c r="BE30" s="54">
        <f>IF(AND(Table10[[#This Row],[Retrieved]]=1, Table10[[#This Row],[Relevant]]=0),1,0)</f>
        <v>0</v>
      </c>
      <c r="BF30" s="54">
        <f>IF(AND(Table10[[#This Row],[Retrieved]]=1, Table10[[#This Row],[Relevant]]=1),1,0)</f>
        <v>1</v>
      </c>
    </row>
    <row r="31" spans="2:58">
      <c r="B31" s="76" t="s">
        <v>288</v>
      </c>
      <c r="C31" s="10" t="s">
        <v>156</v>
      </c>
      <c r="D31" s="8">
        <f>VLOOKUP(Table3[[#This Row],[MD5]],Input[],3,FALSE)+(Distances!$AA$6*(ABS(Distances!$AD$6-VLOOKUP(Table3[[#This Row],[MD5]],Input[],3,FALSE))*Distances!$AC$6))</f>
        <v>55.98857143</v>
      </c>
      <c r="E31" s="7">
        <f>VLOOKUP(Table3[[#This Row],[MD5]],Input[],4,FALSE)+(Distances!$AA$7*(ABS(Distances!$AD$7-VLOOKUP(Table3[[#This Row],[MD5]],Input[],4,FALSE))*Distances!$AC$7))</f>
        <v>57.466666666666669</v>
      </c>
      <c r="F31" s="7">
        <f>VLOOKUP(Table3[[#This Row],[MD5]],Input[],5,FALSE)+(Distances!$AA$8*(ABS(Distances!$AD$8-VLOOKUP(Table3[[#This Row],[MD5]],Input[],5,FALSE))*Distances!$AC$8))</f>
        <v>52.933333333333337</v>
      </c>
      <c r="G31" s="46">
        <f>SQRT(SUM((Table3[[#This Row],[time]]-Distances!$AD$6)^2,(Table3[[#This Row],[price]]-Distances!$AD$7)^2,(Table3[[#This Row],[energy]]-Distances!$AD$8)^2))</f>
        <v>10.010921202754911</v>
      </c>
      <c r="H31" s="46">
        <f>((Table3[[#This Row],[score-bt]]-MIN(Table3[score-bt]))*$G$6)/(MAX(Table3[score-bt])-MIN(Table3[score-bt]))</f>
        <v>0</v>
      </c>
      <c r="I31" s="8">
        <f>VLOOKUP(Table3[[#This Row],[MD5]],Input[],9,FALSE)+(Distances!$AA$6*(ABS(Distances!$AD$6-VLOOKUP(Table3[[#This Row],[MD5]],Input[],9,FALSE))*Distances!$AC$6))</f>
        <v>-23.058886344160719</v>
      </c>
      <c r="J31" s="7">
        <f>VLOOKUP(Table3[[#This Row],[MD5]],Input[],10,FALSE)+(Distances!$AA$7*(ABS(Distances!$AD$7-VLOOKUP(Table3[[#This Row],[MD5]],Input[],10,FALSE))*Distances!$AC$7))</f>
        <v>-14.793848376666675</v>
      </c>
      <c r="K31" s="7">
        <f>VLOOKUP(Table3[[#This Row],[MD5]],Input[],11,FALSE)+(Distances!$AA$8*(ABS(Distances!$AD$8-VLOOKUP(Table3[[#This Row],[MD5]],Input[],11,FALSE))*Distances!$AC$8))</f>
        <v>-6.9037021694166656</v>
      </c>
      <c r="L31" s="44">
        <f>SQRT(SUM((Table3[[#This Row],[time''2]]-Distances!$AD$6)^2,(Table3[[#This Row],[price''2]]-Distances!$AD$7)^2,(Table3[[#This Row],[energy''2]]-Distances!$AD$8)^2))</f>
        <v>113.02156865790326</v>
      </c>
      <c r="M31" s="44">
        <f>((Table3[[#This Row],[score-rt-partialcf]]-MIN(Table3[score-rt-partialcf]))*$G$6)/(MAX(Table3[score-rt-partialcf])-MIN(Table3[score-rt-partialcf]))</f>
        <v>0.99327808804245676</v>
      </c>
      <c r="N31" s="8">
        <f>VLOOKUP(Table3[[#This Row],[MD5]],Input[],15,FALSE)+(Distances!$AA$6*(ABS(Distances!$AD$6-VLOOKUP(Table3[[#This Row],[MD5]],Input[],15,FALSE))*Distances!$AC$6))</f>
        <v>-23.437753495232151</v>
      </c>
      <c r="O31" s="7">
        <f>VLOOKUP(Table3[[#This Row],[MD5]],Input[],16,FALSE)+(Distances!$AA$7*(ABS(Distances!$AD$7-VLOOKUP(Table3[[#This Row],[MD5]],Input[],16,FALSE))*Distances!$AC$7))</f>
        <v>55.418629107500003</v>
      </c>
      <c r="P31" s="7">
        <f>VLOOKUP(Table3[[#This Row],[MD5]],Input[],17,FALSE)+(Distances!$AA$8*(ABS(Distances!$AD$8-VLOOKUP(Table3[[#This Row],[MD5]],Input[],11,FALSE))*Distances!$AC$8))</f>
        <v>42.256517115166602</v>
      </c>
      <c r="Q31" s="47">
        <f>SQRT(SUM((Table3[[#This Row],[time''3]]-Distances!$AD$6)^2,(Table3[[#This Row],[price''3]]-Distances!$AD$7)^2,(Table3[[#This Row],[energy''3]]-Distances!$AD$8)^2))</f>
        <v>74.043410962886071</v>
      </c>
      <c r="R31" s="47">
        <f>((Table3[[#This Row],[score-rt-fullcf]]-MIN(Table3[score-rt-fullcf]))*$G$6)/(MAX(Table3[score-rt-fullcf])-MIN(Table3[score-rt-fullcf]))</f>
        <v>0.99970191826194443</v>
      </c>
      <c r="S31" s="8">
        <f>VLOOKUP(Table3[[#This Row],[MD5]],Input[],21,FALSE)+(Distances!$AI$6*(ABS(Distances!$L$3-VLOOKUP(Table3[[#This Row],[MD5]],Input[],21,FALSE))*Distances!$AC$6))</f>
        <v>249.584117111111</v>
      </c>
      <c r="T31" s="7">
        <f>VLOOKUP(Table3[[#This Row],[MD5]],Input[],22,FALSE)+(Distances!$AI$7*(ABS(Distances!$AB$7-VLOOKUP(Table3[[#This Row],[MD5]],Input[],22,FALSE))*Distances!$AC$7))</f>
        <v>736.15716074073771</v>
      </c>
      <c r="U31" s="7">
        <f>VLOOKUP(Table3[[#This Row],[MD5]],Input[],23,FALSE)+(Distances!$AI$8*(ABS(Distances!$AD$8-VLOOKUP(Table3[[#This Row],[MD5]],Input[],23,FALSE))*Distances!$AC$8))</f>
        <v>558.14978870370328</v>
      </c>
      <c r="V31" s="43">
        <f>SQRT(SUM((Table3[[#This Row],[time''4]]-Distances!$AD$6)^2,(Table3[[#This Row],[price''4]]-Distances!$AD$7)^2,(Table3[[#This Row],[energy''4]]-Distances!$AD$8)^2))</f>
        <v>876.84757900015359</v>
      </c>
      <c r="W31" s="58">
        <f>((Table3[[#This Row],[score-rt-df]]-MIN(Table3[score-rt-df]))*$G$6)/(MAX(Table3[score-rt-df])-MIN(Table3[score-rt-df]))</f>
        <v>3.843258134649156E-6</v>
      </c>
      <c r="AY31" t="str">
        <f>Table3[[#This Row],[QW'#]]</f>
        <v>qw110</v>
      </c>
      <c r="AZ31" t="str">
        <f>VLOOKUP(Table10[[#This Row],[QW'#]],Table3[],2,FALSE)</f>
        <v>885c834c50087c0cc75b68ef41a57b8e</v>
      </c>
      <c r="BA31" s="54">
        <f>IF(ABS(VLOOKUP(Table10[[#This Row],[QW'#]],Table3[],7,FALSE)-0)&lt;=$AZ$6,1,0)</f>
        <v>1</v>
      </c>
      <c r="BB31" s="54">
        <f>IF(ABS(VLOOKUP(Table10[[#This Row],[QW'#]],Table3[],22,FALSE)-0)&lt;=$AZ$6,1,0)</f>
        <v>1</v>
      </c>
      <c r="BC31" s="54">
        <f>IF(AND(Table10[[#This Row],[Retrieved]]=0, Table10[[#This Row],[Relevant]]=0),1,0)</f>
        <v>0</v>
      </c>
      <c r="BD31" s="54">
        <f>IF(AND(Table10[[#This Row],[Retrieved]]=0, Table10[[#This Row],[Relevant]]=1),1,0)</f>
        <v>0</v>
      </c>
      <c r="BE31" s="54">
        <f>IF(AND(Table10[[#This Row],[Retrieved]]=1, Table10[[#This Row],[Relevant]]=0),1,0)</f>
        <v>0</v>
      </c>
      <c r="BF31" s="54">
        <f>IF(AND(Table10[[#This Row],[Retrieved]]=1, Table10[[#This Row],[Relevant]]=1),1,0)</f>
        <v>1</v>
      </c>
    </row>
    <row r="32" spans="2:58">
      <c r="B32" s="76" t="s">
        <v>310</v>
      </c>
      <c r="C32" s="10" t="s">
        <v>178</v>
      </c>
      <c r="D32" s="8">
        <f>VLOOKUP(Table3[[#This Row],[MD5]],Input[],3,FALSE)+(Distances!$AA$6*(ABS(Distances!$AD$6-VLOOKUP(Table3[[#This Row],[MD5]],Input[],3,FALSE))*Distances!$AC$6))</f>
        <v>55.98857143</v>
      </c>
      <c r="E32" s="7">
        <f>VLOOKUP(Table3[[#This Row],[MD5]],Input[],4,FALSE)+(Distances!$AA$7*(ABS(Distances!$AD$7-VLOOKUP(Table3[[#This Row],[MD5]],Input[],4,FALSE))*Distances!$AC$7))</f>
        <v>57.466666666666669</v>
      </c>
      <c r="F32" s="7">
        <f>VLOOKUP(Table3[[#This Row],[MD5]],Input[],5,FALSE)+(Distances!$AA$8*(ABS(Distances!$AD$8-VLOOKUP(Table3[[#This Row],[MD5]],Input[],5,FALSE))*Distances!$AC$8))</f>
        <v>52.933333333333337</v>
      </c>
      <c r="G32" s="46">
        <f>SQRT(SUM((Table3[[#This Row],[time]]-Distances!$AD$6)^2,(Table3[[#This Row],[price]]-Distances!$AD$7)^2,(Table3[[#This Row],[energy]]-Distances!$AD$8)^2))</f>
        <v>10.010921202754911</v>
      </c>
      <c r="H32" s="46">
        <f>((Table3[[#This Row],[score-bt]]-MIN(Table3[score-bt]))*$G$6)/(MAX(Table3[score-bt])-MIN(Table3[score-bt]))</f>
        <v>0</v>
      </c>
      <c r="I32" s="8">
        <f>VLOOKUP(Table3[[#This Row],[MD5]],Input[],9,FALSE)+(Distances!$AA$6*(ABS(Distances!$AD$6-VLOOKUP(Table3[[#This Row],[MD5]],Input[],9,FALSE))*Distances!$AC$6))</f>
        <v>-23.058872244160721</v>
      </c>
      <c r="J32" s="7">
        <f>VLOOKUP(Table3[[#This Row],[MD5]],Input[],10,FALSE)+(Distances!$AA$7*(ABS(Distances!$AD$7-VLOOKUP(Table3[[#This Row],[MD5]],Input[],10,FALSE))*Distances!$AC$7))</f>
        <v>-14.793829709999999</v>
      </c>
      <c r="K32" s="7">
        <f>VLOOKUP(Table3[[#This Row],[MD5]],Input[],11,FALSE)+(Distances!$AA$8*(ABS(Distances!$AD$8-VLOOKUP(Table3[[#This Row],[MD5]],Input[],11,FALSE))*Distances!$AC$8))</f>
        <v>-6.9036880138611103</v>
      </c>
      <c r="L32" s="44">
        <f>SQRT(SUM((Table3[[#This Row],[time''2]]-Distances!$AD$6)^2,(Table3[[#This Row],[price''2]]-Distances!$AD$7)^2,(Table3[[#This Row],[energy''2]]-Distances!$AD$8)^2))</f>
        <v>113.02154171509039</v>
      </c>
      <c r="M32" s="44">
        <f>((Table3[[#This Row],[score-rt-partialcf]]-MIN(Table3[score-rt-partialcf]))*$G$6)/(MAX(Table3[score-rt-partialcf])-MIN(Table3[score-rt-partialcf]))</f>
        <v>0.9932778392514654</v>
      </c>
      <c r="N32" s="8">
        <f>VLOOKUP(Table3[[#This Row],[MD5]],Input[],15,FALSE)+(Distances!$AA$6*(ABS(Distances!$AD$6-VLOOKUP(Table3[[#This Row],[MD5]],Input[],15,FALSE))*Distances!$AC$6))</f>
        <v>-23.437749088982148</v>
      </c>
      <c r="O32" s="7">
        <f>VLOOKUP(Table3[[#This Row],[MD5]],Input[],16,FALSE)+(Distances!$AA$7*(ABS(Distances!$AD$7-VLOOKUP(Table3[[#This Row],[MD5]],Input[],16,FALSE))*Distances!$AC$7))</f>
        <v>55.41863056583329</v>
      </c>
      <c r="P32" s="7">
        <f>VLOOKUP(Table3[[#This Row],[MD5]],Input[],17,FALSE)+(Distances!$AA$8*(ABS(Distances!$AD$8-VLOOKUP(Table3[[#This Row],[MD5]],Input[],11,FALSE))*Distances!$AC$8))</f>
        <v>42.256521033222157</v>
      </c>
      <c r="Q32" s="47">
        <f>SQRT(SUM((Table3[[#This Row],[time''3]]-Distances!$AD$6)^2,(Table3[[#This Row],[price''3]]-Distances!$AD$7)^2,(Table3[[#This Row],[energy''3]]-Distances!$AD$8)^2))</f>
        <v>74.043406289650207</v>
      </c>
      <c r="R32" s="47">
        <f>((Table3[[#This Row],[score-rt-fullcf]]-MIN(Table3[score-rt-fullcf]))*$G$6)/(MAX(Table3[score-rt-fullcf])-MIN(Table3[score-rt-fullcf]))</f>
        <v>0.99970177497767265</v>
      </c>
      <c r="S32" s="8">
        <f>VLOOKUP(Table3[[#This Row],[MD5]],Input[],21,FALSE)+(Distances!$AI$6*(ABS(Distances!$L$3-VLOOKUP(Table3[[#This Row],[MD5]],Input[],21,FALSE))*Distances!$AC$6))</f>
        <v>250.10678377777765</v>
      </c>
      <c r="T32" s="7">
        <f>VLOOKUP(Table3[[#This Row],[MD5]],Input[],22,FALSE)+(Distances!$AI$7*(ABS(Distances!$AB$7-VLOOKUP(Table3[[#This Row],[MD5]],Input[],22,FALSE))*Distances!$AC$7))</f>
        <v>736.28160518518223</v>
      </c>
      <c r="U32" s="7">
        <f>VLOOKUP(Table3[[#This Row],[MD5]],Input[],23,FALSE)+(Distances!$AI$8*(ABS(Distances!$AD$8-VLOOKUP(Table3[[#This Row],[MD5]],Input[],23,FALSE))*Distances!$AC$8))</f>
        <v>558.24312203703676</v>
      </c>
      <c r="V32" s="43">
        <f>SQRT(SUM((Table3[[#This Row],[time''4]]-Distances!$AD$6)^2,(Table3[[#This Row],[price''4]]-Distances!$AD$7)^2,(Table3[[#This Row],[energy''4]]-Distances!$AD$8)^2))</f>
        <v>877.11814348318592</v>
      </c>
      <c r="W32" s="58">
        <f>((Table3[[#This Row],[score-rt-df]]-MIN(Table3[score-rt-df]))*$G$6)/(MAX(Table3[score-rt-df])-MIN(Table3[score-rt-df]))</f>
        <v>4.0660802627448296E-6</v>
      </c>
      <c r="AY32" t="str">
        <f>Table3[[#This Row],[QW'#]]</f>
        <v>qw132</v>
      </c>
      <c r="AZ32" t="str">
        <f>VLOOKUP(Table10[[#This Row],[QW'#]],Table3[],2,FALSE)</f>
        <v>d9d32b012b8f4b3a731452900485accb</v>
      </c>
      <c r="BA32" s="54">
        <f>IF(ABS(VLOOKUP(Table10[[#This Row],[QW'#]],Table3[],7,FALSE)-0)&lt;=$AZ$6,1,0)</f>
        <v>1</v>
      </c>
      <c r="BB32" s="54">
        <f>IF(ABS(VLOOKUP(Table10[[#This Row],[QW'#]],Table3[],22,FALSE)-0)&lt;=$AZ$6,1,0)</f>
        <v>1</v>
      </c>
      <c r="BC32" s="54">
        <f>IF(AND(Table10[[#This Row],[Retrieved]]=0, Table10[[#This Row],[Relevant]]=0),1,0)</f>
        <v>0</v>
      </c>
      <c r="BD32" s="54">
        <f>IF(AND(Table10[[#This Row],[Retrieved]]=0, Table10[[#This Row],[Relevant]]=1),1,0)</f>
        <v>0</v>
      </c>
      <c r="BE32" s="54">
        <f>IF(AND(Table10[[#This Row],[Retrieved]]=1, Table10[[#This Row],[Relevant]]=0),1,0)</f>
        <v>0</v>
      </c>
      <c r="BF32" s="54">
        <f>IF(AND(Table10[[#This Row],[Retrieved]]=1, Table10[[#This Row],[Relevant]]=1),1,0)</f>
        <v>1</v>
      </c>
    </row>
    <row r="33" spans="2:58">
      <c r="B33" s="76" t="s">
        <v>17</v>
      </c>
      <c r="C33" s="10" t="s">
        <v>55</v>
      </c>
      <c r="D33" s="8">
        <f>VLOOKUP(Table3[[#This Row],[MD5]],Input[],3,FALSE)+(Distances!$AA$6*(ABS(Distances!$AD$6-VLOOKUP(Table3[[#This Row],[MD5]],Input[],3,FALSE))*Distances!$AC$6))</f>
        <v>55.98857143</v>
      </c>
      <c r="E33" s="7">
        <f>VLOOKUP(Table3[[#This Row],[MD5]],Input[],4,FALSE)+(Distances!$AA$7*(ABS(Distances!$AD$7-VLOOKUP(Table3[[#This Row],[MD5]],Input[],4,FALSE))*Distances!$AC$7))</f>
        <v>57.466666666666669</v>
      </c>
      <c r="F33" s="7">
        <f>VLOOKUP(Table3[[#This Row],[MD5]],Input[],5,FALSE)+(Distances!$AA$8*(ABS(Distances!$AD$8-VLOOKUP(Table3[[#This Row],[MD5]],Input[],5,FALSE))*Distances!$AC$8))</f>
        <v>52.933333333333337</v>
      </c>
      <c r="G33" s="46">
        <f>SQRT(SUM((Table3[[#This Row],[time]]-Distances!$AD$6)^2,(Table3[[#This Row],[price]]-Distances!$AD$7)^2,(Table3[[#This Row],[energy]]-Distances!$AD$8)^2))</f>
        <v>10.010921202754911</v>
      </c>
      <c r="H33" s="46">
        <f>((Table3[[#This Row],[score-bt]]-MIN(Table3[score-bt]))*$G$6)/(MAX(Table3[score-bt])-MIN(Table3[score-bt]))</f>
        <v>0</v>
      </c>
      <c r="I33" s="8">
        <f>VLOOKUP(Table3[[#This Row],[MD5]],Input[],9,FALSE)+(Distances!$AA$6*(ABS(Distances!$AD$6-VLOOKUP(Table3[[#This Row],[MD5]],Input[],9,FALSE))*Distances!$AC$6))</f>
        <v>-23.058880616035722</v>
      </c>
      <c r="J33" s="7">
        <f>VLOOKUP(Table3[[#This Row],[MD5]],Input[],10,FALSE)+(Distances!$AA$7*(ABS(Distances!$AD$7-VLOOKUP(Table3[[#This Row],[MD5]],Input[],10,FALSE))*Distances!$AC$7))</f>
        <v>-14.793840793333333</v>
      </c>
      <c r="K33" s="7">
        <f>VLOOKUP(Table3[[#This Row],[MD5]],Input[],11,FALSE)+(Distances!$AA$8*(ABS(Distances!$AD$8-VLOOKUP(Table3[[#This Row],[MD5]],Input[],11,FALSE))*Distances!$AC$8))</f>
        <v>-6.9036964187222214</v>
      </c>
      <c r="L33" s="44">
        <f>SQRT(SUM((Table3[[#This Row],[time''2]]-Distances!$AD$6)^2,(Table3[[#This Row],[price''2]]-Distances!$AD$7)^2,(Table3[[#This Row],[energy''2]]-Distances!$AD$8)^2))</f>
        <v>113.0215577123855</v>
      </c>
      <c r="M33" s="44">
        <f>((Table3[[#This Row],[score-rt-partialcf]]-MIN(Table3[score-rt-partialcf]))*$G$6)/(MAX(Table3[score-rt-partialcf])-MIN(Table3[score-rt-partialcf]))</f>
        <v>0.99327798697111624</v>
      </c>
      <c r="N33" s="8">
        <f>VLOOKUP(Table3[[#This Row],[MD5]],Input[],15,FALSE)+(Distances!$AA$6*(ABS(Distances!$AD$6-VLOOKUP(Table3[[#This Row],[MD5]],Input[],15,FALSE))*Distances!$AC$6))</f>
        <v>-23.437749088982148</v>
      </c>
      <c r="O33" s="7">
        <f>VLOOKUP(Table3[[#This Row],[MD5]],Input[],16,FALSE)+(Distances!$AA$7*(ABS(Distances!$AD$7-VLOOKUP(Table3[[#This Row],[MD5]],Input[],16,FALSE))*Distances!$AC$7))</f>
        <v>55.41863056583329</v>
      </c>
      <c r="P33" s="7">
        <f>VLOOKUP(Table3[[#This Row],[MD5]],Input[],17,FALSE)+(Distances!$AA$8*(ABS(Distances!$AD$8-VLOOKUP(Table3[[#This Row],[MD5]],Input[],11,FALSE))*Distances!$AC$8))</f>
        <v>42.256519832527715</v>
      </c>
      <c r="Q33" s="47">
        <f>SQRT(SUM((Table3[[#This Row],[time''3]]-Distances!$AD$6)^2,(Table3[[#This Row],[price''3]]-Distances!$AD$7)^2,(Table3[[#This Row],[energy''3]]-Distances!$AD$8)^2))</f>
        <v>74.043406415219167</v>
      </c>
      <c r="R33" s="47">
        <f>((Table3[[#This Row],[score-rt-fullcf]]-MIN(Table3[score-rt-fullcf]))*$G$6)/(MAX(Table3[score-rt-fullcf])-MIN(Table3[score-rt-fullcf]))</f>
        <v>0.99970177882769373</v>
      </c>
      <c r="S33" s="8">
        <f>VLOOKUP(Table3[[#This Row],[MD5]],Input[],21,FALSE)+(Distances!$AI$6*(ABS(Distances!$L$3-VLOOKUP(Table3[[#This Row],[MD5]],Input[],21,FALSE))*Distances!$AC$6))</f>
        <v>250.10678377777765</v>
      </c>
      <c r="T33" s="7">
        <f>VLOOKUP(Table3[[#This Row],[MD5]],Input[],22,FALSE)+(Distances!$AI$7*(ABS(Distances!$AB$7-VLOOKUP(Table3[[#This Row],[MD5]],Input[],22,FALSE))*Distances!$AC$7))</f>
        <v>736.28160518518223</v>
      </c>
      <c r="U33" s="7">
        <f>VLOOKUP(Table3[[#This Row],[MD5]],Input[],23,FALSE)+(Distances!$AI$8*(ABS(Distances!$AD$8-VLOOKUP(Table3[[#This Row],[MD5]],Input[],23,FALSE))*Distances!$AC$8))</f>
        <v>558.24312203703676</v>
      </c>
      <c r="V33" s="43">
        <f>SQRT(SUM((Table3[[#This Row],[time''4]]-Distances!$AD$6)^2,(Table3[[#This Row],[price''4]]-Distances!$AD$7)^2,(Table3[[#This Row],[energy''4]]-Distances!$AD$8)^2))</f>
        <v>877.11814348318592</v>
      </c>
      <c r="W33" s="58">
        <f>((Table3[[#This Row],[score-rt-df]]-MIN(Table3[score-rt-df]))*$G$6)/(MAX(Table3[score-rt-df])-MIN(Table3[score-rt-df]))</f>
        <v>4.0660802627448296E-6</v>
      </c>
      <c r="AY33" t="str">
        <f>Table3[[#This Row],[QW'#]]</f>
        <v>qw9</v>
      </c>
      <c r="AZ33" t="str">
        <f>VLOOKUP(Table10[[#This Row],[QW'#]],Table3[],2,FALSE)</f>
        <v>6c126acc9a6bdefc030f4fa23231d71a</v>
      </c>
      <c r="BA33" s="54">
        <f>IF(ABS(VLOOKUP(Table10[[#This Row],[QW'#]],Table3[],7,FALSE)-0)&lt;=$AZ$6,1,0)</f>
        <v>1</v>
      </c>
      <c r="BB33" s="54">
        <f>IF(ABS(VLOOKUP(Table10[[#This Row],[QW'#]],Table3[],22,FALSE)-0)&lt;=$AZ$6,1,0)</f>
        <v>1</v>
      </c>
      <c r="BC33" s="54">
        <f>IF(AND(Table10[[#This Row],[Retrieved]]=0, Table10[[#This Row],[Relevant]]=0),1,0)</f>
        <v>0</v>
      </c>
      <c r="BD33" s="54">
        <f>IF(AND(Table10[[#This Row],[Retrieved]]=0, Table10[[#This Row],[Relevant]]=1),1,0)</f>
        <v>0</v>
      </c>
      <c r="BE33" s="54">
        <f>IF(AND(Table10[[#This Row],[Retrieved]]=1, Table10[[#This Row],[Relevant]]=0),1,0)</f>
        <v>0</v>
      </c>
      <c r="BF33" s="54">
        <f>IF(AND(Table10[[#This Row],[Retrieved]]=1, Table10[[#This Row],[Relevant]]=1),1,0)</f>
        <v>1</v>
      </c>
    </row>
    <row r="34" spans="2:58">
      <c r="B34" s="76" t="s">
        <v>325</v>
      </c>
      <c r="C34" s="10" t="s">
        <v>193</v>
      </c>
      <c r="D34" s="8">
        <f>VLOOKUP(Table3[[#This Row],[MD5]],Input[],3,FALSE)+(Distances!$AA$6*(ABS(Distances!$AD$6-VLOOKUP(Table3[[#This Row],[MD5]],Input[],3,FALSE))*Distances!$AC$6))</f>
        <v>55.98857143</v>
      </c>
      <c r="E34" s="7">
        <f>VLOOKUP(Table3[[#This Row],[MD5]],Input[],4,FALSE)+(Distances!$AA$7*(ABS(Distances!$AD$7-VLOOKUP(Table3[[#This Row],[MD5]],Input[],4,FALSE))*Distances!$AC$7))</f>
        <v>57.466666666666669</v>
      </c>
      <c r="F34" s="7">
        <f>VLOOKUP(Table3[[#This Row],[MD5]],Input[],5,FALSE)+(Distances!$AA$8*(ABS(Distances!$AD$8-VLOOKUP(Table3[[#This Row],[MD5]],Input[],5,FALSE))*Distances!$AC$8))</f>
        <v>52.933333333333337</v>
      </c>
      <c r="G34" s="46">
        <f>SQRT(SUM((Table3[[#This Row],[time]]-Distances!$AD$6)^2,(Table3[[#This Row],[price]]-Distances!$AD$7)^2,(Table3[[#This Row],[energy]]-Distances!$AD$8)^2))</f>
        <v>10.010921202754911</v>
      </c>
      <c r="H34" s="46">
        <f>((Table3[[#This Row],[score-bt]]-MIN(Table3[score-bt]))*$G$6)/(MAX(Table3[score-bt])-MIN(Table3[score-bt]))</f>
        <v>0</v>
      </c>
      <c r="I34" s="8">
        <f>VLOOKUP(Table3[[#This Row],[MD5]],Input[],9,FALSE)+(Distances!$AA$6*(ABS(Distances!$AD$6-VLOOKUP(Table3[[#This Row],[MD5]],Input[],9,FALSE))*Distances!$AC$6))</f>
        <v>-23.05887092228572</v>
      </c>
      <c r="J34" s="7">
        <f>VLOOKUP(Table3[[#This Row],[MD5]],Input[],10,FALSE)+(Distances!$AA$7*(ABS(Distances!$AD$7-VLOOKUP(Table3[[#This Row],[MD5]],Input[],10,FALSE))*Distances!$AC$7))</f>
        <v>-14.793827960000007</v>
      </c>
      <c r="K34" s="7">
        <f>VLOOKUP(Table3[[#This Row],[MD5]],Input[],11,FALSE)+(Distances!$AA$8*(ABS(Distances!$AD$8-VLOOKUP(Table3[[#This Row],[MD5]],Input[],11,FALSE))*Distances!$AC$8))</f>
        <v>-6.9036866867777782</v>
      </c>
      <c r="L34" s="44">
        <f>SQRT(SUM((Table3[[#This Row],[time''2]]-Distances!$AD$6)^2,(Table3[[#This Row],[price''2]]-Distances!$AD$7)^2,(Table3[[#This Row],[energy''2]]-Distances!$AD$8)^2))</f>
        <v>113.02153918920169</v>
      </c>
      <c r="M34" s="44">
        <f>((Table3[[#This Row],[score-rt-partialcf]]-MIN(Table3[score-rt-partialcf]))*$G$6)/(MAX(Table3[score-rt-partialcf])-MIN(Table3[score-rt-partialcf]))</f>
        <v>0.99327781592731001</v>
      </c>
      <c r="N34" s="8">
        <f>VLOOKUP(Table3[[#This Row],[MD5]],Input[],15,FALSE)+(Distances!$AA$6*(ABS(Distances!$AD$6-VLOOKUP(Table3[[#This Row],[MD5]],Input[],15,FALSE))*Distances!$AC$6))</f>
        <v>-23.437744682732149</v>
      </c>
      <c r="O34" s="7">
        <f>VLOOKUP(Table3[[#This Row],[MD5]],Input[],16,FALSE)+(Distances!$AA$7*(ABS(Distances!$AD$7-VLOOKUP(Table3[[#This Row],[MD5]],Input[],16,FALSE))*Distances!$AC$7))</f>
        <v>55.418632024166662</v>
      </c>
      <c r="P34" s="7">
        <f>VLOOKUP(Table3[[#This Row],[MD5]],Input[],17,FALSE)+(Distances!$AA$8*(ABS(Distances!$AD$8-VLOOKUP(Table3[[#This Row],[MD5]],Input[],11,FALSE))*Distances!$AC$8))</f>
        <v>42.256523118638825</v>
      </c>
      <c r="Q34" s="47">
        <f>SQRT(SUM((Table3[[#This Row],[time''3]]-Distances!$AD$6)^2,(Table3[[#This Row],[price''3]]-Distances!$AD$7)^2,(Table3[[#This Row],[energy''3]]-Distances!$AD$8)^2))</f>
        <v>74.04340180807236</v>
      </c>
      <c r="R34" s="47">
        <f>((Table3[[#This Row],[score-rt-fullcf]]-MIN(Table3[score-rt-fullcf]))*$G$6)/(MAX(Table3[score-rt-fullcf])-MIN(Table3[score-rt-fullcf]))</f>
        <v>0.99970163756975283</v>
      </c>
      <c r="S34" s="8">
        <f>VLOOKUP(Table3[[#This Row],[MD5]],Input[],21,FALSE)+(Distances!$AI$6*(ABS(Distances!$L$3-VLOOKUP(Table3[[#This Row],[MD5]],Input[],21,FALSE))*Distances!$AC$6))</f>
        <v>250.92811711111099</v>
      </c>
      <c r="T34" s="7">
        <f>VLOOKUP(Table3[[#This Row],[MD5]],Input[],22,FALSE)+(Distances!$AI$7*(ABS(Distances!$AB$7-VLOOKUP(Table3[[#This Row],[MD5]],Input[],22,FALSE))*Distances!$AC$7))</f>
        <v>736.47716074073776</v>
      </c>
      <c r="U34" s="7">
        <f>VLOOKUP(Table3[[#This Row],[MD5]],Input[],23,FALSE)+(Distances!$AI$8*(ABS(Distances!$AD$8-VLOOKUP(Table3[[#This Row],[MD5]],Input[],23,FALSE))*Distances!$AC$8))</f>
        <v>558.38978870370329</v>
      </c>
      <c r="V34" s="43">
        <f>SQRT(SUM((Table3[[#This Row],[time''4]]-Distances!$AD$6)^2,(Table3[[#This Row],[price''4]]-Distances!$AD$7)^2,(Table3[[#This Row],[energy''4]]-Distances!$AD$8)^2))</f>
        <v>877.54383236547062</v>
      </c>
      <c r="W34" s="58">
        <f>((Table3[[#This Row],[score-rt-df]]-MIN(Table3[score-rt-df]))*$G$6)/(MAX(Table3[score-rt-df])-MIN(Table3[score-rt-df]))</f>
        <v>4.4166543720820543E-6</v>
      </c>
      <c r="AY34" t="str">
        <f>Table3[[#This Row],[QW'#]]</f>
        <v>qw147</v>
      </c>
      <c r="AZ34" t="str">
        <f>VLOOKUP(Table10[[#This Row],[QW'#]],Table3[],2,FALSE)</f>
        <v>3c1123cc4551a66b7b4559ae4647ea14</v>
      </c>
      <c r="BA34" s="54">
        <f>IF(ABS(VLOOKUP(Table10[[#This Row],[QW'#]],Table3[],7,FALSE)-0)&lt;=$AZ$6,1,0)</f>
        <v>1</v>
      </c>
      <c r="BB34" s="54">
        <f>IF(ABS(VLOOKUP(Table10[[#This Row],[QW'#]],Table3[],22,FALSE)-0)&lt;=$AZ$6,1,0)</f>
        <v>1</v>
      </c>
      <c r="BC34" s="54">
        <f>IF(AND(Table10[[#This Row],[Retrieved]]=0, Table10[[#This Row],[Relevant]]=0),1,0)</f>
        <v>0</v>
      </c>
      <c r="BD34" s="54">
        <f>IF(AND(Table10[[#This Row],[Retrieved]]=0, Table10[[#This Row],[Relevant]]=1),1,0)</f>
        <v>0</v>
      </c>
      <c r="BE34" s="54">
        <f>IF(AND(Table10[[#This Row],[Retrieved]]=1, Table10[[#This Row],[Relevant]]=0),1,0)</f>
        <v>0</v>
      </c>
      <c r="BF34" s="54">
        <f>IF(AND(Table10[[#This Row],[Retrieved]]=1, Table10[[#This Row],[Relevant]]=1),1,0)</f>
        <v>1</v>
      </c>
    </row>
    <row r="35" spans="2:58">
      <c r="B35" s="76" t="s">
        <v>32</v>
      </c>
      <c r="C35" s="10" t="s">
        <v>70</v>
      </c>
      <c r="D35" s="8">
        <f>VLOOKUP(Table3[[#This Row],[MD5]],Input[],3,FALSE)+(Distances!$AA$6*(ABS(Distances!$AD$6-VLOOKUP(Table3[[#This Row],[MD5]],Input[],3,FALSE))*Distances!$AC$6))</f>
        <v>55.98857143</v>
      </c>
      <c r="E35" s="7">
        <f>VLOOKUP(Table3[[#This Row],[MD5]],Input[],4,FALSE)+(Distances!$AA$7*(ABS(Distances!$AD$7-VLOOKUP(Table3[[#This Row],[MD5]],Input[],4,FALSE))*Distances!$AC$7))</f>
        <v>57.466666666666669</v>
      </c>
      <c r="F35" s="7">
        <f>VLOOKUP(Table3[[#This Row],[MD5]],Input[],5,FALSE)+(Distances!$AA$8*(ABS(Distances!$AD$8-VLOOKUP(Table3[[#This Row],[MD5]],Input[],5,FALSE))*Distances!$AC$8))</f>
        <v>52.933333333333337</v>
      </c>
      <c r="G35" s="46">
        <f>SQRT(SUM((Table3[[#This Row],[time]]-Distances!$AD$6)^2,(Table3[[#This Row],[price]]-Distances!$AD$7)^2,(Table3[[#This Row],[energy]]-Distances!$AD$8)^2))</f>
        <v>10.010921202754911</v>
      </c>
      <c r="H35" s="46">
        <f>((Table3[[#This Row],[score-bt]]-MIN(Table3[score-bt]))*$G$6)/(MAX(Table3[score-bt])-MIN(Table3[score-bt]))</f>
        <v>0</v>
      </c>
      <c r="I35" s="8">
        <f>VLOOKUP(Table3[[#This Row],[MD5]],Input[],9,FALSE)+(Distances!$AA$6*(ABS(Distances!$AD$6-VLOOKUP(Table3[[#This Row],[MD5]],Input[],9,FALSE))*Distances!$AC$6))</f>
        <v>-23.058877972285721</v>
      </c>
      <c r="J35" s="7">
        <f>VLOOKUP(Table3[[#This Row],[MD5]],Input[],10,FALSE)+(Distances!$AA$7*(ABS(Distances!$AD$7-VLOOKUP(Table3[[#This Row],[MD5]],Input[],10,FALSE))*Distances!$AC$7))</f>
        <v>-14.793837293333342</v>
      </c>
      <c r="K35" s="7">
        <f>VLOOKUP(Table3[[#This Row],[MD5]],Input[],11,FALSE)+(Distances!$AA$8*(ABS(Distances!$AD$8-VLOOKUP(Table3[[#This Row],[MD5]],Input[],11,FALSE))*Distances!$AC$8))</f>
        <v>-6.9036937645555536</v>
      </c>
      <c r="L35" s="44">
        <f>SQRT(SUM((Table3[[#This Row],[time''2]]-Distances!$AD$6)^2,(Table3[[#This Row],[price''2]]-Distances!$AD$7)^2,(Table3[[#This Row],[energy''2]]-Distances!$AD$8)^2))</f>
        <v>113.02155266060809</v>
      </c>
      <c r="M35" s="44">
        <f>((Table3[[#This Row],[score-rt-partialcf]]-MIN(Table3[score-rt-partialcf]))*$G$6)/(MAX(Table3[score-rt-partialcf])-MIN(Table3[score-rt-partialcf]))</f>
        <v>0.99327794032280536</v>
      </c>
      <c r="N35" s="8">
        <f>VLOOKUP(Table3[[#This Row],[MD5]],Input[],15,FALSE)+(Distances!$AA$6*(ABS(Distances!$AD$6-VLOOKUP(Table3[[#This Row],[MD5]],Input[],15,FALSE))*Distances!$AC$6))</f>
        <v>-23.437744682732149</v>
      </c>
      <c r="O35" s="7">
        <f>VLOOKUP(Table3[[#This Row],[MD5]],Input[],16,FALSE)+(Distances!$AA$7*(ABS(Distances!$AD$7-VLOOKUP(Table3[[#This Row],[MD5]],Input[],16,FALSE))*Distances!$AC$7))</f>
        <v>55.418632024166662</v>
      </c>
      <c r="P35" s="7">
        <f>VLOOKUP(Table3[[#This Row],[MD5]],Input[],17,FALSE)+(Distances!$AA$8*(ABS(Distances!$AD$8-VLOOKUP(Table3[[#This Row],[MD5]],Input[],11,FALSE))*Distances!$AC$8))</f>
        <v>42.256522107527715</v>
      </c>
      <c r="Q35" s="47">
        <f>SQRT(SUM((Table3[[#This Row],[time''3]]-Distances!$AD$6)^2,(Table3[[#This Row],[price''3]]-Distances!$AD$7)^2,(Table3[[#This Row],[energy''3]]-Distances!$AD$8)^2))</f>
        <v>74.043401913814606</v>
      </c>
      <c r="R35" s="47">
        <f>((Table3[[#This Row],[score-rt-fullcf]]-MIN(Table3[score-rt-fullcf]))*$G$6)/(MAX(Table3[score-rt-fullcf])-MIN(Table3[score-rt-fullcf]))</f>
        <v>0.99970164081187474</v>
      </c>
      <c r="S35" s="8">
        <f>VLOOKUP(Table3[[#This Row],[MD5]],Input[],21,FALSE)+(Distances!$AI$6*(ABS(Distances!$L$3-VLOOKUP(Table3[[#This Row],[MD5]],Input[],21,FALSE))*Distances!$AC$6))</f>
        <v>250.92811711111099</v>
      </c>
      <c r="T35" s="7">
        <f>VLOOKUP(Table3[[#This Row],[MD5]],Input[],22,FALSE)+(Distances!$AI$7*(ABS(Distances!$AB$7-VLOOKUP(Table3[[#This Row],[MD5]],Input[],22,FALSE))*Distances!$AC$7))</f>
        <v>736.47716074073776</v>
      </c>
      <c r="U35" s="7">
        <f>VLOOKUP(Table3[[#This Row],[MD5]],Input[],23,FALSE)+(Distances!$AI$8*(ABS(Distances!$AD$8-VLOOKUP(Table3[[#This Row],[MD5]],Input[],23,FALSE))*Distances!$AC$8))</f>
        <v>558.38978870370329</v>
      </c>
      <c r="V35" s="43">
        <f>SQRT(SUM((Table3[[#This Row],[time''4]]-Distances!$AD$6)^2,(Table3[[#This Row],[price''4]]-Distances!$AD$7)^2,(Table3[[#This Row],[energy''4]]-Distances!$AD$8)^2))</f>
        <v>877.54383236547062</v>
      </c>
      <c r="W35" s="58">
        <f>((Table3[[#This Row],[score-rt-df]]-MIN(Table3[score-rt-df]))*$G$6)/(MAX(Table3[score-rt-df])-MIN(Table3[score-rt-df]))</f>
        <v>4.4166543720820543E-6</v>
      </c>
      <c r="AY35" t="str">
        <f>Table3[[#This Row],[QW'#]]</f>
        <v>qw24</v>
      </c>
      <c r="AZ35" t="str">
        <f>VLOOKUP(Table10[[#This Row],[QW'#]],Table3[],2,FALSE)</f>
        <v>f28151d8cd45822f6fb5e6412c7823d8</v>
      </c>
      <c r="BA35" s="54">
        <f>IF(ABS(VLOOKUP(Table10[[#This Row],[QW'#]],Table3[],7,FALSE)-0)&lt;=$AZ$6,1,0)</f>
        <v>1</v>
      </c>
      <c r="BB35" s="54">
        <f>IF(ABS(VLOOKUP(Table10[[#This Row],[QW'#]],Table3[],22,FALSE)-0)&lt;=$AZ$6,1,0)</f>
        <v>1</v>
      </c>
      <c r="BC35" s="54">
        <f>IF(AND(Table10[[#This Row],[Retrieved]]=0, Table10[[#This Row],[Relevant]]=0),1,0)</f>
        <v>0</v>
      </c>
      <c r="BD35" s="54">
        <f>IF(AND(Table10[[#This Row],[Retrieved]]=0, Table10[[#This Row],[Relevant]]=1),1,0)</f>
        <v>0</v>
      </c>
      <c r="BE35" s="54">
        <f>IF(AND(Table10[[#This Row],[Retrieved]]=1, Table10[[#This Row],[Relevant]]=0),1,0)</f>
        <v>0</v>
      </c>
      <c r="BF35" s="54">
        <f>IF(AND(Table10[[#This Row],[Retrieved]]=1, Table10[[#This Row],[Relevant]]=1),1,0)</f>
        <v>1</v>
      </c>
    </row>
    <row r="36" spans="2:58">
      <c r="B36" s="76" t="s">
        <v>20</v>
      </c>
      <c r="C36" s="10" t="s">
        <v>58</v>
      </c>
      <c r="D36" s="8">
        <f>VLOOKUP(Table3[[#This Row],[MD5]],Input[],3,FALSE)+(Distances!$AA$6*(ABS(Distances!$AD$6-VLOOKUP(Table3[[#This Row],[MD5]],Input[],3,FALSE))*Distances!$AC$6))</f>
        <v>55.98857143</v>
      </c>
      <c r="E36" s="7">
        <f>VLOOKUP(Table3[[#This Row],[MD5]],Input[],4,FALSE)+(Distances!$AA$7*(ABS(Distances!$AD$7-VLOOKUP(Table3[[#This Row],[MD5]],Input[],4,FALSE))*Distances!$AC$7))</f>
        <v>57.466666666666669</v>
      </c>
      <c r="F36" s="7">
        <f>VLOOKUP(Table3[[#This Row],[MD5]],Input[],5,FALSE)+(Distances!$AA$8*(ABS(Distances!$AD$8-VLOOKUP(Table3[[#This Row],[MD5]],Input[],5,FALSE))*Distances!$AC$8))</f>
        <v>52.933333333333337</v>
      </c>
      <c r="G36" s="46">
        <f>SQRT(SUM((Table3[[#This Row],[time]]-Distances!$AD$6)^2,(Table3[[#This Row],[price]]-Distances!$AD$7)^2,(Table3[[#This Row],[energy]]-Distances!$AD$8)^2))</f>
        <v>10.010921202754911</v>
      </c>
      <c r="H36" s="46">
        <f>((Table3[[#This Row],[score-bt]]-MIN(Table3[score-bt]))*$G$6)/(MAX(Table3[score-bt])-MIN(Table3[score-bt]))</f>
        <v>0</v>
      </c>
      <c r="I36" s="8">
        <f>VLOOKUP(Table3[[#This Row],[MD5]],Input[],9,FALSE)+(Distances!$AA$6*(ABS(Distances!$AD$6-VLOOKUP(Table3[[#This Row],[MD5]],Input[],9,FALSE))*Distances!$AC$6))</f>
        <v>-22.883823683571432</v>
      </c>
      <c r="J36" s="7">
        <f>VLOOKUP(Table3[[#This Row],[MD5]],Input[],10,FALSE)+(Distances!$AA$7*(ABS(Distances!$AD$7-VLOOKUP(Table3[[#This Row],[MD5]],Input[],10,FALSE))*Distances!$AC$7))</f>
        <v>-14.617499975000007</v>
      </c>
      <c r="K36" s="7">
        <f>VLOOKUP(Table3[[#This Row],[MD5]],Input[],11,FALSE)+(Distances!$AA$8*(ABS(Distances!$AD$8-VLOOKUP(Table3[[#This Row],[MD5]],Input[],11,FALSE))*Distances!$AC$8))</f>
        <v>-6.7692231084027776</v>
      </c>
      <c r="L36" s="44">
        <f>SQRT(SUM((Table3[[#This Row],[time''2]]-Distances!$AD$6)^2,(Table3[[#This Row],[price''2]]-Distances!$AD$7)^2,(Table3[[#This Row],[energy''2]]-Distances!$AD$8)^2))</f>
        <v>112.73960151645323</v>
      </c>
      <c r="M36" s="44">
        <f>((Table3[[#This Row],[score-rt-partialcf]]-MIN(Table3[score-rt-partialcf]))*$G$6)/(MAX(Table3[score-rt-partialcf])-MIN(Table3[score-rt-partialcf]))</f>
        <v>0.99067439239344057</v>
      </c>
      <c r="N36" s="8">
        <f>VLOOKUP(Table3[[#This Row],[MD5]],Input[],15,FALSE)+(Distances!$AA$6*(ABS(Distances!$AD$6-VLOOKUP(Table3[[#This Row],[MD5]],Input[],15,FALSE))*Distances!$AC$6))</f>
        <v>-23.313546362142862</v>
      </c>
      <c r="O36" s="7">
        <f>VLOOKUP(Table3[[#This Row],[MD5]],Input[],16,FALSE)+(Distances!$AA$7*(ABS(Distances!$AD$7-VLOOKUP(Table3[[#This Row],[MD5]],Input[],16,FALSE))*Distances!$AC$7))</f>
        <v>55.467934200000002</v>
      </c>
      <c r="P36" s="7">
        <f>VLOOKUP(Table3[[#This Row],[MD5]],Input[],17,FALSE)+(Distances!$AA$8*(ABS(Distances!$AD$8-VLOOKUP(Table3[[#This Row],[MD5]],Input[],11,FALSE))*Distances!$AC$8))</f>
        <v>42.340466335347159</v>
      </c>
      <c r="Q36" s="47">
        <f>SQRT(SUM((Table3[[#This Row],[time''3]]-Distances!$AD$6)^2,(Table3[[#This Row],[price''3]]-Distances!$AD$7)^2,(Table3[[#This Row],[energy''3]]-Distances!$AD$8)^2))</f>
        <v>73.915105631863568</v>
      </c>
      <c r="R36" s="47">
        <f>((Table3[[#This Row],[score-rt-fullcf]]-MIN(Table3[score-rt-fullcf]))*$G$6)/(MAX(Table3[score-rt-fullcf])-MIN(Table3[score-rt-fullcf]))</f>
        <v>0.99576799828236595</v>
      </c>
      <c r="S36" s="8">
        <f>VLOOKUP(Table3[[#This Row],[MD5]],Input[],21,FALSE)+(Distances!$AI$6*(ABS(Distances!$L$3-VLOOKUP(Table3[[#This Row],[MD5]],Input[],21,FALSE))*Distances!$AC$6))</f>
        <v>2363.4422566666667</v>
      </c>
      <c r="T36" s="7">
        <f>VLOOKUP(Table3[[#This Row],[MD5]],Input[],22,FALSE)+(Distances!$AI$7*(ABS(Distances!$AB$7-VLOOKUP(Table3[[#This Row],[MD5]],Input[],22,FALSE))*Distances!$AC$7))</f>
        <v>1564.3479666666667</v>
      </c>
      <c r="U36" s="7">
        <f>VLOOKUP(Table3[[#This Row],[MD5]],Input[],23,FALSE)+(Distances!$AI$8*(ABS(Distances!$AD$8-VLOOKUP(Table3[[#This Row],[MD5]],Input[],23,FALSE))*Distances!$AC$8))</f>
        <v>1160.4528027777776</v>
      </c>
      <c r="V36" s="43">
        <f>SQRT(SUM((Table3[[#This Row],[time''4]]-Distances!$AD$6)^2,(Table3[[#This Row],[price''4]]-Distances!$AD$7)^2,(Table3[[#This Row],[energy''4]]-Distances!$AD$8)^2))</f>
        <v>2979.6594211881747</v>
      </c>
      <c r="W36" s="58">
        <f>((Table3[[#This Row],[score-rt-df]]-MIN(Table3[score-rt-df]))*$G$6)/(MAX(Table3[score-rt-df])-MIN(Table3[score-rt-df]))</f>
        <v>1.7356042210291355E-3</v>
      </c>
      <c r="AY36" t="str">
        <f>Table3[[#This Row],[QW'#]]</f>
        <v>qw12</v>
      </c>
      <c r="AZ36" t="str">
        <f>VLOOKUP(Table10[[#This Row],[QW'#]],Table3[],2,FALSE)</f>
        <v>a1a7ebfda616de9a79d28fb1668e9a7f</v>
      </c>
      <c r="BA36" s="54">
        <f>IF(ABS(VLOOKUP(Table10[[#This Row],[QW'#]],Table3[],7,FALSE)-0)&lt;=$AZ$6,1,0)</f>
        <v>1</v>
      </c>
      <c r="BB36" s="54">
        <f>IF(ABS(VLOOKUP(Table10[[#This Row],[QW'#]],Table3[],22,FALSE)-0)&lt;=$AZ$6,1,0)</f>
        <v>1</v>
      </c>
      <c r="BC36" s="54">
        <f>IF(AND(Table10[[#This Row],[Retrieved]]=0, Table10[[#This Row],[Relevant]]=0),1,0)</f>
        <v>0</v>
      </c>
      <c r="BD36" s="54">
        <f>IF(AND(Table10[[#This Row],[Retrieved]]=0, Table10[[#This Row],[Relevant]]=1),1,0)</f>
        <v>0</v>
      </c>
      <c r="BE36" s="54">
        <f>IF(AND(Table10[[#This Row],[Retrieved]]=1, Table10[[#This Row],[Relevant]]=0),1,0)</f>
        <v>0</v>
      </c>
      <c r="BF36" s="54">
        <f>IF(AND(Table10[[#This Row],[Retrieved]]=1, Table10[[#This Row],[Relevant]]=1),1,0)</f>
        <v>1</v>
      </c>
    </row>
    <row r="37" spans="2:58">
      <c r="B37" s="76" t="s">
        <v>299</v>
      </c>
      <c r="C37" s="10" t="s">
        <v>167</v>
      </c>
      <c r="D37" s="8">
        <f>VLOOKUP(Table3[[#This Row],[MD5]],Input[],3,FALSE)+(Distances!$AA$6*(ABS(Distances!$AD$6-VLOOKUP(Table3[[#This Row],[MD5]],Input[],3,FALSE))*Distances!$AC$6))</f>
        <v>55.98857143</v>
      </c>
      <c r="E37" s="7">
        <f>VLOOKUP(Table3[[#This Row],[MD5]],Input[],4,FALSE)+(Distances!$AA$7*(ABS(Distances!$AD$7-VLOOKUP(Table3[[#This Row],[MD5]],Input[],4,FALSE))*Distances!$AC$7))</f>
        <v>57.466666666666669</v>
      </c>
      <c r="F37" s="7">
        <f>VLOOKUP(Table3[[#This Row],[MD5]],Input[],5,FALSE)+(Distances!$AA$8*(ABS(Distances!$AD$8-VLOOKUP(Table3[[#This Row],[MD5]],Input[],5,FALSE))*Distances!$AC$8))</f>
        <v>52.933333333333337</v>
      </c>
      <c r="G37" s="46">
        <f>SQRT(SUM((Table3[[#This Row],[time]]-Distances!$AD$6)^2,(Table3[[#This Row],[price]]-Distances!$AD$7)^2,(Table3[[#This Row],[energy]]-Distances!$AD$8)^2))</f>
        <v>10.010921202754911</v>
      </c>
      <c r="H37" s="46">
        <f>((Table3[[#This Row],[score-bt]]-MIN(Table3[score-bt]))*$G$6)/(MAX(Table3[score-bt])-MIN(Table3[score-bt]))</f>
        <v>0</v>
      </c>
      <c r="I37" s="8">
        <f>VLOOKUP(Table3[[#This Row],[MD5]],Input[],9,FALSE)+(Distances!$AA$6*(ABS(Distances!$AD$6-VLOOKUP(Table3[[#This Row],[MD5]],Input[],9,FALSE))*Distances!$AC$6))</f>
        <v>-22.883825005446429</v>
      </c>
      <c r="J37" s="7">
        <f>VLOOKUP(Table3[[#This Row],[MD5]],Input[],10,FALSE)+(Distances!$AA$7*(ABS(Distances!$AD$7-VLOOKUP(Table3[[#This Row],[MD5]],Input[],10,FALSE))*Distances!$AC$7))</f>
        <v>-14.617501725000009</v>
      </c>
      <c r="K37" s="7">
        <f>VLOOKUP(Table3[[#This Row],[MD5]],Input[],11,FALSE)+(Distances!$AA$8*(ABS(Distances!$AD$8-VLOOKUP(Table3[[#This Row],[MD5]],Input[],11,FALSE))*Distances!$AC$8))</f>
        <v>-6.7692244354861097</v>
      </c>
      <c r="L37" s="44">
        <f>SQRT(SUM((Table3[[#This Row],[time''2]]-Distances!$AD$6)^2,(Table3[[#This Row],[price''2]]-Distances!$AD$7)^2,(Table3[[#This Row],[energy''2]]-Distances!$AD$8)^2))</f>
        <v>112.73960404228636</v>
      </c>
      <c r="M37" s="44">
        <f>((Table3[[#This Row],[score-rt-partialcf]]-MIN(Table3[score-rt-partialcf]))*$G$6)/(MAX(Table3[score-rt-partialcf])-MIN(Table3[score-rt-partialcf]))</f>
        <v>0.99067441571708281</v>
      </c>
      <c r="N37" s="8">
        <f>VLOOKUP(Table3[[#This Row],[MD5]],Input[],15,FALSE)+(Distances!$AA$6*(ABS(Distances!$AD$6-VLOOKUP(Table3[[#This Row],[MD5]],Input[],15,FALSE))*Distances!$AC$6))</f>
        <v>-23.313546362142862</v>
      </c>
      <c r="O37" s="7">
        <f>VLOOKUP(Table3[[#This Row],[MD5]],Input[],16,FALSE)+(Distances!$AA$7*(ABS(Distances!$AD$7-VLOOKUP(Table3[[#This Row],[MD5]],Input[],16,FALSE))*Distances!$AC$7))</f>
        <v>55.467934200000002</v>
      </c>
      <c r="P37" s="7">
        <f>VLOOKUP(Table3[[#This Row],[MD5]],Input[],17,FALSE)+(Distances!$AA$8*(ABS(Distances!$AD$8-VLOOKUP(Table3[[#This Row],[MD5]],Input[],11,FALSE))*Distances!$AC$8))</f>
        <v>42.340466145763827</v>
      </c>
      <c r="Q37" s="47">
        <f>SQRT(SUM((Table3[[#This Row],[time''3]]-Distances!$AD$6)^2,(Table3[[#This Row],[price''3]]-Distances!$AD$7)^2,(Table3[[#This Row],[energy''3]]-Distances!$AD$8)^2))</f>
        <v>73.91510565150935</v>
      </c>
      <c r="R37" s="47">
        <f>((Table3[[#This Row],[score-rt-fullcf]]-MIN(Table3[score-rt-fullcf]))*$G$6)/(MAX(Table3[score-rt-fullcf])-MIN(Table3[score-rt-fullcf]))</f>
        <v>0.99576799888471756</v>
      </c>
      <c r="S37" s="8">
        <f>VLOOKUP(Table3[[#This Row],[MD5]],Input[],21,FALSE)+(Distances!$AI$6*(ABS(Distances!$L$3-VLOOKUP(Table3[[#This Row],[MD5]],Input[],21,FALSE))*Distances!$AC$6))</f>
        <v>2363.4422566666667</v>
      </c>
      <c r="T37" s="7">
        <f>VLOOKUP(Table3[[#This Row],[MD5]],Input[],22,FALSE)+(Distances!$AI$7*(ABS(Distances!$AB$7-VLOOKUP(Table3[[#This Row],[MD5]],Input[],22,FALSE))*Distances!$AC$7))</f>
        <v>1564.3479666666667</v>
      </c>
      <c r="U37" s="7">
        <f>VLOOKUP(Table3[[#This Row],[MD5]],Input[],23,FALSE)+(Distances!$AI$8*(ABS(Distances!$AD$8-VLOOKUP(Table3[[#This Row],[MD5]],Input[],23,FALSE))*Distances!$AC$8))</f>
        <v>1160.4528027777776</v>
      </c>
      <c r="V37" s="43">
        <f>SQRT(SUM((Table3[[#This Row],[time''4]]-Distances!$AD$6)^2,(Table3[[#This Row],[price''4]]-Distances!$AD$7)^2,(Table3[[#This Row],[energy''4]]-Distances!$AD$8)^2))</f>
        <v>2979.6594211881747</v>
      </c>
      <c r="W37" s="58">
        <f>((Table3[[#This Row],[score-rt-df]]-MIN(Table3[score-rt-df]))*$G$6)/(MAX(Table3[score-rt-df])-MIN(Table3[score-rt-df]))</f>
        <v>1.7356042210291355E-3</v>
      </c>
      <c r="AY37" t="str">
        <f>Table3[[#This Row],[QW'#]]</f>
        <v>qw121</v>
      </c>
      <c r="AZ37" t="str">
        <f>VLOOKUP(Table10[[#This Row],[QW'#]],Table3[],2,FALSE)</f>
        <v>6fea4a10bd9abeb1846ad639e0508820</v>
      </c>
      <c r="BA37" s="54">
        <f>IF(ABS(VLOOKUP(Table10[[#This Row],[QW'#]],Table3[],7,FALSE)-0)&lt;=$AZ$6,1,0)</f>
        <v>1</v>
      </c>
      <c r="BB37" s="54">
        <f>IF(ABS(VLOOKUP(Table10[[#This Row],[QW'#]],Table3[],22,FALSE)-0)&lt;=$AZ$6,1,0)</f>
        <v>1</v>
      </c>
      <c r="BC37" s="54">
        <f>IF(AND(Table10[[#This Row],[Retrieved]]=0, Table10[[#This Row],[Relevant]]=0),1,0)</f>
        <v>0</v>
      </c>
      <c r="BD37" s="54">
        <f>IF(AND(Table10[[#This Row],[Retrieved]]=0, Table10[[#This Row],[Relevant]]=1),1,0)</f>
        <v>0</v>
      </c>
      <c r="BE37" s="54">
        <f>IF(AND(Table10[[#This Row],[Retrieved]]=1, Table10[[#This Row],[Relevant]]=0),1,0)</f>
        <v>0</v>
      </c>
      <c r="BF37" s="54">
        <f>IF(AND(Table10[[#This Row],[Retrieved]]=1, Table10[[#This Row],[Relevant]]=1),1,0)</f>
        <v>1</v>
      </c>
    </row>
    <row r="38" spans="2:58">
      <c r="B38" s="76" t="s">
        <v>304</v>
      </c>
      <c r="C38" s="10" t="s">
        <v>172</v>
      </c>
      <c r="D38" s="8">
        <f>VLOOKUP(Table3[[#This Row],[MD5]],Input[],3,FALSE)+(Distances!$AA$6*(ABS(Distances!$AD$6-VLOOKUP(Table3[[#This Row],[MD5]],Input[],3,FALSE))*Distances!$AC$6))</f>
        <v>55.98857143</v>
      </c>
      <c r="E38" s="7">
        <f>VLOOKUP(Table3[[#This Row],[MD5]],Input[],4,FALSE)+(Distances!$AA$7*(ABS(Distances!$AD$7-VLOOKUP(Table3[[#This Row],[MD5]],Input[],4,FALSE))*Distances!$AC$7))</f>
        <v>57.466666666666669</v>
      </c>
      <c r="F38" s="7">
        <f>VLOOKUP(Table3[[#This Row],[MD5]],Input[],5,FALSE)+(Distances!$AA$8*(ABS(Distances!$AD$8-VLOOKUP(Table3[[#This Row],[MD5]],Input[],5,FALSE))*Distances!$AC$8))</f>
        <v>52.933333333333337</v>
      </c>
      <c r="G38" s="46">
        <f>SQRT(SUM((Table3[[#This Row],[time]]-Distances!$AD$6)^2,(Table3[[#This Row],[price]]-Distances!$AD$7)^2,(Table3[[#This Row],[energy]]-Distances!$AD$8)^2))</f>
        <v>10.010921202754911</v>
      </c>
      <c r="H38" s="46">
        <f>((Table3[[#This Row],[score-bt]]-MIN(Table3[score-bt]))*$G$6)/(MAX(Table3[score-bt])-MIN(Table3[score-bt]))</f>
        <v>0</v>
      </c>
      <c r="I38" s="8">
        <f>VLOOKUP(Table3[[#This Row],[MD5]],Input[],9,FALSE)+(Distances!$AA$6*(ABS(Distances!$AD$6-VLOOKUP(Table3[[#This Row],[MD5]],Input[],9,FALSE))*Distances!$AC$6))</f>
        <v>-23.28699436258929</v>
      </c>
      <c r="J38" s="7">
        <f>VLOOKUP(Table3[[#This Row],[MD5]],Input[],10,FALSE)+(Distances!$AA$7*(ABS(Distances!$AD$7-VLOOKUP(Table3[[#This Row],[MD5]],Input[],10,FALSE))*Distances!$AC$7))</f>
        <v>-15.151248391666673</v>
      </c>
      <c r="K38" s="7">
        <f>VLOOKUP(Table3[[#This Row],[MD5]],Input[],11,FALSE)+(Distances!$AA$8*(ABS(Distances!$AD$8-VLOOKUP(Table3[[#This Row],[MD5]],Input[],11,FALSE))*Distances!$AC$8))</f>
        <v>-7.1739823243750003</v>
      </c>
      <c r="L38" s="44">
        <f>SQRT(SUM((Table3[[#This Row],[time''2]]-Distances!$AD$6)^2,(Table3[[#This Row],[price''2]]-Distances!$AD$7)^2,(Table3[[#This Row],[energy''2]]-Distances!$AD$8)^2))</f>
        <v>113.51005666689974</v>
      </c>
      <c r="M38" s="44">
        <f>((Table3[[#This Row],[score-rt-partialcf]]-MIN(Table3[score-rt-partialcf]))*$G$6)/(MAX(Table3[score-rt-partialcf])-MIN(Table3[score-rt-partialcf]))</f>
        <v>0.9977888054866243</v>
      </c>
      <c r="N38" s="8">
        <f>VLOOKUP(Table3[[#This Row],[MD5]],Input[],15,FALSE)+(Distances!$AA$6*(ABS(Distances!$AD$6-VLOOKUP(Table3[[#This Row],[MD5]],Input[],15,FALSE))*Distances!$AC$6))</f>
        <v>-23.313546362142862</v>
      </c>
      <c r="O38" s="7">
        <f>VLOOKUP(Table3[[#This Row],[MD5]],Input[],16,FALSE)+(Distances!$AA$7*(ABS(Distances!$AD$7-VLOOKUP(Table3[[#This Row],[MD5]],Input[],16,FALSE))*Distances!$AC$7))</f>
        <v>55.467934200000002</v>
      </c>
      <c r="P38" s="7">
        <f>VLOOKUP(Table3[[#This Row],[MD5]],Input[],17,FALSE)+(Distances!$AA$8*(ABS(Distances!$AD$8-VLOOKUP(Table3[[#This Row],[MD5]],Input[],11,FALSE))*Distances!$AC$8))</f>
        <v>42.282643590208266</v>
      </c>
      <c r="Q38" s="47">
        <f>SQRT(SUM((Table3[[#This Row],[time''3]]-Distances!$AD$6)^2,(Table3[[#This Row],[price''3]]-Distances!$AD$7)^2,(Table3[[#This Row],[energy''3]]-Distances!$AD$8)^2))</f>
        <v>73.921119949344344</v>
      </c>
      <c r="R38" s="47">
        <f>((Table3[[#This Row],[score-rt-fullcf]]-MIN(Table3[score-rt-fullcf]))*$G$6)/(MAX(Table3[score-rt-fullcf])-MIN(Table3[score-rt-fullcf]))</f>
        <v>0.99595240093744342</v>
      </c>
      <c r="S38" s="8">
        <f>VLOOKUP(Table3[[#This Row],[MD5]],Input[],21,FALSE)+(Distances!$AI$6*(ABS(Distances!$L$3-VLOOKUP(Table3[[#This Row],[MD5]],Input[],21,FALSE))*Distances!$AC$6))</f>
        <v>2363.4422566666667</v>
      </c>
      <c r="T38" s="7">
        <f>VLOOKUP(Table3[[#This Row],[MD5]],Input[],22,FALSE)+(Distances!$AI$7*(ABS(Distances!$AB$7-VLOOKUP(Table3[[#This Row],[MD5]],Input[],22,FALSE))*Distances!$AC$7))</f>
        <v>1564.3479666666667</v>
      </c>
      <c r="U38" s="7">
        <f>VLOOKUP(Table3[[#This Row],[MD5]],Input[],23,FALSE)+(Distances!$AI$8*(ABS(Distances!$AD$8-VLOOKUP(Table3[[#This Row],[MD5]],Input[],23,FALSE))*Distances!$AC$8))</f>
        <v>1160.4528027777776</v>
      </c>
      <c r="V38" s="43">
        <f>SQRT(SUM((Table3[[#This Row],[time''4]]-Distances!$AD$6)^2,(Table3[[#This Row],[price''4]]-Distances!$AD$7)^2,(Table3[[#This Row],[energy''4]]-Distances!$AD$8)^2))</f>
        <v>2979.6594211881747</v>
      </c>
      <c r="W38" s="58">
        <f>((Table3[[#This Row],[score-rt-df]]-MIN(Table3[score-rt-df]))*$G$6)/(MAX(Table3[score-rt-df])-MIN(Table3[score-rt-df]))</f>
        <v>1.7356042210291355E-3</v>
      </c>
      <c r="AY38" t="str">
        <f>Table3[[#This Row],[QW'#]]</f>
        <v>qw126</v>
      </c>
      <c r="AZ38" t="str">
        <f>VLOOKUP(Table10[[#This Row],[QW'#]],Table3[],2,FALSE)</f>
        <v>e7d8d3eabe1862c098a747d43462a741</v>
      </c>
      <c r="BA38" s="54">
        <f>IF(ABS(VLOOKUP(Table10[[#This Row],[QW'#]],Table3[],7,FALSE)-0)&lt;=$AZ$6,1,0)</f>
        <v>1</v>
      </c>
      <c r="BB38" s="54">
        <f>IF(ABS(VLOOKUP(Table10[[#This Row],[QW'#]],Table3[],22,FALSE)-0)&lt;=$AZ$6,1,0)</f>
        <v>1</v>
      </c>
      <c r="BC38" s="54">
        <f>IF(AND(Table10[[#This Row],[Retrieved]]=0, Table10[[#This Row],[Relevant]]=0),1,0)</f>
        <v>0</v>
      </c>
      <c r="BD38" s="54">
        <f>IF(AND(Table10[[#This Row],[Retrieved]]=0, Table10[[#This Row],[Relevant]]=1),1,0)</f>
        <v>0</v>
      </c>
      <c r="BE38" s="54">
        <f>IF(AND(Table10[[#This Row],[Retrieved]]=1, Table10[[#This Row],[Relevant]]=0),1,0)</f>
        <v>0</v>
      </c>
      <c r="BF38" s="54">
        <f>IF(AND(Table10[[#This Row],[Retrieved]]=1, Table10[[#This Row],[Relevant]]=1),1,0)</f>
        <v>1</v>
      </c>
    </row>
    <row r="39" spans="2:58">
      <c r="B39" s="76" t="s">
        <v>311</v>
      </c>
      <c r="C39" s="10" t="s">
        <v>179</v>
      </c>
      <c r="D39" s="8">
        <f>VLOOKUP(Table3[[#This Row],[MD5]],Input[],3,FALSE)+(Distances!$AA$6*(ABS(Distances!$AD$6-VLOOKUP(Table3[[#This Row],[MD5]],Input[],3,FALSE))*Distances!$AC$6))</f>
        <v>55.98857143</v>
      </c>
      <c r="E39" s="7">
        <f>VLOOKUP(Table3[[#This Row],[MD5]],Input[],4,FALSE)+(Distances!$AA$7*(ABS(Distances!$AD$7-VLOOKUP(Table3[[#This Row],[MD5]],Input[],4,FALSE))*Distances!$AC$7))</f>
        <v>57.466666666666669</v>
      </c>
      <c r="F39" s="7">
        <f>VLOOKUP(Table3[[#This Row],[MD5]],Input[],5,FALSE)+(Distances!$AA$8*(ABS(Distances!$AD$8-VLOOKUP(Table3[[#This Row],[MD5]],Input[],5,FALSE))*Distances!$AC$8))</f>
        <v>52.933333333333337</v>
      </c>
      <c r="G39" s="46">
        <f>SQRT(SUM((Table3[[#This Row],[time]]-Distances!$AD$6)^2,(Table3[[#This Row],[price]]-Distances!$AD$7)^2,(Table3[[#This Row],[energy]]-Distances!$AD$8)^2))</f>
        <v>10.010921202754911</v>
      </c>
      <c r="H39" s="46">
        <f>((Table3[[#This Row],[score-bt]]-MIN(Table3[score-bt]))*$G$6)/(MAX(Table3[score-bt])-MIN(Table3[score-bt]))</f>
        <v>0</v>
      </c>
      <c r="I39" s="8">
        <f>VLOOKUP(Table3[[#This Row],[MD5]],Input[],9,FALSE)+(Distances!$AA$6*(ABS(Distances!$AD$6-VLOOKUP(Table3[[#This Row],[MD5]],Input[],9,FALSE))*Distances!$AC$6))</f>
        <v>-23.280058862142859</v>
      </c>
      <c r="J39" s="7">
        <f>VLOOKUP(Table3[[#This Row],[MD5]],Input[],10,FALSE)+(Distances!$AA$7*(ABS(Distances!$AD$7-VLOOKUP(Table3[[#This Row],[MD5]],Input[],10,FALSE))*Distances!$AC$7))</f>
        <v>-15.142066641666675</v>
      </c>
      <c r="K39" s="7">
        <f>VLOOKUP(Table3[[#This Row],[MD5]],Input[],11,FALSE)+(Distances!$AA$8*(ABS(Distances!$AD$8-VLOOKUP(Table3[[#This Row],[MD5]],Input[],11,FALSE))*Distances!$AC$8))</f>
        <v>-7.1670194972916672</v>
      </c>
      <c r="L39" s="44">
        <f>SQRT(SUM((Table3[[#This Row],[time''2]]-Distances!$AD$6)^2,(Table3[[#This Row],[price''2]]-Distances!$AD$7)^2,(Table3[[#This Row],[energy''2]]-Distances!$AD$8)^2))</f>
        <v>113.49680167912305</v>
      </c>
      <c r="M39" s="44">
        <f>((Table3[[#This Row],[score-rt-partialcf]]-MIN(Table3[score-rt-partialcf]))*$G$6)/(MAX(Table3[score-rt-partialcf])-MIN(Table3[score-rt-partialcf]))</f>
        <v>0.99766640840934628</v>
      </c>
      <c r="N39" s="8">
        <f>VLOOKUP(Table3[[#This Row],[MD5]],Input[],15,FALSE)+(Distances!$AA$6*(ABS(Distances!$AD$6-VLOOKUP(Table3[[#This Row],[MD5]],Input[],15,FALSE))*Distances!$AC$6))</f>
        <v>-23.313546362142862</v>
      </c>
      <c r="O39" s="7">
        <f>VLOOKUP(Table3[[#This Row],[MD5]],Input[],16,FALSE)+(Distances!$AA$7*(ABS(Distances!$AD$7-VLOOKUP(Table3[[#This Row],[MD5]],Input[],16,FALSE))*Distances!$AC$7))</f>
        <v>55.467934200000002</v>
      </c>
      <c r="P39" s="7">
        <f>VLOOKUP(Table3[[#This Row],[MD5]],Input[],17,FALSE)+(Distances!$AA$8*(ABS(Distances!$AD$8-VLOOKUP(Table3[[#This Row],[MD5]],Input[],11,FALSE))*Distances!$AC$8))</f>
        <v>42.283638279791667</v>
      </c>
      <c r="Q39" s="47">
        <f>SQRT(SUM((Table3[[#This Row],[time''3]]-Distances!$AD$6)^2,(Table3[[#This Row],[price''3]]-Distances!$AD$7)^2,(Table3[[#This Row],[energy''3]]-Distances!$AD$8)^2))</f>
        <v>73.921016110485766</v>
      </c>
      <c r="R39" s="47">
        <f>((Table3[[#This Row],[score-rt-fullcf]]-MIN(Table3[score-rt-fullcf]))*$G$6)/(MAX(Table3[score-rt-fullcf])-MIN(Table3[score-rt-fullcf]))</f>
        <v>0.99594921717448393</v>
      </c>
      <c r="S39" s="8">
        <f>VLOOKUP(Table3[[#This Row],[MD5]],Input[],21,FALSE)+(Distances!$AI$6*(ABS(Distances!$L$3-VLOOKUP(Table3[[#This Row],[MD5]],Input[],21,FALSE))*Distances!$AC$6))</f>
        <v>2363.4422566666667</v>
      </c>
      <c r="T39" s="7">
        <f>VLOOKUP(Table3[[#This Row],[MD5]],Input[],22,FALSE)+(Distances!$AI$7*(ABS(Distances!$AB$7-VLOOKUP(Table3[[#This Row],[MD5]],Input[],22,FALSE))*Distances!$AC$7))</f>
        <v>1564.3479666666667</v>
      </c>
      <c r="U39" s="7">
        <f>VLOOKUP(Table3[[#This Row],[MD5]],Input[],23,FALSE)+(Distances!$AI$8*(ABS(Distances!$AD$8-VLOOKUP(Table3[[#This Row],[MD5]],Input[],23,FALSE))*Distances!$AC$8))</f>
        <v>1160.4528027777776</v>
      </c>
      <c r="V39" s="43">
        <f>SQRT(SUM((Table3[[#This Row],[time''4]]-Distances!$AD$6)^2,(Table3[[#This Row],[price''4]]-Distances!$AD$7)^2,(Table3[[#This Row],[energy''4]]-Distances!$AD$8)^2))</f>
        <v>2979.6594211881747</v>
      </c>
      <c r="W39" s="58">
        <f>((Table3[[#This Row],[score-rt-df]]-MIN(Table3[score-rt-df]))*$G$6)/(MAX(Table3[score-rt-df])-MIN(Table3[score-rt-df]))</f>
        <v>1.7356042210291355E-3</v>
      </c>
      <c r="AY39" t="str">
        <f>Table3[[#This Row],[QW'#]]</f>
        <v>qw133</v>
      </c>
      <c r="AZ39" t="str">
        <f>VLOOKUP(Table10[[#This Row],[QW'#]],Table3[],2,FALSE)</f>
        <v>bf07a6f866c04cec098c3e9907f252aa</v>
      </c>
      <c r="BA39" s="54">
        <f>IF(ABS(VLOOKUP(Table10[[#This Row],[QW'#]],Table3[],7,FALSE)-0)&lt;=$AZ$6,1,0)</f>
        <v>1</v>
      </c>
      <c r="BB39" s="54">
        <f>IF(ABS(VLOOKUP(Table10[[#This Row],[QW'#]],Table3[],22,FALSE)-0)&lt;=$AZ$6,1,0)</f>
        <v>1</v>
      </c>
      <c r="BC39" s="54">
        <f>IF(AND(Table10[[#This Row],[Retrieved]]=0, Table10[[#This Row],[Relevant]]=0),1,0)</f>
        <v>0</v>
      </c>
      <c r="BD39" s="54">
        <f>IF(AND(Table10[[#This Row],[Retrieved]]=0, Table10[[#This Row],[Relevant]]=1),1,0)</f>
        <v>0</v>
      </c>
      <c r="BE39" s="54">
        <f>IF(AND(Table10[[#This Row],[Retrieved]]=1, Table10[[#This Row],[Relevant]]=0),1,0)</f>
        <v>0</v>
      </c>
      <c r="BF39" s="54">
        <f>IF(AND(Table10[[#This Row],[Retrieved]]=1, Table10[[#This Row],[Relevant]]=1),1,0)</f>
        <v>1</v>
      </c>
    </row>
    <row r="40" spans="2:58">
      <c r="B40" s="76" t="s">
        <v>332</v>
      </c>
      <c r="C40" s="10" t="s">
        <v>200</v>
      </c>
      <c r="D40" s="8">
        <f>VLOOKUP(Table3[[#This Row],[MD5]],Input[],3,FALSE)+(Distances!$AA$6*(ABS(Distances!$AD$6-VLOOKUP(Table3[[#This Row],[MD5]],Input[],3,FALSE))*Distances!$AC$6))</f>
        <v>55.98857143</v>
      </c>
      <c r="E40" s="7">
        <f>VLOOKUP(Table3[[#This Row],[MD5]],Input[],4,FALSE)+(Distances!$AA$7*(ABS(Distances!$AD$7-VLOOKUP(Table3[[#This Row],[MD5]],Input[],4,FALSE))*Distances!$AC$7))</f>
        <v>57.466666666666669</v>
      </c>
      <c r="F40" s="7">
        <f>VLOOKUP(Table3[[#This Row],[MD5]],Input[],5,FALSE)+(Distances!$AA$8*(ABS(Distances!$AD$8-VLOOKUP(Table3[[#This Row],[MD5]],Input[],5,FALSE))*Distances!$AC$8))</f>
        <v>52.933333333333337</v>
      </c>
      <c r="G40" s="46">
        <f>SQRT(SUM((Table3[[#This Row],[time]]-Distances!$AD$6)^2,(Table3[[#This Row],[price]]-Distances!$AD$7)^2,(Table3[[#This Row],[energy]]-Distances!$AD$8)^2))</f>
        <v>10.010921202754911</v>
      </c>
      <c r="H40" s="46">
        <f>((Table3[[#This Row],[score-bt]]-MIN(Table3[score-bt]))*$G$6)/(MAX(Table3[score-bt])-MIN(Table3[score-bt]))</f>
        <v>0</v>
      </c>
      <c r="I40" s="8">
        <f>VLOOKUP(Table3[[#This Row],[MD5]],Input[],9,FALSE)+(Distances!$AA$6*(ABS(Distances!$AD$6-VLOOKUP(Table3[[#This Row],[MD5]],Input[],9,FALSE))*Distances!$AC$6))</f>
        <v>-23.280060184017859</v>
      </c>
      <c r="J40" s="7">
        <f>VLOOKUP(Table3[[#This Row],[MD5]],Input[],10,FALSE)+(Distances!$AA$7*(ABS(Distances!$AD$7-VLOOKUP(Table3[[#This Row],[MD5]],Input[],10,FALSE))*Distances!$AC$7))</f>
        <v>-15.142068391666674</v>
      </c>
      <c r="K40" s="7">
        <f>VLOOKUP(Table3[[#This Row],[MD5]],Input[],11,FALSE)+(Distances!$AA$8*(ABS(Distances!$AD$8-VLOOKUP(Table3[[#This Row],[MD5]],Input[],11,FALSE))*Distances!$AC$8))</f>
        <v>-7.1670208243749993</v>
      </c>
      <c r="L40" s="44">
        <f>SQRT(SUM((Table3[[#This Row],[time''2]]-Distances!$AD$6)^2,(Table3[[#This Row],[price''2]]-Distances!$AD$7)^2,(Table3[[#This Row],[energy''2]]-Distances!$AD$8)^2))</f>
        <v>113.49680420545938</v>
      </c>
      <c r="M40" s="44">
        <f>((Table3[[#This Row],[score-rt-partialcf]]-MIN(Table3[score-rt-partialcf]))*$G$6)/(MAX(Table3[score-rt-partialcf])-MIN(Table3[score-rt-partialcf]))</f>
        <v>0.99766643173763503</v>
      </c>
      <c r="N40" s="8">
        <f>VLOOKUP(Table3[[#This Row],[MD5]],Input[],15,FALSE)+(Distances!$AA$6*(ABS(Distances!$AD$6-VLOOKUP(Table3[[#This Row],[MD5]],Input[],15,FALSE))*Distances!$AC$6))</f>
        <v>-23.313546362142862</v>
      </c>
      <c r="O40" s="7">
        <f>VLOOKUP(Table3[[#This Row],[MD5]],Input[],16,FALSE)+(Distances!$AA$7*(ABS(Distances!$AD$7-VLOOKUP(Table3[[#This Row],[MD5]],Input[],16,FALSE))*Distances!$AC$7))</f>
        <v>55.467934200000002</v>
      </c>
      <c r="P40" s="7">
        <f>VLOOKUP(Table3[[#This Row],[MD5]],Input[],17,FALSE)+(Distances!$AA$8*(ABS(Distances!$AD$8-VLOOKUP(Table3[[#This Row],[MD5]],Input[],11,FALSE))*Distances!$AC$8))</f>
        <v>42.283638090208335</v>
      </c>
      <c r="Q40" s="47">
        <f>SQRT(SUM((Table3[[#This Row],[time''3]]-Distances!$AD$6)^2,(Table3[[#This Row],[price''3]]-Distances!$AD$7)^2,(Table3[[#This Row],[energy''3]]-Distances!$AD$8)^2))</f>
        <v>73.921016130275717</v>
      </c>
      <c r="R40" s="47">
        <f>((Table3[[#This Row],[score-rt-fullcf]]-MIN(Table3[score-rt-fullcf]))*$G$6)/(MAX(Table3[score-rt-fullcf])-MIN(Table3[score-rt-fullcf]))</f>
        <v>0.995949217781256</v>
      </c>
      <c r="S40" s="8">
        <f>VLOOKUP(Table3[[#This Row],[MD5]],Input[],21,FALSE)+(Distances!$AI$6*(ABS(Distances!$L$3-VLOOKUP(Table3[[#This Row],[MD5]],Input[],21,FALSE))*Distances!$AC$6))</f>
        <v>2363.4422566666667</v>
      </c>
      <c r="T40" s="7">
        <f>VLOOKUP(Table3[[#This Row],[MD5]],Input[],22,FALSE)+(Distances!$AI$7*(ABS(Distances!$AB$7-VLOOKUP(Table3[[#This Row],[MD5]],Input[],22,FALSE))*Distances!$AC$7))</f>
        <v>1564.3479666666667</v>
      </c>
      <c r="U40" s="7">
        <f>VLOOKUP(Table3[[#This Row],[MD5]],Input[],23,FALSE)+(Distances!$AI$8*(ABS(Distances!$AD$8-VLOOKUP(Table3[[#This Row],[MD5]],Input[],23,FALSE))*Distances!$AC$8))</f>
        <v>1160.4528027777776</v>
      </c>
      <c r="V40" s="43">
        <f>SQRT(SUM((Table3[[#This Row],[time''4]]-Distances!$AD$6)^2,(Table3[[#This Row],[price''4]]-Distances!$AD$7)^2,(Table3[[#This Row],[energy''4]]-Distances!$AD$8)^2))</f>
        <v>2979.6594211881747</v>
      </c>
      <c r="W40" s="58">
        <f>((Table3[[#This Row],[score-rt-df]]-MIN(Table3[score-rt-df]))*$G$6)/(MAX(Table3[score-rt-df])-MIN(Table3[score-rt-df]))</f>
        <v>1.7356042210291355E-3</v>
      </c>
      <c r="AY40" t="str">
        <f>Table3[[#This Row],[QW'#]]</f>
        <v>qw154</v>
      </c>
      <c r="AZ40" t="str">
        <f>VLOOKUP(Table10[[#This Row],[QW'#]],Table3[],2,FALSE)</f>
        <v>518b103260550a9bd0ea04b53b887a7c</v>
      </c>
      <c r="BA40" s="54">
        <f>IF(ABS(VLOOKUP(Table10[[#This Row],[QW'#]],Table3[],7,FALSE)-0)&lt;=$AZ$6,1,0)</f>
        <v>1</v>
      </c>
      <c r="BB40" s="54">
        <f>IF(ABS(VLOOKUP(Table10[[#This Row],[QW'#]],Table3[],22,FALSE)-0)&lt;=$AZ$6,1,0)</f>
        <v>1</v>
      </c>
      <c r="BC40" s="54">
        <f>IF(AND(Table10[[#This Row],[Retrieved]]=0, Table10[[#This Row],[Relevant]]=0),1,0)</f>
        <v>0</v>
      </c>
      <c r="BD40" s="54">
        <f>IF(AND(Table10[[#This Row],[Retrieved]]=0, Table10[[#This Row],[Relevant]]=1),1,0)</f>
        <v>0</v>
      </c>
      <c r="BE40" s="54">
        <f>IF(AND(Table10[[#This Row],[Retrieved]]=1, Table10[[#This Row],[Relevant]]=0),1,0)</f>
        <v>0</v>
      </c>
      <c r="BF40" s="54">
        <f>IF(AND(Table10[[#This Row],[Retrieved]]=1, Table10[[#This Row],[Relevant]]=1),1,0)</f>
        <v>1</v>
      </c>
    </row>
    <row r="41" spans="2:58">
      <c r="B41" s="76" t="s">
        <v>334</v>
      </c>
      <c r="C41" s="10" t="s">
        <v>202</v>
      </c>
      <c r="D41" s="8">
        <f>VLOOKUP(Table3[[#This Row],[MD5]],Input[],3,FALSE)+(Distances!$AA$6*(ABS(Distances!$AD$6-VLOOKUP(Table3[[#This Row],[MD5]],Input[],3,FALSE))*Distances!$AC$6))</f>
        <v>55.98857143</v>
      </c>
      <c r="E41" s="7">
        <f>VLOOKUP(Table3[[#This Row],[MD5]],Input[],4,FALSE)+(Distances!$AA$7*(ABS(Distances!$AD$7-VLOOKUP(Table3[[#This Row],[MD5]],Input[],4,FALSE))*Distances!$AC$7))</f>
        <v>57.466666666666669</v>
      </c>
      <c r="F41" s="7">
        <f>VLOOKUP(Table3[[#This Row],[MD5]],Input[],5,FALSE)+(Distances!$AA$8*(ABS(Distances!$AD$8-VLOOKUP(Table3[[#This Row],[MD5]],Input[],5,FALSE))*Distances!$AC$8))</f>
        <v>52.933333333333337</v>
      </c>
      <c r="G41" s="46">
        <f>SQRT(SUM((Table3[[#This Row],[time]]-Distances!$AD$6)^2,(Table3[[#This Row],[price]]-Distances!$AD$7)^2,(Table3[[#This Row],[energy]]-Distances!$AD$8)^2))</f>
        <v>10.010921202754911</v>
      </c>
      <c r="H41" s="46">
        <f>((Table3[[#This Row],[score-bt]]-MIN(Table3[score-bt]))*$G$6)/(MAX(Table3[score-bt])-MIN(Table3[score-bt]))</f>
        <v>0</v>
      </c>
      <c r="I41" s="8">
        <f>VLOOKUP(Table3[[#This Row],[MD5]],Input[],9,FALSE)+(Distances!$AA$6*(ABS(Distances!$AD$6-VLOOKUP(Table3[[#This Row],[MD5]],Input[],9,FALSE))*Distances!$AC$6))</f>
        <v>-23.28699304071429</v>
      </c>
      <c r="J41" s="7">
        <f>VLOOKUP(Table3[[#This Row],[MD5]],Input[],10,FALSE)+(Distances!$AA$7*(ABS(Distances!$AD$7-VLOOKUP(Table3[[#This Row],[MD5]],Input[],10,FALSE))*Distances!$AC$7))</f>
        <v>-15.151246641666676</v>
      </c>
      <c r="K41" s="7">
        <f>VLOOKUP(Table3[[#This Row],[MD5]],Input[],11,FALSE)+(Distances!$AA$8*(ABS(Distances!$AD$8-VLOOKUP(Table3[[#This Row],[MD5]],Input[],11,FALSE))*Distances!$AC$8))</f>
        <v>-7.1739809972916664</v>
      </c>
      <c r="L41" s="44">
        <f>SQRT(SUM((Table3[[#This Row],[time''2]]-Distances!$AD$6)^2,(Table3[[#This Row],[price''2]]-Distances!$AD$7)^2,(Table3[[#This Row],[energy''2]]-Distances!$AD$8)^2))</f>
        <v>113.51005414055469</v>
      </c>
      <c r="M41" s="44">
        <f>((Table3[[#This Row],[score-rt-partialcf]]-MIN(Table3[score-rt-partialcf]))*$G$6)/(MAX(Table3[score-rt-partialcf])-MIN(Table3[score-rt-partialcf]))</f>
        <v>0.99778878215825495</v>
      </c>
      <c r="N41" s="8">
        <f>VLOOKUP(Table3[[#This Row],[MD5]],Input[],15,FALSE)+(Distances!$AA$6*(ABS(Distances!$AD$6-VLOOKUP(Table3[[#This Row],[MD5]],Input[],15,FALSE))*Distances!$AC$6))</f>
        <v>-23.313546362142862</v>
      </c>
      <c r="O41" s="7">
        <f>VLOOKUP(Table3[[#This Row],[MD5]],Input[],16,FALSE)+(Distances!$AA$7*(ABS(Distances!$AD$7-VLOOKUP(Table3[[#This Row],[MD5]],Input[],16,FALSE))*Distances!$AC$7))</f>
        <v>55.467934200000002</v>
      </c>
      <c r="P41" s="7">
        <f>VLOOKUP(Table3[[#This Row],[MD5]],Input[],17,FALSE)+(Distances!$AA$8*(ABS(Distances!$AD$8-VLOOKUP(Table3[[#This Row],[MD5]],Input[],11,FALSE))*Distances!$AC$8))</f>
        <v>42.282643779791606</v>
      </c>
      <c r="Q41" s="47">
        <f>SQRT(SUM((Table3[[#This Row],[time''3]]-Distances!$AD$6)^2,(Table3[[#This Row],[price''3]]-Distances!$AD$7)^2,(Table3[[#This Row],[energy''3]]-Distances!$AD$8)^2))</f>
        <v>73.921119929551864</v>
      </c>
      <c r="R41" s="47">
        <f>((Table3[[#This Row],[score-rt-fullcf]]-MIN(Table3[score-rt-fullcf]))*$G$6)/(MAX(Table3[score-rt-fullcf])-MIN(Table3[score-rt-fullcf]))</f>
        <v>0.99595240033059385</v>
      </c>
      <c r="S41" s="8">
        <f>VLOOKUP(Table3[[#This Row],[MD5]],Input[],21,FALSE)+(Distances!$AI$6*(ABS(Distances!$L$3-VLOOKUP(Table3[[#This Row],[MD5]],Input[],21,FALSE))*Distances!$AC$6))</f>
        <v>2363.4422566666667</v>
      </c>
      <c r="T41" s="7">
        <f>VLOOKUP(Table3[[#This Row],[MD5]],Input[],22,FALSE)+(Distances!$AI$7*(ABS(Distances!$AB$7-VLOOKUP(Table3[[#This Row],[MD5]],Input[],22,FALSE))*Distances!$AC$7))</f>
        <v>1564.3479666666667</v>
      </c>
      <c r="U41" s="7">
        <f>VLOOKUP(Table3[[#This Row],[MD5]],Input[],23,FALSE)+(Distances!$AI$8*(ABS(Distances!$AD$8-VLOOKUP(Table3[[#This Row],[MD5]],Input[],23,FALSE))*Distances!$AC$8))</f>
        <v>1160.4528027777776</v>
      </c>
      <c r="V41" s="43">
        <f>SQRT(SUM((Table3[[#This Row],[time''4]]-Distances!$AD$6)^2,(Table3[[#This Row],[price''4]]-Distances!$AD$7)^2,(Table3[[#This Row],[energy''4]]-Distances!$AD$8)^2))</f>
        <v>2979.6594211881747</v>
      </c>
      <c r="W41" s="58">
        <f>((Table3[[#This Row],[score-rt-df]]-MIN(Table3[score-rt-df]))*$G$6)/(MAX(Table3[score-rt-df])-MIN(Table3[score-rt-df]))</f>
        <v>1.7356042210291355E-3</v>
      </c>
      <c r="AY41" t="str">
        <f>Table3[[#This Row],[QW'#]]</f>
        <v>qw156</v>
      </c>
      <c r="AZ41" t="str">
        <f>VLOOKUP(Table10[[#This Row],[QW'#]],Table3[],2,FALSE)</f>
        <v>c8083da5cc8b4ca7b7f9b6d91550e35b</v>
      </c>
      <c r="BA41" s="54">
        <f>IF(ABS(VLOOKUP(Table10[[#This Row],[QW'#]],Table3[],7,FALSE)-0)&lt;=$AZ$6,1,0)</f>
        <v>1</v>
      </c>
      <c r="BB41" s="54">
        <f>IF(ABS(VLOOKUP(Table10[[#This Row],[QW'#]],Table3[],22,FALSE)-0)&lt;=$AZ$6,1,0)</f>
        <v>1</v>
      </c>
      <c r="BC41" s="54">
        <f>IF(AND(Table10[[#This Row],[Retrieved]]=0, Table10[[#This Row],[Relevant]]=0),1,0)</f>
        <v>0</v>
      </c>
      <c r="BD41" s="54">
        <f>IF(AND(Table10[[#This Row],[Retrieved]]=0, Table10[[#This Row],[Relevant]]=1),1,0)</f>
        <v>0</v>
      </c>
      <c r="BE41" s="54">
        <f>IF(AND(Table10[[#This Row],[Retrieved]]=1, Table10[[#This Row],[Relevant]]=0),1,0)</f>
        <v>0</v>
      </c>
      <c r="BF41" s="54">
        <f>IF(AND(Table10[[#This Row],[Retrieved]]=1, Table10[[#This Row],[Relevant]]=1),1,0)</f>
        <v>1</v>
      </c>
    </row>
    <row r="42" spans="2:58">
      <c r="B42" s="76" t="s">
        <v>281</v>
      </c>
      <c r="C42" s="10" t="s">
        <v>149</v>
      </c>
      <c r="D42" s="8">
        <f>VLOOKUP(Table3[[#This Row],[MD5]],Input[],3,FALSE)+(Distances!$AA$6*(ABS(Distances!$AD$6-VLOOKUP(Table3[[#This Row],[MD5]],Input[],3,FALSE))*Distances!$AC$6))</f>
        <v>55.98857143</v>
      </c>
      <c r="E42" s="7">
        <f>VLOOKUP(Table3[[#This Row],[MD5]],Input[],4,FALSE)+(Distances!$AA$7*(ABS(Distances!$AD$7-VLOOKUP(Table3[[#This Row],[MD5]],Input[],4,FALSE))*Distances!$AC$7))</f>
        <v>57.466666666666669</v>
      </c>
      <c r="F42" s="7">
        <f>VLOOKUP(Table3[[#This Row],[MD5]],Input[],5,FALSE)+(Distances!$AA$8*(ABS(Distances!$AD$8-VLOOKUP(Table3[[#This Row],[MD5]],Input[],5,FALSE))*Distances!$AC$8))</f>
        <v>52.933333333333337</v>
      </c>
      <c r="G42" s="46">
        <f>SQRT(SUM((Table3[[#This Row],[time]]-Distances!$AD$6)^2,(Table3[[#This Row],[price]]-Distances!$AD$7)^2,(Table3[[#This Row],[energy]]-Distances!$AD$8)^2))</f>
        <v>10.010921202754911</v>
      </c>
      <c r="H42" s="46">
        <f>((Table3[[#This Row],[score-bt]]-MIN(Table3[score-bt]))*$G$6)/(MAX(Table3[score-bt])-MIN(Table3[score-bt]))</f>
        <v>0</v>
      </c>
      <c r="I42" s="8">
        <f>VLOOKUP(Table3[[#This Row],[MD5]],Input[],9,FALSE)+(Distances!$AA$6*(ABS(Distances!$AD$6-VLOOKUP(Table3[[#This Row],[MD5]],Input[],9,FALSE))*Distances!$AC$6))</f>
        <v>-23.280053134017859</v>
      </c>
      <c r="J42" s="7">
        <f>VLOOKUP(Table3[[#This Row],[MD5]],Input[],10,FALSE)+(Distances!$AA$7*(ABS(Distances!$AD$7-VLOOKUP(Table3[[#This Row],[MD5]],Input[],10,FALSE))*Distances!$AC$7))</f>
        <v>-15.14205905833334</v>
      </c>
      <c r="K42" s="7">
        <f>VLOOKUP(Table3[[#This Row],[MD5]],Input[],11,FALSE)+(Distances!$AA$8*(ABS(Distances!$AD$8-VLOOKUP(Table3[[#This Row],[MD5]],Input[],11,FALSE))*Distances!$AC$8))</f>
        <v>-7.1670137465972212</v>
      </c>
      <c r="L42" s="44">
        <f>SQRT(SUM((Table3[[#This Row],[time''2]]-Distances!$AD$6)^2,(Table3[[#This Row],[price''2]]-Distances!$AD$7)^2,(Table3[[#This Row],[energy''2]]-Distances!$AD$8)^2))</f>
        <v>113.49679073166564</v>
      </c>
      <c r="M42" s="44">
        <f>((Table3[[#This Row],[score-rt-partialcf]]-MIN(Table3[score-rt-partialcf]))*$G$6)/(MAX(Table3[score-rt-partialcf])-MIN(Table3[score-rt-partialcf]))</f>
        <v>0.99766630732009487</v>
      </c>
      <c r="N42" s="8">
        <f>VLOOKUP(Table3[[#This Row],[MD5]],Input[],15,FALSE)+(Distances!$AA$6*(ABS(Distances!$AD$6-VLOOKUP(Table3[[#This Row],[MD5]],Input[],15,FALSE))*Distances!$AC$6))</f>
        <v>-23.313541955892859</v>
      </c>
      <c r="O42" s="7">
        <f>VLOOKUP(Table3[[#This Row],[MD5]],Input[],16,FALSE)+(Distances!$AA$7*(ABS(Distances!$AD$7-VLOOKUP(Table3[[#This Row],[MD5]],Input[],16,FALSE))*Distances!$AC$7))</f>
        <v>55.467935658333332</v>
      </c>
      <c r="P42" s="7">
        <f>VLOOKUP(Table3[[#This Row],[MD5]],Input[],17,FALSE)+(Distances!$AA$8*(ABS(Distances!$AD$8-VLOOKUP(Table3[[#This Row],[MD5]],Input[],11,FALSE))*Distances!$AC$8))</f>
        <v>42.283640997152716</v>
      </c>
      <c r="Q42" s="47">
        <f>SQRT(SUM((Table3[[#This Row],[time''3]]-Distances!$AD$6)^2,(Table3[[#This Row],[price''3]]-Distances!$AD$7)^2,(Table3[[#This Row],[energy''3]]-Distances!$AD$8)^2))</f>
        <v>73.921011564662436</v>
      </c>
      <c r="R42" s="47">
        <f>((Table3[[#This Row],[score-rt-fullcf]]-MIN(Table3[score-rt-fullcf]))*$G$6)/(MAX(Table3[score-rt-fullcf])-MIN(Table3[score-rt-fullcf]))</f>
        <v>0.99594907779675834</v>
      </c>
      <c r="S42" s="8">
        <f>VLOOKUP(Table3[[#This Row],[MD5]],Input[],21,FALSE)+(Distances!$AI$6*(ABS(Distances!$L$3-VLOOKUP(Table3[[#This Row],[MD5]],Input[],21,FALSE))*Distances!$AC$6))</f>
        <v>2363.9649233333334</v>
      </c>
      <c r="T42" s="7">
        <f>VLOOKUP(Table3[[#This Row],[MD5]],Input[],22,FALSE)+(Distances!$AI$7*(ABS(Distances!$AB$7-VLOOKUP(Table3[[#This Row],[MD5]],Input[],22,FALSE))*Distances!$AC$7))</f>
        <v>1564.4724111111113</v>
      </c>
      <c r="U42" s="7">
        <f>VLOOKUP(Table3[[#This Row],[MD5]],Input[],23,FALSE)+(Distances!$AI$8*(ABS(Distances!$AD$8-VLOOKUP(Table3[[#This Row],[MD5]],Input[],23,FALSE))*Distances!$AC$8))</f>
        <v>1160.5461361111111</v>
      </c>
      <c r="V42" s="43">
        <f>SQRT(SUM((Table3[[#This Row],[time''4]]-Distances!$AD$6)^2,(Table3[[#This Row],[price''4]]-Distances!$AD$7)^2,(Table3[[#This Row],[energy''4]]-Distances!$AD$8)^2))</f>
        <v>2980.163262451415</v>
      </c>
      <c r="W42" s="58">
        <f>((Table3[[#This Row],[score-rt-df]]-MIN(Table3[score-rt-df]))*$G$6)/(MAX(Table3[score-rt-df])-MIN(Table3[score-rt-df]))</f>
        <v>1.7360191571701967E-3</v>
      </c>
      <c r="AY42" t="str">
        <f>Table3[[#This Row],[QW'#]]</f>
        <v>qw103</v>
      </c>
      <c r="AZ42" t="str">
        <f>VLOOKUP(Table10[[#This Row],[QW'#]],Table3[],2,FALSE)</f>
        <v>029fd3dde1e5c2d9d60e4105038f7739</v>
      </c>
      <c r="BA42" s="54">
        <f>IF(ABS(VLOOKUP(Table10[[#This Row],[QW'#]],Table3[],7,FALSE)-0)&lt;=$AZ$6,1,0)</f>
        <v>1</v>
      </c>
      <c r="BB42" s="54">
        <f>IF(ABS(VLOOKUP(Table10[[#This Row],[QW'#]],Table3[],22,FALSE)-0)&lt;=$AZ$6,1,0)</f>
        <v>1</v>
      </c>
      <c r="BC42" s="54">
        <f>IF(AND(Table10[[#This Row],[Retrieved]]=0, Table10[[#This Row],[Relevant]]=0),1,0)</f>
        <v>0</v>
      </c>
      <c r="BD42" s="54">
        <f>IF(AND(Table10[[#This Row],[Retrieved]]=0, Table10[[#This Row],[Relevant]]=1),1,0)</f>
        <v>0</v>
      </c>
      <c r="BE42" s="54">
        <f>IF(AND(Table10[[#This Row],[Retrieved]]=1, Table10[[#This Row],[Relevant]]=0),1,0)</f>
        <v>0</v>
      </c>
      <c r="BF42" s="54">
        <f>IF(AND(Table10[[#This Row],[Retrieved]]=1, Table10[[#This Row],[Relevant]]=1),1,0)</f>
        <v>1</v>
      </c>
    </row>
    <row r="43" spans="2:58">
      <c r="B43" s="76" t="s">
        <v>309</v>
      </c>
      <c r="C43" s="10" t="s">
        <v>177</v>
      </c>
      <c r="D43" s="8">
        <f>VLOOKUP(Table3[[#This Row],[MD5]],Input[],3,FALSE)+(Distances!$AA$6*(ABS(Distances!$AD$6-VLOOKUP(Table3[[#This Row],[MD5]],Input[],3,FALSE))*Distances!$AC$6))</f>
        <v>55.98857143</v>
      </c>
      <c r="E43" s="7">
        <f>VLOOKUP(Table3[[#This Row],[MD5]],Input[],4,FALSE)+(Distances!$AA$7*(ABS(Distances!$AD$7-VLOOKUP(Table3[[#This Row],[MD5]],Input[],4,FALSE))*Distances!$AC$7))</f>
        <v>57.466666666666669</v>
      </c>
      <c r="F43" s="7">
        <f>VLOOKUP(Table3[[#This Row],[MD5]],Input[],5,FALSE)+(Distances!$AA$8*(ABS(Distances!$AD$8-VLOOKUP(Table3[[#This Row],[MD5]],Input[],5,FALSE))*Distances!$AC$8))</f>
        <v>52.933333333333337</v>
      </c>
      <c r="G43" s="46">
        <f>SQRT(SUM((Table3[[#This Row],[time]]-Distances!$AD$6)^2,(Table3[[#This Row],[price]]-Distances!$AD$7)^2,(Table3[[#This Row],[energy]]-Distances!$AD$8)^2))</f>
        <v>10.010921202754911</v>
      </c>
      <c r="H43" s="46">
        <f>((Table3[[#This Row],[score-bt]]-MIN(Table3[score-bt]))*$G$6)/(MAX(Table3[score-bt])-MIN(Table3[score-bt]))</f>
        <v>0</v>
      </c>
      <c r="I43" s="8">
        <f>VLOOKUP(Table3[[#This Row],[MD5]],Input[],9,FALSE)+(Distances!$AA$6*(ABS(Distances!$AD$6-VLOOKUP(Table3[[#This Row],[MD5]],Input[],9,FALSE))*Distances!$AC$6))</f>
        <v>-22.883809583571431</v>
      </c>
      <c r="J43" s="7">
        <f>VLOOKUP(Table3[[#This Row],[MD5]],Input[],10,FALSE)+(Distances!$AA$7*(ABS(Distances!$AD$7-VLOOKUP(Table3[[#This Row],[MD5]],Input[],10,FALSE))*Distances!$AC$7))</f>
        <v>-14.617481308333341</v>
      </c>
      <c r="K43" s="7">
        <f>VLOOKUP(Table3[[#This Row],[MD5]],Input[],11,FALSE)+(Distances!$AA$8*(ABS(Distances!$AD$8-VLOOKUP(Table3[[#This Row],[MD5]],Input[],11,FALSE))*Distances!$AC$8))</f>
        <v>-6.7692089528472215</v>
      </c>
      <c r="L43" s="44">
        <f>SQRT(SUM((Table3[[#This Row],[time''2]]-Distances!$AD$6)^2,(Table3[[#This Row],[price''2]]-Distances!$AD$7)^2,(Table3[[#This Row],[energy''2]]-Distances!$AD$8)^2))</f>
        <v>112.73957457423342</v>
      </c>
      <c r="M43" s="44">
        <f>((Table3[[#This Row],[score-rt-partialcf]]-MIN(Table3[score-rt-partialcf]))*$G$6)/(MAX(Table3[score-rt-partialcf])-MIN(Table3[score-rt-partialcf]))</f>
        <v>0.99067414360792549</v>
      </c>
      <c r="N43" s="8">
        <f>VLOOKUP(Table3[[#This Row],[MD5]],Input[],15,FALSE)+(Distances!$AA$6*(ABS(Distances!$AD$6-VLOOKUP(Table3[[#This Row],[MD5]],Input[],15,FALSE))*Distances!$AC$6))</f>
        <v>-23.313541955892859</v>
      </c>
      <c r="O43" s="7">
        <f>VLOOKUP(Table3[[#This Row],[MD5]],Input[],16,FALSE)+(Distances!$AA$7*(ABS(Distances!$AD$7-VLOOKUP(Table3[[#This Row],[MD5]],Input[],16,FALSE))*Distances!$AC$7))</f>
        <v>55.467935658333332</v>
      </c>
      <c r="P43" s="7">
        <f>VLOOKUP(Table3[[#This Row],[MD5]],Input[],17,FALSE)+(Distances!$AA$8*(ABS(Distances!$AD$8-VLOOKUP(Table3[[#This Row],[MD5]],Input[],11,FALSE))*Distances!$AC$8))</f>
        <v>42.340470253402714</v>
      </c>
      <c r="Q43" s="47">
        <f>SQRT(SUM((Table3[[#This Row],[time''3]]-Distances!$AD$6)^2,(Table3[[#This Row],[price''3]]-Distances!$AD$7)^2,(Table3[[#This Row],[energy''3]]-Distances!$AD$8)^2))</f>
        <v>73.915100963342695</v>
      </c>
      <c r="R43" s="47">
        <f>((Table3[[#This Row],[score-rt-fullcf]]-MIN(Table3[score-rt-fullcf]))*$G$6)/(MAX(Table3[score-rt-fullcf])-MIN(Table3[score-rt-fullcf]))</f>
        <v>0.99576785514265853</v>
      </c>
      <c r="S43" s="8">
        <f>VLOOKUP(Table3[[#This Row],[MD5]],Input[],21,FALSE)+(Distances!$AI$6*(ABS(Distances!$L$3-VLOOKUP(Table3[[#This Row],[MD5]],Input[],21,FALSE))*Distances!$AC$6))</f>
        <v>2363.9649233333334</v>
      </c>
      <c r="T43" s="7">
        <f>VLOOKUP(Table3[[#This Row],[MD5]],Input[],22,FALSE)+(Distances!$AI$7*(ABS(Distances!$AB$7-VLOOKUP(Table3[[#This Row],[MD5]],Input[],22,FALSE))*Distances!$AC$7))</f>
        <v>1564.4724111111113</v>
      </c>
      <c r="U43" s="7">
        <f>VLOOKUP(Table3[[#This Row],[MD5]],Input[],23,FALSE)+(Distances!$AI$8*(ABS(Distances!$AD$8-VLOOKUP(Table3[[#This Row],[MD5]],Input[],23,FALSE))*Distances!$AC$8))</f>
        <v>1160.5461361111111</v>
      </c>
      <c r="V43" s="43">
        <f>SQRT(SUM((Table3[[#This Row],[time''4]]-Distances!$AD$6)^2,(Table3[[#This Row],[price''4]]-Distances!$AD$7)^2,(Table3[[#This Row],[energy''4]]-Distances!$AD$8)^2))</f>
        <v>2980.163262451415</v>
      </c>
      <c r="W43" s="58">
        <f>((Table3[[#This Row],[score-rt-df]]-MIN(Table3[score-rt-df]))*$G$6)/(MAX(Table3[score-rt-df])-MIN(Table3[score-rt-df]))</f>
        <v>1.7360191571701967E-3</v>
      </c>
      <c r="AY43" t="str">
        <f>Table3[[#This Row],[QW'#]]</f>
        <v>qw131</v>
      </c>
      <c r="AZ43" t="str">
        <f>VLOOKUP(Table10[[#This Row],[QW'#]],Table3[],2,FALSE)</f>
        <v>810b5f22911352450dfd92b2b58f0473</v>
      </c>
      <c r="BA43" s="54">
        <f>IF(ABS(VLOOKUP(Table10[[#This Row],[QW'#]],Table3[],7,FALSE)-0)&lt;=$AZ$6,1,0)</f>
        <v>1</v>
      </c>
      <c r="BB43" s="54">
        <f>IF(ABS(VLOOKUP(Table10[[#This Row],[QW'#]],Table3[],22,FALSE)-0)&lt;=$AZ$6,1,0)</f>
        <v>1</v>
      </c>
      <c r="BC43" s="54">
        <f>IF(AND(Table10[[#This Row],[Retrieved]]=0, Table10[[#This Row],[Relevant]]=0),1,0)</f>
        <v>0</v>
      </c>
      <c r="BD43" s="54">
        <f>IF(AND(Table10[[#This Row],[Retrieved]]=0, Table10[[#This Row],[Relevant]]=1),1,0)</f>
        <v>0</v>
      </c>
      <c r="BE43" s="54">
        <f>IF(AND(Table10[[#This Row],[Retrieved]]=1, Table10[[#This Row],[Relevant]]=0),1,0)</f>
        <v>0</v>
      </c>
      <c r="BF43" s="54">
        <f>IF(AND(Table10[[#This Row],[Retrieved]]=1, Table10[[#This Row],[Relevant]]=1),1,0)</f>
        <v>1</v>
      </c>
    </row>
    <row r="44" spans="2:58">
      <c r="B44" s="76" t="s">
        <v>314</v>
      </c>
      <c r="C44" s="10" t="s">
        <v>182</v>
      </c>
      <c r="D44" s="8">
        <f>VLOOKUP(Table3[[#This Row],[MD5]],Input[],3,FALSE)+(Distances!$AA$6*(ABS(Distances!$AD$6-VLOOKUP(Table3[[#This Row],[MD5]],Input[],3,FALSE))*Distances!$AC$6))</f>
        <v>55.98857143</v>
      </c>
      <c r="E44" s="7">
        <f>VLOOKUP(Table3[[#This Row],[MD5]],Input[],4,FALSE)+(Distances!$AA$7*(ABS(Distances!$AD$7-VLOOKUP(Table3[[#This Row],[MD5]],Input[],4,FALSE))*Distances!$AC$7))</f>
        <v>57.466666666666669</v>
      </c>
      <c r="F44" s="7">
        <f>VLOOKUP(Table3[[#This Row],[MD5]],Input[],5,FALSE)+(Distances!$AA$8*(ABS(Distances!$AD$8-VLOOKUP(Table3[[#This Row],[MD5]],Input[],5,FALSE))*Distances!$AC$8))</f>
        <v>52.933333333333337</v>
      </c>
      <c r="G44" s="46">
        <f>SQRT(SUM((Table3[[#This Row],[time]]-Distances!$AD$6)^2,(Table3[[#This Row],[price]]-Distances!$AD$7)^2,(Table3[[#This Row],[energy]]-Distances!$AD$8)^2))</f>
        <v>10.010921202754911</v>
      </c>
      <c r="H44" s="46">
        <f>((Table3[[#This Row],[score-bt]]-MIN(Table3[score-bt]))*$G$6)/(MAX(Table3[score-bt])-MIN(Table3[score-bt]))</f>
        <v>0</v>
      </c>
      <c r="I44" s="8">
        <f>VLOOKUP(Table3[[#This Row],[MD5]],Input[],9,FALSE)+(Distances!$AA$6*(ABS(Distances!$AD$6-VLOOKUP(Table3[[#This Row],[MD5]],Input[],9,FALSE))*Distances!$AC$6))</f>
        <v>-23.286978940714288</v>
      </c>
      <c r="J44" s="7">
        <f>VLOOKUP(Table3[[#This Row],[MD5]],Input[],10,FALSE)+(Distances!$AA$7*(ABS(Distances!$AD$7-VLOOKUP(Table3[[#This Row],[MD5]],Input[],10,FALSE))*Distances!$AC$7))</f>
        <v>-15.151227974999999</v>
      </c>
      <c r="K44" s="7">
        <f>VLOOKUP(Table3[[#This Row],[MD5]],Input[],11,FALSE)+(Distances!$AA$8*(ABS(Distances!$AD$8-VLOOKUP(Table3[[#This Row],[MD5]],Input[],11,FALSE))*Distances!$AC$8))</f>
        <v>-7.1739668417361102</v>
      </c>
      <c r="L44" s="44">
        <f>SQRT(SUM((Table3[[#This Row],[time''2]]-Distances!$AD$6)^2,(Table3[[#This Row],[price''2]]-Distances!$AD$7)^2,(Table3[[#This Row],[energy''2]]-Distances!$AD$8)^2))</f>
        <v>113.5100271928743</v>
      </c>
      <c r="M44" s="44">
        <f>((Table3[[#This Row],[score-rt-partialcf]]-MIN(Table3[score-rt-partialcf]))*$G$6)/(MAX(Table3[score-rt-partialcf])-MIN(Table3[score-rt-partialcf]))</f>
        <v>0.99778853332231676</v>
      </c>
      <c r="N44" s="8">
        <f>VLOOKUP(Table3[[#This Row],[MD5]],Input[],15,FALSE)+(Distances!$AA$6*(ABS(Distances!$AD$6-VLOOKUP(Table3[[#This Row],[MD5]],Input[],15,FALSE))*Distances!$AC$6))</f>
        <v>-23.313541955892859</v>
      </c>
      <c r="O44" s="7">
        <f>VLOOKUP(Table3[[#This Row],[MD5]],Input[],16,FALSE)+(Distances!$AA$7*(ABS(Distances!$AD$7-VLOOKUP(Table3[[#This Row],[MD5]],Input[],16,FALSE))*Distances!$AC$7))</f>
        <v>55.467935658333332</v>
      </c>
      <c r="P44" s="7">
        <f>VLOOKUP(Table3[[#This Row],[MD5]],Input[],17,FALSE)+(Distances!$AA$8*(ABS(Distances!$AD$8-VLOOKUP(Table3[[#This Row],[MD5]],Input[],11,FALSE))*Distances!$AC$8))</f>
        <v>42.28264769784716</v>
      </c>
      <c r="Q44" s="47">
        <f>SQRT(SUM((Table3[[#This Row],[time''3]]-Distances!$AD$6)^2,(Table3[[#This Row],[price''3]]-Distances!$AD$7)^2,(Table3[[#This Row],[energy''3]]-Distances!$AD$8)^2))</f>
        <v>73.921115258346035</v>
      </c>
      <c r="R44" s="47">
        <f>((Table3[[#This Row],[score-rt-fullcf]]-MIN(Table3[score-rt-fullcf]))*$G$6)/(MAX(Table3[score-rt-fullcf])-MIN(Table3[score-rt-fullcf]))</f>
        <v>0.99595225710856417</v>
      </c>
      <c r="S44" s="8">
        <f>VLOOKUP(Table3[[#This Row],[MD5]],Input[],21,FALSE)+(Distances!$AI$6*(ABS(Distances!$L$3-VLOOKUP(Table3[[#This Row],[MD5]],Input[],21,FALSE))*Distances!$AC$6))</f>
        <v>2363.9649233333334</v>
      </c>
      <c r="T44" s="7">
        <f>VLOOKUP(Table3[[#This Row],[MD5]],Input[],22,FALSE)+(Distances!$AI$7*(ABS(Distances!$AB$7-VLOOKUP(Table3[[#This Row],[MD5]],Input[],22,FALSE))*Distances!$AC$7))</f>
        <v>1564.4724111111113</v>
      </c>
      <c r="U44" s="7">
        <f>VLOOKUP(Table3[[#This Row],[MD5]],Input[],23,FALSE)+(Distances!$AI$8*(ABS(Distances!$AD$8-VLOOKUP(Table3[[#This Row],[MD5]],Input[],23,FALSE))*Distances!$AC$8))</f>
        <v>1160.5461361111111</v>
      </c>
      <c r="V44" s="43">
        <f>SQRT(SUM((Table3[[#This Row],[time''4]]-Distances!$AD$6)^2,(Table3[[#This Row],[price''4]]-Distances!$AD$7)^2,(Table3[[#This Row],[energy''4]]-Distances!$AD$8)^2))</f>
        <v>2980.163262451415</v>
      </c>
      <c r="W44" s="58">
        <f>((Table3[[#This Row],[score-rt-df]]-MIN(Table3[score-rt-df]))*$G$6)/(MAX(Table3[score-rt-df])-MIN(Table3[score-rt-df]))</f>
        <v>1.7360191571701967E-3</v>
      </c>
      <c r="AY44" t="str">
        <f>Table3[[#This Row],[QW'#]]</f>
        <v>qw136</v>
      </c>
      <c r="AZ44" t="str">
        <f>VLOOKUP(Table10[[#This Row],[QW'#]],Table3[],2,FALSE)</f>
        <v>9ad040a777cb2824b099c9e66302af04</v>
      </c>
      <c r="BA44" s="54">
        <f>IF(ABS(VLOOKUP(Table10[[#This Row],[QW'#]],Table3[],7,FALSE)-0)&lt;=$AZ$6,1,0)</f>
        <v>1</v>
      </c>
      <c r="BB44" s="54">
        <f>IF(ABS(VLOOKUP(Table10[[#This Row],[QW'#]],Table3[],22,FALSE)-0)&lt;=$AZ$6,1,0)</f>
        <v>1</v>
      </c>
      <c r="BC44" s="54">
        <f>IF(AND(Table10[[#This Row],[Retrieved]]=0, Table10[[#This Row],[Relevant]]=0),1,0)</f>
        <v>0</v>
      </c>
      <c r="BD44" s="54">
        <f>IF(AND(Table10[[#This Row],[Retrieved]]=0, Table10[[#This Row],[Relevant]]=1),1,0)</f>
        <v>0</v>
      </c>
      <c r="BE44" s="54">
        <f>IF(AND(Table10[[#This Row],[Retrieved]]=1, Table10[[#This Row],[Relevant]]=0),1,0)</f>
        <v>0</v>
      </c>
      <c r="BF44" s="54">
        <f>IF(AND(Table10[[#This Row],[Retrieved]]=1, Table10[[#This Row],[Relevant]]=1),1,0)</f>
        <v>1</v>
      </c>
    </row>
    <row r="45" spans="2:58">
      <c r="B45" s="76" t="s">
        <v>43</v>
      </c>
      <c r="C45" s="10" t="s">
        <v>81</v>
      </c>
      <c r="D45" s="8">
        <f>VLOOKUP(Table3[[#This Row],[MD5]],Input[],3,FALSE)+(Distances!$AA$6*(ABS(Distances!$AD$6-VLOOKUP(Table3[[#This Row],[MD5]],Input[],3,FALSE))*Distances!$AC$6))</f>
        <v>55.98857143</v>
      </c>
      <c r="E45" s="7">
        <f>VLOOKUP(Table3[[#This Row],[MD5]],Input[],4,FALSE)+(Distances!$AA$7*(ABS(Distances!$AD$7-VLOOKUP(Table3[[#This Row],[MD5]],Input[],4,FALSE))*Distances!$AC$7))</f>
        <v>57.466666666666669</v>
      </c>
      <c r="F45" s="7">
        <f>VLOOKUP(Table3[[#This Row],[MD5]],Input[],5,FALSE)+(Distances!$AA$8*(ABS(Distances!$AD$8-VLOOKUP(Table3[[#This Row],[MD5]],Input[],5,FALSE))*Distances!$AC$8))</f>
        <v>52.933333333333337</v>
      </c>
      <c r="G45" s="46">
        <f>SQRT(SUM((Table3[[#This Row],[time]]-Distances!$AD$6)^2,(Table3[[#This Row],[price]]-Distances!$AD$7)^2,(Table3[[#This Row],[energy]]-Distances!$AD$8)^2))</f>
        <v>10.010921202754911</v>
      </c>
      <c r="H45" s="46">
        <f>((Table3[[#This Row],[score-bt]]-MIN(Table3[score-bt]))*$G$6)/(MAX(Table3[score-bt])-MIN(Table3[score-bt]))</f>
        <v>0</v>
      </c>
      <c r="I45" s="8">
        <f>VLOOKUP(Table3[[#This Row],[MD5]],Input[],9,FALSE)+(Distances!$AA$6*(ABS(Distances!$AD$6-VLOOKUP(Table3[[#This Row],[MD5]],Input[],9,FALSE))*Distances!$AC$6))</f>
        <v>-23.280044762142861</v>
      </c>
      <c r="J45" s="7">
        <f>VLOOKUP(Table3[[#This Row],[MD5]],Input[],10,FALSE)+(Distances!$AA$7*(ABS(Distances!$AD$7-VLOOKUP(Table3[[#This Row],[MD5]],Input[],10,FALSE))*Distances!$AC$7))</f>
        <v>-15.142047975000006</v>
      </c>
      <c r="K45" s="7">
        <f>VLOOKUP(Table3[[#This Row],[MD5]],Input[],11,FALSE)+(Distances!$AA$8*(ABS(Distances!$AD$8-VLOOKUP(Table3[[#This Row],[MD5]],Input[],11,FALSE))*Distances!$AC$8))</f>
        <v>-7.167005341736111</v>
      </c>
      <c r="L45" s="44">
        <f>SQRT(SUM((Table3[[#This Row],[time''2]]-Distances!$AD$6)^2,(Table3[[#This Row],[price''2]]-Distances!$AD$7)^2,(Table3[[#This Row],[energy''2]]-Distances!$AD$8)^2))</f>
        <v>113.49677473153565</v>
      </c>
      <c r="M45" s="44">
        <f>((Table3[[#This Row],[score-rt-partialcf]]-MIN(Table3[score-rt-partialcf]))*$G$6)/(MAX(Table3[score-rt-partialcf])-MIN(Table3[score-rt-partialcf]))</f>
        <v>0.99766615957426674</v>
      </c>
      <c r="N45" s="8">
        <f>VLOOKUP(Table3[[#This Row],[MD5]],Input[],15,FALSE)+(Distances!$AA$6*(ABS(Distances!$AD$6-VLOOKUP(Table3[[#This Row],[MD5]],Input[],15,FALSE))*Distances!$AC$6))</f>
        <v>-23.313541955892859</v>
      </c>
      <c r="O45" s="7">
        <f>VLOOKUP(Table3[[#This Row],[MD5]],Input[],16,FALSE)+(Distances!$AA$7*(ABS(Distances!$AD$7-VLOOKUP(Table3[[#This Row],[MD5]],Input[],16,FALSE))*Distances!$AC$7))</f>
        <v>55.467935658333332</v>
      </c>
      <c r="P45" s="7">
        <f>VLOOKUP(Table3[[#This Row],[MD5]],Input[],17,FALSE)+(Distances!$AA$8*(ABS(Distances!$AD$8-VLOOKUP(Table3[[#This Row],[MD5]],Input[],11,FALSE))*Distances!$AC$8))</f>
        <v>42.283642197847158</v>
      </c>
      <c r="Q45" s="47">
        <f>SQRT(SUM((Table3[[#This Row],[time''3]]-Distances!$AD$6)^2,(Table3[[#This Row],[price''3]]-Distances!$AD$7)^2,(Table3[[#This Row],[energy''3]]-Distances!$AD$8)^2))</f>
        <v>73.921011439326108</v>
      </c>
      <c r="R45" s="47">
        <f>((Table3[[#This Row],[score-rt-fullcf]]-MIN(Table3[score-rt-fullcf]))*$G$6)/(MAX(Table3[score-rt-fullcf])-MIN(Table3[score-rt-fullcf]))</f>
        <v>0.99594907395386978</v>
      </c>
      <c r="S45" s="8">
        <f>VLOOKUP(Table3[[#This Row],[MD5]],Input[],21,FALSE)+(Distances!$AI$6*(ABS(Distances!$L$3-VLOOKUP(Table3[[#This Row],[MD5]],Input[],21,FALSE))*Distances!$AC$6))</f>
        <v>2363.9649233333334</v>
      </c>
      <c r="T45" s="7">
        <f>VLOOKUP(Table3[[#This Row],[MD5]],Input[],22,FALSE)+(Distances!$AI$7*(ABS(Distances!$AB$7-VLOOKUP(Table3[[#This Row],[MD5]],Input[],22,FALSE))*Distances!$AC$7))</f>
        <v>1564.4724111111113</v>
      </c>
      <c r="U45" s="7">
        <f>VLOOKUP(Table3[[#This Row],[MD5]],Input[],23,FALSE)+(Distances!$AI$8*(ABS(Distances!$AD$8-VLOOKUP(Table3[[#This Row],[MD5]],Input[],23,FALSE))*Distances!$AC$8))</f>
        <v>1160.5461361111111</v>
      </c>
      <c r="V45" s="43">
        <f>SQRT(SUM((Table3[[#This Row],[time''4]]-Distances!$AD$6)^2,(Table3[[#This Row],[price''4]]-Distances!$AD$7)^2,(Table3[[#This Row],[energy''4]]-Distances!$AD$8)^2))</f>
        <v>2980.163262451415</v>
      </c>
      <c r="W45" s="58">
        <f>((Table3[[#This Row],[score-rt-df]]-MIN(Table3[score-rt-df]))*$G$6)/(MAX(Table3[score-rt-df])-MIN(Table3[score-rt-df]))</f>
        <v>1.7360191571701967E-3</v>
      </c>
      <c r="AY45" t="str">
        <f>Table3[[#This Row],[QW'#]]</f>
        <v>qw35</v>
      </c>
      <c r="AZ45" t="str">
        <f>VLOOKUP(Table10[[#This Row],[QW'#]],Table3[],2,FALSE)</f>
        <v>05ec5bf40ff8d12ea5691be70f7759c6</v>
      </c>
      <c r="BA45" s="54">
        <f>IF(ABS(VLOOKUP(Table10[[#This Row],[QW'#]],Table3[],7,FALSE)-0)&lt;=$AZ$6,1,0)</f>
        <v>1</v>
      </c>
      <c r="BB45" s="54">
        <f>IF(ABS(VLOOKUP(Table10[[#This Row],[QW'#]],Table3[],22,FALSE)-0)&lt;=$AZ$6,1,0)</f>
        <v>1</v>
      </c>
      <c r="BC45" s="54">
        <f>IF(AND(Table10[[#This Row],[Retrieved]]=0, Table10[[#This Row],[Relevant]]=0),1,0)</f>
        <v>0</v>
      </c>
      <c r="BD45" s="54">
        <f>IF(AND(Table10[[#This Row],[Retrieved]]=0, Table10[[#This Row],[Relevant]]=1),1,0)</f>
        <v>0</v>
      </c>
      <c r="BE45" s="54">
        <f>IF(AND(Table10[[#This Row],[Retrieved]]=1, Table10[[#This Row],[Relevant]]=0),1,0)</f>
        <v>0</v>
      </c>
      <c r="BF45" s="54">
        <f>IF(AND(Table10[[#This Row],[Retrieved]]=1, Table10[[#This Row],[Relevant]]=1),1,0)</f>
        <v>1</v>
      </c>
    </row>
    <row r="46" spans="2:58">
      <c r="B46" s="76" t="s">
        <v>227</v>
      </c>
      <c r="C46" s="10" t="s">
        <v>95</v>
      </c>
      <c r="D46" s="8">
        <f>VLOOKUP(Table3[[#This Row],[MD5]],Input[],3,FALSE)+(Distances!$AA$6*(ABS(Distances!$AD$6-VLOOKUP(Table3[[#This Row],[MD5]],Input[],3,FALSE))*Distances!$AC$6))</f>
        <v>55.98857143</v>
      </c>
      <c r="E46" s="7">
        <f>VLOOKUP(Table3[[#This Row],[MD5]],Input[],4,FALSE)+(Distances!$AA$7*(ABS(Distances!$AD$7-VLOOKUP(Table3[[#This Row],[MD5]],Input[],4,FALSE))*Distances!$AC$7))</f>
        <v>57.466666666666669</v>
      </c>
      <c r="F46" s="7">
        <f>VLOOKUP(Table3[[#This Row],[MD5]],Input[],5,FALSE)+(Distances!$AA$8*(ABS(Distances!$AD$8-VLOOKUP(Table3[[#This Row],[MD5]],Input[],5,FALSE))*Distances!$AC$8))</f>
        <v>52.933333333333337</v>
      </c>
      <c r="G46" s="46">
        <f>SQRT(SUM((Table3[[#This Row],[time]]-Distances!$AD$6)^2,(Table3[[#This Row],[price]]-Distances!$AD$7)^2,(Table3[[#This Row],[energy]]-Distances!$AD$8)^2))</f>
        <v>10.010921202754911</v>
      </c>
      <c r="H46" s="46">
        <f>((Table3[[#This Row],[score-bt]]-MIN(Table3[score-bt]))*$G$6)/(MAX(Table3[score-bt])-MIN(Table3[score-bt]))</f>
        <v>0</v>
      </c>
      <c r="I46" s="8">
        <f>VLOOKUP(Table3[[#This Row],[MD5]],Input[],9,FALSE)+(Distances!$AA$6*(ABS(Distances!$AD$6-VLOOKUP(Table3[[#This Row],[MD5]],Input[],9,FALSE))*Distances!$AC$6))</f>
        <v>-22.883817955446428</v>
      </c>
      <c r="J46" s="7">
        <f>VLOOKUP(Table3[[#This Row],[MD5]],Input[],10,FALSE)+(Distances!$AA$7*(ABS(Distances!$AD$7-VLOOKUP(Table3[[#This Row],[MD5]],Input[],10,FALSE))*Distances!$AC$7))</f>
        <v>-14.617492391666675</v>
      </c>
      <c r="K46" s="7">
        <f>VLOOKUP(Table3[[#This Row],[MD5]],Input[],11,FALSE)+(Distances!$AA$8*(ABS(Distances!$AD$8-VLOOKUP(Table3[[#This Row],[MD5]],Input[],11,FALSE))*Distances!$AC$8))</f>
        <v>-6.7692173577083334</v>
      </c>
      <c r="L46" s="44">
        <f>SQRT(SUM((Table3[[#This Row],[time''2]]-Distances!$AD$6)^2,(Table3[[#This Row],[price''2]]-Distances!$AD$7)^2,(Table3[[#This Row],[energy''2]]-Distances!$AD$8)^2))</f>
        <v>112.73959057117641</v>
      </c>
      <c r="M46" s="44">
        <f>((Table3[[#This Row],[score-rt-partialcf]]-MIN(Table3[score-rt-partialcf]))*$G$6)/(MAX(Table3[score-rt-partialcf])-MIN(Table3[score-rt-partialcf]))</f>
        <v>0.99067429132432483</v>
      </c>
      <c r="N46" s="8">
        <f>VLOOKUP(Table3[[#This Row],[MD5]],Input[],15,FALSE)+(Distances!$AA$6*(ABS(Distances!$AD$6-VLOOKUP(Table3[[#This Row],[MD5]],Input[],15,FALSE))*Distances!$AC$6))</f>
        <v>-23.313541955892859</v>
      </c>
      <c r="O46" s="7">
        <f>VLOOKUP(Table3[[#This Row],[MD5]],Input[],16,FALSE)+(Distances!$AA$7*(ABS(Distances!$AD$7-VLOOKUP(Table3[[#This Row],[MD5]],Input[],16,FALSE))*Distances!$AC$7))</f>
        <v>55.467935658333332</v>
      </c>
      <c r="P46" s="7">
        <f>VLOOKUP(Table3[[#This Row],[MD5]],Input[],17,FALSE)+(Distances!$AA$8*(ABS(Distances!$AD$8-VLOOKUP(Table3[[#This Row],[MD5]],Input[],11,FALSE))*Distances!$AC$8))</f>
        <v>42.340469052708272</v>
      </c>
      <c r="Q46" s="47">
        <f>SQRT(SUM((Table3[[#This Row],[time''3]]-Distances!$AD$6)^2,(Table3[[#This Row],[price''3]]-Distances!$AD$7)^2,(Table3[[#This Row],[energy''3]]-Distances!$AD$8)^2))</f>
        <v>73.915101087765933</v>
      </c>
      <c r="R46" s="47">
        <f>((Table3[[#This Row],[score-rt-fullcf]]-MIN(Table3[score-rt-fullcf]))*$G$6)/(MAX(Table3[score-rt-fullcf])-MIN(Table3[score-rt-fullcf]))</f>
        <v>0.99576785895755116</v>
      </c>
      <c r="S46" s="8">
        <f>VLOOKUP(Table3[[#This Row],[MD5]],Input[],21,FALSE)+(Distances!$AI$6*(ABS(Distances!$L$3-VLOOKUP(Table3[[#This Row],[MD5]],Input[],21,FALSE))*Distances!$AC$6))</f>
        <v>2363.9649233333334</v>
      </c>
      <c r="T46" s="7">
        <f>VLOOKUP(Table3[[#This Row],[MD5]],Input[],22,FALSE)+(Distances!$AI$7*(ABS(Distances!$AB$7-VLOOKUP(Table3[[#This Row],[MD5]],Input[],22,FALSE))*Distances!$AC$7))</f>
        <v>1564.4724111111113</v>
      </c>
      <c r="U46" s="7">
        <f>VLOOKUP(Table3[[#This Row],[MD5]],Input[],23,FALSE)+(Distances!$AI$8*(ABS(Distances!$AD$8-VLOOKUP(Table3[[#This Row],[MD5]],Input[],23,FALSE))*Distances!$AC$8))</f>
        <v>1160.5461361111111</v>
      </c>
      <c r="V46" s="43">
        <f>SQRT(SUM((Table3[[#This Row],[time''4]]-Distances!$AD$6)^2,(Table3[[#This Row],[price''4]]-Distances!$AD$7)^2,(Table3[[#This Row],[energy''4]]-Distances!$AD$8)^2))</f>
        <v>2980.163262451415</v>
      </c>
      <c r="W46" s="58">
        <f>((Table3[[#This Row],[score-rt-df]]-MIN(Table3[score-rt-df]))*$G$6)/(MAX(Table3[score-rt-df])-MIN(Table3[score-rt-df]))</f>
        <v>1.7360191571701967E-3</v>
      </c>
      <c r="AY46" t="str">
        <f>Table3[[#This Row],[QW'#]]</f>
        <v>qw49</v>
      </c>
      <c r="AZ46" t="str">
        <f>VLOOKUP(Table10[[#This Row],[QW'#]],Table3[],2,FALSE)</f>
        <v>2cc1e94b87e81078dfde8a0106b5059d</v>
      </c>
      <c r="BA46" s="54">
        <f>IF(ABS(VLOOKUP(Table10[[#This Row],[QW'#]],Table3[],7,FALSE)-0)&lt;=$AZ$6,1,0)</f>
        <v>1</v>
      </c>
      <c r="BB46" s="54">
        <f>IF(ABS(VLOOKUP(Table10[[#This Row],[QW'#]],Table3[],22,FALSE)-0)&lt;=$AZ$6,1,0)</f>
        <v>1</v>
      </c>
      <c r="BC46" s="54">
        <f>IF(AND(Table10[[#This Row],[Retrieved]]=0, Table10[[#This Row],[Relevant]]=0),1,0)</f>
        <v>0</v>
      </c>
      <c r="BD46" s="54">
        <f>IF(AND(Table10[[#This Row],[Retrieved]]=0, Table10[[#This Row],[Relevant]]=1),1,0)</f>
        <v>0</v>
      </c>
      <c r="BE46" s="54">
        <f>IF(AND(Table10[[#This Row],[Retrieved]]=1, Table10[[#This Row],[Relevant]]=0),1,0)</f>
        <v>0</v>
      </c>
      <c r="BF46" s="54">
        <f>IF(AND(Table10[[#This Row],[Retrieved]]=1, Table10[[#This Row],[Relevant]]=1),1,0)</f>
        <v>1</v>
      </c>
    </row>
    <row r="47" spans="2:58">
      <c r="B47" s="76" t="s">
        <v>274</v>
      </c>
      <c r="C47" s="10" t="s">
        <v>142</v>
      </c>
      <c r="D47" s="8">
        <f>VLOOKUP(Table3[[#This Row],[MD5]],Input[],3,FALSE)+(Distances!$AA$6*(ABS(Distances!$AD$6-VLOOKUP(Table3[[#This Row],[MD5]],Input[],3,FALSE))*Distances!$AC$6))</f>
        <v>55.98857143</v>
      </c>
      <c r="E47" s="7">
        <f>VLOOKUP(Table3[[#This Row],[MD5]],Input[],4,FALSE)+(Distances!$AA$7*(ABS(Distances!$AD$7-VLOOKUP(Table3[[#This Row],[MD5]],Input[],4,FALSE))*Distances!$AC$7))</f>
        <v>57.466666666666669</v>
      </c>
      <c r="F47" s="7">
        <f>VLOOKUP(Table3[[#This Row],[MD5]],Input[],5,FALSE)+(Distances!$AA$8*(ABS(Distances!$AD$8-VLOOKUP(Table3[[#This Row],[MD5]],Input[],5,FALSE))*Distances!$AC$8))</f>
        <v>52.933333333333337</v>
      </c>
      <c r="G47" s="46">
        <f>SQRT(SUM((Table3[[#This Row],[time]]-Distances!$AD$6)^2,(Table3[[#This Row],[price]]-Distances!$AD$7)^2,(Table3[[#This Row],[energy]]-Distances!$AD$8)^2))</f>
        <v>10.010921202754911</v>
      </c>
      <c r="H47" s="46">
        <f>((Table3[[#This Row],[score-bt]]-MIN(Table3[score-bt]))*$G$6)/(MAX(Table3[score-bt])-MIN(Table3[score-bt]))</f>
        <v>0</v>
      </c>
      <c r="I47" s="8">
        <f>VLOOKUP(Table3[[#This Row],[MD5]],Input[],9,FALSE)+(Distances!$AA$6*(ABS(Distances!$AD$6-VLOOKUP(Table3[[#This Row],[MD5]],Input[],9,FALSE))*Distances!$AC$6))</f>
        <v>-23.286987312589289</v>
      </c>
      <c r="J47" s="7">
        <f>VLOOKUP(Table3[[#This Row],[MD5]],Input[],10,FALSE)+(Distances!$AA$7*(ABS(Distances!$AD$7-VLOOKUP(Table3[[#This Row],[MD5]],Input[],10,FALSE))*Distances!$AC$7))</f>
        <v>-15.151239058333333</v>
      </c>
      <c r="K47" s="7">
        <f>VLOOKUP(Table3[[#This Row],[MD5]],Input[],11,FALSE)+(Distances!$AA$8*(ABS(Distances!$AD$8-VLOOKUP(Table3[[#This Row],[MD5]],Input[],11,FALSE))*Distances!$AC$8))</f>
        <v>-7.1739752465972222</v>
      </c>
      <c r="L47" s="44">
        <f>SQRT(SUM((Table3[[#This Row],[time''2]]-Distances!$AD$6)^2,(Table3[[#This Row],[price''2]]-Distances!$AD$7)^2,(Table3[[#This Row],[energy''2]]-Distances!$AD$8)^2))</f>
        <v>113.5100431930595</v>
      </c>
      <c r="M47" s="44">
        <f>((Table3[[#This Row],[score-rt-partialcf]]-MIN(Table3[score-rt-partialcf]))*$G$6)/(MAX(Table3[score-rt-partialcf])-MIN(Table3[score-rt-partialcf]))</f>
        <v>0.99778868106865481</v>
      </c>
      <c r="N47" s="8">
        <f>VLOOKUP(Table3[[#This Row],[MD5]],Input[],15,FALSE)+(Distances!$AA$6*(ABS(Distances!$AD$6-VLOOKUP(Table3[[#This Row],[MD5]],Input[],15,FALSE))*Distances!$AC$6))</f>
        <v>-23.313541955892859</v>
      </c>
      <c r="O47" s="7">
        <f>VLOOKUP(Table3[[#This Row],[MD5]],Input[],16,FALSE)+(Distances!$AA$7*(ABS(Distances!$AD$7-VLOOKUP(Table3[[#This Row],[MD5]],Input[],16,FALSE))*Distances!$AC$7))</f>
        <v>55.467935658333332</v>
      </c>
      <c r="P47" s="7">
        <f>VLOOKUP(Table3[[#This Row],[MD5]],Input[],17,FALSE)+(Distances!$AA$8*(ABS(Distances!$AD$8-VLOOKUP(Table3[[#This Row],[MD5]],Input[],11,FALSE))*Distances!$AC$8))</f>
        <v>42.282646497152719</v>
      </c>
      <c r="Q47" s="47">
        <f>SQRT(SUM((Table3[[#This Row],[time''3]]-Distances!$AD$6)^2,(Table3[[#This Row],[price''3]]-Distances!$AD$7)^2,(Table3[[#This Row],[energy''3]]-Distances!$AD$8)^2))</f>
        <v>73.92111538369835</v>
      </c>
      <c r="R47" s="47">
        <f>((Table3[[#This Row],[score-rt-fullcf]]-MIN(Table3[score-rt-fullcf]))*$G$6)/(MAX(Table3[score-rt-fullcf])-MIN(Table3[score-rt-fullcf]))</f>
        <v>0.99595226095194278</v>
      </c>
      <c r="S47" s="8">
        <f>VLOOKUP(Table3[[#This Row],[MD5]],Input[],21,FALSE)+(Distances!$AI$6*(ABS(Distances!$L$3-VLOOKUP(Table3[[#This Row],[MD5]],Input[],21,FALSE))*Distances!$AC$6))</f>
        <v>2363.9649233333334</v>
      </c>
      <c r="T47" s="7">
        <f>VLOOKUP(Table3[[#This Row],[MD5]],Input[],22,FALSE)+(Distances!$AI$7*(ABS(Distances!$AB$7-VLOOKUP(Table3[[#This Row],[MD5]],Input[],22,FALSE))*Distances!$AC$7))</f>
        <v>1564.4724111111113</v>
      </c>
      <c r="U47" s="7">
        <f>VLOOKUP(Table3[[#This Row],[MD5]],Input[],23,FALSE)+(Distances!$AI$8*(ABS(Distances!$AD$8-VLOOKUP(Table3[[#This Row],[MD5]],Input[],23,FALSE))*Distances!$AC$8))</f>
        <v>1160.5461361111111</v>
      </c>
      <c r="V47" s="43">
        <f>SQRT(SUM((Table3[[#This Row],[time''4]]-Distances!$AD$6)^2,(Table3[[#This Row],[price''4]]-Distances!$AD$7)^2,(Table3[[#This Row],[energy''4]]-Distances!$AD$8)^2))</f>
        <v>2980.163262451415</v>
      </c>
      <c r="W47" s="58">
        <f>((Table3[[#This Row],[score-rt-df]]-MIN(Table3[score-rt-df]))*$G$6)/(MAX(Table3[score-rt-df])-MIN(Table3[score-rt-df]))</f>
        <v>1.7360191571701967E-3</v>
      </c>
      <c r="AY47" t="str">
        <f>Table3[[#This Row],[QW'#]]</f>
        <v>qw96</v>
      </c>
      <c r="AZ47" t="str">
        <f>VLOOKUP(Table10[[#This Row],[QW'#]],Table3[],2,FALSE)</f>
        <v>94401d547f6a6bbbdff22f21e439fce2</v>
      </c>
      <c r="BA47" s="54">
        <f>IF(ABS(VLOOKUP(Table10[[#This Row],[QW'#]],Table3[],7,FALSE)-0)&lt;=$AZ$6,1,0)</f>
        <v>1</v>
      </c>
      <c r="BB47" s="54">
        <f>IF(ABS(VLOOKUP(Table10[[#This Row],[QW'#]],Table3[],22,FALSE)-0)&lt;=$AZ$6,1,0)</f>
        <v>1</v>
      </c>
      <c r="BC47" s="54">
        <f>IF(AND(Table10[[#This Row],[Retrieved]]=0, Table10[[#This Row],[Relevant]]=0),1,0)</f>
        <v>0</v>
      </c>
      <c r="BD47" s="54">
        <f>IF(AND(Table10[[#This Row],[Retrieved]]=0, Table10[[#This Row],[Relevant]]=1),1,0)</f>
        <v>0</v>
      </c>
      <c r="BE47" s="54">
        <f>IF(AND(Table10[[#This Row],[Retrieved]]=1, Table10[[#This Row],[Relevant]]=0),1,0)</f>
        <v>0</v>
      </c>
      <c r="BF47" s="54">
        <f>IF(AND(Table10[[#This Row],[Retrieved]]=1, Table10[[#This Row],[Relevant]]=1),1,0)</f>
        <v>1</v>
      </c>
    </row>
    <row r="48" spans="2:58">
      <c r="B48" s="76" t="s">
        <v>336</v>
      </c>
      <c r="C48" s="10" t="s">
        <v>204</v>
      </c>
      <c r="D48" s="8">
        <f>VLOOKUP(Table3[[#This Row],[MD5]],Input[],3,FALSE)+(Distances!$AA$6*(ABS(Distances!$AD$6-VLOOKUP(Table3[[#This Row],[MD5]],Input[],3,FALSE))*Distances!$AC$6))</f>
        <v>55.98857143</v>
      </c>
      <c r="E48" s="7">
        <f>VLOOKUP(Table3[[#This Row],[MD5]],Input[],4,FALSE)+(Distances!$AA$7*(ABS(Distances!$AD$7-VLOOKUP(Table3[[#This Row],[MD5]],Input[],4,FALSE))*Distances!$AC$7))</f>
        <v>57.466666666666669</v>
      </c>
      <c r="F48" s="7">
        <f>VLOOKUP(Table3[[#This Row],[MD5]],Input[],5,FALSE)+(Distances!$AA$8*(ABS(Distances!$AD$8-VLOOKUP(Table3[[#This Row],[MD5]],Input[],5,FALSE))*Distances!$AC$8))</f>
        <v>52.933333333333337</v>
      </c>
      <c r="G48" s="46">
        <f>SQRT(SUM((Table3[[#This Row],[time]]-Distances!$AD$6)^2,(Table3[[#This Row],[price]]-Distances!$AD$7)^2,(Table3[[#This Row],[energy]]-Distances!$AD$8)^2))</f>
        <v>10.010921202754911</v>
      </c>
      <c r="H48" s="46">
        <f>((Table3[[#This Row],[score-bt]]-MIN(Table3[score-bt]))*$G$6)/(MAX(Table3[score-bt])-MIN(Table3[score-bt]))</f>
        <v>0</v>
      </c>
      <c r="I48" s="8">
        <f>VLOOKUP(Table3[[#This Row],[MD5]],Input[],9,FALSE)+(Distances!$AA$6*(ABS(Distances!$AD$6-VLOOKUP(Table3[[#This Row],[MD5]],Input[],9,FALSE))*Distances!$AC$6))</f>
        <v>-22.88380826169643</v>
      </c>
      <c r="J48" s="7">
        <f>VLOOKUP(Table3[[#This Row],[MD5]],Input[],10,FALSE)+(Distances!$AA$7*(ABS(Distances!$AD$7-VLOOKUP(Table3[[#This Row],[MD5]],Input[],10,FALSE))*Distances!$AC$7))</f>
        <v>-14.617479558333343</v>
      </c>
      <c r="K48" s="7">
        <f>VLOOKUP(Table3[[#This Row],[MD5]],Input[],11,FALSE)+(Distances!$AA$8*(ABS(Distances!$AD$8-VLOOKUP(Table3[[#This Row],[MD5]],Input[],11,FALSE))*Distances!$AC$8))</f>
        <v>-6.7692076257638876</v>
      </c>
      <c r="L48" s="44">
        <f>SQRT(SUM((Table3[[#This Row],[time''2]]-Distances!$AD$6)^2,(Table3[[#This Row],[price''2]]-Distances!$AD$7)^2,(Table3[[#This Row],[energy''2]]-Distances!$AD$8)^2))</f>
        <v>112.73957204840032</v>
      </c>
      <c r="M48" s="44">
        <f>((Table3[[#This Row],[score-rt-partialcf]]-MIN(Table3[score-rt-partialcf]))*$G$6)/(MAX(Table3[score-rt-partialcf])-MIN(Table3[score-rt-partialcf]))</f>
        <v>0.99067412028428359</v>
      </c>
      <c r="N48" s="8">
        <f>VLOOKUP(Table3[[#This Row],[MD5]],Input[],15,FALSE)+(Distances!$AA$6*(ABS(Distances!$AD$6-VLOOKUP(Table3[[#This Row],[MD5]],Input[],15,FALSE))*Distances!$AC$6))</f>
        <v>-23.313537549642859</v>
      </c>
      <c r="O48" s="7">
        <f>VLOOKUP(Table3[[#This Row],[MD5]],Input[],16,FALSE)+(Distances!$AA$7*(ABS(Distances!$AD$7-VLOOKUP(Table3[[#This Row],[MD5]],Input[],16,FALSE))*Distances!$AC$7))</f>
        <v>55.467937116666668</v>
      </c>
      <c r="P48" s="7">
        <f>VLOOKUP(Table3[[#This Row],[MD5]],Input[],17,FALSE)+(Distances!$AA$8*(ABS(Distances!$AD$8-VLOOKUP(Table3[[#This Row],[MD5]],Input[],11,FALSE))*Distances!$AC$8))</f>
        <v>42.340472338819382</v>
      </c>
      <c r="Q48" s="47">
        <f>SQRT(SUM((Table3[[#This Row],[time''3]]-Distances!$AD$6)^2,(Table3[[#This Row],[price''3]]-Distances!$AD$7)^2,(Table3[[#This Row],[energy''3]]-Distances!$AD$8)^2))</f>
        <v>73.915096484731095</v>
      </c>
      <c r="R48" s="47">
        <f>((Table3[[#This Row],[score-rt-fullcf]]-MIN(Table3[score-rt-fullcf]))*$G$6)/(MAX(Table3[score-rt-fullcf])-MIN(Table3[score-rt-fullcf]))</f>
        <v>0.99576771782568563</v>
      </c>
      <c r="S48" s="8">
        <f>VLOOKUP(Table3[[#This Row],[MD5]],Input[],21,FALSE)+(Distances!$AI$6*(ABS(Distances!$L$3-VLOOKUP(Table3[[#This Row],[MD5]],Input[],21,FALSE))*Distances!$AC$6))</f>
        <v>2364.7862566666668</v>
      </c>
      <c r="T48" s="7">
        <f>VLOOKUP(Table3[[#This Row],[MD5]],Input[],22,FALSE)+(Distances!$AI$7*(ABS(Distances!$AB$7-VLOOKUP(Table3[[#This Row],[MD5]],Input[],22,FALSE))*Distances!$AC$7))</f>
        <v>1564.6679666666666</v>
      </c>
      <c r="U48" s="7">
        <f>VLOOKUP(Table3[[#This Row],[MD5]],Input[],23,FALSE)+(Distances!$AI$8*(ABS(Distances!$AD$8-VLOOKUP(Table3[[#This Row],[MD5]],Input[],23,FALSE))*Distances!$AC$8))</f>
        <v>1160.6928027777776</v>
      </c>
      <c r="V48" s="43">
        <f>SQRT(SUM((Table3[[#This Row],[time''4]]-Distances!$AD$6)^2,(Table3[[#This Row],[price''4]]-Distances!$AD$7)^2,(Table3[[#This Row],[energy''4]]-Distances!$AD$8)^2))</f>
        <v>2980.9550425059028</v>
      </c>
      <c r="W48" s="58">
        <f>((Table3[[#This Row],[score-rt-df]]-MIN(Table3[score-rt-df]))*$G$6)/(MAX(Table3[score-rt-df])-MIN(Table3[score-rt-df]))</f>
        <v>1.7366712239704927E-3</v>
      </c>
      <c r="AY48" t="str">
        <f>Table3[[#This Row],[QW'#]]</f>
        <v>qw158</v>
      </c>
      <c r="AZ48" t="str">
        <f>VLOOKUP(Table10[[#This Row],[QW'#]],Table3[],2,FALSE)</f>
        <v>c0b117a6ec0c8b1d6512109a26350f59</v>
      </c>
      <c r="BA48" s="54">
        <f>IF(ABS(VLOOKUP(Table10[[#This Row],[QW'#]],Table3[],7,FALSE)-0)&lt;=$AZ$6,1,0)</f>
        <v>1</v>
      </c>
      <c r="BB48" s="54">
        <f>IF(ABS(VLOOKUP(Table10[[#This Row],[QW'#]],Table3[],22,FALSE)-0)&lt;=$AZ$6,1,0)</f>
        <v>1</v>
      </c>
      <c r="BC48" s="54">
        <f>IF(AND(Table10[[#This Row],[Retrieved]]=0, Table10[[#This Row],[Relevant]]=0),1,0)</f>
        <v>0</v>
      </c>
      <c r="BD48" s="54">
        <f>IF(AND(Table10[[#This Row],[Retrieved]]=0, Table10[[#This Row],[Relevant]]=1),1,0)</f>
        <v>0</v>
      </c>
      <c r="BE48" s="54">
        <f>IF(AND(Table10[[#This Row],[Retrieved]]=1, Table10[[#This Row],[Relevant]]=0),1,0)</f>
        <v>0</v>
      </c>
      <c r="BF48" s="54">
        <f>IF(AND(Table10[[#This Row],[Retrieved]]=1, Table10[[#This Row],[Relevant]]=1),1,0)</f>
        <v>1</v>
      </c>
    </row>
    <row r="49" spans="2:58">
      <c r="B49" s="76" t="s">
        <v>344</v>
      </c>
      <c r="C49" s="10" t="s">
        <v>212</v>
      </c>
      <c r="D49" s="8">
        <f>VLOOKUP(Table3[[#This Row],[MD5]],Input[],3,FALSE)+(Distances!$AA$6*(ABS(Distances!$AD$6-VLOOKUP(Table3[[#This Row],[MD5]],Input[],3,FALSE))*Distances!$AC$6))</f>
        <v>55.98857143</v>
      </c>
      <c r="E49" s="7">
        <f>VLOOKUP(Table3[[#This Row],[MD5]],Input[],4,FALSE)+(Distances!$AA$7*(ABS(Distances!$AD$7-VLOOKUP(Table3[[#This Row],[MD5]],Input[],4,FALSE))*Distances!$AC$7))</f>
        <v>57.466666666666669</v>
      </c>
      <c r="F49" s="7">
        <f>VLOOKUP(Table3[[#This Row],[MD5]],Input[],5,FALSE)+(Distances!$AA$8*(ABS(Distances!$AD$8-VLOOKUP(Table3[[#This Row],[MD5]],Input[],5,FALSE))*Distances!$AC$8))</f>
        <v>52.933333333333337</v>
      </c>
      <c r="G49" s="46">
        <f>SQRT(SUM((Table3[[#This Row],[time]]-Distances!$AD$6)^2,(Table3[[#This Row],[price]]-Distances!$AD$7)^2,(Table3[[#This Row],[energy]]-Distances!$AD$8)^2))</f>
        <v>10.010921202754911</v>
      </c>
      <c r="H49" s="46">
        <f>((Table3[[#This Row],[score-bt]]-MIN(Table3[score-bt]))*$G$6)/(MAX(Table3[score-bt])-MIN(Table3[score-bt]))</f>
        <v>0</v>
      </c>
      <c r="I49" s="8">
        <f>VLOOKUP(Table3[[#This Row],[MD5]],Input[],9,FALSE)+(Distances!$AA$6*(ABS(Distances!$AD$6-VLOOKUP(Table3[[#This Row],[MD5]],Input[],9,FALSE))*Distances!$AC$6))</f>
        <v>-23.286984668839292</v>
      </c>
      <c r="J49" s="7">
        <f>VLOOKUP(Table3[[#This Row],[MD5]],Input[],10,FALSE)+(Distances!$AA$7*(ABS(Distances!$AD$7-VLOOKUP(Table3[[#This Row],[MD5]],Input[],10,FALSE))*Distances!$AC$7))</f>
        <v>-15.151235558333342</v>
      </c>
      <c r="K49" s="7">
        <f>VLOOKUP(Table3[[#This Row],[MD5]],Input[],11,FALSE)+(Distances!$AA$8*(ABS(Distances!$AD$8-VLOOKUP(Table3[[#This Row],[MD5]],Input[],11,FALSE))*Distances!$AC$8))</f>
        <v>-7.1739725924305562</v>
      </c>
      <c r="L49" s="44">
        <f>SQRT(SUM((Table3[[#This Row],[time''2]]-Distances!$AD$6)^2,(Table3[[#This Row],[price''2]]-Distances!$AD$7)^2,(Table3[[#This Row],[energy''2]]-Distances!$AD$8)^2))</f>
        <v>113.51003814036945</v>
      </c>
      <c r="M49" s="44">
        <f>((Table3[[#This Row],[score-rt-partialcf]]-MIN(Table3[score-rt-partialcf]))*$G$6)/(MAX(Table3[score-rt-partialcf])-MIN(Table3[score-rt-partialcf]))</f>
        <v>0.99778863441191656</v>
      </c>
      <c r="N49" s="8">
        <f>VLOOKUP(Table3[[#This Row],[MD5]],Input[],15,FALSE)+(Distances!$AA$6*(ABS(Distances!$AD$6-VLOOKUP(Table3[[#This Row],[MD5]],Input[],15,FALSE))*Distances!$AC$6))</f>
        <v>-23.313537549642859</v>
      </c>
      <c r="O49" s="7">
        <f>VLOOKUP(Table3[[#This Row],[MD5]],Input[],16,FALSE)+(Distances!$AA$7*(ABS(Distances!$AD$7-VLOOKUP(Table3[[#This Row],[MD5]],Input[],16,FALSE))*Distances!$AC$7))</f>
        <v>55.467937116666668</v>
      </c>
      <c r="P49" s="7">
        <f>VLOOKUP(Table3[[#This Row],[MD5]],Input[],17,FALSE)+(Distances!$AA$8*(ABS(Distances!$AD$8-VLOOKUP(Table3[[#This Row],[MD5]],Input[],11,FALSE))*Distances!$AC$8))</f>
        <v>42.282648772152712</v>
      </c>
      <c r="Q49" s="47">
        <f>SQRT(SUM((Table3[[#This Row],[time''3]]-Distances!$AD$6)^2,(Table3[[#This Row],[price''3]]-Distances!$AD$7)^2,(Table3[[#This Row],[energy''3]]-Distances!$AD$8)^2))</f>
        <v>73.921110884027385</v>
      </c>
      <c r="R49" s="47">
        <f>((Table3[[#This Row],[score-rt-fullcf]]-MIN(Table3[score-rt-fullcf]))*$G$6)/(MAX(Table3[score-rt-fullcf])-MIN(Table3[score-rt-fullcf]))</f>
        <v>0.99595212298927693</v>
      </c>
      <c r="S49" s="8">
        <f>VLOOKUP(Table3[[#This Row],[MD5]],Input[],21,FALSE)+(Distances!$AI$6*(ABS(Distances!$L$3-VLOOKUP(Table3[[#This Row],[MD5]],Input[],21,FALSE))*Distances!$AC$6))</f>
        <v>2364.7862566666668</v>
      </c>
      <c r="T49" s="7">
        <f>VLOOKUP(Table3[[#This Row],[MD5]],Input[],22,FALSE)+(Distances!$AI$7*(ABS(Distances!$AB$7-VLOOKUP(Table3[[#This Row],[MD5]],Input[],22,FALSE))*Distances!$AC$7))</f>
        <v>1564.6679666666666</v>
      </c>
      <c r="U49" s="7">
        <f>VLOOKUP(Table3[[#This Row],[MD5]],Input[],23,FALSE)+(Distances!$AI$8*(ABS(Distances!$AD$8-VLOOKUP(Table3[[#This Row],[MD5]],Input[],23,FALSE))*Distances!$AC$8))</f>
        <v>1160.6928027777776</v>
      </c>
      <c r="V49" s="43">
        <f>SQRT(SUM((Table3[[#This Row],[time''4]]-Distances!$AD$6)^2,(Table3[[#This Row],[price''4]]-Distances!$AD$7)^2,(Table3[[#This Row],[energy''4]]-Distances!$AD$8)^2))</f>
        <v>2980.9550425059028</v>
      </c>
      <c r="W49" s="58">
        <f>((Table3[[#This Row],[score-rt-df]]-MIN(Table3[score-rt-df]))*$G$6)/(MAX(Table3[score-rt-df])-MIN(Table3[score-rt-df]))</f>
        <v>1.7366712239704927E-3</v>
      </c>
      <c r="AY49" t="str">
        <f>Table3[[#This Row],[QW'#]]</f>
        <v>qw166</v>
      </c>
      <c r="AZ49" t="str">
        <f>VLOOKUP(Table10[[#This Row],[QW'#]],Table3[],2,FALSE)</f>
        <v>5fb7061a42a2309806ceca6af7ca54fb</v>
      </c>
      <c r="BA49" s="54">
        <f>IF(ABS(VLOOKUP(Table10[[#This Row],[QW'#]],Table3[],7,FALSE)-0)&lt;=$AZ$6,1,0)</f>
        <v>1</v>
      </c>
      <c r="BB49" s="54">
        <f>IF(ABS(VLOOKUP(Table10[[#This Row],[QW'#]],Table3[],22,FALSE)-0)&lt;=$AZ$6,1,0)</f>
        <v>1</v>
      </c>
      <c r="BC49" s="54">
        <f>IF(AND(Table10[[#This Row],[Retrieved]]=0, Table10[[#This Row],[Relevant]]=0),1,0)</f>
        <v>0</v>
      </c>
      <c r="BD49" s="54">
        <f>IF(AND(Table10[[#This Row],[Retrieved]]=0, Table10[[#This Row],[Relevant]]=1),1,0)</f>
        <v>0</v>
      </c>
      <c r="BE49" s="54">
        <f>IF(AND(Table10[[#This Row],[Retrieved]]=1, Table10[[#This Row],[Relevant]]=0),1,0)</f>
        <v>0</v>
      </c>
      <c r="BF49" s="54">
        <f>IF(AND(Table10[[#This Row],[Retrieved]]=1, Table10[[#This Row],[Relevant]]=1),1,0)</f>
        <v>1</v>
      </c>
    </row>
    <row r="50" spans="2:58">
      <c r="B50" s="76" t="s">
        <v>228</v>
      </c>
      <c r="C50" s="10" t="s">
        <v>96</v>
      </c>
      <c r="D50" s="8">
        <f>VLOOKUP(Table3[[#This Row],[MD5]],Input[],3,FALSE)+(Distances!$AA$6*(ABS(Distances!$AD$6-VLOOKUP(Table3[[#This Row],[MD5]],Input[],3,FALSE))*Distances!$AC$6))</f>
        <v>55.98857143</v>
      </c>
      <c r="E50" s="7">
        <f>VLOOKUP(Table3[[#This Row],[MD5]],Input[],4,FALSE)+(Distances!$AA$7*(ABS(Distances!$AD$7-VLOOKUP(Table3[[#This Row],[MD5]],Input[],4,FALSE))*Distances!$AC$7))</f>
        <v>57.466666666666669</v>
      </c>
      <c r="F50" s="7">
        <f>VLOOKUP(Table3[[#This Row],[MD5]],Input[],5,FALSE)+(Distances!$AA$8*(ABS(Distances!$AD$8-VLOOKUP(Table3[[#This Row],[MD5]],Input[],5,FALSE))*Distances!$AC$8))</f>
        <v>52.933333333333337</v>
      </c>
      <c r="G50" s="46">
        <f>SQRT(SUM((Table3[[#This Row],[time]]-Distances!$AD$6)^2,(Table3[[#This Row],[price]]-Distances!$AD$7)^2,(Table3[[#This Row],[energy]]-Distances!$AD$8)^2))</f>
        <v>10.010921202754911</v>
      </c>
      <c r="H50" s="46">
        <f>((Table3[[#This Row],[score-bt]]-MIN(Table3[score-bt]))*$G$6)/(MAX(Table3[score-bt])-MIN(Table3[score-bt]))</f>
        <v>0</v>
      </c>
      <c r="I50" s="8">
        <f>VLOOKUP(Table3[[#This Row],[MD5]],Input[],9,FALSE)+(Distances!$AA$6*(ABS(Distances!$AD$6-VLOOKUP(Table3[[#This Row],[MD5]],Input[],9,FALSE))*Distances!$AC$6))</f>
        <v>-23.286977618839291</v>
      </c>
      <c r="J50" s="7">
        <f>VLOOKUP(Table3[[#This Row],[MD5]],Input[],10,FALSE)+(Distances!$AA$7*(ABS(Distances!$AD$7-VLOOKUP(Table3[[#This Row],[MD5]],Input[],10,FALSE))*Distances!$AC$7))</f>
        <v>-15.151226225000007</v>
      </c>
      <c r="K50" s="7">
        <f>VLOOKUP(Table3[[#This Row],[MD5]],Input[],11,FALSE)+(Distances!$AA$8*(ABS(Distances!$AD$8-VLOOKUP(Table3[[#This Row],[MD5]],Input[],11,FALSE))*Distances!$AC$8))</f>
        <v>-7.1739655146527763</v>
      </c>
      <c r="L50" s="44">
        <f>SQRT(SUM((Table3[[#This Row],[time''2]]-Distances!$AD$6)^2,(Table3[[#This Row],[price''2]]-Distances!$AD$7)^2,(Table3[[#This Row],[energy''2]]-Distances!$AD$8)^2))</f>
        <v>113.51002466652928</v>
      </c>
      <c r="M50" s="44">
        <f>((Table3[[#This Row],[score-rt-partialcf]]-MIN(Table3[score-rt-partialcf]))*$G$6)/(MAX(Table3[score-rt-partialcf])-MIN(Table3[score-rt-partialcf]))</f>
        <v>0.99778850999394764</v>
      </c>
      <c r="N50" s="8">
        <f>VLOOKUP(Table3[[#This Row],[MD5]],Input[],15,FALSE)+(Distances!$AA$6*(ABS(Distances!$AD$6-VLOOKUP(Table3[[#This Row],[MD5]],Input[],15,FALSE))*Distances!$AC$6))</f>
        <v>-23.313537549642859</v>
      </c>
      <c r="O50" s="7">
        <f>VLOOKUP(Table3[[#This Row],[MD5]],Input[],16,FALSE)+(Distances!$AA$7*(ABS(Distances!$AD$7-VLOOKUP(Table3[[#This Row],[MD5]],Input[],16,FALSE))*Distances!$AC$7))</f>
        <v>55.467937116666668</v>
      </c>
      <c r="P50" s="7">
        <f>VLOOKUP(Table3[[#This Row],[MD5]],Input[],17,FALSE)+(Distances!$AA$8*(ABS(Distances!$AD$8-VLOOKUP(Table3[[#This Row],[MD5]],Input[],11,FALSE))*Distances!$AC$8))</f>
        <v>42.282649783263821</v>
      </c>
      <c r="Q50" s="47">
        <f>SQRT(SUM((Table3[[#This Row],[time''3]]-Distances!$AD$6)^2,(Table3[[#This Row],[price''3]]-Distances!$AD$7)^2,(Table3[[#This Row],[energy''3]]-Distances!$AD$8)^2))</f>
        <v>73.921110778467565</v>
      </c>
      <c r="R50" s="47">
        <f>((Table3[[#This Row],[score-rt-fullcf]]-MIN(Table3[score-rt-fullcf]))*$G$6)/(MAX(Table3[score-rt-fullcf])-MIN(Table3[score-rt-fullcf]))</f>
        <v>0.99595211975274822</v>
      </c>
      <c r="S50" s="8">
        <f>VLOOKUP(Table3[[#This Row],[MD5]],Input[],21,FALSE)+(Distances!$AI$6*(ABS(Distances!$L$3-VLOOKUP(Table3[[#This Row],[MD5]],Input[],21,FALSE))*Distances!$AC$6))</f>
        <v>2364.7862566666668</v>
      </c>
      <c r="T50" s="7">
        <f>VLOOKUP(Table3[[#This Row],[MD5]],Input[],22,FALSE)+(Distances!$AI$7*(ABS(Distances!$AB$7-VLOOKUP(Table3[[#This Row],[MD5]],Input[],22,FALSE))*Distances!$AC$7))</f>
        <v>1564.6679666666666</v>
      </c>
      <c r="U50" s="7">
        <f>VLOOKUP(Table3[[#This Row],[MD5]],Input[],23,FALSE)+(Distances!$AI$8*(ABS(Distances!$AD$8-VLOOKUP(Table3[[#This Row],[MD5]],Input[],23,FALSE))*Distances!$AC$8))</f>
        <v>1160.6928027777776</v>
      </c>
      <c r="V50" s="43">
        <f>SQRT(SUM((Table3[[#This Row],[time''4]]-Distances!$AD$6)^2,(Table3[[#This Row],[price''4]]-Distances!$AD$7)^2,(Table3[[#This Row],[energy''4]]-Distances!$AD$8)^2))</f>
        <v>2980.9550425059028</v>
      </c>
      <c r="W50" s="58">
        <f>((Table3[[#This Row],[score-rt-df]]-MIN(Table3[score-rt-df]))*$G$6)/(MAX(Table3[score-rt-df])-MIN(Table3[score-rt-df]))</f>
        <v>1.7366712239704927E-3</v>
      </c>
      <c r="AY50" t="str">
        <f>Table3[[#This Row],[QW'#]]</f>
        <v>qw50</v>
      </c>
      <c r="AZ50" t="str">
        <f>VLOOKUP(Table10[[#This Row],[QW'#]],Table3[],2,FALSE)</f>
        <v>b637837b23460825105c727ff364dcc9</v>
      </c>
      <c r="BA50" s="54">
        <f>IF(ABS(VLOOKUP(Table10[[#This Row],[QW'#]],Table3[],7,FALSE)-0)&lt;=$AZ$6,1,0)</f>
        <v>1</v>
      </c>
      <c r="BB50" s="54">
        <f>IF(ABS(VLOOKUP(Table10[[#This Row],[QW'#]],Table3[],22,FALSE)-0)&lt;=$AZ$6,1,0)</f>
        <v>1</v>
      </c>
      <c r="BC50" s="54">
        <f>IF(AND(Table10[[#This Row],[Retrieved]]=0, Table10[[#This Row],[Relevant]]=0),1,0)</f>
        <v>0</v>
      </c>
      <c r="BD50" s="54">
        <f>IF(AND(Table10[[#This Row],[Retrieved]]=0, Table10[[#This Row],[Relevant]]=1),1,0)</f>
        <v>0</v>
      </c>
      <c r="BE50" s="54">
        <f>IF(AND(Table10[[#This Row],[Retrieved]]=1, Table10[[#This Row],[Relevant]]=0),1,0)</f>
        <v>0</v>
      </c>
      <c r="BF50" s="54">
        <f>IF(AND(Table10[[#This Row],[Retrieved]]=1, Table10[[#This Row],[Relevant]]=1),1,0)</f>
        <v>1</v>
      </c>
    </row>
    <row r="51" spans="2:58">
      <c r="B51" s="76" t="s">
        <v>229</v>
      </c>
      <c r="C51" s="10" t="s">
        <v>97</v>
      </c>
      <c r="D51" s="8">
        <f>VLOOKUP(Table3[[#This Row],[MD5]],Input[],3,FALSE)+(Distances!$AA$6*(ABS(Distances!$AD$6-VLOOKUP(Table3[[#This Row],[MD5]],Input[],3,FALSE))*Distances!$AC$6))</f>
        <v>55.98857143</v>
      </c>
      <c r="E51" s="7">
        <f>VLOOKUP(Table3[[#This Row],[MD5]],Input[],4,FALSE)+(Distances!$AA$7*(ABS(Distances!$AD$7-VLOOKUP(Table3[[#This Row],[MD5]],Input[],4,FALSE))*Distances!$AC$7))</f>
        <v>57.466666666666669</v>
      </c>
      <c r="F51" s="7">
        <f>VLOOKUP(Table3[[#This Row],[MD5]],Input[],5,FALSE)+(Distances!$AA$8*(ABS(Distances!$AD$8-VLOOKUP(Table3[[#This Row],[MD5]],Input[],5,FALSE))*Distances!$AC$8))</f>
        <v>52.933333333333337</v>
      </c>
      <c r="G51" s="46">
        <f>SQRT(SUM((Table3[[#This Row],[time]]-Distances!$AD$6)^2,(Table3[[#This Row],[price]]-Distances!$AD$7)^2,(Table3[[#This Row],[energy]]-Distances!$AD$8)^2))</f>
        <v>10.010921202754911</v>
      </c>
      <c r="H51" s="46">
        <f>((Table3[[#This Row],[score-bt]]-MIN(Table3[score-bt]))*$G$6)/(MAX(Table3[score-bt])-MIN(Table3[score-bt]))</f>
        <v>0</v>
      </c>
      <c r="I51" s="8">
        <f>VLOOKUP(Table3[[#This Row],[MD5]],Input[],9,FALSE)+(Distances!$AA$6*(ABS(Distances!$AD$6-VLOOKUP(Table3[[#This Row],[MD5]],Input[],9,FALSE))*Distances!$AC$6))</f>
        <v>-22.883815311696431</v>
      </c>
      <c r="J51" s="7">
        <f>VLOOKUP(Table3[[#This Row],[MD5]],Input[],10,FALSE)+(Distances!$AA$7*(ABS(Distances!$AD$7-VLOOKUP(Table3[[#This Row],[MD5]],Input[],10,FALSE))*Distances!$AC$7))</f>
        <v>-14.617488891666673</v>
      </c>
      <c r="K51" s="7">
        <f>VLOOKUP(Table3[[#This Row],[MD5]],Input[],11,FALSE)+(Distances!$AA$8*(ABS(Distances!$AD$8-VLOOKUP(Table3[[#This Row],[MD5]],Input[],11,FALSE))*Distances!$AC$8))</f>
        <v>-6.7692147035416657</v>
      </c>
      <c r="L51" s="44">
        <f>SQRT(SUM((Table3[[#This Row],[time''2]]-Distances!$AD$6)^2,(Table3[[#This Row],[price''2]]-Distances!$AD$7)^2,(Table3[[#This Row],[energy''2]]-Distances!$AD$8)^2))</f>
        <v>112.73958551951019</v>
      </c>
      <c r="M51" s="44">
        <f>((Table3[[#This Row],[score-rt-partialcf]]-MIN(Table3[score-rt-partialcf]))*$G$6)/(MAX(Table3[score-rt-partialcf])-MIN(Table3[score-rt-partialcf]))</f>
        <v>0.99067424467704068</v>
      </c>
      <c r="N51" s="8">
        <f>VLOOKUP(Table3[[#This Row],[MD5]],Input[],15,FALSE)+(Distances!$AA$6*(ABS(Distances!$AD$6-VLOOKUP(Table3[[#This Row],[MD5]],Input[],15,FALSE))*Distances!$AC$6))</f>
        <v>-23.313537549642859</v>
      </c>
      <c r="O51" s="7">
        <f>VLOOKUP(Table3[[#This Row],[MD5]],Input[],16,FALSE)+(Distances!$AA$7*(ABS(Distances!$AD$7-VLOOKUP(Table3[[#This Row],[MD5]],Input[],16,FALSE))*Distances!$AC$7))</f>
        <v>55.467937116666668</v>
      </c>
      <c r="P51" s="7">
        <f>VLOOKUP(Table3[[#This Row],[MD5]],Input[],17,FALSE)+(Distances!$AA$8*(ABS(Distances!$AD$8-VLOOKUP(Table3[[#This Row],[MD5]],Input[],11,FALSE))*Distances!$AC$8))</f>
        <v>42.340471327708272</v>
      </c>
      <c r="Q51" s="47">
        <f>SQRT(SUM((Table3[[#This Row],[time''3]]-Distances!$AD$6)^2,(Table3[[#This Row],[price''3]]-Distances!$AD$7)^2,(Table3[[#This Row],[energy''3]]-Distances!$AD$8)^2))</f>
        <v>73.915096589508522</v>
      </c>
      <c r="R51" s="47">
        <f>((Table3[[#This Row],[score-rt-fullcf]]-MIN(Table3[score-rt-fullcf]))*$G$6)/(MAX(Table3[score-rt-fullcf])-MIN(Table3[score-rt-fullcf]))</f>
        <v>0.99576772103822575</v>
      </c>
      <c r="S51" s="8">
        <f>VLOOKUP(Table3[[#This Row],[MD5]],Input[],21,FALSE)+(Distances!$AI$6*(ABS(Distances!$L$3-VLOOKUP(Table3[[#This Row],[MD5]],Input[],21,FALSE))*Distances!$AC$6))</f>
        <v>2364.7862566666668</v>
      </c>
      <c r="T51" s="7">
        <f>VLOOKUP(Table3[[#This Row],[MD5]],Input[],22,FALSE)+(Distances!$AI$7*(ABS(Distances!$AB$7-VLOOKUP(Table3[[#This Row],[MD5]],Input[],22,FALSE))*Distances!$AC$7))</f>
        <v>1564.6679666666666</v>
      </c>
      <c r="U51" s="7">
        <f>VLOOKUP(Table3[[#This Row],[MD5]],Input[],23,FALSE)+(Distances!$AI$8*(ABS(Distances!$AD$8-VLOOKUP(Table3[[#This Row],[MD5]],Input[],23,FALSE))*Distances!$AC$8))</f>
        <v>1160.6928027777776</v>
      </c>
      <c r="V51" s="43">
        <f>SQRT(SUM((Table3[[#This Row],[time''4]]-Distances!$AD$6)^2,(Table3[[#This Row],[price''4]]-Distances!$AD$7)^2,(Table3[[#This Row],[energy''4]]-Distances!$AD$8)^2))</f>
        <v>2980.9550425059028</v>
      </c>
      <c r="W51" s="58">
        <f>((Table3[[#This Row],[score-rt-df]]-MIN(Table3[score-rt-df]))*$G$6)/(MAX(Table3[score-rt-df])-MIN(Table3[score-rt-df]))</f>
        <v>1.7366712239704927E-3</v>
      </c>
      <c r="AY51" t="str">
        <f>Table3[[#This Row],[QW'#]]</f>
        <v>qw51</v>
      </c>
      <c r="AZ51" t="str">
        <f>VLOOKUP(Table10[[#This Row],[QW'#]],Table3[],2,FALSE)</f>
        <v>56ef255425c8bef0aad720467607b9be</v>
      </c>
      <c r="BA51" s="54">
        <f>IF(ABS(VLOOKUP(Table10[[#This Row],[QW'#]],Table3[],7,FALSE)-0)&lt;=$AZ$6,1,0)</f>
        <v>1</v>
      </c>
      <c r="BB51" s="54">
        <f>IF(ABS(VLOOKUP(Table10[[#This Row],[QW'#]],Table3[],22,FALSE)-0)&lt;=$AZ$6,1,0)</f>
        <v>1</v>
      </c>
      <c r="BC51" s="54">
        <f>IF(AND(Table10[[#This Row],[Retrieved]]=0, Table10[[#This Row],[Relevant]]=0),1,0)</f>
        <v>0</v>
      </c>
      <c r="BD51" s="54">
        <f>IF(AND(Table10[[#This Row],[Retrieved]]=0, Table10[[#This Row],[Relevant]]=1),1,0)</f>
        <v>0</v>
      </c>
      <c r="BE51" s="54">
        <f>IF(AND(Table10[[#This Row],[Retrieved]]=1, Table10[[#This Row],[Relevant]]=0),1,0)</f>
        <v>0</v>
      </c>
      <c r="BF51" s="54">
        <f>IF(AND(Table10[[#This Row],[Retrieved]]=1, Table10[[#This Row],[Relevant]]=1),1,0)</f>
        <v>1</v>
      </c>
    </row>
    <row r="52" spans="2:58">
      <c r="B52" s="76" t="s">
        <v>234</v>
      </c>
      <c r="C52" s="10" t="s">
        <v>102</v>
      </c>
      <c r="D52" s="8">
        <f>VLOOKUP(Table3[[#This Row],[MD5]],Input[],3,FALSE)+(Distances!$AA$6*(ABS(Distances!$AD$6-VLOOKUP(Table3[[#This Row],[MD5]],Input[],3,FALSE))*Distances!$AC$6))</f>
        <v>55.98857143</v>
      </c>
      <c r="E52" s="7">
        <f>VLOOKUP(Table3[[#This Row],[MD5]],Input[],4,FALSE)+(Distances!$AA$7*(ABS(Distances!$AD$7-VLOOKUP(Table3[[#This Row],[MD5]],Input[],4,FALSE))*Distances!$AC$7))</f>
        <v>57.466666666666669</v>
      </c>
      <c r="F52" s="7">
        <f>VLOOKUP(Table3[[#This Row],[MD5]],Input[],5,FALSE)+(Distances!$AA$8*(ABS(Distances!$AD$8-VLOOKUP(Table3[[#This Row],[MD5]],Input[],5,FALSE))*Distances!$AC$8))</f>
        <v>52.933333333333337</v>
      </c>
      <c r="G52" s="46">
        <f>SQRT(SUM((Table3[[#This Row],[time]]-Distances!$AD$6)^2,(Table3[[#This Row],[price]]-Distances!$AD$7)^2,(Table3[[#This Row],[energy]]-Distances!$AD$8)^2))</f>
        <v>10.010921202754911</v>
      </c>
      <c r="H52" s="46">
        <f>((Table3[[#This Row],[score-bt]]-MIN(Table3[score-bt]))*$G$6)/(MAX(Table3[score-bt])-MIN(Table3[score-bt]))</f>
        <v>0</v>
      </c>
      <c r="I52" s="8">
        <f>VLOOKUP(Table3[[#This Row],[MD5]],Input[],9,FALSE)+(Distances!$AA$6*(ABS(Distances!$AD$6-VLOOKUP(Table3[[#This Row],[MD5]],Input[],9,FALSE))*Distances!$AC$6))</f>
        <v>-23.280050490267858</v>
      </c>
      <c r="J52" s="7">
        <f>VLOOKUP(Table3[[#This Row],[MD5]],Input[],10,FALSE)+(Distances!$AA$7*(ABS(Distances!$AD$7-VLOOKUP(Table3[[#This Row],[MD5]],Input[],10,FALSE))*Distances!$AC$7))</f>
        <v>-15.142055558333341</v>
      </c>
      <c r="K52" s="7">
        <f>VLOOKUP(Table3[[#This Row],[MD5]],Input[],11,FALSE)+(Distances!$AA$8*(ABS(Distances!$AD$8-VLOOKUP(Table3[[#This Row],[MD5]],Input[],11,FALSE))*Distances!$AC$8))</f>
        <v>-7.1670110924305552</v>
      </c>
      <c r="L52" s="44">
        <f>SQRT(SUM((Table3[[#This Row],[time''2]]-Distances!$AD$6)^2,(Table3[[#This Row],[price''2]]-Distances!$AD$7)^2,(Table3[[#This Row],[energy''2]]-Distances!$AD$8)^2))</f>
        <v>113.49678567899301</v>
      </c>
      <c r="M52" s="44">
        <f>((Table3[[#This Row],[score-rt-partialcf]]-MIN(Table3[score-rt-partialcf]))*$G$6)/(MAX(Table3[score-rt-partialcf])-MIN(Table3[score-rt-partialcf]))</f>
        <v>0.99766626066351749</v>
      </c>
      <c r="N52" s="8">
        <f>VLOOKUP(Table3[[#This Row],[MD5]],Input[],15,FALSE)+(Distances!$AA$6*(ABS(Distances!$AD$6-VLOOKUP(Table3[[#This Row],[MD5]],Input[],15,FALSE))*Distances!$AC$6))</f>
        <v>-23.313537549642859</v>
      </c>
      <c r="O52" s="7">
        <f>VLOOKUP(Table3[[#This Row],[MD5]],Input[],16,FALSE)+(Distances!$AA$7*(ABS(Distances!$AD$7-VLOOKUP(Table3[[#This Row],[MD5]],Input[],16,FALSE))*Distances!$AC$7))</f>
        <v>55.467937116666668</v>
      </c>
      <c r="P52" s="7">
        <f>VLOOKUP(Table3[[#This Row],[MD5]],Input[],17,FALSE)+(Distances!$AA$8*(ABS(Distances!$AD$8-VLOOKUP(Table3[[#This Row],[MD5]],Input[],11,FALSE))*Distances!$AC$8))</f>
        <v>42.283643272152773</v>
      </c>
      <c r="Q52" s="47">
        <f>SQRT(SUM((Table3[[#This Row],[time''3]]-Distances!$AD$6)^2,(Table3[[#This Row],[price''3]]-Distances!$AD$7)^2,(Table3[[#This Row],[energy''3]]-Distances!$AD$8)^2))</f>
        <v>73.921007065015743</v>
      </c>
      <c r="R52" s="47">
        <f>((Table3[[#This Row],[score-rt-fullcf]]-MIN(Table3[score-rt-fullcf]))*$G$6)/(MAX(Table3[score-rt-fullcf])-MIN(Table3[score-rt-fullcf]))</f>
        <v>0.99594893983483668</v>
      </c>
      <c r="S52" s="8">
        <f>VLOOKUP(Table3[[#This Row],[MD5]],Input[],21,FALSE)+(Distances!$AI$6*(ABS(Distances!$L$3-VLOOKUP(Table3[[#This Row],[MD5]],Input[],21,FALSE))*Distances!$AC$6))</f>
        <v>2364.7862566666668</v>
      </c>
      <c r="T52" s="7">
        <f>VLOOKUP(Table3[[#This Row],[MD5]],Input[],22,FALSE)+(Distances!$AI$7*(ABS(Distances!$AB$7-VLOOKUP(Table3[[#This Row],[MD5]],Input[],22,FALSE))*Distances!$AC$7))</f>
        <v>1564.6679666666666</v>
      </c>
      <c r="U52" s="7">
        <f>VLOOKUP(Table3[[#This Row],[MD5]],Input[],23,FALSE)+(Distances!$AI$8*(ABS(Distances!$AD$8-VLOOKUP(Table3[[#This Row],[MD5]],Input[],23,FALSE))*Distances!$AC$8))</f>
        <v>1160.6928027777776</v>
      </c>
      <c r="V52" s="43">
        <f>SQRT(SUM((Table3[[#This Row],[time''4]]-Distances!$AD$6)^2,(Table3[[#This Row],[price''4]]-Distances!$AD$7)^2,(Table3[[#This Row],[energy''4]]-Distances!$AD$8)^2))</f>
        <v>2980.9550425059028</v>
      </c>
      <c r="W52" s="58">
        <f>((Table3[[#This Row],[score-rt-df]]-MIN(Table3[score-rt-df]))*$G$6)/(MAX(Table3[score-rt-df])-MIN(Table3[score-rt-df]))</f>
        <v>1.7366712239704927E-3</v>
      </c>
      <c r="AY52" t="str">
        <f>Table3[[#This Row],[QW'#]]</f>
        <v>qw56</v>
      </c>
      <c r="AZ52" t="str">
        <f>VLOOKUP(Table10[[#This Row],[QW'#]],Table3[],2,FALSE)</f>
        <v>439d66ed4c4ceeee4193aa9d948d0137</v>
      </c>
      <c r="BA52" s="54">
        <f>IF(ABS(VLOOKUP(Table10[[#This Row],[QW'#]],Table3[],7,FALSE)-0)&lt;=$AZ$6,1,0)</f>
        <v>1</v>
      </c>
      <c r="BB52" s="54">
        <f>IF(ABS(VLOOKUP(Table10[[#This Row],[QW'#]],Table3[],22,FALSE)-0)&lt;=$AZ$6,1,0)</f>
        <v>1</v>
      </c>
      <c r="BC52" s="54">
        <f>IF(AND(Table10[[#This Row],[Retrieved]]=0, Table10[[#This Row],[Relevant]]=0),1,0)</f>
        <v>0</v>
      </c>
      <c r="BD52" s="54">
        <f>IF(AND(Table10[[#This Row],[Retrieved]]=0, Table10[[#This Row],[Relevant]]=1),1,0)</f>
        <v>0</v>
      </c>
      <c r="BE52" s="54">
        <f>IF(AND(Table10[[#This Row],[Retrieved]]=1, Table10[[#This Row],[Relevant]]=0),1,0)</f>
        <v>0</v>
      </c>
      <c r="BF52" s="54">
        <f>IF(AND(Table10[[#This Row],[Retrieved]]=1, Table10[[#This Row],[Relevant]]=1),1,0)</f>
        <v>1</v>
      </c>
    </row>
    <row r="53" spans="2:58">
      <c r="B53" s="76" t="s">
        <v>239</v>
      </c>
      <c r="C53" s="10" t="s">
        <v>107</v>
      </c>
      <c r="D53" s="8">
        <f>VLOOKUP(Table3[[#This Row],[MD5]],Input[],3,FALSE)+(Distances!$AA$6*(ABS(Distances!$AD$6-VLOOKUP(Table3[[#This Row],[MD5]],Input[],3,FALSE))*Distances!$AC$6))</f>
        <v>55.98857143</v>
      </c>
      <c r="E53" s="7">
        <f>VLOOKUP(Table3[[#This Row],[MD5]],Input[],4,FALSE)+(Distances!$AA$7*(ABS(Distances!$AD$7-VLOOKUP(Table3[[#This Row],[MD5]],Input[],4,FALSE))*Distances!$AC$7))</f>
        <v>57.466666666666669</v>
      </c>
      <c r="F53" s="7">
        <f>VLOOKUP(Table3[[#This Row],[MD5]],Input[],5,FALSE)+(Distances!$AA$8*(ABS(Distances!$AD$8-VLOOKUP(Table3[[#This Row],[MD5]],Input[],5,FALSE))*Distances!$AC$8))</f>
        <v>52.933333333333337</v>
      </c>
      <c r="G53" s="46">
        <f>SQRT(SUM((Table3[[#This Row],[time]]-Distances!$AD$6)^2,(Table3[[#This Row],[price]]-Distances!$AD$7)^2,(Table3[[#This Row],[energy]]-Distances!$AD$8)^2))</f>
        <v>10.010921202754911</v>
      </c>
      <c r="H53" s="46">
        <f>((Table3[[#This Row],[score-bt]]-MIN(Table3[score-bt]))*$G$6)/(MAX(Table3[score-bt])-MIN(Table3[score-bt]))</f>
        <v>0</v>
      </c>
      <c r="I53" s="8">
        <f>VLOOKUP(Table3[[#This Row],[MD5]],Input[],9,FALSE)+(Distances!$AA$6*(ABS(Distances!$AD$6-VLOOKUP(Table3[[#This Row],[MD5]],Input[],9,FALSE))*Distances!$AC$6))</f>
        <v>-23.28004344026786</v>
      </c>
      <c r="J53" s="7">
        <f>VLOOKUP(Table3[[#This Row],[MD5]],Input[],10,FALSE)+(Distances!$AA$7*(ABS(Distances!$AD$7-VLOOKUP(Table3[[#This Row],[MD5]],Input[],10,FALSE))*Distances!$AC$7))</f>
        <v>-15.142046225000007</v>
      </c>
      <c r="K53" s="7">
        <f>VLOOKUP(Table3[[#This Row],[MD5]],Input[],11,FALSE)+(Distances!$AA$8*(ABS(Distances!$AD$8-VLOOKUP(Table3[[#This Row],[MD5]],Input[],11,FALSE))*Distances!$AC$8))</f>
        <v>-7.1670040146527771</v>
      </c>
      <c r="L53" s="44">
        <f>SQRT(SUM((Table3[[#This Row],[time''2]]-Distances!$AD$6)^2,(Table3[[#This Row],[price''2]]-Distances!$AD$7)^2,(Table3[[#This Row],[energy''2]]-Distances!$AD$8)^2))</f>
        <v>113.49677220519933</v>
      </c>
      <c r="M53" s="44">
        <f>((Table3[[#This Row],[score-rt-partialcf]]-MIN(Table3[score-rt-partialcf]))*$G$6)/(MAX(Table3[score-rt-partialcf])-MIN(Table3[score-rt-partialcf]))</f>
        <v>0.997666136245978</v>
      </c>
      <c r="N53" s="8">
        <f>VLOOKUP(Table3[[#This Row],[MD5]],Input[],15,FALSE)+(Distances!$AA$6*(ABS(Distances!$AD$6-VLOOKUP(Table3[[#This Row],[MD5]],Input[],15,FALSE))*Distances!$AC$6))</f>
        <v>-23.313537549642859</v>
      </c>
      <c r="O53" s="7">
        <f>VLOOKUP(Table3[[#This Row],[MD5]],Input[],16,FALSE)+(Distances!$AA$7*(ABS(Distances!$AD$7-VLOOKUP(Table3[[#This Row],[MD5]],Input[],16,FALSE))*Distances!$AC$7))</f>
        <v>55.467937116666668</v>
      </c>
      <c r="P53" s="7">
        <f>VLOOKUP(Table3[[#This Row],[MD5]],Input[],17,FALSE)+(Distances!$AA$8*(ABS(Distances!$AD$8-VLOOKUP(Table3[[#This Row],[MD5]],Input[],11,FALSE))*Distances!$AC$8))</f>
        <v>42.283644283263889</v>
      </c>
      <c r="Q53" s="47">
        <f>SQRT(SUM((Table3[[#This Row],[time''3]]-Distances!$AD$6)^2,(Table3[[#This Row],[price''3]]-Distances!$AD$7)^2,(Table3[[#This Row],[energy''3]]-Distances!$AD$8)^2))</f>
        <v>73.921006959469381</v>
      </c>
      <c r="R53" s="47">
        <f>((Table3[[#This Row],[score-rt-fullcf]]-MIN(Table3[score-rt-fullcf]))*$G$6)/(MAX(Table3[score-rt-fullcf])-MIN(Table3[score-rt-fullcf]))</f>
        <v>0.99594893659872064</v>
      </c>
      <c r="S53" s="8">
        <f>VLOOKUP(Table3[[#This Row],[MD5]],Input[],21,FALSE)+(Distances!$AI$6*(ABS(Distances!$L$3-VLOOKUP(Table3[[#This Row],[MD5]],Input[],21,FALSE))*Distances!$AC$6))</f>
        <v>2364.7862566666668</v>
      </c>
      <c r="T53" s="7">
        <f>VLOOKUP(Table3[[#This Row],[MD5]],Input[],22,FALSE)+(Distances!$AI$7*(ABS(Distances!$AB$7-VLOOKUP(Table3[[#This Row],[MD5]],Input[],22,FALSE))*Distances!$AC$7))</f>
        <v>1564.6679666666666</v>
      </c>
      <c r="U53" s="7">
        <f>VLOOKUP(Table3[[#This Row],[MD5]],Input[],23,FALSE)+(Distances!$AI$8*(ABS(Distances!$AD$8-VLOOKUP(Table3[[#This Row],[MD5]],Input[],23,FALSE))*Distances!$AC$8))</f>
        <v>1160.6928027777776</v>
      </c>
      <c r="V53" s="43">
        <f>SQRT(SUM((Table3[[#This Row],[time''4]]-Distances!$AD$6)^2,(Table3[[#This Row],[price''4]]-Distances!$AD$7)^2,(Table3[[#This Row],[energy''4]]-Distances!$AD$8)^2))</f>
        <v>2980.9550425059028</v>
      </c>
      <c r="W53" s="58">
        <f>((Table3[[#This Row],[score-rt-df]]-MIN(Table3[score-rt-df]))*$G$6)/(MAX(Table3[score-rt-df])-MIN(Table3[score-rt-df]))</f>
        <v>1.7366712239704927E-3</v>
      </c>
      <c r="AY53" t="str">
        <f>Table3[[#This Row],[QW'#]]</f>
        <v>qw61</v>
      </c>
      <c r="AZ53" t="str">
        <f>VLOOKUP(Table10[[#This Row],[QW'#]],Table3[],2,FALSE)</f>
        <v>170fb3036587c7b352f86a02ef9519ae</v>
      </c>
      <c r="BA53" s="54">
        <f>IF(ABS(VLOOKUP(Table10[[#This Row],[QW'#]],Table3[],7,FALSE)-0)&lt;=$AZ$6,1,0)</f>
        <v>1</v>
      </c>
      <c r="BB53" s="54">
        <f>IF(ABS(VLOOKUP(Table10[[#This Row],[QW'#]],Table3[],22,FALSE)-0)&lt;=$AZ$6,1,0)</f>
        <v>1</v>
      </c>
      <c r="BC53" s="54">
        <f>IF(AND(Table10[[#This Row],[Retrieved]]=0, Table10[[#This Row],[Relevant]]=0),1,0)</f>
        <v>0</v>
      </c>
      <c r="BD53" s="54">
        <f>IF(AND(Table10[[#This Row],[Retrieved]]=0, Table10[[#This Row],[Relevant]]=1),1,0)</f>
        <v>0</v>
      </c>
      <c r="BE53" s="54">
        <f>IF(AND(Table10[[#This Row],[Retrieved]]=1, Table10[[#This Row],[Relevant]]=0),1,0)</f>
        <v>0</v>
      </c>
      <c r="BF53" s="54">
        <f>IF(AND(Table10[[#This Row],[Retrieved]]=1, Table10[[#This Row],[Relevant]]=1),1,0)</f>
        <v>1</v>
      </c>
    </row>
    <row r="54" spans="2:58">
      <c r="B54" s="76" t="s">
        <v>21</v>
      </c>
      <c r="C54" s="10" t="s">
        <v>59</v>
      </c>
      <c r="D54" s="8">
        <f>VLOOKUP(Table3[[#This Row],[MD5]],Input[],3,FALSE)+(Distances!$AA$6*(ABS(Distances!$AD$6-VLOOKUP(Table3[[#This Row],[MD5]],Input[],3,FALSE))*Distances!$AC$6))</f>
        <v>55.98857143</v>
      </c>
      <c r="E54" s="7">
        <f>VLOOKUP(Table3[[#This Row],[MD5]],Input[],4,FALSE)+(Distances!$AA$7*(ABS(Distances!$AD$7-VLOOKUP(Table3[[#This Row],[MD5]],Input[],4,FALSE))*Distances!$AC$7))</f>
        <v>57.466666666666669</v>
      </c>
      <c r="F54" s="7">
        <f>VLOOKUP(Table3[[#This Row],[MD5]],Input[],5,FALSE)+(Distances!$AA$8*(ABS(Distances!$AD$8-VLOOKUP(Table3[[#This Row],[MD5]],Input[],5,FALSE))*Distances!$AC$8))</f>
        <v>52.933333333333337</v>
      </c>
      <c r="G54" s="46">
        <f>SQRT(SUM((Table3[[#This Row],[time]]-Distances!$AD$6)^2,(Table3[[#This Row],[price]]-Distances!$AD$7)^2,(Table3[[#This Row],[energy]]-Distances!$AD$8)^2))</f>
        <v>10.010921202754911</v>
      </c>
      <c r="H54" s="46">
        <f>((Table3[[#This Row],[score-bt]]-MIN(Table3[score-bt]))*$G$6)/(MAX(Table3[score-bt])-MIN(Table3[score-bt]))</f>
        <v>0</v>
      </c>
      <c r="I54" s="8">
        <f>VLOOKUP(Table3[[#This Row],[MD5]],Input[],9,FALSE)+(Distances!$AA$6*(ABS(Distances!$AD$6-VLOOKUP(Table3[[#This Row],[MD5]],Input[],9,FALSE))*Distances!$AC$6))</f>
        <v>-23.253909794330362</v>
      </c>
      <c r="J54" s="7">
        <f>VLOOKUP(Table3[[#This Row],[MD5]],Input[],10,FALSE)+(Distances!$AA$7*(ABS(Distances!$AD$7-VLOOKUP(Table3[[#This Row],[MD5]],Input[],10,FALSE))*Distances!$AC$7))</f>
        <v>-15.11680017083334</v>
      </c>
      <c r="K54" s="7">
        <f>VLOOKUP(Table3[[#This Row],[MD5]],Input[],11,FALSE)+(Distances!$AA$8*(ABS(Distances!$AD$8-VLOOKUP(Table3[[#This Row],[MD5]],Input[],11,FALSE))*Distances!$AC$8))</f>
        <v>-7.147732823368055</v>
      </c>
      <c r="L54" s="44">
        <f>SQRT(SUM((Table3[[#This Row],[time''2]]-Distances!$AD$6)^2,(Table3[[#This Row],[price''2]]-Distances!$AD$7)^2,(Table3[[#This Row],[energy''2]]-Distances!$AD$8)^2))</f>
        <v>113.45570206690887</v>
      </c>
      <c r="M54" s="44">
        <f>((Table3[[#This Row],[score-rt-partialcf]]-MIN(Table3[score-rt-partialcf]))*$G$6)/(MAX(Table3[score-rt-partialcf])-MIN(Table3[score-rt-partialcf]))</f>
        <v>0.9972868929773423</v>
      </c>
      <c r="N54" s="8">
        <f>VLOOKUP(Table3[[#This Row],[MD5]],Input[],15,FALSE)+(Distances!$AA$6*(ABS(Distances!$AD$6-VLOOKUP(Table3[[#This Row],[MD5]],Input[],15,FALSE))*Distances!$AC$6))</f>
        <v>-23.29258036620536</v>
      </c>
      <c r="O54" s="7">
        <f>VLOOKUP(Table3[[#This Row],[MD5]],Input[],16,FALSE)+(Distances!$AA$7*(ABS(Distances!$AD$7-VLOOKUP(Table3[[#This Row],[MD5]],Input[],16,FALSE))*Distances!$AC$7))</f>
        <v>55.480859102083336</v>
      </c>
      <c r="P54" s="7">
        <f>VLOOKUP(Table3[[#This Row],[MD5]],Input[],17,FALSE)+(Distances!$AA$8*(ABS(Distances!$AD$8-VLOOKUP(Table3[[#This Row],[MD5]],Input[],11,FALSE))*Distances!$AC$8))</f>
        <v>42.303304120381881</v>
      </c>
      <c r="Q54" s="47">
        <f>SQRT(SUM((Table3[[#This Row],[time''3]]-Distances!$AD$6)^2,(Table3[[#This Row],[price''3]]-Distances!$AD$7)^2,(Table3[[#This Row],[energy''3]]-Distances!$AD$8)^2))</f>
        <v>73.89912909295272</v>
      </c>
      <c r="R54" s="47">
        <f>((Table3[[#This Row],[score-rt-fullcf]]-MIN(Table3[score-rt-fullcf]))*$G$6)/(MAX(Table3[score-rt-fullcf])-MIN(Table3[score-rt-fullcf]))</f>
        <v>0.99527814782077539</v>
      </c>
      <c r="S54" s="8">
        <f>VLOOKUP(Table3[[#This Row],[MD5]],Input[],21,FALSE)+(Distances!$AI$6*(ABS(Distances!$L$3-VLOOKUP(Table3[[#This Row],[MD5]],Input[],21,FALSE))*Distances!$AC$6))</f>
        <v>2687.3751899999966</v>
      </c>
      <c r="T54" s="7">
        <f>VLOOKUP(Table3[[#This Row],[MD5]],Input[],22,FALSE)+(Distances!$AI$7*(ABS(Distances!$AB$7-VLOOKUP(Table3[[#This Row],[MD5]],Input[],22,FALSE))*Distances!$AC$7))</f>
        <v>1850.231077777778</v>
      </c>
      <c r="U54" s="7">
        <f>VLOOKUP(Table3[[#This Row],[MD5]],Input[],23,FALSE)+(Distances!$AI$8*(ABS(Distances!$AD$8-VLOOKUP(Table3[[#This Row],[MD5]],Input[],23,FALSE))*Distances!$AC$8))</f>
        <v>1371.9826916666666</v>
      </c>
      <c r="V54" s="43">
        <f>SQRT(SUM((Table3[[#This Row],[time''4]]-Distances!$AD$6)^2,(Table3[[#This Row],[price''4]]-Distances!$AD$7)^2,(Table3[[#This Row],[energy''4]]-Distances!$AD$8)^2))</f>
        <v>3456.0408075268297</v>
      </c>
      <c r="W54" s="58">
        <f>((Table3[[#This Row],[score-rt-df]]-MIN(Table3[score-rt-df]))*$G$6)/(MAX(Table3[score-rt-df])-MIN(Table3[score-rt-df]))</f>
        <v>2.1279259075250756E-3</v>
      </c>
      <c r="AY54" t="str">
        <f>Table3[[#This Row],[QW'#]]</f>
        <v>qw13</v>
      </c>
      <c r="AZ54" t="str">
        <f>VLOOKUP(Table10[[#This Row],[QW'#]],Table3[],2,FALSE)</f>
        <v>0584a05e3defee40ae1219998e89bdef</v>
      </c>
      <c r="BA54" s="54">
        <f>IF(ABS(VLOOKUP(Table10[[#This Row],[QW'#]],Table3[],7,FALSE)-0)&lt;=$AZ$6,1,0)</f>
        <v>1</v>
      </c>
      <c r="BB54" s="54">
        <f>IF(ABS(VLOOKUP(Table10[[#This Row],[QW'#]],Table3[],22,FALSE)-0)&lt;=$AZ$6,1,0)</f>
        <v>1</v>
      </c>
      <c r="BC54" s="54">
        <f>IF(AND(Table10[[#This Row],[Retrieved]]=0, Table10[[#This Row],[Relevant]]=0),1,0)</f>
        <v>0</v>
      </c>
      <c r="BD54" s="54">
        <f>IF(AND(Table10[[#This Row],[Retrieved]]=0, Table10[[#This Row],[Relevant]]=1),1,0)</f>
        <v>0</v>
      </c>
      <c r="BE54" s="54">
        <f>IF(AND(Table10[[#This Row],[Retrieved]]=1, Table10[[#This Row],[Relevant]]=0),1,0)</f>
        <v>0</v>
      </c>
      <c r="BF54" s="54">
        <f>IF(AND(Table10[[#This Row],[Retrieved]]=1, Table10[[#This Row],[Relevant]]=1),1,0)</f>
        <v>1</v>
      </c>
    </row>
    <row r="55" spans="2:58">
      <c r="B55" s="76" t="s">
        <v>46</v>
      </c>
      <c r="C55" s="10" t="s">
        <v>84</v>
      </c>
      <c r="D55" s="8">
        <f>VLOOKUP(Table3[[#This Row],[MD5]],Input[],3,FALSE)+(Distances!$AA$6*(ABS(Distances!$AD$6-VLOOKUP(Table3[[#This Row],[MD5]],Input[],3,FALSE))*Distances!$AC$6))</f>
        <v>55.98857143</v>
      </c>
      <c r="E55" s="7">
        <f>VLOOKUP(Table3[[#This Row],[MD5]],Input[],4,FALSE)+(Distances!$AA$7*(ABS(Distances!$AD$7-VLOOKUP(Table3[[#This Row],[MD5]],Input[],4,FALSE))*Distances!$AC$7))</f>
        <v>57.466666666666669</v>
      </c>
      <c r="F55" s="7">
        <f>VLOOKUP(Table3[[#This Row],[MD5]],Input[],5,FALSE)+(Distances!$AA$8*(ABS(Distances!$AD$8-VLOOKUP(Table3[[#This Row],[MD5]],Input[],5,FALSE))*Distances!$AC$8))</f>
        <v>52.933333333333337</v>
      </c>
      <c r="G55" s="46">
        <f>SQRT(SUM((Table3[[#This Row],[time]]-Distances!$AD$6)^2,(Table3[[#This Row],[price]]-Distances!$AD$7)^2,(Table3[[#This Row],[energy]]-Distances!$AD$8)^2))</f>
        <v>10.010921202754911</v>
      </c>
      <c r="H55" s="46">
        <f>((Table3[[#This Row],[score-bt]]-MIN(Table3[score-bt]))*$G$6)/(MAX(Table3[score-bt])-MIN(Table3[score-bt]))</f>
        <v>0</v>
      </c>
      <c r="I55" s="8">
        <f>VLOOKUP(Table3[[#This Row],[MD5]],Input[],9,FALSE)+(Distances!$AA$6*(ABS(Distances!$AD$6-VLOOKUP(Table3[[#This Row],[MD5]],Input[],9,FALSE))*Distances!$AC$6))</f>
        <v>-23.22413361575893</v>
      </c>
      <c r="J55" s="7">
        <f>VLOOKUP(Table3[[#This Row],[MD5]],Input[],10,FALSE)+(Distances!$AA$7*(ABS(Distances!$AD$7-VLOOKUP(Table3[[#This Row],[MD5]],Input[],10,FALSE))*Distances!$AC$7))</f>
        <v>-15.07738017083334</v>
      </c>
      <c r="K55" s="7">
        <f>VLOOKUP(Table3[[#This Row],[MD5]],Input[],11,FALSE)+(Distances!$AA$8*(ABS(Distances!$AD$8-VLOOKUP(Table3[[#This Row],[MD5]],Input[],11,FALSE))*Distances!$AC$8))</f>
        <v>-7.117839323368055</v>
      </c>
      <c r="L55" s="44">
        <f>SQRT(SUM((Table3[[#This Row],[time''2]]-Distances!$AD$6)^2,(Table3[[#This Row],[price''2]]-Distances!$AD$7)^2,(Table3[[#This Row],[energy''2]]-Distances!$AD$8)^2))</f>
        <v>113.39879506700139</v>
      </c>
      <c r="M55" s="44">
        <f>((Table3[[#This Row],[score-rt-partialcf]]-MIN(Table3[score-rt-partialcf]))*$G$6)/(MAX(Table3[score-rt-partialcf])-MIN(Table3[score-rt-partialcf]))</f>
        <v>0.99676141150706987</v>
      </c>
      <c r="N55" s="8">
        <f>VLOOKUP(Table3[[#This Row],[MD5]],Input[],15,FALSE)+(Distances!$AA$6*(ABS(Distances!$AD$6-VLOOKUP(Table3[[#This Row],[MD5]],Input[],15,FALSE))*Distances!$AC$6))</f>
        <v>-23.29258036620536</v>
      </c>
      <c r="O55" s="7">
        <f>VLOOKUP(Table3[[#This Row],[MD5]],Input[],16,FALSE)+(Distances!$AA$7*(ABS(Distances!$AD$7-VLOOKUP(Table3[[#This Row],[MD5]],Input[],16,FALSE))*Distances!$AC$7))</f>
        <v>55.480859102083336</v>
      </c>
      <c r="P55" s="7">
        <f>VLOOKUP(Table3[[#This Row],[MD5]],Input[],17,FALSE)+(Distances!$AA$8*(ABS(Distances!$AD$8-VLOOKUP(Table3[[#This Row],[MD5]],Input[],11,FALSE))*Distances!$AC$8))</f>
        <v>42.307574620381885</v>
      </c>
      <c r="Q55" s="47">
        <f>SQRT(SUM((Table3[[#This Row],[time''3]]-Distances!$AD$6)^2,(Table3[[#This Row],[price''3]]-Distances!$AD$7)^2,(Table3[[#This Row],[energy''3]]-Distances!$AD$8)^2))</f>
        <v>73.898684436561894</v>
      </c>
      <c r="R55" s="47">
        <f>((Table3[[#This Row],[score-rt-fullcf]]-MIN(Table3[score-rt-fullcf]))*$G$6)/(MAX(Table3[score-rt-fullcf])-MIN(Table3[score-rt-fullcf]))</f>
        <v>0.99526451438367669</v>
      </c>
      <c r="S55" s="8">
        <f>VLOOKUP(Table3[[#This Row],[MD5]],Input[],21,FALSE)+(Distances!$AI$6*(ABS(Distances!$L$3-VLOOKUP(Table3[[#This Row],[MD5]],Input[],21,FALSE))*Distances!$AC$6))</f>
        <v>2687.3751899999966</v>
      </c>
      <c r="T55" s="7">
        <f>VLOOKUP(Table3[[#This Row],[MD5]],Input[],22,FALSE)+(Distances!$AI$7*(ABS(Distances!$AB$7-VLOOKUP(Table3[[#This Row],[MD5]],Input[],22,FALSE))*Distances!$AC$7))</f>
        <v>1850.231077777778</v>
      </c>
      <c r="U55" s="7">
        <f>VLOOKUP(Table3[[#This Row],[MD5]],Input[],23,FALSE)+(Distances!$AI$8*(ABS(Distances!$AD$8-VLOOKUP(Table3[[#This Row],[MD5]],Input[],23,FALSE))*Distances!$AC$8))</f>
        <v>1371.9826916666666</v>
      </c>
      <c r="V55" s="43">
        <f>SQRT(SUM((Table3[[#This Row],[time''4]]-Distances!$AD$6)^2,(Table3[[#This Row],[price''4]]-Distances!$AD$7)^2,(Table3[[#This Row],[energy''4]]-Distances!$AD$8)^2))</f>
        <v>3456.0408075268297</v>
      </c>
      <c r="W55" s="58">
        <f>((Table3[[#This Row],[score-rt-df]]-MIN(Table3[score-rt-df]))*$G$6)/(MAX(Table3[score-rt-df])-MIN(Table3[score-rt-df]))</f>
        <v>2.1279259075250756E-3</v>
      </c>
      <c r="AY55" t="str">
        <f>Table3[[#This Row],[QW'#]]</f>
        <v>qw38</v>
      </c>
      <c r="AZ55" t="str">
        <f>VLOOKUP(Table10[[#This Row],[QW'#]],Table3[],2,FALSE)</f>
        <v>c1de5c2b28f36d3945bf5730e8f07d42</v>
      </c>
      <c r="BA55" s="54">
        <f>IF(ABS(VLOOKUP(Table10[[#This Row],[QW'#]],Table3[],7,FALSE)-0)&lt;=$AZ$6,1,0)</f>
        <v>1</v>
      </c>
      <c r="BB55" s="54">
        <f>IF(ABS(VLOOKUP(Table10[[#This Row],[QW'#]],Table3[],22,FALSE)-0)&lt;=$AZ$6,1,0)</f>
        <v>1</v>
      </c>
      <c r="BC55" s="54">
        <f>IF(AND(Table10[[#This Row],[Retrieved]]=0, Table10[[#This Row],[Relevant]]=0),1,0)</f>
        <v>0</v>
      </c>
      <c r="BD55" s="54">
        <f>IF(AND(Table10[[#This Row],[Retrieved]]=0, Table10[[#This Row],[Relevant]]=1),1,0)</f>
        <v>0</v>
      </c>
      <c r="BE55" s="54">
        <f>IF(AND(Table10[[#This Row],[Retrieved]]=1, Table10[[#This Row],[Relevant]]=0),1,0)</f>
        <v>0</v>
      </c>
      <c r="BF55" s="54">
        <f>IF(AND(Table10[[#This Row],[Retrieved]]=1, Table10[[#This Row],[Relevant]]=1),1,0)</f>
        <v>1</v>
      </c>
    </row>
    <row r="56" spans="2:58">
      <c r="B56" s="76" t="s">
        <v>242</v>
      </c>
      <c r="C56" s="10" t="s">
        <v>110</v>
      </c>
      <c r="D56" s="8">
        <f>VLOOKUP(Table3[[#This Row],[MD5]],Input[],3,FALSE)+(Distances!$AA$6*(ABS(Distances!$AD$6-VLOOKUP(Table3[[#This Row],[MD5]],Input[],3,FALSE))*Distances!$AC$6))</f>
        <v>55.98857143</v>
      </c>
      <c r="E56" s="7">
        <f>VLOOKUP(Table3[[#This Row],[MD5]],Input[],4,FALSE)+(Distances!$AA$7*(ABS(Distances!$AD$7-VLOOKUP(Table3[[#This Row],[MD5]],Input[],4,FALSE))*Distances!$AC$7))</f>
        <v>57.466666666666669</v>
      </c>
      <c r="F56" s="7">
        <f>VLOOKUP(Table3[[#This Row],[MD5]],Input[],5,FALSE)+(Distances!$AA$8*(ABS(Distances!$AD$8-VLOOKUP(Table3[[#This Row],[MD5]],Input[],5,FALSE))*Distances!$AC$8))</f>
        <v>52.933333333333337</v>
      </c>
      <c r="G56" s="46">
        <f>SQRT(SUM((Table3[[#This Row],[time]]-Distances!$AD$6)^2,(Table3[[#This Row],[price]]-Distances!$AD$7)^2,(Table3[[#This Row],[energy]]-Distances!$AD$8)^2))</f>
        <v>10.010921202754911</v>
      </c>
      <c r="H56" s="46">
        <f>((Table3[[#This Row],[score-bt]]-MIN(Table3[score-bt]))*$G$6)/(MAX(Table3[score-bt])-MIN(Table3[score-bt]))</f>
        <v>0</v>
      </c>
      <c r="I56" s="8">
        <f>VLOOKUP(Table3[[#This Row],[MD5]],Input[],9,FALSE)+(Distances!$AA$6*(ABS(Distances!$AD$6-VLOOKUP(Table3[[#This Row],[MD5]],Input[],9,FALSE))*Distances!$AC$6))</f>
        <v>-23.217199437187499</v>
      </c>
      <c r="J56" s="7">
        <f>VLOOKUP(Table3[[#This Row],[MD5]],Input[],10,FALSE)+(Distances!$AA$7*(ABS(Distances!$AD$7-VLOOKUP(Table3[[#This Row],[MD5]],Input[],10,FALSE))*Distances!$AC$7))</f>
        <v>-15.068200170833341</v>
      </c>
      <c r="K56" s="7">
        <f>VLOOKUP(Table3[[#This Row],[MD5]],Input[],11,FALSE)+(Distances!$AA$8*(ABS(Distances!$AD$8-VLOOKUP(Table3[[#This Row],[MD5]],Input[],11,FALSE))*Distances!$AC$8))</f>
        <v>-7.1108778233680559</v>
      </c>
      <c r="L56" s="44">
        <f>SQRT(SUM((Table3[[#This Row],[time''2]]-Distances!$AD$6)^2,(Table3[[#This Row],[price''2]]-Distances!$AD$7)^2,(Table3[[#This Row],[energy''2]]-Distances!$AD$8)^2))</f>
        <v>113.38554287320848</v>
      </c>
      <c r="M56" s="44">
        <f>((Table3[[#This Row],[score-rt-partialcf]]-MIN(Table3[score-rt-partialcf]))*$G$6)/(MAX(Table3[score-rt-partialcf])-MIN(Table3[score-rt-partialcf]))</f>
        <v>0.99663904022954775</v>
      </c>
      <c r="N56" s="8">
        <f>VLOOKUP(Table3[[#This Row],[MD5]],Input[],15,FALSE)+(Distances!$AA$6*(ABS(Distances!$AD$6-VLOOKUP(Table3[[#This Row],[MD5]],Input[],15,FALSE))*Distances!$AC$6))</f>
        <v>-23.29258036620536</v>
      </c>
      <c r="O56" s="7">
        <f>VLOOKUP(Table3[[#This Row],[MD5]],Input[],16,FALSE)+(Distances!$AA$7*(ABS(Distances!$AD$7-VLOOKUP(Table3[[#This Row],[MD5]],Input[],16,FALSE))*Distances!$AC$7))</f>
        <v>55.480859102083336</v>
      </c>
      <c r="P56" s="7">
        <f>VLOOKUP(Table3[[#This Row],[MD5]],Input[],17,FALSE)+(Distances!$AA$8*(ABS(Distances!$AD$8-VLOOKUP(Table3[[#This Row],[MD5]],Input[],11,FALSE))*Distances!$AC$8))</f>
        <v>42.308569120381883</v>
      </c>
      <c r="Q56" s="47">
        <f>SQRT(SUM((Table3[[#This Row],[time''3]]-Distances!$AD$6)^2,(Table3[[#This Row],[price''3]]-Distances!$AD$7)^2,(Table3[[#This Row],[energy''3]]-Distances!$AD$8)^2))</f>
        <v>73.898580921486612</v>
      </c>
      <c r="R56" s="47">
        <f>((Table3[[#This Row],[score-rt-fullcf]]-MIN(Table3[score-rt-fullcf]))*$G$6)/(MAX(Table3[score-rt-fullcf])-MIN(Table3[score-rt-fullcf]))</f>
        <v>0.99526134054811122</v>
      </c>
      <c r="S56" s="8">
        <f>VLOOKUP(Table3[[#This Row],[MD5]],Input[],21,FALSE)+(Distances!$AI$6*(ABS(Distances!$L$3-VLOOKUP(Table3[[#This Row],[MD5]],Input[],21,FALSE))*Distances!$AC$6))</f>
        <v>2687.3751899999966</v>
      </c>
      <c r="T56" s="7">
        <f>VLOOKUP(Table3[[#This Row],[MD5]],Input[],22,FALSE)+(Distances!$AI$7*(ABS(Distances!$AB$7-VLOOKUP(Table3[[#This Row],[MD5]],Input[],22,FALSE))*Distances!$AC$7))</f>
        <v>1850.231077777778</v>
      </c>
      <c r="U56" s="7">
        <f>VLOOKUP(Table3[[#This Row],[MD5]],Input[],23,FALSE)+(Distances!$AI$8*(ABS(Distances!$AD$8-VLOOKUP(Table3[[#This Row],[MD5]],Input[],23,FALSE))*Distances!$AC$8))</f>
        <v>1371.9826916666666</v>
      </c>
      <c r="V56" s="43">
        <f>SQRT(SUM((Table3[[#This Row],[time''4]]-Distances!$AD$6)^2,(Table3[[#This Row],[price''4]]-Distances!$AD$7)^2,(Table3[[#This Row],[energy''4]]-Distances!$AD$8)^2))</f>
        <v>3456.0408075268297</v>
      </c>
      <c r="W56" s="58">
        <f>((Table3[[#This Row],[score-rt-df]]-MIN(Table3[score-rt-df]))*$G$6)/(MAX(Table3[score-rt-df])-MIN(Table3[score-rt-df]))</f>
        <v>2.1279259075250756E-3</v>
      </c>
      <c r="AY56" t="str">
        <f>Table3[[#This Row],[QW'#]]</f>
        <v>qw64</v>
      </c>
      <c r="AZ56" t="str">
        <f>VLOOKUP(Table10[[#This Row],[QW'#]],Table3[],2,FALSE)</f>
        <v>8af0580ae3d1137b0919e5d7620930d1</v>
      </c>
      <c r="BA56" s="54">
        <f>IF(ABS(VLOOKUP(Table10[[#This Row],[QW'#]],Table3[],7,FALSE)-0)&lt;=$AZ$6,1,0)</f>
        <v>1</v>
      </c>
      <c r="BB56" s="54">
        <f>IF(ABS(VLOOKUP(Table10[[#This Row],[QW'#]],Table3[],22,FALSE)-0)&lt;=$AZ$6,1,0)</f>
        <v>1</v>
      </c>
      <c r="BC56" s="54">
        <f>IF(AND(Table10[[#This Row],[Retrieved]]=0, Table10[[#This Row],[Relevant]]=0),1,0)</f>
        <v>0</v>
      </c>
      <c r="BD56" s="54">
        <f>IF(AND(Table10[[#This Row],[Retrieved]]=0, Table10[[#This Row],[Relevant]]=1),1,0)</f>
        <v>0</v>
      </c>
      <c r="BE56" s="54">
        <f>IF(AND(Table10[[#This Row],[Retrieved]]=1, Table10[[#This Row],[Relevant]]=0),1,0)</f>
        <v>0</v>
      </c>
      <c r="BF56" s="54">
        <f>IF(AND(Table10[[#This Row],[Retrieved]]=1, Table10[[#This Row],[Relevant]]=1),1,0)</f>
        <v>1</v>
      </c>
    </row>
    <row r="57" spans="2:58">
      <c r="B57" s="76" t="s">
        <v>267</v>
      </c>
      <c r="C57" s="10" t="s">
        <v>135</v>
      </c>
      <c r="D57" s="8">
        <f>VLOOKUP(Table3[[#This Row],[MD5]],Input[],3,FALSE)+(Distances!$AA$6*(ABS(Distances!$AD$6-VLOOKUP(Table3[[#This Row],[MD5]],Input[],3,FALSE))*Distances!$AC$6))</f>
        <v>55.98857143</v>
      </c>
      <c r="E57" s="7">
        <f>VLOOKUP(Table3[[#This Row],[MD5]],Input[],4,FALSE)+(Distances!$AA$7*(ABS(Distances!$AD$7-VLOOKUP(Table3[[#This Row],[MD5]],Input[],4,FALSE))*Distances!$AC$7))</f>
        <v>57.466666666666669</v>
      </c>
      <c r="F57" s="7">
        <f>VLOOKUP(Table3[[#This Row],[MD5]],Input[],5,FALSE)+(Distances!$AA$8*(ABS(Distances!$AD$8-VLOOKUP(Table3[[#This Row],[MD5]],Input[],5,FALSE))*Distances!$AC$8))</f>
        <v>52.933333333333337</v>
      </c>
      <c r="G57" s="46">
        <f>SQRT(SUM((Table3[[#This Row],[time]]-Distances!$AD$6)^2,(Table3[[#This Row],[price]]-Distances!$AD$7)^2,(Table3[[#This Row],[energy]]-Distances!$AD$8)^2))</f>
        <v>10.010921202754911</v>
      </c>
      <c r="H57" s="46">
        <f>((Table3[[#This Row],[score-bt]]-MIN(Table3[score-bt]))*$G$6)/(MAX(Table3[score-bt])-MIN(Table3[score-bt]))</f>
        <v>0</v>
      </c>
      <c r="I57" s="8">
        <f>VLOOKUP(Table3[[#This Row],[MD5]],Input[],9,FALSE)+(Distances!$AA$6*(ABS(Distances!$AD$6-VLOOKUP(Table3[[#This Row],[MD5]],Input[],9,FALSE))*Distances!$AC$6))</f>
        <v>-22.82096425861608</v>
      </c>
      <c r="J57" s="7">
        <f>VLOOKUP(Table3[[#This Row],[MD5]],Input[],10,FALSE)+(Distances!$AA$7*(ABS(Distances!$AD$7-VLOOKUP(Table3[[#This Row],[MD5]],Input[],10,FALSE))*Distances!$AC$7))</f>
        <v>-14.543633504166676</v>
      </c>
      <c r="K57" s="7">
        <f>VLOOKUP(Table3[[#This Row],[MD5]],Input[],11,FALSE)+(Distances!$AA$8*(ABS(Distances!$AD$8-VLOOKUP(Table3[[#This Row],[MD5]],Input[],11,FALSE))*Distances!$AC$8))</f>
        <v>-6.7130814344791663</v>
      </c>
      <c r="L57" s="44">
        <f>SQRT(SUM((Table3[[#This Row],[time''2]]-Distances!$AD$6)^2,(Table3[[#This Row],[price''2]]-Distances!$AD$7)^2,(Table3[[#This Row],[energy''2]]-Distances!$AD$8)^2))</f>
        <v>112.62835818420106</v>
      </c>
      <c r="M57" s="44">
        <f>((Table3[[#This Row],[score-rt-partialcf]]-MIN(Table3[score-rt-partialcf]))*$G$6)/(MAX(Table3[score-rt-partialcf])-MIN(Table3[score-rt-partialcf]))</f>
        <v>0.9896471670980479</v>
      </c>
      <c r="N57" s="8">
        <f>VLOOKUP(Table3[[#This Row],[MD5]],Input[],15,FALSE)+(Distances!$AA$6*(ABS(Distances!$AD$6-VLOOKUP(Table3[[#This Row],[MD5]],Input[],15,FALSE))*Distances!$AC$6))</f>
        <v>-23.29258036620536</v>
      </c>
      <c r="O57" s="7">
        <f>VLOOKUP(Table3[[#This Row],[MD5]],Input[],16,FALSE)+(Distances!$AA$7*(ABS(Distances!$AD$7-VLOOKUP(Table3[[#This Row],[MD5]],Input[],16,FALSE))*Distances!$AC$7))</f>
        <v>55.480859102083336</v>
      </c>
      <c r="P57" s="7">
        <f>VLOOKUP(Table3[[#This Row],[MD5]],Input[],17,FALSE)+(Distances!$AA$8*(ABS(Distances!$AD$8-VLOOKUP(Table3[[#This Row],[MD5]],Input[],11,FALSE))*Distances!$AC$8))</f>
        <v>42.365397175937439</v>
      </c>
      <c r="Q57" s="47">
        <f>SQRT(SUM((Table3[[#This Row],[time''3]]-Distances!$AD$6)^2,(Table3[[#This Row],[price''3]]-Distances!$AD$7)^2,(Table3[[#This Row],[energy''3]]-Distances!$AD$8)^2))</f>
        <v>73.892687821696839</v>
      </c>
      <c r="R57" s="47">
        <f>((Table3[[#This Row],[score-rt-fullcf]]-MIN(Table3[score-rt-fullcf]))*$G$6)/(MAX(Table3[score-rt-fullcf])-MIN(Table3[score-rt-fullcf]))</f>
        <v>0.99508065450163219</v>
      </c>
      <c r="S57" s="8">
        <f>VLOOKUP(Table3[[#This Row],[MD5]],Input[],21,FALSE)+(Distances!$AI$6*(ABS(Distances!$L$3-VLOOKUP(Table3[[#This Row],[MD5]],Input[],21,FALSE))*Distances!$AC$6))</f>
        <v>2687.3751899999966</v>
      </c>
      <c r="T57" s="7">
        <f>VLOOKUP(Table3[[#This Row],[MD5]],Input[],22,FALSE)+(Distances!$AI$7*(ABS(Distances!$AB$7-VLOOKUP(Table3[[#This Row],[MD5]],Input[],22,FALSE))*Distances!$AC$7))</f>
        <v>1850.231077777778</v>
      </c>
      <c r="U57" s="7">
        <f>VLOOKUP(Table3[[#This Row],[MD5]],Input[],23,FALSE)+(Distances!$AI$8*(ABS(Distances!$AD$8-VLOOKUP(Table3[[#This Row],[MD5]],Input[],23,FALSE))*Distances!$AC$8))</f>
        <v>1371.9826916666666</v>
      </c>
      <c r="V57" s="43">
        <f>SQRT(SUM((Table3[[#This Row],[time''4]]-Distances!$AD$6)^2,(Table3[[#This Row],[price''4]]-Distances!$AD$7)^2,(Table3[[#This Row],[energy''4]]-Distances!$AD$8)^2))</f>
        <v>3456.0408075268297</v>
      </c>
      <c r="W57" s="58">
        <f>((Table3[[#This Row],[score-rt-df]]-MIN(Table3[score-rt-df]))*$G$6)/(MAX(Table3[score-rt-df])-MIN(Table3[score-rt-df]))</f>
        <v>2.1279259075250756E-3</v>
      </c>
      <c r="AY57" t="str">
        <f>Table3[[#This Row],[QW'#]]</f>
        <v>qw89</v>
      </c>
      <c r="AZ57" t="str">
        <f>VLOOKUP(Table10[[#This Row],[QW'#]],Table3[],2,FALSE)</f>
        <v>bbe2c0866d5a539a8a31d276e8fcc117</v>
      </c>
      <c r="BA57" s="54">
        <f>IF(ABS(VLOOKUP(Table10[[#This Row],[QW'#]],Table3[],7,FALSE)-0)&lt;=$AZ$6,1,0)</f>
        <v>1</v>
      </c>
      <c r="BB57" s="54">
        <f>IF(ABS(VLOOKUP(Table10[[#This Row],[QW'#]],Table3[],22,FALSE)-0)&lt;=$AZ$6,1,0)</f>
        <v>1</v>
      </c>
      <c r="BC57" s="54">
        <f>IF(AND(Table10[[#This Row],[Retrieved]]=0, Table10[[#This Row],[Relevant]]=0),1,0)</f>
        <v>0</v>
      </c>
      <c r="BD57" s="54">
        <f>IF(AND(Table10[[#This Row],[Retrieved]]=0, Table10[[#This Row],[Relevant]]=1),1,0)</f>
        <v>0</v>
      </c>
      <c r="BE57" s="54">
        <f>IF(AND(Table10[[#This Row],[Retrieved]]=1, Table10[[#This Row],[Relevant]]=0),1,0)</f>
        <v>0</v>
      </c>
      <c r="BF57" s="54">
        <f>IF(AND(Table10[[#This Row],[Retrieved]]=1, Table10[[#This Row],[Relevant]]=1),1,0)</f>
        <v>1</v>
      </c>
    </row>
    <row r="58" spans="2:58">
      <c r="B58" s="76" t="s">
        <v>293</v>
      </c>
      <c r="C58" s="10" t="s">
        <v>161</v>
      </c>
      <c r="D58" s="8">
        <f>VLOOKUP(Table3[[#This Row],[MD5]],Input[],3,FALSE)+(Distances!$AA$6*(ABS(Distances!$AD$6-VLOOKUP(Table3[[#This Row],[MD5]],Input[],3,FALSE))*Distances!$AC$6))</f>
        <v>55.98857143</v>
      </c>
      <c r="E58" s="7">
        <f>VLOOKUP(Table3[[#This Row],[MD5]],Input[],4,FALSE)+(Distances!$AA$7*(ABS(Distances!$AD$7-VLOOKUP(Table3[[#This Row],[MD5]],Input[],4,FALSE))*Distances!$AC$7))</f>
        <v>57.466666666666669</v>
      </c>
      <c r="F58" s="7">
        <f>VLOOKUP(Table3[[#This Row],[MD5]],Input[],5,FALSE)+(Distances!$AA$8*(ABS(Distances!$AD$8-VLOOKUP(Table3[[#This Row],[MD5]],Input[],5,FALSE))*Distances!$AC$8))</f>
        <v>52.933333333333337</v>
      </c>
      <c r="G58" s="46">
        <f>SQRT(SUM((Table3[[#This Row],[time]]-Distances!$AD$6)^2,(Table3[[#This Row],[price]]-Distances!$AD$7)^2,(Table3[[#This Row],[energy]]-Distances!$AD$8)^2))</f>
        <v>10.010921202754911</v>
      </c>
      <c r="H58" s="46">
        <f>((Table3[[#This Row],[score-bt]]-MIN(Table3[score-bt]))*$G$6)/(MAX(Table3[score-bt])-MIN(Table3[score-bt]))</f>
        <v>0</v>
      </c>
      <c r="I58" s="8">
        <f>VLOOKUP(Table3[[#This Row],[MD5]],Input[],9,FALSE)+(Distances!$AA$6*(ABS(Distances!$AD$6-VLOOKUP(Table3[[#This Row],[MD5]],Input[],9,FALSE))*Distances!$AC$6))</f>
        <v>-23.253908472455361</v>
      </c>
      <c r="J58" s="7">
        <f>VLOOKUP(Table3[[#This Row],[MD5]],Input[],10,FALSE)+(Distances!$AA$7*(ABS(Distances!$AD$7-VLOOKUP(Table3[[#This Row],[MD5]],Input[],10,FALSE))*Distances!$AC$7))</f>
        <v>-15.116798420833341</v>
      </c>
      <c r="K58" s="7">
        <f>VLOOKUP(Table3[[#This Row],[MD5]],Input[],11,FALSE)+(Distances!$AA$8*(ABS(Distances!$AD$8-VLOOKUP(Table3[[#This Row],[MD5]],Input[],11,FALSE))*Distances!$AC$8))</f>
        <v>-7.1477314962847212</v>
      </c>
      <c r="L58" s="44">
        <f>SQRT(SUM((Table3[[#This Row],[time''2]]-Distances!$AD$6)^2,(Table3[[#This Row],[price''2]]-Distances!$AD$7)^2,(Table3[[#This Row],[energy''2]]-Distances!$AD$8)^2))</f>
        <v>113.45569954057736</v>
      </c>
      <c r="M58" s="44">
        <f>((Table3[[#This Row],[score-rt-partialcf]]-MIN(Table3[score-rt-partialcf]))*$G$6)/(MAX(Table3[score-rt-partialcf])-MIN(Table3[score-rt-partialcf]))</f>
        <v>0.99728686964909796</v>
      </c>
      <c r="N58" s="8">
        <f>VLOOKUP(Table3[[#This Row],[MD5]],Input[],15,FALSE)+(Distances!$AA$6*(ABS(Distances!$AD$6-VLOOKUP(Table3[[#This Row],[MD5]],Input[],15,FALSE))*Distances!$AC$6))</f>
        <v>-23.292575959955357</v>
      </c>
      <c r="O58" s="7">
        <f>VLOOKUP(Table3[[#This Row],[MD5]],Input[],16,FALSE)+(Distances!$AA$7*(ABS(Distances!$AD$7-VLOOKUP(Table3[[#This Row],[MD5]],Input[],16,FALSE))*Distances!$AC$7))</f>
        <v>55.480860560416666</v>
      </c>
      <c r="P58" s="7">
        <f>VLOOKUP(Table3[[#This Row],[MD5]],Input[],17,FALSE)+(Distances!$AA$8*(ABS(Distances!$AD$8-VLOOKUP(Table3[[#This Row],[MD5]],Input[],11,FALSE))*Distances!$AC$8))</f>
        <v>42.303306205798606</v>
      </c>
      <c r="Q58" s="47">
        <f>SQRT(SUM((Table3[[#This Row],[time''3]]-Distances!$AD$6)^2,(Table3[[#This Row],[price''3]]-Distances!$AD$7)^2,(Table3[[#This Row],[energy''3]]-Distances!$AD$8)^2))</f>
        <v>73.899124613829187</v>
      </c>
      <c r="R58" s="47">
        <f>((Table3[[#This Row],[score-rt-fullcf]]-MIN(Table3[score-rt-fullcf]))*$G$6)/(MAX(Table3[score-rt-fullcf])-MIN(Table3[score-rt-fullcf]))</f>
        <v>0.99527801048810638</v>
      </c>
      <c r="S58" s="8">
        <f>VLOOKUP(Table3[[#This Row],[MD5]],Input[],21,FALSE)+(Distances!$AI$6*(ABS(Distances!$L$3-VLOOKUP(Table3[[#This Row],[MD5]],Input[],21,FALSE))*Distances!$AC$6))</f>
        <v>2688.1965233333299</v>
      </c>
      <c r="T58" s="7">
        <f>VLOOKUP(Table3[[#This Row],[MD5]],Input[],22,FALSE)+(Distances!$AI$7*(ABS(Distances!$AB$7-VLOOKUP(Table3[[#This Row],[MD5]],Input[],22,FALSE))*Distances!$AC$7))</f>
        <v>1850.4266333333335</v>
      </c>
      <c r="U58" s="7">
        <f>VLOOKUP(Table3[[#This Row],[MD5]],Input[],23,FALSE)+(Distances!$AI$8*(ABS(Distances!$AD$8-VLOOKUP(Table3[[#This Row],[MD5]],Input[],23,FALSE))*Distances!$AC$8))</f>
        <v>1372.1293583333334</v>
      </c>
      <c r="V58" s="43">
        <f>SQRT(SUM((Table3[[#This Row],[time''4]]-Distances!$AD$6)^2,(Table3[[#This Row],[price''4]]-Distances!$AD$7)^2,(Table3[[#This Row],[energy''4]]-Distances!$AD$8)^2))</f>
        <v>3456.8255666016739</v>
      </c>
      <c r="W58" s="58">
        <f>((Table3[[#This Row],[score-rt-df]]-MIN(Table3[score-rt-df]))*$G$6)/(MAX(Table3[score-rt-df])-MIN(Table3[score-rt-df]))</f>
        <v>2.1285721922300726E-3</v>
      </c>
      <c r="AY58" t="str">
        <f>Table3[[#This Row],[QW'#]]</f>
        <v>qw115</v>
      </c>
      <c r="AZ58" t="str">
        <f>VLOOKUP(Table10[[#This Row],[QW'#]],Table3[],2,FALSE)</f>
        <v>04ca99438f8178f54836c6531bf8cd05</v>
      </c>
      <c r="BA58" s="54">
        <f>IF(ABS(VLOOKUP(Table10[[#This Row],[QW'#]],Table3[],7,FALSE)-0)&lt;=$AZ$6,1,0)</f>
        <v>1</v>
      </c>
      <c r="BB58" s="54">
        <f>IF(ABS(VLOOKUP(Table10[[#This Row],[QW'#]],Table3[],22,FALSE)-0)&lt;=$AZ$6,1,0)</f>
        <v>1</v>
      </c>
      <c r="BC58" s="54">
        <f>IF(AND(Table10[[#This Row],[Retrieved]]=0, Table10[[#This Row],[Relevant]]=0),1,0)</f>
        <v>0</v>
      </c>
      <c r="BD58" s="54">
        <f>IF(AND(Table10[[#This Row],[Retrieved]]=0, Table10[[#This Row],[Relevant]]=1),1,0)</f>
        <v>0</v>
      </c>
      <c r="BE58" s="54">
        <f>IF(AND(Table10[[#This Row],[Retrieved]]=1, Table10[[#This Row],[Relevant]]=0),1,0)</f>
        <v>0</v>
      </c>
      <c r="BF58" s="54">
        <f>IF(AND(Table10[[#This Row],[Retrieved]]=1, Table10[[#This Row],[Relevant]]=1),1,0)</f>
        <v>1</v>
      </c>
    </row>
    <row r="59" spans="2:58">
      <c r="B59" s="76" t="s">
        <v>329</v>
      </c>
      <c r="C59" s="10" t="s">
        <v>197</v>
      </c>
      <c r="D59" s="8">
        <f>VLOOKUP(Table3[[#This Row],[MD5]],Input[],3,FALSE)+(Distances!$AA$6*(ABS(Distances!$AD$6-VLOOKUP(Table3[[#This Row],[MD5]],Input[],3,FALSE))*Distances!$AC$6))</f>
        <v>55.98857143</v>
      </c>
      <c r="E59" s="7">
        <f>VLOOKUP(Table3[[#This Row],[MD5]],Input[],4,FALSE)+(Distances!$AA$7*(ABS(Distances!$AD$7-VLOOKUP(Table3[[#This Row],[MD5]],Input[],4,FALSE))*Distances!$AC$7))</f>
        <v>57.466666666666669</v>
      </c>
      <c r="F59" s="7">
        <f>VLOOKUP(Table3[[#This Row],[MD5]],Input[],5,FALSE)+(Distances!$AA$8*(ABS(Distances!$AD$8-VLOOKUP(Table3[[#This Row],[MD5]],Input[],5,FALSE))*Distances!$AC$8))</f>
        <v>52.933333333333337</v>
      </c>
      <c r="G59" s="46">
        <f>SQRT(SUM((Table3[[#This Row],[time]]-Distances!$AD$6)^2,(Table3[[#This Row],[price]]-Distances!$AD$7)^2,(Table3[[#This Row],[energy]]-Distances!$AD$8)^2))</f>
        <v>10.010921202754911</v>
      </c>
      <c r="H59" s="46">
        <f>((Table3[[#This Row],[score-bt]]-MIN(Table3[score-bt]))*$G$6)/(MAX(Table3[score-bt])-MIN(Table3[score-bt]))</f>
        <v>0</v>
      </c>
      <c r="I59" s="8">
        <f>VLOOKUP(Table3[[#This Row],[MD5]],Input[],9,FALSE)+(Distances!$AA$6*(ABS(Distances!$AD$6-VLOOKUP(Table3[[#This Row],[MD5]],Input[],9,FALSE))*Distances!$AC$6))</f>
        <v>-23.21719811531251</v>
      </c>
      <c r="J59" s="7">
        <f>VLOOKUP(Table3[[#This Row],[MD5]],Input[],10,FALSE)+(Distances!$AA$7*(ABS(Distances!$AD$7-VLOOKUP(Table3[[#This Row],[MD5]],Input[],10,FALSE))*Distances!$AC$7))</f>
        <v>-15.068198420833342</v>
      </c>
      <c r="K59" s="7">
        <f>VLOOKUP(Table3[[#This Row],[MD5]],Input[],11,FALSE)+(Distances!$AA$8*(ABS(Distances!$AD$8-VLOOKUP(Table3[[#This Row],[MD5]],Input[],11,FALSE))*Distances!$AC$8))</f>
        <v>-7.110876496284722</v>
      </c>
      <c r="L59" s="44">
        <f>SQRT(SUM((Table3[[#This Row],[time''2]]-Distances!$AD$6)^2,(Table3[[#This Row],[price''2]]-Distances!$AD$7)^2,(Table3[[#This Row],[energy''2]]-Distances!$AD$8)^2))</f>
        <v>113.38554034692319</v>
      </c>
      <c r="M59" s="44">
        <f>((Table3[[#This Row],[score-rt-partialcf]]-MIN(Table3[score-rt-partialcf]))*$G$6)/(MAX(Table3[score-rt-partialcf])-MIN(Table3[score-rt-partialcf]))</f>
        <v>0.99663901690173029</v>
      </c>
      <c r="N59" s="8">
        <f>VLOOKUP(Table3[[#This Row],[MD5]],Input[],15,FALSE)+(Distances!$AA$6*(ABS(Distances!$AD$6-VLOOKUP(Table3[[#This Row],[MD5]],Input[],15,FALSE))*Distances!$AC$6))</f>
        <v>-23.292575959955357</v>
      </c>
      <c r="O59" s="7">
        <f>VLOOKUP(Table3[[#This Row],[MD5]],Input[],16,FALSE)+(Distances!$AA$7*(ABS(Distances!$AD$7-VLOOKUP(Table3[[#This Row],[MD5]],Input[],16,FALSE))*Distances!$AC$7))</f>
        <v>55.480860560416666</v>
      </c>
      <c r="P59" s="7">
        <f>VLOOKUP(Table3[[#This Row],[MD5]],Input[],17,FALSE)+(Distances!$AA$8*(ABS(Distances!$AD$8-VLOOKUP(Table3[[#This Row],[MD5]],Input[],11,FALSE))*Distances!$AC$8))</f>
        <v>42.308571205798607</v>
      </c>
      <c r="Q59" s="47">
        <f>SQRT(SUM((Table3[[#This Row],[time''3]]-Distances!$AD$6)^2,(Table3[[#This Row],[price''3]]-Distances!$AD$7)^2,(Table3[[#This Row],[energy''3]]-Distances!$AD$8)^2))</f>
        <v>73.898576442478429</v>
      </c>
      <c r="R59" s="47">
        <f>((Table3[[#This Row],[score-rt-fullcf]]-MIN(Table3[score-rt-fullcf]))*$G$6)/(MAX(Table3[score-rt-fullcf])-MIN(Table3[score-rt-fullcf]))</f>
        <v>0.99526120321897893</v>
      </c>
      <c r="S59" s="8">
        <f>VLOOKUP(Table3[[#This Row],[MD5]],Input[],21,FALSE)+(Distances!$AI$6*(ABS(Distances!$L$3-VLOOKUP(Table3[[#This Row],[MD5]],Input[],21,FALSE))*Distances!$AC$6))</f>
        <v>2688.1965233333299</v>
      </c>
      <c r="T59" s="7">
        <f>VLOOKUP(Table3[[#This Row],[MD5]],Input[],22,FALSE)+(Distances!$AI$7*(ABS(Distances!$AB$7-VLOOKUP(Table3[[#This Row],[MD5]],Input[],22,FALSE))*Distances!$AC$7))</f>
        <v>1850.4266333333335</v>
      </c>
      <c r="U59" s="7">
        <f>VLOOKUP(Table3[[#This Row],[MD5]],Input[],23,FALSE)+(Distances!$AI$8*(ABS(Distances!$AD$8-VLOOKUP(Table3[[#This Row],[MD5]],Input[],23,FALSE))*Distances!$AC$8))</f>
        <v>1372.1293583333334</v>
      </c>
      <c r="V59" s="43">
        <f>SQRT(SUM((Table3[[#This Row],[time''4]]-Distances!$AD$6)^2,(Table3[[#This Row],[price''4]]-Distances!$AD$7)^2,(Table3[[#This Row],[energy''4]]-Distances!$AD$8)^2))</f>
        <v>3456.8255666016739</v>
      </c>
      <c r="W59" s="58">
        <f>((Table3[[#This Row],[score-rt-df]]-MIN(Table3[score-rt-df]))*$G$6)/(MAX(Table3[score-rt-df])-MIN(Table3[score-rt-df]))</f>
        <v>2.1285721922300726E-3</v>
      </c>
      <c r="AY59" t="str">
        <f>Table3[[#This Row],[QW'#]]</f>
        <v>qw151</v>
      </c>
      <c r="AZ59" t="str">
        <f>VLOOKUP(Table10[[#This Row],[QW'#]],Table3[],2,FALSE)</f>
        <v>2e40e32a076eb1825c8cb60bd7335582</v>
      </c>
      <c r="BA59" s="54">
        <f>IF(ABS(VLOOKUP(Table10[[#This Row],[QW'#]],Table3[],7,FALSE)-0)&lt;=$AZ$6,1,0)</f>
        <v>1</v>
      </c>
      <c r="BB59" s="54">
        <f>IF(ABS(VLOOKUP(Table10[[#This Row],[QW'#]],Table3[],22,FALSE)-0)&lt;=$AZ$6,1,0)</f>
        <v>1</v>
      </c>
      <c r="BC59" s="54">
        <f>IF(AND(Table10[[#This Row],[Retrieved]]=0, Table10[[#This Row],[Relevant]]=0),1,0)</f>
        <v>0</v>
      </c>
      <c r="BD59" s="54">
        <f>IF(AND(Table10[[#This Row],[Retrieved]]=0, Table10[[#This Row],[Relevant]]=1),1,0)</f>
        <v>0</v>
      </c>
      <c r="BE59" s="54">
        <f>IF(AND(Table10[[#This Row],[Retrieved]]=1, Table10[[#This Row],[Relevant]]=0),1,0)</f>
        <v>0</v>
      </c>
      <c r="BF59" s="54">
        <f>IF(AND(Table10[[#This Row],[Retrieved]]=1, Table10[[#This Row],[Relevant]]=1),1,0)</f>
        <v>1</v>
      </c>
    </row>
    <row r="60" spans="2:58">
      <c r="B60" s="76" t="s">
        <v>26</v>
      </c>
      <c r="C60" s="10" t="s">
        <v>64</v>
      </c>
      <c r="D60" s="8">
        <f>VLOOKUP(Table3[[#This Row],[MD5]],Input[],3,FALSE)+(Distances!$AA$6*(ABS(Distances!$AD$6-VLOOKUP(Table3[[#This Row],[MD5]],Input[],3,FALSE))*Distances!$AC$6))</f>
        <v>55.98857143</v>
      </c>
      <c r="E60" s="7">
        <f>VLOOKUP(Table3[[#This Row],[MD5]],Input[],4,FALSE)+(Distances!$AA$7*(ABS(Distances!$AD$7-VLOOKUP(Table3[[#This Row],[MD5]],Input[],4,FALSE))*Distances!$AC$7))</f>
        <v>57.466666666666669</v>
      </c>
      <c r="F60" s="7">
        <f>VLOOKUP(Table3[[#This Row],[MD5]],Input[],5,FALSE)+(Distances!$AA$8*(ABS(Distances!$AD$8-VLOOKUP(Table3[[#This Row],[MD5]],Input[],5,FALSE))*Distances!$AC$8))</f>
        <v>52.933333333333337</v>
      </c>
      <c r="G60" s="46">
        <f>SQRT(SUM((Table3[[#This Row],[time]]-Distances!$AD$6)^2,(Table3[[#This Row],[price]]-Distances!$AD$7)^2,(Table3[[#This Row],[energy]]-Distances!$AD$8)^2))</f>
        <v>10.010921202754911</v>
      </c>
      <c r="H60" s="46">
        <f>((Table3[[#This Row],[score-bt]]-MIN(Table3[score-bt]))*$G$6)/(MAX(Table3[score-bt])-MIN(Table3[score-bt]))</f>
        <v>0</v>
      </c>
      <c r="I60" s="8">
        <f>VLOOKUP(Table3[[#This Row],[MD5]],Input[],9,FALSE)+(Distances!$AA$6*(ABS(Distances!$AD$6-VLOOKUP(Table3[[#This Row],[MD5]],Input[],9,FALSE))*Distances!$AC$6))</f>
        <v>-22.820962936741079</v>
      </c>
      <c r="J60" s="7">
        <f>VLOOKUP(Table3[[#This Row],[MD5]],Input[],10,FALSE)+(Distances!$AA$7*(ABS(Distances!$AD$7-VLOOKUP(Table3[[#This Row],[MD5]],Input[],10,FALSE))*Distances!$AC$7))</f>
        <v>-14.543631754166674</v>
      </c>
      <c r="K60" s="7">
        <f>VLOOKUP(Table3[[#This Row],[MD5]],Input[],11,FALSE)+(Distances!$AA$8*(ABS(Distances!$AD$8-VLOOKUP(Table3[[#This Row],[MD5]],Input[],11,FALSE))*Distances!$AC$8))</f>
        <v>-6.7130801073958324</v>
      </c>
      <c r="L60" s="44">
        <f>SQRT(SUM((Table3[[#This Row],[time''2]]-Distances!$AD$6)^2,(Table3[[#This Row],[price''2]]-Distances!$AD$7)^2,(Table3[[#This Row],[energy''2]]-Distances!$AD$8)^2))</f>
        <v>112.62835565842018</v>
      </c>
      <c r="M60" s="44">
        <f>((Table3[[#This Row],[score-rt-partialcf]]-MIN(Table3[score-rt-partialcf]))*$G$6)/(MAX(Table3[score-rt-partialcf])-MIN(Table3[score-rt-partialcf]))</f>
        <v>0.98964714377488805</v>
      </c>
      <c r="N60" s="8">
        <f>VLOOKUP(Table3[[#This Row],[MD5]],Input[],15,FALSE)+(Distances!$AA$6*(ABS(Distances!$AD$6-VLOOKUP(Table3[[#This Row],[MD5]],Input[],15,FALSE))*Distances!$AC$6))</f>
        <v>-23.292575959955357</v>
      </c>
      <c r="O60" s="7">
        <f>VLOOKUP(Table3[[#This Row],[MD5]],Input[],16,FALSE)+(Distances!$AA$7*(ABS(Distances!$AD$7-VLOOKUP(Table3[[#This Row],[MD5]],Input[],16,FALSE))*Distances!$AC$7))</f>
        <v>55.480860560416666</v>
      </c>
      <c r="P60" s="7">
        <f>VLOOKUP(Table3[[#This Row],[MD5]],Input[],17,FALSE)+(Distances!$AA$8*(ABS(Distances!$AD$8-VLOOKUP(Table3[[#This Row],[MD5]],Input[],11,FALSE))*Distances!$AC$8))</f>
        <v>42.365399261354106</v>
      </c>
      <c r="Q60" s="47">
        <f>SQRT(SUM((Table3[[#This Row],[time''3]]-Distances!$AD$6)^2,(Table3[[#This Row],[price''3]]-Distances!$AD$7)^2,(Table3[[#This Row],[energy''3]]-Distances!$AD$8)^2))</f>
        <v>73.892683343935275</v>
      </c>
      <c r="R60" s="47">
        <f>((Table3[[#This Row],[score-rt-fullcf]]-MIN(Table3[score-rt-fullcf]))*$G$6)/(MAX(Table3[score-rt-fullcf])-MIN(Table3[score-rt-fullcf]))</f>
        <v>0.99508051721072199</v>
      </c>
      <c r="S60" s="8">
        <f>VLOOKUP(Table3[[#This Row],[MD5]],Input[],21,FALSE)+(Distances!$AI$6*(ABS(Distances!$L$3-VLOOKUP(Table3[[#This Row],[MD5]],Input[],21,FALSE))*Distances!$AC$6))</f>
        <v>2688.1965233333299</v>
      </c>
      <c r="T60" s="7">
        <f>VLOOKUP(Table3[[#This Row],[MD5]],Input[],22,FALSE)+(Distances!$AI$7*(ABS(Distances!$AB$7-VLOOKUP(Table3[[#This Row],[MD5]],Input[],22,FALSE))*Distances!$AC$7))</f>
        <v>1850.4266333333335</v>
      </c>
      <c r="U60" s="7">
        <f>VLOOKUP(Table3[[#This Row],[MD5]],Input[],23,FALSE)+(Distances!$AI$8*(ABS(Distances!$AD$8-VLOOKUP(Table3[[#This Row],[MD5]],Input[],23,FALSE))*Distances!$AC$8))</f>
        <v>1372.1293583333334</v>
      </c>
      <c r="V60" s="43">
        <f>SQRT(SUM((Table3[[#This Row],[time''4]]-Distances!$AD$6)^2,(Table3[[#This Row],[price''4]]-Distances!$AD$7)^2,(Table3[[#This Row],[energy''4]]-Distances!$AD$8)^2))</f>
        <v>3456.8255666016739</v>
      </c>
      <c r="W60" s="58">
        <f>((Table3[[#This Row],[score-rt-df]]-MIN(Table3[score-rt-df]))*$G$6)/(MAX(Table3[score-rt-df])-MIN(Table3[score-rt-df]))</f>
        <v>2.1285721922300726E-3</v>
      </c>
      <c r="AY60" t="str">
        <f>Table3[[#This Row],[QW'#]]</f>
        <v>qw18</v>
      </c>
      <c r="AZ60" t="str">
        <f>VLOOKUP(Table10[[#This Row],[QW'#]],Table3[],2,FALSE)</f>
        <v>b95faee0d7c4caa214fb0a3bee636adb</v>
      </c>
      <c r="BA60" s="54">
        <f>IF(ABS(VLOOKUP(Table10[[#This Row],[QW'#]],Table3[],7,FALSE)-0)&lt;=$AZ$6,1,0)</f>
        <v>1</v>
      </c>
      <c r="BB60" s="54">
        <f>IF(ABS(VLOOKUP(Table10[[#This Row],[QW'#]],Table3[],22,FALSE)-0)&lt;=$AZ$6,1,0)</f>
        <v>1</v>
      </c>
      <c r="BC60" s="54">
        <f>IF(AND(Table10[[#This Row],[Retrieved]]=0, Table10[[#This Row],[Relevant]]=0),1,0)</f>
        <v>0</v>
      </c>
      <c r="BD60" s="54">
        <f>IF(AND(Table10[[#This Row],[Retrieved]]=0, Table10[[#This Row],[Relevant]]=1),1,0)</f>
        <v>0</v>
      </c>
      <c r="BE60" s="54">
        <f>IF(AND(Table10[[#This Row],[Retrieved]]=1, Table10[[#This Row],[Relevant]]=0),1,0)</f>
        <v>0</v>
      </c>
      <c r="BF60" s="54">
        <f>IF(AND(Table10[[#This Row],[Retrieved]]=1, Table10[[#This Row],[Relevant]]=1),1,0)</f>
        <v>1</v>
      </c>
    </row>
    <row r="61" spans="2:58">
      <c r="B61" s="76" t="s">
        <v>263</v>
      </c>
      <c r="C61" s="10" t="s">
        <v>131</v>
      </c>
      <c r="D61" s="8">
        <f>VLOOKUP(Table3[[#This Row],[MD5]],Input[],3,FALSE)+(Distances!$AA$6*(ABS(Distances!$AD$6-VLOOKUP(Table3[[#This Row],[MD5]],Input[],3,FALSE))*Distances!$AC$6))</f>
        <v>55.98857143</v>
      </c>
      <c r="E61" s="7">
        <f>VLOOKUP(Table3[[#This Row],[MD5]],Input[],4,FALSE)+(Distances!$AA$7*(ABS(Distances!$AD$7-VLOOKUP(Table3[[#This Row],[MD5]],Input[],4,FALSE))*Distances!$AC$7))</f>
        <v>57.466666666666669</v>
      </c>
      <c r="F61" s="7">
        <f>VLOOKUP(Table3[[#This Row],[MD5]],Input[],5,FALSE)+(Distances!$AA$8*(ABS(Distances!$AD$8-VLOOKUP(Table3[[#This Row],[MD5]],Input[],5,FALSE))*Distances!$AC$8))</f>
        <v>52.933333333333337</v>
      </c>
      <c r="G61" s="46">
        <f>SQRT(SUM((Table3[[#This Row],[time]]-Distances!$AD$6)^2,(Table3[[#This Row],[price]]-Distances!$AD$7)^2,(Table3[[#This Row],[energy]]-Distances!$AD$8)^2))</f>
        <v>10.010921202754911</v>
      </c>
      <c r="H61" s="46">
        <f>((Table3[[#This Row],[score-bt]]-MIN(Table3[score-bt]))*$G$6)/(MAX(Table3[score-bt])-MIN(Table3[score-bt]))</f>
        <v>0</v>
      </c>
      <c r="I61" s="8">
        <f>VLOOKUP(Table3[[#This Row],[MD5]],Input[],9,FALSE)+(Distances!$AA$6*(ABS(Distances!$AD$6-VLOOKUP(Table3[[#This Row],[MD5]],Input[],9,FALSE))*Distances!$AC$6))</f>
        <v>-23.22413229388393</v>
      </c>
      <c r="J61" s="7">
        <f>VLOOKUP(Table3[[#This Row],[MD5]],Input[],10,FALSE)+(Distances!$AA$7*(ABS(Distances!$AD$7-VLOOKUP(Table3[[#This Row],[MD5]],Input[],10,FALSE))*Distances!$AC$7))</f>
        <v>-15.077378420833332</v>
      </c>
      <c r="K61" s="7">
        <f>VLOOKUP(Table3[[#This Row],[MD5]],Input[],11,FALSE)+(Distances!$AA$8*(ABS(Distances!$AD$8-VLOOKUP(Table3[[#This Row],[MD5]],Input[],11,FALSE))*Distances!$AC$8))</f>
        <v>-7.1178379962847211</v>
      </c>
      <c r="L61" s="44">
        <f>SQRT(SUM((Table3[[#This Row],[time''2]]-Distances!$AD$6)^2,(Table3[[#This Row],[price''2]]-Distances!$AD$7)^2,(Table3[[#This Row],[energy''2]]-Distances!$AD$8)^2))</f>
        <v>113.39879254070733</v>
      </c>
      <c r="M61" s="44">
        <f>((Table3[[#This Row],[score-rt-partialcf]]-MIN(Table3[score-rt-partialcf]))*$G$6)/(MAX(Table3[score-rt-partialcf])-MIN(Table3[score-rt-partialcf]))</f>
        <v>0.99676138817917148</v>
      </c>
      <c r="N61" s="8">
        <f>VLOOKUP(Table3[[#This Row],[MD5]],Input[],15,FALSE)+(Distances!$AA$6*(ABS(Distances!$AD$6-VLOOKUP(Table3[[#This Row],[MD5]],Input[],15,FALSE))*Distances!$AC$6))</f>
        <v>-23.292575959955357</v>
      </c>
      <c r="O61" s="7">
        <f>VLOOKUP(Table3[[#This Row],[MD5]],Input[],16,FALSE)+(Distances!$AA$7*(ABS(Distances!$AD$7-VLOOKUP(Table3[[#This Row],[MD5]],Input[],16,FALSE))*Distances!$AC$7))</f>
        <v>55.480860560416666</v>
      </c>
      <c r="P61" s="7">
        <f>VLOOKUP(Table3[[#This Row],[MD5]],Input[],17,FALSE)+(Distances!$AA$8*(ABS(Distances!$AD$8-VLOOKUP(Table3[[#This Row],[MD5]],Input[],11,FALSE))*Distances!$AC$8))</f>
        <v>42.307576705798553</v>
      </c>
      <c r="Q61" s="47">
        <f>SQRT(SUM((Table3[[#This Row],[time''3]]-Distances!$AD$6)^2,(Table3[[#This Row],[price''3]]-Distances!$AD$7)^2,(Table3[[#This Row],[energy''3]]-Distances!$AD$8)^2))</f>
        <v>73.898679957531925</v>
      </c>
      <c r="R61" s="47">
        <f>((Table3[[#This Row],[score-rt-fullcf]]-MIN(Table3[score-rt-fullcf]))*$G$6)/(MAX(Table3[score-rt-fullcf])-MIN(Table3[score-rt-fullcf]))</f>
        <v>0.99526437705387638</v>
      </c>
      <c r="S61" s="8">
        <f>VLOOKUP(Table3[[#This Row],[MD5]],Input[],21,FALSE)+(Distances!$AI$6*(ABS(Distances!$L$3-VLOOKUP(Table3[[#This Row],[MD5]],Input[],21,FALSE))*Distances!$AC$6))</f>
        <v>2688.1965233333299</v>
      </c>
      <c r="T61" s="7">
        <f>VLOOKUP(Table3[[#This Row],[MD5]],Input[],22,FALSE)+(Distances!$AI$7*(ABS(Distances!$AB$7-VLOOKUP(Table3[[#This Row],[MD5]],Input[],22,FALSE))*Distances!$AC$7))</f>
        <v>1850.4266333333335</v>
      </c>
      <c r="U61" s="7">
        <f>VLOOKUP(Table3[[#This Row],[MD5]],Input[],23,FALSE)+(Distances!$AI$8*(ABS(Distances!$AD$8-VLOOKUP(Table3[[#This Row],[MD5]],Input[],23,FALSE))*Distances!$AC$8))</f>
        <v>1372.1293583333334</v>
      </c>
      <c r="V61" s="43">
        <f>SQRT(SUM((Table3[[#This Row],[time''4]]-Distances!$AD$6)^2,(Table3[[#This Row],[price''4]]-Distances!$AD$7)^2,(Table3[[#This Row],[energy''4]]-Distances!$AD$8)^2))</f>
        <v>3456.8255666016739</v>
      </c>
      <c r="W61" s="58">
        <f>((Table3[[#This Row],[score-rt-df]]-MIN(Table3[score-rt-df]))*$G$6)/(MAX(Table3[score-rt-df])-MIN(Table3[score-rt-df]))</f>
        <v>2.1285721922300726E-3</v>
      </c>
      <c r="AY61" t="str">
        <f>Table3[[#This Row],[QW'#]]</f>
        <v>qw85</v>
      </c>
      <c r="AZ61" t="str">
        <f>VLOOKUP(Table10[[#This Row],[QW'#]],Table3[],2,FALSE)</f>
        <v>7380fd9023f92e8cbbd944b6c752be5e</v>
      </c>
      <c r="BA61" s="54">
        <f>IF(ABS(VLOOKUP(Table10[[#This Row],[QW'#]],Table3[],7,FALSE)-0)&lt;=$AZ$6,1,0)</f>
        <v>1</v>
      </c>
      <c r="BB61" s="54">
        <f>IF(ABS(VLOOKUP(Table10[[#This Row],[QW'#]],Table3[],22,FALSE)-0)&lt;=$AZ$6,1,0)</f>
        <v>1</v>
      </c>
      <c r="BC61" s="54">
        <f>IF(AND(Table10[[#This Row],[Retrieved]]=0, Table10[[#This Row],[Relevant]]=0),1,0)</f>
        <v>0</v>
      </c>
      <c r="BD61" s="54">
        <f>IF(AND(Table10[[#This Row],[Retrieved]]=0, Table10[[#This Row],[Relevant]]=1),1,0)</f>
        <v>0</v>
      </c>
      <c r="BE61" s="54">
        <f>IF(AND(Table10[[#This Row],[Retrieved]]=1, Table10[[#This Row],[Relevant]]=0),1,0)</f>
        <v>0</v>
      </c>
      <c r="BF61" s="54">
        <f>IF(AND(Table10[[#This Row],[Retrieved]]=1, Table10[[#This Row],[Relevant]]=1),1,0)</f>
        <v>1</v>
      </c>
    </row>
    <row r="62" spans="2:58">
      <c r="B62" s="76" t="s">
        <v>292</v>
      </c>
      <c r="C62" s="10" t="s">
        <v>160</v>
      </c>
      <c r="D62" s="8">
        <f>VLOOKUP(Table3[[#This Row],[MD5]],Input[],3,FALSE)+(Distances!$AA$6*(ABS(Distances!$AD$6-VLOOKUP(Table3[[#This Row],[MD5]],Input[],3,FALSE))*Distances!$AC$6))</f>
        <v>55.98857143</v>
      </c>
      <c r="E62" s="7">
        <f>VLOOKUP(Table3[[#This Row],[MD5]],Input[],4,FALSE)+(Distances!$AA$7*(ABS(Distances!$AD$7-VLOOKUP(Table3[[#This Row],[MD5]],Input[],4,FALSE))*Distances!$AC$7))</f>
        <v>57.466666666666669</v>
      </c>
      <c r="F62" s="7">
        <f>VLOOKUP(Table3[[#This Row],[MD5]],Input[],5,FALSE)+(Distances!$AA$8*(ABS(Distances!$AD$8-VLOOKUP(Table3[[#This Row],[MD5]],Input[],5,FALSE))*Distances!$AC$8))</f>
        <v>52.933333333333337</v>
      </c>
      <c r="G62" s="46">
        <f>SQRT(SUM((Table3[[#This Row],[time]]-Distances!$AD$6)^2,(Table3[[#This Row],[price]]-Distances!$AD$7)^2,(Table3[[#This Row],[energy]]-Distances!$AD$8)^2))</f>
        <v>10.010921202754911</v>
      </c>
      <c r="H62" s="46">
        <f>((Table3[[#This Row],[score-bt]]-MIN(Table3[score-bt]))*$G$6)/(MAX(Table3[score-bt])-MIN(Table3[score-bt]))</f>
        <v>0</v>
      </c>
      <c r="I62" s="8">
        <f>VLOOKUP(Table3[[#This Row],[MD5]],Input[],9,FALSE)+(Distances!$AA$6*(ABS(Distances!$AD$6-VLOOKUP(Table3[[#This Row],[MD5]],Input[],9,FALSE))*Distances!$AC$6))</f>
        <v>-22.925583081428581</v>
      </c>
      <c r="J62" s="7">
        <f>VLOOKUP(Table3[[#This Row],[MD5]],Input[],10,FALSE)+(Distances!$AA$7*(ABS(Distances!$AD$7-VLOOKUP(Table3[[#This Row],[MD5]],Input[],10,FALSE))*Distances!$AC$7))</f>
        <v>-14.674800366666664</v>
      </c>
      <c r="K62" s="7">
        <f>VLOOKUP(Table3[[#This Row],[MD5]],Input[],11,FALSE)+(Distances!$AA$8*(ABS(Distances!$AD$8-VLOOKUP(Table3[[#This Row],[MD5]],Input[],11,FALSE))*Distances!$AC$8))</f>
        <v>-6.8126486841666658</v>
      </c>
      <c r="L62" s="44">
        <f>SQRT(SUM((Table3[[#This Row],[time''2]]-Distances!$AD$6)^2,(Table3[[#This Row],[price''2]]-Distances!$AD$7)^2,(Table3[[#This Row],[energy''2]]-Distances!$AD$8)^2))</f>
        <v>112.82130791984764</v>
      </c>
      <c r="M62" s="44">
        <f>((Table3[[#This Row],[score-rt-partialcf]]-MIN(Table3[score-rt-partialcf]))*$G$6)/(MAX(Table3[score-rt-partialcf])-MIN(Table3[score-rt-partialcf]))</f>
        <v>0.99142887252868173</v>
      </c>
      <c r="N62" s="8">
        <f>VLOOKUP(Table3[[#This Row],[MD5]],Input[],15,FALSE)+(Distances!$AA$6*(ABS(Distances!$AD$6-VLOOKUP(Table3[[#This Row],[MD5]],Input[],15,FALSE))*Distances!$AC$6))</f>
        <v>-23.309018544375007</v>
      </c>
      <c r="O62" s="7">
        <f>VLOOKUP(Table3[[#This Row],[MD5]],Input[],16,FALSE)+(Distances!$AA$7*(ABS(Distances!$AD$7-VLOOKUP(Table3[[#This Row],[MD5]],Input[],16,FALSE))*Distances!$AC$7))</f>
        <v>55.469853441666665</v>
      </c>
      <c r="P62" s="7">
        <f>VLOOKUP(Table3[[#This Row],[MD5]],Input[],17,FALSE)+(Distances!$AA$8*(ABS(Distances!$AD$8-VLOOKUP(Table3[[#This Row],[MD5]],Input[],11,FALSE))*Distances!$AC$8))</f>
        <v>42.336781028333334</v>
      </c>
      <c r="Q62" s="47">
        <f>SQRT(SUM((Table3[[#This Row],[time''3]]-Distances!$AD$6)^2,(Table3[[#This Row],[price''3]]-Distances!$AD$7)^2,(Table3[[#This Row],[energy''3]]-Distances!$AD$8)^2))</f>
        <v>73.911138684372489</v>
      </c>
      <c r="R62" s="47">
        <f>((Table3[[#This Row],[score-rt-fullcf]]-MIN(Table3[score-rt-fullcf]))*$G$6)/(MAX(Table3[score-rt-fullcf])-MIN(Table3[score-rt-fullcf]))</f>
        <v>0.99564636924428362</v>
      </c>
      <c r="S62" s="8">
        <f>VLOOKUP(Table3[[#This Row],[MD5]],Input[],21,FALSE)+(Distances!$AI$6*(ABS(Distances!$L$3-VLOOKUP(Table3[[#This Row],[MD5]],Input[],21,FALSE))*Distances!$AC$6))</f>
        <v>3765.9598033333</v>
      </c>
      <c r="T62" s="7">
        <f>VLOOKUP(Table3[[#This Row],[MD5]],Input[],22,FALSE)+(Distances!$AI$7*(ABS(Distances!$AB$7-VLOOKUP(Table3[[#This Row],[MD5]],Input[],22,FALSE))*Distances!$AC$7))</f>
        <v>2113.1073444444446</v>
      </c>
      <c r="U62" s="7">
        <f>VLOOKUP(Table3[[#This Row],[MD5]],Input[],23,FALSE)+(Distances!$AI$8*(ABS(Distances!$AD$8-VLOOKUP(Table3[[#This Row],[MD5]],Input[],23,FALSE))*Distances!$AC$8))</f>
        <v>1559.5341583333334</v>
      </c>
      <c r="V62" s="43">
        <f>SQRT(SUM((Table3[[#This Row],[time''4]]-Distances!$AD$6)^2,(Table3[[#This Row],[price''4]]-Distances!$AD$7)^2,(Table3[[#This Row],[energy''4]]-Distances!$AD$8)^2))</f>
        <v>4510.3727728276062</v>
      </c>
      <c r="W62" s="58">
        <f>((Table3[[#This Row],[score-rt-df]]-MIN(Table3[score-rt-df]))*$G$6)/(MAX(Table3[score-rt-df])-MIN(Table3[score-rt-df]))</f>
        <v>2.9962161191399543E-3</v>
      </c>
      <c r="AY62" t="str">
        <f>Table3[[#This Row],[QW'#]]</f>
        <v>qw114</v>
      </c>
      <c r="AZ62" t="str">
        <f>VLOOKUP(Table10[[#This Row],[QW'#]],Table3[],2,FALSE)</f>
        <v>d421d74a9b608713e02ebc0a0e8a3a8a</v>
      </c>
      <c r="BA62" s="54">
        <f>IF(ABS(VLOOKUP(Table10[[#This Row],[QW'#]],Table3[],7,FALSE)-0)&lt;=$AZ$6,1,0)</f>
        <v>1</v>
      </c>
      <c r="BB62" s="54">
        <f>IF(ABS(VLOOKUP(Table10[[#This Row],[QW'#]],Table3[],22,FALSE)-0)&lt;=$AZ$6,1,0)</f>
        <v>1</v>
      </c>
      <c r="BC62" s="54">
        <f>IF(AND(Table10[[#This Row],[Retrieved]]=0, Table10[[#This Row],[Relevant]]=0),1,0)</f>
        <v>0</v>
      </c>
      <c r="BD62" s="54">
        <f>IF(AND(Table10[[#This Row],[Retrieved]]=0, Table10[[#This Row],[Relevant]]=1),1,0)</f>
        <v>0</v>
      </c>
      <c r="BE62" s="54">
        <f>IF(AND(Table10[[#This Row],[Retrieved]]=1, Table10[[#This Row],[Relevant]]=0),1,0)</f>
        <v>0</v>
      </c>
      <c r="BF62" s="54">
        <f>IF(AND(Table10[[#This Row],[Retrieved]]=1, Table10[[#This Row],[Relevant]]=1),1,0)</f>
        <v>1</v>
      </c>
    </row>
    <row r="63" spans="2:58">
      <c r="B63" s="76" t="s">
        <v>301</v>
      </c>
      <c r="C63" s="11" t="s">
        <v>169</v>
      </c>
      <c r="D63" s="8">
        <f>VLOOKUP(Table3[[#This Row],[MD5]],Input[],3,FALSE)+(Distances!$AA$6*(ABS(Distances!$AD$6-VLOOKUP(Table3[[#This Row],[MD5]],Input[],3,FALSE))*Distances!$AC$6))</f>
        <v>55.98857143</v>
      </c>
      <c r="E63" s="7">
        <f>VLOOKUP(Table3[[#This Row],[MD5]],Input[],4,FALSE)+(Distances!$AA$7*(ABS(Distances!$AD$7-VLOOKUP(Table3[[#This Row],[MD5]],Input[],4,FALSE))*Distances!$AC$7))</f>
        <v>57.466666666666669</v>
      </c>
      <c r="F63" s="7">
        <f>VLOOKUP(Table3[[#This Row],[MD5]],Input[],5,FALSE)+(Distances!$AA$8*(ABS(Distances!$AD$8-VLOOKUP(Table3[[#This Row],[MD5]],Input[],5,FALSE))*Distances!$AC$8))</f>
        <v>52.933333333333337</v>
      </c>
      <c r="G63" s="46">
        <f>SQRT(SUM((Table3[[#This Row],[time]]-Distances!$AD$6)^2,(Table3[[#This Row],[price]]-Distances!$AD$7)^2,(Table3[[#This Row],[energy]]-Distances!$AD$8)^2))</f>
        <v>10.010921202754911</v>
      </c>
      <c r="H63" s="46">
        <f>((Table3[[#This Row],[score-bt]]-MIN(Table3[score-bt]))*$G$6)/(MAX(Table3[score-bt])-MIN(Table3[score-bt]))</f>
        <v>0</v>
      </c>
      <c r="I63" s="8">
        <f>VLOOKUP(Table3[[#This Row],[MD5]],Input[],9,FALSE)+(Distances!$AA$6*(ABS(Distances!$AD$6-VLOOKUP(Table3[[#This Row],[MD5]],Input[],9,FALSE))*Distances!$AC$6))</f>
        <v>-22.91309750102679</v>
      </c>
      <c r="J63" s="7">
        <f>VLOOKUP(Table3[[#This Row],[MD5]],Input[],10,FALSE)+(Distances!$AA$7*(ABS(Distances!$AD$7-VLOOKUP(Table3[[#This Row],[MD5]],Input[],10,FALSE))*Distances!$AC$7))</f>
        <v>-14.657923962499998</v>
      </c>
      <c r="K63" s="7">
        <f>VLOOKUP(Table3[[#This Row],[MD5]],Input[],11,FALSE)+(Distances!$AA$8*(ABS(Distances!$AD$8-VLOOKUP(Table3[[#This Row],[MD5]],Input[],11,FALSE))*Distances!$AC$8))</f>
        <v>-6.7998554299652856</v>
      </c>
      <c r="L63" s="44">
        <f>SQRT(SUM((Table3[[#This Row],[time''2]]-Distances!$AD$6)^2,(Table3[[#This Row],[price''2]]-Distances!$AD$7)^2,(Table3[[#This Row],[energy''2]]-Distances!$AD$8)^2))</f>
        <v>112.79712095261841</v>
      </c>
      <c r="M63" s="44">
        <f>((Table3[[#This Row],[score-rt-partialcf]]-MIN(Table3[score-rt-partialcf]))*$G$6)/(MAX(Table3[score-rt-partialcf])-MIN(Table3[score-rt-partialcf]))</f>
        <v>0.99120552912414961</v>
      </c>
      <c r="N63" s="8">
        <f>VLOOKUP(Table3[[#This Row],[MD5]],Input[],15,FALSE)+(Distances!$AA$6*(ABS(Distances!$AD$6-VLOOKUP(Table3[[#This Row],[MD5]],Input[],15,FALSE))*Distances!$AC$6))</f>
        <v>-23.3098052184375</v>
      </c>
      <c r="O63" s="7">
        <f>VLOOKUP(Table3[[#This Row],[MD5]],Input[],16,FALSE)+(Distances!$AA$7*(ABS(Distances!$AD$7-VLOOKUP(Table3[[#This Row],[MD5]],Input[],16,FALSE))*Distances!$AC$7))</f>
        <v>55.46925414375</v>
      </c>
      <c r="P63" s="7">
        <f>VLOOKUP(Table3[[#This Row],[MD5]],Input[],17,FALSE)+(Distances!$AA$8*(ABS(Distances!$AD$8-VLOOKUP(Table3[[#This Row],[MD5]],Input[],11,FALSE))*Distances!$AC$8))</f>
        <v>42.337825532534723</v>
      </c>
      <c r="Q63" s="47">
        <f>SQRT(SUM((Table3[[#This Row],[time''3]]-Distances!$AD$6)^2,(Table3[[#This Row],[price''3]]-Distances!$AD$7)^2,(Table3[[#This Row],[energy''3]]-Distances!$AD$8)^2))</f>
        <v>73.911766313788291</v>
      </c>
      <c r="R63" s="47">
        <f>((Table3[[#This Row],[score-rt-fullcf]]-MIN(Table3[score-rt-fullcf]))*$G$6)/(MAX(Table3[score-rt-fullcf])-MIN(Table3[score-rt-fullcf]))</f>
        <v>0.99566561274631837</v>
      </c>
      <c r="S63" s="8">
        <f>VLOOKUP(Table3[[#This Row],[MD5]],Input[],21,FALSE)+(Distances!$AI$6*(ABS(Distances!$L$3-VLOOKUP(Table3[[#This Row],[MD5]],Input[],21,FALSE))*Distances!$AC$6))</f>
        <v>3766.2988033332999</v>
      </c>
      <c r="T63" s="7">
        <f>VLOOKUP(Table3[[#This Row],[MD5]],Input[],22,FALSE)+(Distances!$AI$7*(ABS(Distances!$AB$7-VLOOKUP(Table3[[#This Row],[MD5]],Input[],22,FALSE))*Distances!$AC$7))</f>
        <v>2114.7158629629603</v>
      </c>
      <c r="U63" s="7">
        <f>VLOOKUP(Table3[[#This Row],[MD5]],Input[],23,FALSE)+(Distances!$AI$8*(ABS(Distances!$AD$8-VLOOKUP(Table3[[#This Row],[MD5]],Input[],23,FALSE))*Distances!$AC$8))</f>
        <v>1560.7255472222223</v>
      </c>
      <c r="V63" s="43">
        <f>SQRT(SUM((Table3[[#This Row],[time''4]]-Distances!$AD$6)^2,(Table3[[#This Row],[price''4]]-Distances!$AD$7)^2,(Table3[[#This Row],[energy''4]]-Distances!$AD$8)^2))</f>
        <v>4511.7867934397436</v>
      </c>
      <c r="W63" s="58">
        <f>((Table3[[#This Row],[score-rt-df]]-MIN(Table3[score-rt-df]))*$G$6)/(MAX(Table3[score-rt-df])-MIN(Table3[score-rt-df]))</f>
        <v>2.9973806292723868E-3</v>
      </c>
      <c r="AY63" t="str">
        <f>Table3[[#This Row],[QW'#]]</f>
        <v>qw123</v>
      </c>
      <c r="AZ63" t="str">
        <f>VLOOKUP(Table10[[#This Row],[QW'#]],Table3[],2,FALSE)</f>
        <v>2331e1123d27fd1236b92dbd2881cef4</v>
      </c>
      <c r="BA63" s="54">
        <f>IF(ABS(VLOOKUP(Table10[[#This Row],[QW'#]],Table3[],7,FALSE)-0)&lt;=$AZ$6,1,0)</f>
        <v>1</v>
      </c>
      <c r="BB63" s="54">
        <f>IF(ABS(VLOOKUP(Table10[[#This Row],[QW'#]],Table3[],22,FALSE)-0)&lt;=$AZ$6,1,0)</f>
        <v>1</v>
      </c>
      <c r="BC63" s="54">
        <f>IF(AND(Table10[[#This Row],[Retrieved]]=0, Table10[[#This Row],[Relevant]]=0),1,0)</f>
        <v>0</v>
      </c>
      <c r="BD63" s="54">
        <f>IF(AND(Table10[[#This Row],[Retrieved]]=0, Table10[[#This Row],[Relevant]]=1),1,0)</f>
        <v>0</v>
      </c>
      <c r="BE63" s="54">
        <f>IF(AND(Table10[[#This Row],[Retrieved]]=1, Table10[[#This Row],[Relevant]]=0),1,0)</f>
        <v>0</v>
      </c>
      <c r="BF63" s="54">
        <f>IF(AND(Table10[[#This Row],[Retrieved]]=1, Table10[[#This Row],[Relevant]]=1),1,0)</f>
        <v>1</v>
      </c>
    </row>
    <row r="64" spans="2:58">
      <c r="B64" s="76" t="s">
        <v>337</v>
      </c>
      <c r="C64" s="10" t="s">
        <v>205</v>
      </c>
      <c r="D64" s="8">
        <f>VLOOKUP(Table3[[#This Row],[MD5]],Input[],3,FALSE)+(Distances!$AA$6*(ABS(Distances!$AD$6-VLOOKUP(Table3[[#This Row],[MD5]],Input[],3,FALSE))*Distances!$AC$6))</f>
        <v>55.98857143</v>
      </c>
      <c r="E64" s="7">
        <f>VLOOKUP(Table3[[#This Row],[MD5]],Input[],4,FALSE)+(Distances!$AA$7*(ABS(Distances!$AD$7-VLOOKUP(Table3[[#This Row],[MD5]],Input[],4,FALSE))*Distances!$AC$7))</f>
        <v>57.466666666666669</v>
      </c>
      <c r="F64" s="7">
        <f>VLOOKUP(Table3[[#This Row],[MD5]],Input[],5,FALSE)+(Distances!$AA$8*(ABS(Distances!$AD$8-VLOOKUP(Table3[[#This Row],[MD5]],Input[],5,FALSE))*Distances!$AC$8))</f>
        <v>52.933333333333337</v>
      </c>
      <c r="G64" s="46">
        <f>SQRT(SUM((Table3[[#This Row],[time]]-Distances!$AD$6)^2,(Table3[[#This Row],[price]]-Distances!$AD$7)^2,(Table3[[#This Row],[energy]]-Distances!$AD$8)^2))</f>
        <v>10.010921202754911</v>
      </c>
      <c r="H64" s="46">
        <f>((Table3[[#This Row],[score-bt]]-MIN(Table3[score-bt]))*$G$6)/(MAX(Table3[score-bt])-MIN(Table3[score-bt]))</f>
        <v>0</v>
      </c>
      <c r="I64" s="8">
        <f>VLOOKUP(Table3[[#This Row],[MD5]],Input[],9,FALSE)+(Distances!$AA$6*(ABS(Distances!$AD$6-VLOOKUP(Table3[[#This Row],[MD5]],Input[],9,FALSE))*Distances!$AC$6))</f>
        <v>-22.913098822901791</v>
      </c>
      <c r="J64" s="7">
        <f>VLOOKUP(Table3[[#This Row],[MD5]],Input[],10,FALSE)+(Distances!$AA$7*(ABS(Distances!$AD$7-VLOOKUP(Table3[[#This Row],[MD5]],Input[],10,FALSE))*Distances!$AC$7))</f>
        <v>-14.657925712500008</v>
      </c>
      <c r="K64" s="7">
        <f>VLOOKUP(Table3[[#This Row],[MD5]],Input[],11,FALSE)+(Distances!$AA$8*(ABS(Distances!$AD$8-VLOOKUP(Table3[[#This Row],[MD5]],Input[],11,FALSE))*Distances!$AC$8))</f>
        <v>-6.7998567570486115</v>
      </c>
      <c r="L64" s="44">
        <f>SQRT(SUM((Table3[[#This Row],[time''2]]-Distances!$AD$6)^2,(Table3[[#This Row],[price''2]]-Distances!$AD$7)^2,(Table3[[#This Row],[energy''2]]-Distances!$AD$8)^2))</f>
        <v>112.79712347849413</v>
      </c>
      <c r="M64" s="44">
        <f>((Table3[[#This Row],[score-rt-partialcf]]-MIN(Table3[score-rt-partialcf]))*$G$6)/(MAX(Table3[score-rt-partialcf])-MIN(Table3[score-rt-partialcf]))</f>
        <v>0.99120555244818509</v>
      </c>
      <c r="N64" s="8">
        <f>VLOOKUP(Table3[[#This Row],[MD5]],Input[],15,FALSE)+(Distances!$AA$6*(ABS(Distances!$AD$6-VLOOKUP(Table3[[#This Row],[MD5]],Input[],15,FALSE))*Distances!$AC$6))</f>
        <v>-23.3098052184375</v>
      </c>
      <c r="O64" s="7">
        <f>VLOOKUP(Table3[[#This Row],[MD5]],Input[],16,FALSE)+(Distances!$AA$7*(ABS(Distances!$AD$7-VLOOKUP(Table3[[#This Row],[MD5]],Input[],16,FALSE))*Distances!$AC$7))</f>
        <v>55.46925414375</v>
      </c>
      <c r="P64" s="7">
        <f>VLOOKUP(Table3[[#This Row],[MD5]],Input[],17,FALSE)+(Distances!$AA$8*(ABS(Distances!$AD$8-VLOOKUP(Table3[[#This Row],[MD5]],Input[],11,FALSE))*Distances!$AC$8))</f>
        <v>42.33782534295139</v>
      </c>
      <c r="Q64" s="47">
        <f>SQRT(SUM((Table3[[#This Row],[time''3]]-Distances!$AD$6)^2,(Table3[[#This Row],[price''3]]-Distances!$AD$7)^2,(Table3[[#This Row],[energy''3]]-Distances!$AD$8)^2))</f>
        <v>73.911766333441733</v>
      </c>
      <c r="R64" s="47">
        <f>((Table3[[#This Row],[score-rt-fullcf]]-MIN(Table3[score-rt-fullcf]))*$G$6)/(MAX(Table3[score-rt-fullcf])-MIN(Table3[score-rt-fullcf]))</f>
        <v>0.99566561334890491</v>
      </c>
      <c r="S64" s="8">
        <f>VLOOKUP(Table3[[#This Row],[MD5]],Input[],21,FALSE)+(Distances!$AI$6*(ABS(Distances!$L$3-VLOOKUP(Table3[[#This Row],[MD5]],Input[],21,FALSE))*Distances!$AC$6))</f>
        <v>3766.2988033332999</v>
      </c>
      <c r="T64" s="7">
        <f>VLOOKUP(Table3[[#This Row],[MD5]],Input[],22,FALSE)+(Distances!$AI$7*(ABS(Distances!$AB$7-VLOOKUP(Table3[[#This Row],[MD5]],Input[],22,FALSE))*Distances!$AC$7))</f>
        <v>2114.7158629629603</v>
      </c>
      <c r="U64" s="7">
        <f>VLOOKUP(Table3[[#This Row],[MD5]],Input[],23,FALSE)+(Distances!$AI$8*(ABS(Distances!$AD$8-VLOOKUP(Table3[[#This Row],[MD5]],Input[],23,FALSE))*Distances!$AC$8))</f>
        <v>1560.7255472222223</v>
      </c>
      <c r="V64" s="43">
        <f>SQRT(SUM((Table3[[#This Row],[time''4]]-Distances!$AD$6)^2,(Table3[[#This Row],[price''4]]-Distances!$AD$7)^2,(Table3[[#This Row],[energy''4]]-Distances!$AD$8)^2))</f>
        <v>4511.7867934397436</v>
      </c>
      <c r="W64" s="58">
        <f>((Table3[[#This Row],[score-rt-df]]-MIN(Table3[score-rt-df]))*$G$6)/(MAX(Table3[score-rt-df])-MIN(Table3[score-rt-df]))</f>
        <v>2.9973806292723868E-3</v>
      </c>
      <c r="AY64" t="str">
        <f>Table3[[#This Row],[QW'#]]</f>
        <v>qw159</v>
      </c>
      <c r="AZ64" t="str">
        <f>VLOOKUP(Table10[[#This Row],[QW'#]],Table3[],2,FALSE)</f>
        <v>6484139818c60f4b3207fc1d5f7330b3</v>
      </c>
      <c r="BA64" s="54">
        <f>IF(ABS(VLOOKUP(Table10[[#This Row],[QW'#]],Table3[],7,FALSE)-0)&lt;=$AZ$6,1,0)</f>
        <v>1</v>
      </c>
      <c r="BB64" s="54">
        <f>IF(ABS(VLOOKUP(Table10[[#This Row],[QW'#]],Table3[],22,FALSE)-0)&lt;=$AZ$6,1,0)</f>
        <v>1</v>
      </c>
      <c r="BC64" s="54">
        <f>IF(AND(Table10[[#This Row],[Retrieved]]=0, Table10[[#This Row],[Relevant]]=0),1,0)</f>
        <v>0</v>
      </c>
      <c r="BD64" s="54">
        <f>IF(AND(Table10[[#This Row],[Retrieved]]=0, Table10[[#This Row],[Relevant]]=1),1,0)</f>
        <v>0</v>
      </c>
      <c r="BE64" s="54">
        <f>IF(AND(Table10[[#This Row],[Retrieved]]=1, Table10[[#This Row],[Relevant]]=0),1,0)</f>
        <v>0</v>
      </c>
      <c r="BF64" s="54">
        <f>IF(AND(Table10[[#This Row],[Retrieved]]=1, Table10[[#This Row],[Relevant]]=1),1,0)</f>
        <v>1</v>
      </c>
    </row>
    <row r="65" spans="2:58">
      <c r="B65" s="76" t="s">
        <v>327</v>
      </c>
      <c r="C65" s="10" t="s">
        <v>195</v>
      </c>
      <c r="D65" s="8">
        <f>VLOOKUP(Table3[[#This Row],[MD5]],Input[],3,FALSE)+(Distances!$AA$6*(ABS(Distances!$AD$6-VLOOKUP(Table3[[#This Row],[MD5]],Input[],3,FALSE))*Distances!$AC$6))</f>
        <v>55.98857143</v>
      </c>
      <c r="E65" s="7">
        <f>VLOOKUP(Table3[[#This Row],[MD5]],Input[],4,FALSE)+(Distances!$AA$7*(ABS(Distances!$AD$7-VLOOKUP(Table3[[#This Row],[MD5]],Input[],4,FALSE))*Distances!$AC$7))</f>
        <v>57.466666666666669</v>
      </c>
      <c r="F65" s="7">
        <f>VLOOKUP(Table3[[#This Row],[MD5]],Input[],5,FALSE)+(Distances!$AA$8*(ABS(Distances!$AD$8-VLOOKUP(Table3[[#This Row],[MD5]],Input[],5,FALSE))*Distances!$AC$8))</f>
        <v>52.933333333333337</v>
      </c>
      <c r="G65" s="46">
        <f>SQRT(SUM((Table3[[#This Row],[time]]-Distances!$AD$6)^2,(Table3[[#This Row],[price]]-Distances!$AD$7)^2,(Table3[[#This Row],[energy]]-Distances!$AD$8)^2))</f>
        <v>10.010921202754911</v>
      </c>
      <c r="H65" s="46">
        <f>((Table3[[#This Row],[score-bt]]-MIN(Table3[score-bt]))*$G$6)/(MAX(Table3[score-bt])-MIN(Table3[score-bt]))</f>
        <v>0</v>
      </c>
      <c r="I65" s="8">
        <f>VLOOKUP(Table3[[#This Row],[MD5]],Input[],9,FALSE)+(Distances!$AA$6*(ABS(Distances!$AD$6-VLOOKUP(Table3[[#This Row],[MD5]],Input[],9,FALSE))*Distances!$AC$6))</f>
        <v>-22.91309177290179</v>
      </c>
      <c r="J65" s="7">
        <f>VLOOKUP(Table3[[#This Row],[MD5]],Input[],10,FALSE)+(Distances!$AA$7*(ABS(Distances!$AD$7-VLOOKUP(Table3[[#This Row],[MD5]],Input[],10,FALSE))*Distances!$AC$7))</f>
        <v>-14.657916379166673</v>
      </c>
      <c r="K65" s="7">
        <f>VLOOKUP(Table3[[#This Row],[MD5]],Input[],11,FALSE)+(Distances!$AA$8*(ABS(Distances!$AD$8-VLOOKUP(Table3[[#This Row],[MD5]],Input[],11,FALSE))*Distances!$AC$8))</f>
        <v>-6.7998496792708334</v>
      </c>
      <c r="L65" s="44">
        <f>SQRT(SUM((Table3[[#This Row],[time''2]]-Distances!$AD$6)^2,(Table3[[#This Row],[price''2]]-Distances!$AD$7)^2,(Table3[[#This Row],[energy''2]]-Distances!$AD$8)^2))</f>
        <v>112.79711000715697</v>
      </c>
      <c r="M65" s="44">
        <f>((Table3[[#This Row],[score-rt-partialcf]]-MIN(Table3[score-rt-partialcf]))*$G$6)/(MAX(Table3[score-rt-partialcf])-MIN(Table3[score-rt-partialcf]))</f>
        <v>0.99120542805332912</v>
      </c>
      <c r="N65" s="8">
        <f>VLOOKUP(Table3[[#This Row],[MD5]],Input[],15,FALSE)+(Distances!$AA$6*(ABS(Distances!$AD$6-VLOOKUP(Table3[[#This Row],[MD5]],Input[],15,FALSE))*Distances!$AC$6))</f>
        <v>-23.3098008121875</v>
      </c>
      <c r="O65" s="7">
        <f>VLOOKUP(Table3[[#This Row],[MD5]],Input[],16,FALSE)+(Distances!$AA$7*(ABS(Distances!$AD$7-VLOOKUP(Table3[[#This Row],[MD5]],Input[],16,FALSE))*Distances!$AC$7))</f>
        <v>55.469255602083336</v>
      </c>
      <c r="P65" s="7">
        <f>VLOOKUP(Table3[[#This Row],[MD5]],Input[],17,FALSE)+(Distances!$AA$8*(ABS(Distances!$AD$8-VLOOKUP(Table3[[#This Row],[MD5]],Input[],11,FALSE))*Distances!$AC$8))</f>
        <v>42.337828249895765</v>
      </c>
      <c r="Q65" s="47">
        <f>SQRT(SUM((Table3[[#This Row],[time''3]]-Distances!$AD$6)^2,(Table3[[#This Row],[price''3]]-Distances!$AD$7)^2,(Table3[[#This Row],[energy''3]]-Distances!$AD$8)^2))</f>
        <v>73.911761769637337</v>
      </c>
      <c r="R65" s="47">
        <f>((Table3[[#This Row],[score-rt-fullcf]]-MIN(Table3[score-rt-fullcf]))*$G$6)/(MAX(Table3[score-rt-fullcf])-MIN(Table3[score-rt-fullcf]))</f>
        <v>0.99566547341986877</v>
      </c>
      <c r="S65" s="8">
        <f>VLOOKUP(Table3[[#This Row],[MD5]],Input[],21,FALSE)+(Distances!$AI$6*(ABS(Distances!$L$3-VLOOKUP(Table3[[#This Row],[MD5]],Input[],21,FALSE))*Distances!$AC$6))</f>
        <v>3766.8214699999667</v>
      </c>
      <c r="T65" s="7">
        <f>VLOOKUP(Table3[[#This Row],[MD5]],Input[],22,FALSE)+(Distances!$AI$7*(ABS(Distances!$AB$7-VLOOKUP(Table3[[#This Row],[MD5]],Input[],22,FALSE))*Distances!$AC$7))</f>
        <v>2114.8403074074045</v>
      </c>
      <c r="U65" s="7">
        <f>VLOOKUP(Table3[[#This Row],[MD5]],Input[],23,FALSE)+(Distances!$AI$8*(ABS(Distances!$AD$8-VLOOKUP(Table3[[#This Row],[MD5]],Input[],23,FALSE))*Distances!$AC$8))</f>
        <v>1560.8188805555556</v>
      </c>
      <c r="V65" s="43">
        <f>SQRT(SUM((Table3[[#This Row],[time''4]]-Distances!$AD$6)^2,(Table3[[#This Row],[price''4]]-Distances!$AD$7)^2,(Table3[[#This Row],[energy''4]]-Distances!$AD$8)^2))</f>
        <v>4512.3055110209634</v>
      </c>
      <c r="W65" s="58">
        <f>((Table3[[#This Row],[score-rt-df]]-MIN(Table3[score-rt-df]))*$G$6)/(MAX(Table3[score-rt-df])-MIN(Table3[score-rt-df]))</f>
        <v>2.997807816736287E-3</v>
      </c>
      <c r="AY65" t="str">
        <f>Table3[[#This Row],[QW'#]]</f>
        <v>qw149</v>
      </c>
      <c r="AZ65" t="str">
        <f>VLOOKUP(Table10[[#This Row],[QW'#]],Table3[],2,FALSE)</f>
        <v>75275cd36e753391d1f9dd6d8a76a486</v>
      </c>
      <c r="BA65" s="54">
        <f>IF(ABS(VLOOKUP(Table10[[#This Row],[QW'#]],Table3[],7,FALSE)-0)&lt;=$AZ$6,1,0)</f>
        <v>1</v>
      </c>
      <c r="BB65" s="54">
        <f>IF(ABS(VLOOKUP(Table10[[#This Row],[QW'#]],Table3[],22,FALSE)-0)&lt;=$AZ$6,1,0)</f>
        <v>1</v>
      </c>
      <c r="BC65" s="54">
        <f>IF(AND(Table10[[#This Row],[Retrieved]]=0, Table10[[#This Row],[Relevant]]=0),1,0)</f>
        <v>0</v>
      </c>
      <c r="BD65" s="54">
        <f>IF(AND(Table10[[#This Row],[Retrieved]]=0, Table10[[#This Row],[Relevant]]=1),1,0)</f>
        <v>0</v>
      </c>
      <c r="BE65" s="54">
        <f>IF(AND(Table10[[#This Row],[Retrieved]]=1, Table10[[#This Row],[Relevant]]=0),1,0)</f>
        <v>0</v>
      </c>
      <c r="BF65" s="54">
        <f>IF(AND(Table10[[#This Row],[Retrieved]]=1, Table10[[#This Row],[Relevant]]=1),1,0)</f>
        <v>1</v>
      </c>
    </row>
    <row r="66" spans="2:58">
      <c r="B66" s="76" t="s">
        <v>241</v>
      </c>
      <c r="C66" s="10" t="s">
        <v>109</v>
      </c>
      <c r="D66" s="8">
        <f>VLOOKUP(Table3[[#This Row],[MD5]],Input[],3,FALSE)+(Distances!$AA$6*(ABS(Distances!$AD$6-VLOOKUP(Table3[[#This Row],[MD5]],Input[],3,FALSE))*Distances!$AC$6))</f>
        <v>55.98857143</v>
      </c>
      <c r="E66" s="7">
        <f>VLOOKUP(Table3[[#This Row],[MD5]],Input[],4,FALSE)+(Distances!$AA$7*(ABS(Distances!$AD$7-VLOOKUP(Table3[[#This Row],[MD5]],Input[],4,FALSE))*Distances!$AC$7))</f>
        <v>57.466666666666669</v>
      </c>
      <c r="F66" s="7">
        <f>VLOOKUP(Table3[[#This Row],[MD5]],Input[],5,FALSE)+(Distances!$AA$8*(ABS(Distances!$AD$8-VLOOKUP(Table3[[#This Row],[MD5]],Input[],5,FALSE))*Distances!$AC$8))</f>
        <v>52.933333333333337</v>
      </c>
      <c r="G66" s="46">
        <f>SQRT(SUM((Table3[[#This Row],[time]]-Distances!$AD$6)^2,(Table3[[#This Row],[price]]-Distances!$AD$7)^2,(Table3[[#This Row],[energy]]-Distances!$AD$8)^2))</f>
        <v>10.010921202754911</v>
      </c>
      <c r="H66" s="46">
        <f>((Table3[[#This Row],[score-bt]]-MIN(Table3[score-bt]))*$G$6)/(MAX(Table3[score-bt])-MIN(Table3[score-bt]))</f>
        <v>0</v>
      </c>
      <c r="I66" s="8">
        <f>VLOOKUP(Table3[[#This Row],[MD5]],Input[],9,FALSE)+(Distances!$AA$6*(ABS(Distances!$AD$6-VLOOKUP(Table3[[#This Row],[MD5]],Input[],9,FALSE))*Distances!$AC$6))</f>
        <v>-22.913083401026789</v>
      </c>
      <c r="J66" s="7">
        <f>VLOOKUP(Table3[[#This Row],[MD5]],Input[],10,FALSE)+(Distances!$AA$7*(ABS(Distances!$AD$7-VLOOKUP(Table3[[#This Row],[MD5]],Input[],10,FALSE))*Distances!$AC$7))</f>
        <v>-14.65790529583334</v>
      </c>
      <c r="K66" s="7">
        <f>VLOOKUP(Table3[[#This Row],[MD5]],Input[],11,FALSE)+(Distances!$AA$8*(ABS(Distances!$AD$8-VLOOKUP(Table3[[#This Row],[MD5]],Input[],11,FALSE))*Distances!$AC$8))</f>
        <v>-6.7998412744097214</v>
      </c>
      <c r="L66" s="44">
        <f>SQRT(SUM((Table3[[#This Row],[time''2]]-Distances!$AD$6)^2,(Table3[[#This Row],[price''2]]-Distances!$AD$7)^2,(Table3[[#This Row],[energy''2]]-Distances!$AD$8)^2))</f>
        <v>112.79709400994416</v>
      </c>
      <c r="M66" s="44">
        <f>((Table3[[#This Row],[score-rt-partialcf]]-MIN(Table3[score-rt-partialcf]))*$G$6)/(MAX(Table3[score-rt-partialcf])-MIN(Table3[score-rt-partialcf]))</f>
        <v>0.99120528033443833</v>
      </c>
      <c r="N66" s="8">
        <f>VLOOKUP(Table3[[#This Row],[MD5]],Input[],15,FALSE)+(Distances!$AA$6*(ABS(Distances!$AD$6-VLOOKUP(Table3[[#This Row],[MD5]],Input[],15,FALSE))*Distances!$AC$6))</f>
        <v>-23.3098008121875</v>
      </c>
      <c r="O66" s="7">
        <f>VLOOKUP(Table3[[#This Row],[MD5]],Input[],16,FALSE)+(Distances!$AA$7*(ABS(Distances!$AD$7-VLOOKUP(Table3[[#This Row],[MD5]],Input[],16,FALSE))*Distances!$AC$7))</f>
        <v>55.469255602083336</v>
      </c>
      <c r="P66" s="7">
        <f>VLOOKUP(Table3[[#This Row],[MD5]],Input[],17,FALSE)+(Distances!$AA$8*(ABS(Distances!$AD$8-VLOOKUP(Table3[[#This Row],[MD5]],Input[],11,FALSE))*Distances!$AC$8))</f>
        <v>42.337829450590206</v>
      </c>
      <c r="Q66" s="47">
        <f>SQRT(SUM((Table3[[#This Row],[time''3]]-Distances!$AD$6)^2,(Table3[[#This Row],[price''3]]-Distances!$AD$7)^2,(Table3[[#This Row],[energy''3]]-Distances!$AD$8)^2))</f>
        <v>73.911761645165583</v>
      </c>
      <c r="R66" s="47">
        <f>((Table3[[#This Row],[score-rt-fullcf]]-MIN(Table3[score-rt-fullcf]))*$G$6)/(MAX(Table3[score-rt-fullcf])-MIN(Table3[score-rt-fullcf]))</f>
        <v>0.99566546960348867</v>
      </c>
      <c r="S66" s="8">
        <f>VLOOKUP(Table3[[#This Row],[MD5]],Input[],21,FALSE)+(Distances!$AI$6*(ABS(Distances!$L$3-VLOOKUP(Table3[[#This Row],[MD5]],Input[],21,FALSE))*Distances!$AC$6))</f>
        <v>3766.8214699999667</v>
      </c>
      <c r="T66" s="7">
        <f>VLOOKUP(Table3[[#This Row],[MD5]],Input[],22,FALSE)+(Distances!$AI$7*(ABS(Distances!$AB$7-VLOOKUP(Table3[[#This Row],[MD5]],Input[],22,FALSE))*Distances!$AC$7))</f>
        <v>2114.8403074074045</v>
      </c>
      <c r="U66" s="7">
        <f>VLOOKUP(Table3[[#This Row],[MD5]],Input[],23,FALSE)+(Distances!$AI$8*(ABS(Distances!$AD$8-VLOOKUP(Table3[[#This Row],[MD5]],Input[],23,FALSE))*Distances!$AC$8))</f>
        <v>1560.8188805555556</v>
      </c>
      <c r="V66" s="43">
        <f>SQRT(SUM((Table3[[#This Row],[time''4]]-Distances!$AD$6)^2,(Table3[[#This Row],[price''4]]-Distances!$AD$7)^2,(Table3[[#This Row],[energy''4]]-Distances!$AD$8)^2))</f>
        <v>4512.3055110209634</v>
      </c>
      <c r="W66" s="58">
        <f>((Table3[[#This Row],[score-rt-df]]-MIN(Table3[score-rt-df]))*$G$6)/(MAX(Table3[score-rt-df])-MIN(Table3[score-rt-df]))</f>
        <v>2.997807816736287E-3</v>
      </c>
      <c r="AY66" t="str">
        <f>Table3[[#This Row],[QW'#]]</f>
        <v>qw63</v>
      </c>
      <c r="AZ66" t="str">
        <f>VLOOKUP(Table10[[#This Row],[QW'#]],Table3[],2,FALSE)</f>
        <v>9b379e9d430753e6613f6f02357768c3</v>
      </c>
      <c r="BA66" s="54">
        <f>IF(ABS(VLOOKUP(Table10[[#This Row],[QW'#]],Table3[],7,FALSE)-0)&lt;=$AZ$6,1,0)</f>
        <v>1</v>
      </c>
      <c r="BB66" s="54">
        <f>IF(ABS(VLOOKUP(Table10[[#This Row],[QW'#]],Table3[],22,FALSE)-0)&lt;=$AZ$6,1,0)</f>
        <v>1</v>
      </c>
      <c r="BC66" s="54">
        <f>IF(AND(Table10[[#This Row],[Retrieved]]=0, Table10[[#This Row],[Relevant]]=0),1,0)</f>
        <v>0</v>
      </c>
      <c r="BD66" s="54">
        <f>IF(AND(Table10[[#This Row],[Retrieved]]=0, Table10[[#This Row],[Relevant]]=1),1,0)</f>
        <v>0</v>
      </c>
      <c r="BE66" s="54">
        <f>IF(AND(Table10[[#This Row],[Retrieved]]=1, Table10[[#This Row],[Relevant]]=0),1,0)</f>
        <v>0</v>
      </c>
      <c r="BF66" s="54">
        <f>IF(AND(Table10[[#This Row],[Retrieved]]=1, Table10[[#This Row],[Relevant]]=1),1,0)</f>
        <v>1</v>
      </c>
    </row>
    <row r="67" spans="2:58">
      <c r="B67" s="76" t="s">
        <v>246</v>
      </c>
      <c r="C67" s="10" t="s">
        <v>114</v>
      </c>
      <c r="D67" s="8">
        <f>VLOOKUP(Table3[[#This Row],[MD5]],Input[],3,FALSE)+(Distances!$AA$6*(ABS(Distances!$AD$6-VLOOKUP(Table3[[#This Row],[MD5]],Input[],3,FALSE))*Distances!$AC$6))</f>
        <v>55.98857143</v>
      </c>
      <c r="E67" s="7">
        <f>VLOOKUP(Table3[[#This Row],[MD5]],Input[],4,FALSE)+(Distances!$AA$7*(ABS(Distances!$AD$7-VLOOKUP(Table3[[#This Row],[MD5]],Input[],4,FALSE))*Distances!$AC$7))</f>
        <v>57.466666666666669</v>
      </c>
      <c r="F67" s="7">
        <f>VLOOKUP(Table3[[#This Row],[MD5]],Input[],5,FALSE)+(Distances!$AA$8*(ABS(Distances!$AD$8-VLOOKUP(Table3[[#This Row],[MD5]],Input[],5,FALSE))*Distances!$AC$8))</f>
        <v>52.933333333333337</v>
      </c>
      <c r="G67" s="46">
        <f>SQRT(SUM((Table3[[#This Row],[time]]-Distances!$AD$6)^2,(Table3[[#This Row],[price]]-Distances!$AD$7)^2,(Table3[[#This Row],[energy]]-Distances!$AD$8)^2))</f>
        <v>10.010921202754911</v>
      </c>
      <c r="H67" s="46">
        <f>((Table3[[#This Row],[score-bt]]-MIN(Table3[score-bt]))*$G$6)/(MAX(Table3[score-bt])-MIN(Table3[score-bt]))</f>
        <v>0</v>
      </c>
      <c r="I67" s="8">
        <f>VLOOKUP(Table3[[#This Row],[MD5]],Input[],9,FALSE)+(Distances!$AA$6*(ABS(Distances!$AD$6-VLOOKUP(Table3[[#This Row],[MD5]],Input[],9,FALSE))*Distances!$AC$6))</f>
        <v>-22.913082079151792</v>
      </c>
      <c r="J67" s="7">
        <f>VLOOKUP(Table3[[#This Row],[MD5]],Input[],10,FALSE)+(Distances!$AA$7*(ABS(Distances!$AD$7-VLOOKUP(Table3[[#This Row],[MD5]],Input[],10,FALSE))*Distances!$AC$7))</f>
        <v>-14.65790354583334</v>
      </c>
      <c r="K67" s="7">
        <f>VLOOKUP(Table3[[#This Row],[MD5]],Input[],11,FALSE)+(Distances!$AA$8*(ABS(Distances!$AD$8-VLOOKUP(Table3[[#This Row],[MD5]],Input[],11,FALSE))*Distances!$AC$8))</f>
        <v>-6.7998399473263875</v>
      </c>
      <c r="L67" s="44">
        <f>SQRT(SUM((Table3[[#This Row],[time''2]]-Distances!$AD$6)^2,(Table3[[#This Row],[price''2]]-Distances!$AD$7)^2,(Table3[[#This Row],[energy''2]]-Distances!$AD$8)^2))</f>
        <v>112.79709148406846</v>
      </c>
      <c r="M67" s="44">
        <f>((Table3[[#This Row],[score-rt-partialcf]]-MIN(Table3[score-rt-partialcf]))*$G$6)/(MAX(Table3[score-rt-partialcf])-MIN(Table3[score-rt-partialcf]))</f>
        <v>0.99120525701040296</v>
      </c>
      <c r="N67" s="8">
        <f>VLOOKUP(Table3[[#This Row],[MD5]],Input[],15,FALSE)+(Distances!$AA$6*(ABS(Distances!$AD$6-VLOOKUP(Table3[[#This Row],[MD5]],Input[],15,FALSE))*Distances!$AC$6))</f>
        <v>-23.309796405937508</v>
      </c>
      <c r="O67" s="7">
        <f>VLOOKUP(Table3[[#This Row],[MD5]],Input[],16,FALSE)+(Distances!$AA$7*(ABS(Distances!$AD$7-VLOOKUP(Table3[[#This Row],[MD5]],Input[],16,FALSE))*Distances!$AC$7))</f>
        <v>55.469257060416673</v>
      </c>
      <c r="P67" s="7">
        <f>VLOOKUP(Table3[[#This Row],[MD5]],Input[],17,FALSE)+(Distances!$AA$8*(ABS(Distances!$AD$8-VLOOKUP(Table3[[#This Row],[MD5]],Input[],11,FALSE))*Distances!$AC$8))</f>
        <v>42.337831536006945</v>
      </c>
      <c r="Q67" s="47">
        <f>SQRT(SUM((Table3[[#This Row],[time''3]]-Distances!$AD$6)^2,(Table3[[#This Row],[price''3]]-Distances!$AD$7)^2,(Table3[[#This Row],[energy''3]]-Distances!$AD$8)^2))</f>
        <v>73.911757166526186</v>
      </c>
      <c r="R67" s="47">
        <f>((Table3[[#This Row],[score-rt-fullcf]]-MIN(Table3[score-rt-fullcf]))*$G$6)/(MAX(Table3[score-rt-fullcf])-MIN(Table3[score-rt-fullcf]))</f>
        <v>0.99566533228566356</v>
      </c>
      <c r="S67" s="8">
        <f>VLOOKUP(Table3[[#This Row],[MD5]],Input[],21,FALSE)+(Distances!$AI$6*(ABS(Distances!$L$3-VLOOKUP(Table3[[#This Row],[MD5]],Input[],21,FALSE))*Distances!$AC$6))</f>
        <v>3767.6428033333</v>
      </c>
      <c r="T67" s="7">
        <f>VLOOKUP(Table3[[#This Row],[MD5]],Input[],22,FALSE)+(Distances!$AI$7*(ABS(Distances!$AB$7-VLOOKUP(Table3[[#This Row],[MD5]],Input[],22,FALSE))*Distances!$AC$7))</f>
        <v>2115.03586296296</v>
      </c>
      <c r="U67" s="7">
        <f>VLOOKUP(Table3[[#This Row],[MD5]],Input[],23,FALSE)+(Distances!$AI$8*(ABS(Distances!$AD$8-VLOOKUP(Table3[[#This Row],[MD5]],Input[],23,FALSE))*Distances!$AC$8))</f>
        <v>1560.9655472222223</v>
      </c>
      <c r="V67" s="43">
        <f>SQRT(SUM((Table3[[#This Row],[time''4]]-Distances!$AD$6)^2,(Table3[[#This Row],[price''4]]-Distances!$AD$7)^2,(Table3[[#This Row],[energy''4]]-Distances!$AD$8)^2))</f>
        <v>4513.120651322276</v>
      </c>
      <c r="W67" s="58">
        <f>((Table3[[#This Row],[score-rt-df]]-MIN(Table3[score-rt-df]))*$G$6)/(MAX(Table3[score-rt-df])-MIN(Table3[score-rt-df]))</f>
        <v>2.9984791217597677E-3</v>
      </c>
      <c r="AY67" t="str">
        <f>Table3[[#This Row],[QW'#]]</f>
        <v>qw68</v>
      </c>
      <c r="AZ67" t="str">
        <f>VLOOKUP(Table10[[#This Row],[QW'#]],Table3[],2,FALSE)</f>
        <v>c39672d8981ed20214dec297797ec85b</v>
      </c>
      <c r="BA67" s="54">
        <f>IF(ABS(VLOOKUP(Table10[[#This Row],[QW'#]],Table3[],7,FALSE)-0)&lt;=$AZ$6,1,0)</f>
        <v>1</v>
      </c>
      <c r="BB67" s="54">
        <f>IF(ABS(VLOOKUP(Table10[[#This Row],[QW'#]],Table3[],22,FALSE)-0)&lt;=$AZ$6,1,0)</f>
        <v>1</v>
      </c>
      <c r="BC67" s="54">
        <f>IF(AND(Table10[[#This Row],[Retrieved]]=0, Table10[[#This Row],[Relevant]]=0),1,0)</f>
        <v>0</v>
      </c>
      <c r="BD67" s="54">
        <f>IF(AND(Table10[[#This Row],[Retrieved]]=0, Table10[[#This Row],[Relevant]]=1),1,0)</f>
        <v>0</v>
      </c>
      <c r="BE67" s="54">
        <f>IF(AND(Table10[[#This Row],[Retrieved]]=1, Table10[[#This Row],[Relevant]]=0),1,0)</f>
        <v>0</v>
      </c>
      <c r="BF67" s="54">
        <f>IF(AND(Table10[[#This Row],[Retrieved]]=1, Table10[[#This Row],[Relevant]]=1),1,0)</f>
        <v>1</v>
      </c>
    </row>
    <row r="68" spans="2:58">
      <c r="B68" s="76" t="s">
        <v>251</v>
      </c>
      <c r="C68" s="10" t="s">
        <v>119</v>
      </c>
      <c r="D68" s="8">
        <f>VLOOKUP(Table3[[#This Row],[MD5]],Input[],3,FALSE)+(Distances!$AA$6*(ABS(Distances!$AD$6-VLOOKUP(Table3[[#This Row],[MD5]],Input[],3,FALSE))*Distances!$AC$6))</f>
        <v>55.98857143</v>
      </c>
      <c r="E68" s="7">
        <f>VLOOKUP(Table3[[#This Row],[MD5]],Input[],4,FALSE)+(Distances!$AA$7*(ABS(Distances!$AD$7-VLOOKUP(Table3[[#This Row],[MD5]],Input[],4,FALSE))*Distances!$AC$7))</f>
        <v>57.466666666666669</v>
      </c>
      <c r="F68" s="7">
        <f>VLOOKUP(Table3[[#This Row],[MD5]],Input[],5,FALSE)+(Distances!$AA$8*(ABS(Distances!$AD$8-VLOOKUP(Table3[[#This Row],[MD5]],Input[],5,FALSE))*Distances!$AC$8))</f>
        <v>52.933333333333337</v>
      </c>
      <c r="G68" s="46">
        <f>SQRT(SUM((Table3[[#This Row],[time]]-Distances!$AD$6)^2,(Table3[[#This Row],[price]]-Distances!$AD$7)^2,(Table3[[#This Row],[energy]]-Distances!$AD$8)^2))</f>
        <v>10.010921202754911</v>
      </c>
      <c r="H68" s="46">
        <f>((Table3[[#This Row],[score-bt]]-MIN(Table3[score-bt]))*$G$6)/(MAX(Table3[score-bt])-MIN(Table3[score-bt]))</f>
        <v>0</v>
      </c>
      <c r="I68" s="8">
        <f>VLOOKUP(Table3[[#This Row],[MD5]],Input[],9,FALSE)+(Distances!$AA$6*(ABS(Distances!$AD$6-VLOOKUP(Table3[[#This Row],[MD5]],Input[],9,FALSE))*Distances!$AC$6))</f>
        <v>-22.913089129151789</v>
      </c>
      <c r="J68" s="7">
        <f>VLOOKUP(Table3[[#This Row],[MD5]],Input[],10,FALSE)+(Distances!$AA$7*(ABS(Distances!$AD$7-VLOOKUP(Table3[[#This Row],[MD5]],Input[],10,FALSE))*Distances!$AC$7))</f>
        <v>-14.657912879166675</v>
      </c>
      <c r="K68" s="7">
        <f>VLOOKUP(Table3[[#This Row],[MD5]],Input[],11,FALSE)+(Distances!$AA$8*(ABS(Distances!$AD$8-VLOOKUP(Table3[[#This Row],[MD5]],Input[],11,FALSE))*Distances!$AC$8))</f>
        <v>-6.7998470251041674</v>
      </c>
      <c r="L68" s="44">
        <f>SQRT(SUM((Table3[[#This Row],[time''2]]-Distances!$AD$6)^2,(Table3[[#This Row],[price''2]]-Distances!$AD$7)^2,(Table3[[#This Row],[energy''2]]-Distances!$AD$8)^2))</f>
        <v>112.79710495540554</v>
      </c>
      <c r="M68" s="44">
        <f>((Table3[[#This Row],[score-rt-partialcf]]-MIN(Table3[score-rt-partialcf]))*$G$6)/(MAX(Table3[score-rt-partialcf])-MIN(Table3[score-rt-partialcf]))</f>
        <v>0.99120538140525827</v>
      </c>
      <c r="N68" s="8">
        <f>VLOOKUP(Table3[[#This Row],[MD5]],Input[],15,FALSE)+(Distances!$AA$6*(ABS(Distances!$AD$6-VLOOKUP(Table3[[#This Row],[MD5]],Input[],15,FALSE))*Distances!$AC$6))</f>
        <v>-23.309796405937508</v>
      </c>
      <c r="O68" s="7">
        <f>VLOOKUP(Table3[[#This Row],[MD5]],Input[],16,FALSE)+(Distances!$AA$7*(ABS(Distances!$AD$7-VLOOKUP(Table3[[#This Row],[MD5]],Input[],16,FALSE))*Distances!$AC$7))</f>
        <v>55.469257060416673</v>
      </c>
      <c r="P68" s="7">
        <f>VLOOKUP(Table3[[#This Row],[MD5]],Input[],17,FALSE)+(Distances!$AA$8*(ABS(Distances!$AD$8-VLOOKUP(Table3[[#This Row],[MD5]],Input[],11,FALSE))*Distances!$AC$8))</f>
        <v>42.337830524895836</v>
      </c>
      <c r="Q68" s="47">
        <f>SQRT(SUM((Table3[[#This Row],[time''3]]-Distances!$AD$6)^2,(Table3[[#This Row],[price''3]]-Distances!$AD$7)^2,(Table3[[#This Row],[energy''3]]-Distances!$AD$8)^2))</f>
        <v>73.91175727134447</v>
      </c>
      <c r="R68" s="47">
        <f>((Table3[[#This Row],[score-rt-fullcf]]-MIN(Table3[score-rt-fullcf]))*$G$6)/(MAX(Table3[score-rt-fullcf])-MIN(Table3[score-rt-fullcf]))</f>
        <v>0.99566533549945624</v>
      </c>
      <c r="S68" s="8">
        <f>VLOOKUP(Table3[[#This Row],[MD5]],Input[],21,FALSE)+(Distances!$AI$6*(ABS(Distances!$L$3-VLOOKUP(Table3[[#This Row],[MD5]],Input[],21,FALSE))*Distances!$AC$6))</f>
        <v>3767.6428033333</v>
      </c>
      <c r="T68" s="7">
        <f>VLOOKUP(Table3[[#This Row],[MD5]],Input[],22,FALSE)+(Distances!$AI$7*(ABS(Distances!$AB$7-VLOOKUP(Table3[[#This Row],[MD5]],Input[],22,FALSE))*Distances!$AC$7))</f>
        <v>2115.03586296296</v>
      </c>
      <c r="U68" s="7">
        <f>VLOOKUP(Table3[[#This Row],[MD5]],Input[],23,FALSE)+(Distances!$AI$8*(ABS(Distances!$AD$8-VLOOKUP(Table3[[#This Row],[MD5]],Input[],23,FALSE))*Distances!$AC$8))</f>
        <v>1560.9655472222223</v>
      </c>
      <c r="V68" s="43">
        <f>SQRT(SUM((Table3[[#This Row],[time''4]]-Distances!$AD$6)^2,(Table3[[#This Row],[price''4]]-Distances!$AD$7)^2,(Table3[[#This Row],[energy''4]]-Distances!$AD$8)^2))</f>
        <v>4513.120651322276</v>
      </c>
      <c r="W68" s="58">
        <f>((Table3[[#This Row],[score-rt-df]]-MIN(Table3[score-rt-df]))*$G$6)/(MAX(Table3[score-rt-df])-MIN(Table3[score-rt-df]))</f>
        <v>2.9984791217597677E-3</v>
      </c>
      <c r="AY68" t="str">
        <f>Table3[[#This Row],[QW'#]]</f>
        <v>qw73</v>
      </c>
      <c r="AZ68" t="str">
        <f>VLOOKUP(Table10[[#This Row],[QW'#]],Table3[],2,FALSE)</f>
        <v>6cf17f6364662e35e45a31c5746aad11</v>
      </c>
      <c r="BA68" s="54">
        <f>IF(ABS(VLOOKUP(Table10[[#This Row],[QW'#]],Table3[],7,FALSE)-0)&lt;=$AZ$6,1,0)</f>
        <v>1</v>
      </c>
      <c r="BB68" s="54">
        <f>IF(ABS(VLOOKUP(Table10[[#This Row],[QW'#]],Table3[],22,FALSE)-0)&lt;=$AZ$6,1,0)</f>
        <v>1</v>
      </c>
      <c r="BC68" s="54">
        <f>IF(AND(Table10[[#This Row],[Retrieved]]=0, Table10[[#This Row],[Relevant]]=0),1,0)</f>
        <v>0</v>
      </c>
      <c r="BD68" s="54">
        <f>IF(AND(Table10[[#This Row],[Retrieved]]=0, Table10[[#This Row],[Relevant]]=1),1,0)</f>
        <v>0</v>
      </c>
      <c r="BE68" s="54">
        <f>IF(AND(Table10[[#This Row],[Retrieved]]=1, Table10[[#This Row],[Relevant]]=0),1,0)</f>
        <v>0</v>
      </c>
      <c r="BF68" s="54">
        <f>IF(AND(Table10[[#This Row],[Retrieved]]=1, Table10[[#This Row],[Relevant]]=1),1,0)</f>
        <v>1</v>
      </c>
    </row>
    <row r="69" spans="2:58">
      <c r="B69" s="76" t="s">
        <v>218</v>
      </c>
      <c r="C69" s="10" t="s">
        <v>86</v>
      </c>
      <c r="D69" s="8">
        <f>VLOOKUP(Table3[[#This Row],[MD5]],Input[],3,FALSE)+(Distances!$AA$6*(ABS(Distances!$AD$6-VLOOKUP(Table3[[#This Row],[MD5]],Input[],3,FALSE))*Distances!$AC$6))</f>
        <v>55.98857143</v>
      </c>
      <c r="E69" s="7">
        <f>VLOOKUP(Table3[[#This Row],[MD5]],Input[],4,FALSE)+(Distances!$AA$7*(ABS(Distances!$AD$7-VLOOKUP(Table3[[#This Row],[MD5]],Input[],4,FALSE))*Distances!$AC$7))</f>
        <v>57.466666666666669</v>
      </c>
      <c r="F69" s="7">
        <f>VLOOKUP(Table3[[#This Row],[MD5]],Input[],5,FALSE)+(Distances!$AA$8*(ABS(Distances!$AD$8-VLOOKUP(Table3[[#This Row],[MD5]],Input[],5,FALSE))*Distances!$AC$8))</f>
        <v>52.933333333333337</v>
      </c>
      <c r="G69" s="46">
        <f>SQRT(SUM((Table3[[#This Row],[time]]-Distances!$AD$6)^2,(Table3[[#This Row],[price]]-Distances!$AD$7)^2,(Table3[[#This Row],[energy]]-Distances!$AD$8)^2))</f>
        <v>10.010921202754911</v>
      </c>
      <c r="H69" s="46">
        <f>((Table3[[#This Row],[score-bt]]-MIN(Table3[score-bt]))*$G$6)/(MAX(Table3[score-bt])-MIN(Table3[score-bt]))</f>
        <v>0</v>
      </c>
      <c r="I69" s="8">
        <f>VLOOKUP(Table3[[#This Row],[MD5]],Input[],9,FALSE)+(Distances!$AA$6*(ABS(Distances!$AD$6-VLOOKUP(Table3[[#This Row],[MD5]],Input[],9,FALSE))*Distances!$AC$6))</f>
        <v>-22.87134286102679</v>
      </c>
      <c r="J69" s="7">
        <f>VLOOKUP(Table3[[#This Row],[MD5]],Input[],10,FALSE)+(Distances!$AA$7*(ABS(Distances!$AD$7-VLOOKUP(Table3[[#This Row],[MD5]],Input[],10,FALSE))*Distances!$AC$7))</f>
        <v>-14.605901537500007</v>
      </c>
      <c r="K69" s="7">
        <f>VLOOKUP(Table3[[#This Row],[MD5]],Input[],11,FALSE)+(Distances!$AA$8*(ABS(Distances!$AD$8-VLOOKUP(Table3[[#This Row],[MD5]],Input[],11,FALSE))*Distances!$AC$8))</f>
        <v>-6.7603611339236105</v>
      </c>
      <c r="L69" s="44">
        <f>SQRT(SUM((Table3[[#This Row],[time''2]]-Distances!$AD$6)^2,(Table3[[#This Row],[price''2]]-Distances!$AD$7)^2,(Table3[[#This Row],[energy''2]]-Distances!$AD$8)^2))</f>
        <v>112.72042281634634</v>
      </c>
      <c r="M69" s="44">
        <f>((Table3[[#This Row],[score-rt-partialcf]]-MIN(Table3[score-rt-partialcf]))*$G$6)/(MAX(Table3[score-rt-partialcf])-MIN(Table3[score-rt-partialcf]))</f>
        <v>0.99049729552404897</v>
      </c>
      <c r="N69" s="8">
        <f>VLOOKUP(Table3[[#This Row],[MD5]],Input[],15,FALSE)+(Distances!$AA$6*(ABS(Distances!$AD$6-VLOOKUP(Table3[[#This Row],[MD5]],Input[],15,FALSE))*Distances!$AC$6))</f>
        <v>-23.302507894062511</v>
      </c>
      <c r="O69" s="7">
        <f>VLOOKUP(Table3[[#This Row],[MD5]],Input[],16,FALSE)+(Distances!$AA$7*(ABS(Distances!$AD$7-VLOOKUP(Table3[[#This Row],[MD5]],Input[],16,FALSE))*Distances!$AC$7))</f>
        <v>55.472456731249999</v>
      </c>
      <c r="P69" s="7">
        <f>VLOOKUP(Table3[[#This Row],[MD5]],Input[],17,FALSE)+(Distances!$AA$8*(ABS(Distances!$AD$8-VLOOKUP(Table3[[#This Row],[MD5]],Input[],11,FALSE))*Distances!$AC$8))</f>
        <v>42.347668616076319</v>
      </c>
      <c r="Q69" s="47">
        <f>SQRT(SUM((Table3[[#This Row],[time''3]]-Distances!$AD$6)^2,(Table3[[#This Row],[price''3]]-Distances!$AD$7)^2,(Table3[[#This Row],[energy''3]]-Distances!$AD$8)^2))</f>
        <v>73.903745655033518</v>
      </c>
      <c r="R69" s="47">
        <f>((Table3[[#This Row],[score-rt-fullcf]]-MIN(Table3[score-rt-fullcf]))*$G$6)/(MAX(Table3[score-rt-fullcf])-MIN(Table3[score-rt-fullcf]))</f>
        <v>0.99541969443978084</v>
      </c>
      <c r="S69" s="8">
        <f>VLOOKUP(Table3[[#This Row],[MD5]],Input[],21,FALSE)+(Distances!$AI$6*(ABS(Distances!$L$3-VLOOKUP(Table3[[#This Row],[MD5]],Input[],21,FALSE))*Distances!$AC$6))</f>
        <v>3942.0289366666334</v>
      </c>
      <c r="T69" s="7">
        <f>VLOOKUP(Table3[[#This Row],[MD5]],Input[],22,FALSE)+(Distances!$AI$7*(ABS(Distances!$AB$7-VLOOKUP(Table3[[#This Row],[MD5]],Input[],22,FALSE))*Distances!$AC$7))</f>
        <v>2199.2918629629603</v>
      </c>
      <c r="U69" s="7">
        <f>VLOOKUP(Table3[[#This Row],[MD5]],Input[],23,FALSE)+(Distances!$AI$8*(ABS(Distances!$AD$8-VLOOKUP(Table3[[#This Row],[MD5]],Input[],23,FALSE))*Distances!$AC$8))</f>
        <v>1622.5913250000001</v>
      </c>
      <c r="V69" s="43">
        <f>SQRT(SUM((Table3[[#This Row],[time''4]]-Distances!$AD$6)^2,(Table3[[#This Row],[price''4]]-Distances!$AD$7)^2,(Table3[[#This Row],[energy''4]]-Distances!$AD$8)^2))</f>
        <v>4715.9716105500947</v>
      </c>
      <c r="W69" s="58">
        <f>((Table3[[#This Row],[score-rt-df]]-MIN(Table3[score-rt-df]))*$G$6)/(MAX(Table3[score-rt-df])-MIN(Table3[score-rt-df]))</f>
        <v>3.1655360906376459E-3</v>
      </c>
      <c r="AY69" t="str">
        <f>Table3[[#This Row],[QW'#]]</f>
        <v>qw40</v>
      </c>
      <c r="AZ69" t="str">
        <f>VLOOKUP(Table10[[#This Row],[QW'#]],Table3[],2,FALSE)</f>
        <v>4ea4cbfec370e410afaea16c670a342b</v>
      </c>
      <c r="BA69" s="54">
        <f>IF(ABS(VLOOKUP(Table10[[#This Row],[QW'#]],Table3[],7,FALSE)-0)&lt;=$AZ$6,1,0)</f>
        <v>1</v>
      </c>
      <c r="BB69" s="54">
        <f>IF(ABS(VLOOKUP(Table10[[#This Row],[QW'#]],Table3[],22,FALSE)-0)&lt;=$AZ$6,1,0)</f>
        <v>1</v>
      </c>
      <c r="BC69" s="54">
        <f>IF(AND(Table10[[#This Row],[Retrieved]]=0, Table10[[#This Row],[Relevant]]=0),1,0)</f>
        <v>0</v>
      </c>
      <c r="BD69" s="54">
        <f>IF(AND(Table10[[#This Row],[Retrieved]]=0, Table10[[#This Row],[Relevant]]=1),1,0)</f>
        <v>0</v>
      </c>
      <c r="BE69" s="54">
        <f>IF(AND(Table10[[#This Row],[Retrieved]]=1, Table10[[#This Row],[Relevant]]=0),1,0)</f>
        <v>0</v>
      </c>
      <c r="BF69" s="54">
        <f>IF(AND(Table10[[#This Row],[Retrieved]]=1, Table10[[#This Row],[Relevant]]=1),1,0)</f>
        <v>1</v>
      </c>
    </row>
    <row r="70" spans="2:58">
      <c r="B70" s="76" t="s">
        <v>15</v>
      </c>
      <c r="C70" s="10" t="s">
        <v>53</v>
      </c>
      <c r="D70" s="8">
        <f>VLOOKUP(Table3[[#This Row],[MD5]],Input[],3,FALSE)+(Distances!$AA$6*(ABS(Distances!$AD$6-VLOOKUP(Table3[[#This Row],[MD5]],Input[],3,FALSE))*Distances!$AC$6))</f>
        <v>55.98857143</v>
      </c>
      <c r="E70" s="7">
        <f>VLOOKUP(Table3[[#This Row],[MD5]],Input[],4,FALSE)+(Distances!$AA$7*(ABS(Distances!$AD$7-VLOOKUP(Table3[[#This Row],[MD5]],Input[],4,FALSE))*Distances!$AC$7))</f>
        <v>57.466666666666669</v>
      </c>
      <c r="F70" s="7">
        <f>VLOOKUP(Table3[[#This Row],[MD5]],Input[],5,FALSE)+(Distances!$AA$8*(ABS(Distances!$AD$8-VLOOKUP(Table3[[#This Row],[MD5]],Input[],5,FALSE))*Distances!$AC$8))</f>
        <v>52.933333333333337</v>
      </c>
      <c r="G70" s="46">
        <f>SQRT(SUM((Table3[[#This Row],[time]]-Distances!$AD$6)^2,(Table3[[#This Row],[price]]-Distances!$AD$7)^2,(Table3[[#This Row],[energy]]-Distances!$AD$8)^2))</f>
        <v>10.010921202754911</v>
      </c>
      <c r="H70" s="46">
        <f>((Table3[[#This Row],[score-bt]]-MIN(Table3[score-bt]))*$G$6)/(MAX(Table3[score-bt])-MIN(Table3[score-bt]))</f>
        <v>0</v>
      </c>
      <c r="I70" s="8">
        <f>VLOOKUP(Table3[[#This Row],[MD5]],Input[],9,FALSE)+(Distances!$AA$6*(ABS(Distances!$AD$6-VLOOKUP(Table3[[#This Row],[MD5]],Input[],9,FALSE))*Distances!$AC$6))</f>
        <v>-22.871335811026793</v>
      </c>
      <c r="J70" s="7">
        <f>VLOOKUP(Table3[[#This Row],[MD5]],Input[],10,FALSE)+(Distances!$AA$7*(ABS(Distances!$AD$7-VLOOKUP(Table3[[#This Row],[MD5]],Input[],10,FALSE))*Distances!$AC$7))</f>
        <v>-14.605892204166675</v>
      </c>
      <c r="K70" s="7">
        <f>VLOOKUP(Table3[[#This Row],[MD5]],Input[],11,FALSE)+(Distances!$AA$8*(ABS(Distances!$AD$8-VLOOKUP(Table3[[#This Row],[MD5]],Input[],11,FALSE))*Distances!$AC$8))</f>
        <v>-6.7603540561458324</v>
      </c>
      <c r="L70" s="44">
        <f>SQRT(SUM((Table3[[#This Row],[time''2]]-Distances!$AD$6)^2,(Table3[[#This Row],[price''2]]-Distances!$AD$7)^2,(Table3[[#This Row],[energy''2]]-Distances!$AD$8)^2))</f>
        <v>112.72040934524178</v>
      </c>
      <c r="M70" s="44">
        <f>((Table3[[#This Row],[score-rt-partialcf]]-MIN(Table3[score-rt-partialcf]))*$G$6)/(MAX(Table3[score-rt-partialcf])-MIN(Table3[score-rt-partialcf]))</f>
        <v>0.99049717113134084</v>
      </c>
      <c r="N70" s="8">
        <f>VLOOKUP(Table3[[#This Row],[MD5]],Input[],15,FALSE)+(Distances!$AA$6*(ABS(Distances!$AD$6-VLOOKUP(Table3[[#This Row],[MD5]],Input[],15,FALSE))*Distances!$AC$6))</f>
        <v>-23.302503487812501</v>
      </c>
      <c r="O70" s="7">
        <f>VLOOKUP(Table3[[#This Row],[MD5]],Input[],16,FALSE)+(Distances!$AA$7*(ABS(Distances!$AD$7-VLOOKUP(Table3[[#This Row],[MD5]],Input[],16,FALSE))*Distances!$AC$7))</f>
        <v>55.472458189583328</v>
      </c>
      <c r="P70" s="7">
        <f>VLOOKUP(Table3[[#This Row],[MD5]],Input[],17,FALSE)+(Distances!$AA$8*(ABS(Distances!$AD$8-VLOOKUP(Table3[[#This Row],[MD5]],Input[],11,FALSE))*Distances!$AC$8))</f>
        <v>42.347671523020843</v>
      </c>
      <c r="Q70" s="47">
        <f>SQRT(SUM((Table3[[#This Row],[time''3]]-Distances!$AD$6)^2,(Table3[[#This Row],[price''3]]-Distances!$AD$7)^2,(Table3[[#This Row],[energy''3]]-Distances!$AD$8)^2))</f>
        <v>73.903741091619224</v>
      </c>
      <c r="R70" s="47">
        <f>((Table3[[#This Row],[score-rt-fullcf]]-MIN(Table3[score-rt-fullcf]))*$G$6)/(MAX(Table3[score-rt-fullcf])-MIN(Table3[score-rt-fullcf]))</f>
        <v>0.99541955452270547</v>
      </c>
      <c r="S70" s="8">
        <f>VLOOKUP(Table3[[#This Row],[MD5]],Input[],21,FALSE)+(Distances!$AI$6*(ABS(Distances!$L$3-VLOOKUP(Table3[[#This Row],[MD5]],Input[],21,FALSE))*Distances!$AC$6))</f>
        <v>3942.5516033332997</v>
      </c>
      <c r="T70" s="7">
        <f>VLOOKUP(Table3[[#This Row],[MD5]],Input[],22,FALSE)+(Distances!$AI$7*(ABS(Distances!$AB$7-VLOOKUP(Table3[[#This Row],[MD5]],Input[],22,FALSE))*Distances!$AC$7))</f>
        <v>2199.4163074074045</v>
      </c>
      <c r="U70" s="7">
        <f>VLOOKUP(Table3[[#This Row],[MD5]],Input[],23,FALSE)+(Distances!$AI$8*(ABS(Distances!$AD$8-VLOOKUP(Table3[[#This Row],[MD5]],Input[],23,FALSE))*Distances!$AC$8))</f>
        <v>1622.6846583333336</v>
      </c>
      <c r="V70" s="43">
        <f>SQRT(SUM((Table3[[#This Row],[time''4]]-Distances!$AD$6)^2,(Table3[[#This Row],[price''4]]-Distances!$AD$7)^2,(Table3[[#This Row],[energy''4]]-Distances!$AD$8)^2))</f>
        <v>4716.4908016149629</v>
      </c>
      <c r="W70" s="58">
        <f>((Table3[[#This Row],[score-rt-df]]-MIN(Table3[score-rt-df]))*$G$6)/(MAX(Table3[score-rt-df])-MIN(Table3[score-rt-df]))</f>
        <v>3.1659636680368137E-3</v>
      </c>
      <c r="AY70" t="str">
        <f>Table3[[#This Row],[QW'#]]</f>
        <v>qw7</v>
      </c>
      <c r="AZ70" t="str">
        <f>VLOOKUP(Table10[[#This Row],[QW'#]],Table3[],2,FALSE)</f>
        <v>4fd5b16daed1c26c2bc7204aa3dd35e6</v>
      </c>
      <c r="BA70" s="54">
        <f>IF(ABS(VLOOKUP(Table10[[#This Row],[QW'#]],Table3[],7,FALSE)-0)&lt;=$AZ$6,1,0)</f>
        <v>1</v>
      </c>
      <c r="BB70" s="54">
        <f>IF(ABS(VLOOKUP(Table10[[#This Row],[QW'#]],Table3[],22,FALSE)-0)&lt;=$AZ$6,1,0)</f>
        <v>1</v>
      </c>
      <c r="BC70" s="54">
        <f>IF(AND(Table10[[#This Row],[Retrieved]]=0, Table10[[#This Row],[Relevant]]=0),1,0)</f>
        <v>0</v>
      </c>
      <c r="BD70" s="54">
        <f>IF(AND(Table10[[#This Row],[Retrieved]]=0, Table10[[#This Row],[Relevant]]=1),1,0)</f>
        <v>0</v>
      </c>
      <c r="BE70" s="54">
        <f>IF(AND(Table10[[#This Row],[Retrieved]]=1, Table10[[#This Row],[Relevant]]=0),1,0)</f>
        <v>0</v>
      </c>
      <c r="BF70" s="54">
        <f>IF(AND(Table10[[#This Row],[Retrieved]]=1, Table10[[#This Row],[Relevant]]=1),1,0)</f>
        <v>1</v>
      </c>
    </row>
    <row r="71" spans="2:58">
      <c r="B71" s="76" t="s">
        <v>297</v>
      </c>
      <c r="C71" s="10" t="s">
        <v>165</v>
      </c>
      <c r="D71" s="8">
        <f>VLOOKUP(Table3[[#This Row],[MD5]],Input[],3,FALSE)+(Distances!$AA$6*(ABS(Distances!$AD$6-VLOOKUP(Table3[[#This Row],[MD5]],Input[],3,FALSE))*Distances!$AC$6))</f>
        <v>55.98857143</v>
      </c>
      <c r="E71" s="7">
        <f>VLOOKUP(Table3[[#This Row],[MD5]],Input[],4,FALSE)+(Distances!$AA$7*(ABS(Distances!$AD$7-VLOOKUP(Table3[[#This Row],[MD5]],Input[],4,FALSE))*Distances!$AC$7))</f>
        <v>57.466666666666669</v>
      </c>
      <c r="F71" s="7">
        <f>VLOOKUP(Table3[[#This Row],[MD5]],Input[],5,FALSE)+(Distances!$AA$8*(ABS(Distances!$AD$8-VLOOKUP(Table3[[#This Row],[MD5]],Input[],5,FALSE))*Distances!$AC$8))</f>
        <v>52.933333333333337</v>
      </c>
      <c r="G71" s="46">
        <f>SQRT(SUM((Table3[[#This Row],[time]]-Distances!$AD$6)^2,(Table3[[#This Row],[price]]-Distances!$AD$7)^2,(Table3[[#This Row],[energy]]-Distances!$AD$8)^2))</f>
        <v>10.010921202754911</v>
      </c>
      <c r="H71" s="46">
        <f>((Table3[[#This Row],[score-bt]]-MIN(Table3[score-bt]))*$G$6)/(MAX(Table3[score-bt])-MIN(Table3[score-bt]))</f>
        <v>0</v>
      </c>
      <c r="I71" s="8">
        <f>VLOOKUP(Table3[[#This Row],[MD5]],Input[],9,FALSE)+(Distances!$AA$6*(ABS(Distances!$AD$6-VLOOKUP(Table3[[#This Row],[MD5]],Input[],9,FALSE))*Distances!$AC$6))</f>
        <v>-22.86570499258929</v>
      </c>
      <c r="J71" s="7">
        <f>VLOOKUP(Table3[[#This Row],[MD5]],Input[],10,FALSE)+(Distances!$AA$7*(ABS(Distances!$AD$7-VLOOKUP(Table3[[#This Row],[MD5]],Input[],10,FALSE))*Distances!$AC$7))</f>
        <v>-14.601517116666663</v>
      </c>
      <c r="K71" s="7">
        <f>VLOOKUP(Table3[[#This Row],[MD5]],Input[],11,FALSE)+(Distances!$AA$8*(ABS(Distances!$AD$8-VLOOKUP(Table3[[#This Row],[MD5]],Input[],11,FALSE))*Distances!$AC$8))</f>
        <v>-6.7569947029166659</v>
      </c>
      <c r="L71" s="44">
        <f>SQRT(SUM((Table3[[#This Row],[time''2]]-Distances!$AD$6)^2,(Table3[[#This Row],[price''2]]-Distances!$AD$7)^2,(Table3[[#This Row],[energy''2]]-Distances!$AD$8)^2))</f>
        <v>112.71256995361669</v>
      </c>
      <c r="M71" s="44">
        <f>((Table3[[#This Row],[score-rt-partialcf]]-MIN(Table3[score-rt-partialcf]))*$G$6)/(MAX(Table3[score-rt-partialcf])-MIN(Table3[score-rt-partialcf]))</f>
        <v>0.99042478188144378</v>
      </c>
      <c r="N71" s="8">
        <f>VLOOKUP(Table3[[#This Row],[MD5]],Input[],15,FALSE)+(Distances!$AA$6*(ABS(Distances!$AD$6-VLOOKUP(Table3[[#This Row],[MD5]],Input[],15,FALSE))*Distances!$AC$6))</f>
        <v>-23.295605431875011</v>
      </c>
      <c r="O71" s="7">
        <f>VLOOKUP(Table3[[#This Row],[MD5]],Input[],16,FALSE)+(Distances!$AA$7*(ABS(Distances!$AD$7-VLOOKUP(Table3[[#This Row],[MD5]],Input[],16,FALSE))*Distances!$AC$7))</f>
        <v>55.480141025000002</v>
      </c>
      <c r="P71" s="7">
        <f>VLOOKUP(Table3[[#This Row],[MD5]],Input[],17,FALSE)+(Distances!$AA$8*(ABS(Distances!$AD$8-VLOOKUP(Table3[[#This Row],[MD5]],Input[],11,FALSE))*Distances!$AC$8))</f>
        <v>42.358174755416663</v>
      </c>
      <c r="Q71" s="47">
        <f>SQRT(SUM((Table3[[#This Row],[time''3]]-Distances!$AD$6)^2,(Table3[[#This Row],[price''3]]-Distances!$AD$7)^2,(Table3[[#This Row],[energy''3]]-Distances!$AD$8)^2))</f>
        <v>73.89638160524332</v>
      </c>
      <c r="R71" s="47">
        <f>((Table3[[#This Row],[score-rt-fullcf]]-MIN(Table3[score-rt-fullcf]))*$G$6)/(MAX(Table3[score-rt-fullcf])-MIN(Table3[score-rt-fullcf]))</f>
        <v>0.99519390816598063</v>
      </c>
      <c r="S71" s="8">
        <f>VLOOKUP(Table3[[#This Row],[MD5]],Input[],21,FALSE)+(Distances!$AI$6*(ABS(Distances!$L$3-VLOOKUP(Table3[[#This Row],[MD5]],Input[],21,FALSE))*Distances!$AC$6))</f>
        <v>4168.1992033332999</v>
      </c>
      <c r="T71" s="7">
        <f>VLOOKUP(Table3[[#This Row],[MD5]],Input[],22,FALSE)+(Distances!$AI$7*(ABS(Distances!$AB$7-VLOOKUP(Table3[[#This Row],[MD5]],Input[],22,FALSE))*Distances!$AC$7))</f>
        <v>2575.246085185182</v>
      </c>
      <c r="U71" s="7">
        <f>VLOOKUP(Table3[[#This Row],[MD5]],Input[],23,FALSE)+(Distances!$AI$8*(ABS(Distances!$AD$8-VLOOKUP(Table3[[#This Row],[MD5]],Input[],23,FALSE))*Distances!$AC$8))</f>
        <v>1902.5412138888889</v>
      </c>
      <c r="V71" s="43">
        <f>SQRT(SUM((Table3[[#This Row],[time''4]]-Distances!$AD$6)^2,(Table3[[#This Row],[price''4]]-Distances!$AD$7)^2,(Table3[[#This Row],[energy''4]]-Distances!$AD$8)^2))</f>
        <v>5173.8130443837099</v>
      </c>
      <c r="W71" s="58">
        <f>((Table3[[#This Row],[score-rt-df]]-MIN(Table3[score-rt-df]))*$G$6)/(MAX(Table3[score-rt-df])-MIN(Table3[score-rt-df]))</f>
        <v>3.5425892850326768E-3</v>
      </c>
      <c r="AY71" t="str">
        <f>Table3[[#This Row],[QW'#]]</f>
        <v>qw119</v>
      </c>
      <c r="AZ71" t="str">
        <f>VLOOKUP(Table10[[#This Row],[QW'#]],Table3[],2,FALSE)</f>
        <v>adf81a3b223fd18b9608d48f8fffc1e7</v>
      </c>
      <c r="BA71" s="54">
        <f>IF(ABS(VLOOKUP(Table10[[#This Row],[QW'#]],Table3[],7,FALSE)-0)&lt;=$AZ$6,1,0)</f>
        <v>1</v>
      </c>
      <c r="BB71" s="54">
        <f>IF(ABS(VLOOKUP(Table10[[#This Row],[QW'#]],Table3[],22,FALSE)-0)&lt;=$AZ$6,1,0)</f>
        <v>0</v>
      </c>
      <c r="BC71" s="54">
        <f>IF(AND(Table10[[#This Row],[Retrieved]]=0, Table10[[#This Row],[Relevant]]=0),1,0)</f>
        <v>0</v>
      </c>
      <c r="BD71" s="54">
        <f>IF(AND(Table10[[#This Row],[Retrieved]]=0, Table10[[#This Row],[Relevant]]=1),1,0)</f>
        <v>0</v>
      </c>
      <c r="BE71" s="54">
        <f>IF(AND(Table10[[#This Row],[Retrieved]]=1, Table10[[#This Row],[Relevant]]=0),1,0)</f>
        <v>1</v>
      </c>
      <c r="BF71" s="54">
        <f>IF(AND(Table10[[#This Row],[Retrieved]]=1, Table10[[#This Row],[Relevant]]=1),1,0)</f>
        <v>0</v>
      </c>
    </row>
    <row r="72" spans="2:58">
      <c r="B72" s="76" t="s">
        <v>19</v>
      </c>
      <c r="C72" s="10" t="s">
        <v>57</v>
      </c>
      <c r="D72" s="8">
        <f>VLOOKUP(Table3[[#This Row],[MD5]],Input[],3,FALSE)+(Distances!$AA$6*(ABS(Distances!$AD$6-VLOOKUP(Table3[[#This Row],[MD5]],Input[],3,FALSE))*Distances!$AC$6))</f>
        <v>55.98857143</v>
      </c>
      <c r="E72" s="7">
        <f>VLOOKUP(Table3[[#This Row],[MD5]],Input[],4,FALSE)+(Distances!$AA$7*(ABS(Distances!$AD$7-VLOOKUP(Table3[[#This Row],[MD5]],Input[],4,FALSE))*Distances!$AC$7))</f>
        <v>57.466666666666669</v>
      </c>
      <c r="F72" s="7">
        <f>VLOOKUP(Table3[[#This Row],[MD5]],Input[],5,FALSE)+(Distances!$AA$8*(ABS(Distances!$AD$8-VLOOKUP(Table3[[#This Row],[MD5]],Input[],5,FALSE))*Distances!$AC$8))</f>
        <v>52.933333333333337</v>
      </c>
      <c r="G72" s="46">
        <f>SQRT(SUM((Table3[[#This Row],[time]]-Distances!$AD$6)^2,(Table3[[#This Row],[price]]-Distances!$AD$7)^2,(Table3[[#This Row],[energy]]-Distances!$AD$8)^2))</f>
        <v>10.010921202754911</v>
      </c>
      <c r="H72" s="46">
        <f>((Table3[[#This Row],[score-bt]]-MIN(Table3[score-bt]))*$G$6)/(MAX(Table3[score-bt])-MIN(Table3[score-bt]))</f>
        <v>0</v>
      </c>
      <c r="I72" s="8">
        <f>VLOOKUP(Table3[[#This Row],[MD5]],Input[],9,FALSE)+(Distances!$AA$6*(ABS(Distances!$AD$6-VLOOKUP(Table3[[#This Row],[MD5]],Input[],9,FALSE))*Distances!$AC$6))</f>
        <v>-22.865696620714289</v>
      </c>
      <c r="J72" s="7">
        <f>VLOOKUP(Table3[[#This Row],[MD5]],Input[],10,FALSE)+(Distances!$AA$7*(ABS(Distances!$AD$7-VLOOKUP(Table3[[#This Row],[MD5]],Input[],10,FALSE))*Distances!$AC$7))</f>
        <v>-14.60150603333334</v>
      </c>
      <c r="K72" s="7">
        <f>VLOOKUP(Table3[[#This Row],[MD5]],Input[],11,FALSE)+(Distances!$AA$8*(ABS(Distances!$AD$8-VLOOKUP(Table3[[#This Row],[MD5]],Input[],11,FALSE))*Distances!$AC$8))</f>
        <v>-6.7569862980555557</v>
      </c>
      <c r="L72" s="44">
        <f>SQRT(SUM((Table3[[#This Row],[time''2]]-Distances!$AD$6)^2,(Table3[[#This Row],[price''2]]-Distances!$AD$7)^2,(Table3[[#This Row],[energy''2]]-Distances!$AD$8)^2))</f>
        <v>112.71255395666644</v>
      </c>
      <c r="M72" s="44">
        <f>((Table3[[#This Row],[score-rt-partialcf]]-MIN(Table3[score-rt-partialcf]))*$G$6)/(MAX(Table3[score-rt-partialcf])-MIN(Table3[score-rt-partialcf]))</f>
        <v>0.99042463416497739</v>
      </c>
      <c r="N72" s="8">
        <f>VLOOKUP(Table3[[#This Row],[MD5]],Input[],15,FALSE)+(Distances!$AA$6*(ABS(Distances!$AD$6-VLOOKUP(Table3[[#This Row],[MD5]],Input[],15,FALSE))*Distances!$AC$6))</f>
        <v>-23.295596619374997</v>
      </c>
      <c r="O72" s="7">
        <f>VLOOKUP(Table3[[#This Row],[MD5]],Input[],16,FALSE)+(Distances!$AA$7*(ABS(Distances!$AD$7-VLOOKUP(Table3[[#This Row],[MD5]],Input[],16,FALSE))*Distances!$AC$7))</f>
        <v>55.480143941666668</v>
      </c>
      <c r="P72" s="7">
        <f>VLOOKUP(Table3[[#This Row],[MD5]],Input[],17,FALSE)+(Distances!$AA$8*(ABS(Distances!$AD$8-VLOOKUP(Table3[[#This Row],[MD5]],Input[],11,FALSE))*Distances!$AC$8))</f>
        <v>42.358179747777776</v>
      </c>
      <c r="Q72" s="47">
        <f>SQRT(SUM((Table3[[#This Row],[time''3]]-Distances!$AD$6)^2,(Table3[[#This Row],[price''3]]-Distances!$AD$7)^2,(Table3[[#This Row],[energy''3]]-Distances!$AD$8)^2))</f>
        <v>73.896372564414804</v>
      </c>
      <c r="R72" s="47">
        <f>((Table3[[#This Row],[score-rt-fullcf]]-MIN(Table3[score-rt-fullcf]))*$G$6)/(MAX(Table3[score-rt-fullcf])-MIN(Table3[score-rt-fullcf]))</f>
        <v>0.99519363096864488</v>
      </c>
      <c r="S72" s="8">
        <f>VLOOKUP(Table3[[#This Row],[MD5]],Input[],21,FALSE)+(Distances!$AI$6*(ABS(Distances!$L$3-VLOOKUP(Table3[[#This Row],[MD5]],Input[],21,FALSE))*Distances!$AC$6))</f>
        <v>4169.5432033333</v>
      </c>
      <c r="T72" s="7">
        <f>VLOOKUP(Table3[[#This Row],[MD5]],Input[],22,FALSE)+(Distances!$AI$7*(ABS(Distances!$AB$7-VLOOKUP(Table3[[#This Row],[MD5]],Input[],22,FALSE))*Distances!$AC$7))</f>
        <v>2575.5660851851821</v>
      </c>
      <c r="U72" s="7">
        <f>VLOOKUP(Table3[[#This Row],[MD5]],Input[],23,FALSE)+(Distances!$AI$8*(ABS(Distances!$AD$8-VLOOKUP(Table3[[#This Row],[MD5]],Input[],23,FALSE))*Distances!$AC$8))</f>
        <v>1902.7812138888889</v>
      </c>
      <c r="V72" s="43">
        <f>SQRT(SUM((Table3[[#This Row],[time''4]]-Distances!$AD$6)^2,(Table3[[#This Row],[price''4]]-Distances!$AD$7)^2,(Table3[[#This Row],[energy''4]]-Distances!$AD$8)^2))</f>
        <v>5175.1249725303041</v>
      </c>
      <c r="W72" s="58">
        <f>((Table3[[#This Row],[score-rt-df]]-MIN(Table3[score-rt-df]))*$G$6)/(MAX(Table3[score-rt-df])-MIN(Table3[score-rt-df]))</f>
        <v>3.5436697173874951E-3</v>
      </c>
      <c r="AY72" t="str">
        <f>Table3[[#This Row],[QW'#]]</f>
        <v>qw11</v>
      </c>
      <c r="AZ72" t="str">
        <f>VLOOKUP(Table10[[#This Row],[QW'#]],Table3[],2,FALSE)</f>
        <v>b5e6ade5de09cf971cde12d6940d2efa</v>
      </c>
      <c r="BA72" s="54">
        <f>IF(ABS(VLOOKUP(Table10[[#This Row],[QW'#]],Table3[],7,FALSE)-0)&lt;=$AZ$6,1,0)</f>
        <v>1</v>
      </c>
      <c r="BB72" s="54">
        <f>IF(ABS(VLOOKUP(Table10[[#This Row],[QW'#]],Table3[],22,FALSE)-0)&lt;=$AZ$6,1,0)</f>
        <v>0</v>
      </c>
      <c r="BC72" s="54">
        <f>IF(AND(Table10[[#This Row],[Retrieved]]=0, Table10[[#This Row],[Relevant]]=0),1,0)</f>
        <v>0</v>
      </c>
      <c r="BD72" s="54">
        <f>IF(AND(Table10[[#This Row],[Retrieved]]=0, Table10[[#This Row],[Relevant]]=1),1,0)</f>
        <v>0</v>
      </c>
      <c r="BE72" s="54">
        <f>IF(AND(Table10[[#This Row],[Retrieved]]=1, Table10[[#This Row],[Relevant]]=0),1,0)</f>
        <v>1</v>
      </c>
      <c r="BF72" s="54">
        <f>IF(AND(Table10[[#This Row],[Retrieved]]=1, Table10[[#This Row],[Relevant]]=1),1,0)</f>
        <v>0</v>
      </c>
    </row>
    <row r="73" spans="2:58">
      <c r="B73" s="76" t="s">
        <v>328</v>
      </c>
      <c r="C73" s="10" t="s">
        <v>196</v>
      </c>
      <c r="D73" s="8">
        <f>VLOOKUP(Table3[[#This Row],[MD5]],Input[],3,FALSE)+(Distances!$AA$6*(ABS(Distances!$AD$6-VLOOKUP(Table3[[#This Row],[MD5]],Input[],3,FALSE))*Distances!$AC$6))</f>
        <v>55.98857143</v>
      </c>
      <c r="E73" s="7">
        <f>VLOOKUP(Table3[[#This Row],[MD5]],Input[],4,FALSE)+(Distances!$AA$7*(ABS(Distances!$AD$7-VLOOKUP(Table3[[#This Row],[MD5]],Input[],4,FALSE))*Distances!$AC$7))</f>
        <v>57.466666666666669</v>
      </c>
      <c r="F73" s="7">
        <f>VLOOKUP(Table3[[#This Row],[MD5]],Input[],5,FALSE)+(Distances!$AA$8*(ABS(Distances!$AD$8-VLOOKUP(Table3[[#This Row],[MD5]],Input[],5,FALSE))*Distances!$AC$8))</f>
        <v>52.933333333333337</v>
      </c>
      <c r="G73" s="46">
        <f>SQRT(SUM((Table3[[#This Row],[time]]-Distances!$AD$6)^2,(Table3[[#This Row],[price]]-Distances!$AD$7)^2,(Table3[[#This Row],[energy]]-Distances!$AD$8)^2))</f>
        <v>10.010921202754911</v>
      </c>
      <c r="H73" s="46">
        <f>((Table3[[#This Row],[score-bt]]-MIN(Table3[score-bt]))*$G$6)/(MAX(Table3[score-bt])-MIN(Table3[score-bt]))</f>
        <v>0</v>
      </c>
      <c r="I73" s="8">
        <f>VLOOKUP(Table3[[#This Row],[MD5]],Input[],9,FALSE)+(Distances!$AA$6*(ABS(Distances!$AD$6-VLOOKUP(Table3[[#This Row],[MD5]],Input[],9,FALSE))*Distances!$AC$6))</f>
        <v>-22.857867183214289</v>
      </c>
      <c r="J73" s="7">
        <f>VLOOKUP(Table3[[#This Row],[MD5]],Input[],10,FALSE)+(Distances!$AA$7*(ABS(Distances!$AD$7-VLOOKUP(Table3[[#This Row],[MD5]],Input[],10,FALSE))*Distances!$AC$7))</f>
        <v>-14.594157491666673</v>
      </c>
      <c r="K73" s="7">
        <f>VLOOKUP(Table3[[#This Row],[MD5]],Input[],11,FALSE)+(Distances!$AA$8*(ABS(Distances!$AD$8-VLOOKUP(Table3[[#This Row],[MD5]],Input[],11,FALSE))*Distances!$AC$8))</f>
        <v>-6.7513729227083328</v>
      </c>
      <c r="L73" s="44">
        <f>SQRT(SUM((Table3[[#This Row],[time''2]]-Distances!$AD$6)^2,(Table3[[#This Row],[price''2]]-Distances!$AD$7)^2,(Table3[[#This Row],[energy''2]]-Distances!$AD$8)^2))</f>
        <v>112.70045395275676</v>
      </c>
      <c r="M73" s="44">
        <f>((Table3[[#This Row],[score-rt-partialcf]]-MIN(Table3[score-rt-partialcf]))*$G$6)/(MAX(Table3[score-rt-partialcf])-MIN(Table3[score-rt-partialcf]))</f>
        <v>0.99031290225405089</v>
      </c>
      <c r="N73" s="8">
        <f>VLOOKUP(Table3[[#This Row],[MD5]],Input[],15,FALSE)+(Distances!$AA$6*(ABS(Distances!$AD$6-VLOOKUP(Table3[[#This Row],[MD5]],Input[],15,FALSE))*Distances!$AC$6))</f>
        <v>-23.288839222500002</v>
      </c>
      <c r="O73" s="7">
        <f>VLOOKUP(Table3[[#This Row],[MD5]],Input[],16,FALSE)+(Distances!$AA$7*(ABS(Distances!$AD$7-VLOOKUP(Table3[[#This Row],[MD5]],Input[],16,FALSE))*Distances!$AC$7))</f>
        <v>55.482179045833334</v>
      </c>
      <c r="P73" s="7">
        <f>VLOOKUP(Table3[[#This Row],[MD5]],Input[],17,FALSE)+(Distances!$AA$8*(ABS(Distances!$AD$8-VLOOKUP(Table3[[#This Row],[MD5]],Input[],11,FALSE))*Distances!$AC$8))</f>
        <v>42.36166220645827</v>
      </c>
      <c r="Q73" s="47">
        <f>SQRT(SUM((Table3[[#This Row],[time''3]]-Distances!$AD$6)^2,(Table3[[#This Row],[price''3]]-Distances!$AD$7)^2,(Table3[[#This Row],[energy''3]]-Distances!$AD$8)^2))</f>
        <v>73.889460993569827</v>
      </c>
      <c r="R73" s="47">
        <f>((Table3[[#This Row],[score-rt-fullcf]]-MIN(Table3[score-rt-fullcf]))*$G$6)/(MAX(Table3[score-rt-fullcf])-MIN(Table3[score-rt-fullcf]))</f>
        <v>0.9949817179762489</v>
      </c>
      <c r="S73" s="8">
        <f>VLOOKUP(Table3[[#This Row],[MD5]],Input[],21,FALSE)+(Distances!$AI$6*(ABS(Distances!$L$3-VLOOKUP(Table3[[#This Row],[MD5]],Input[],21,FALSE))*Distances!$AC$6))</f>
        <v>4307.6504033332994</v>
      </c>
      <c r="T73" s="7">
        <f>VLOOKUP(Table3[[#This Row],[MD5]],Input[],22,FALSE)+(Distances!$AI$7*(ABS(Distances!$AB$7-VLOOKUP(Table3[[#This Row],[MD5]],Input[],22,FALSE))*Distances!$AC$7))</f>
        <v>2592.7056407407381</v>
      </c>
      <c r="U73" s="7">
        <f>VLOOKUP(Table3[[#This Row],[MD5]],Input[],23,FALSE)+(Distances!$AI$8*(ABS(Distances!$AD$8-VLOOKUP(Table3[[#This Row],[MD5]],Input[],23,FALSE))*Distances!$AC$8))</f>
        <v>1914.3976583333335</v>
      </c>
      <c r="V73" s="43">
        <f>SQRT(SUM((Table3[[#This Row],[time''4]]-Distances!$AD$6)^2,(Table3[[#This Row],[price''4]]-Distances!$AD$7)^2,(Table3[[#This Row],[energy''4]]-Distances!$AD$8)^2))</f>
        <v>5298.0107173219076</v>
      </c>
      <c r="W73" s="58">
        <f>((Table3[[#This Row],[score-rt-df]]-MIN(Table3[score-rt-df]))*$G$6)/(MAX(Table3[score-rt-df])-MIN(Table3[score-rt-df]))</f>
        <v>3.6448717039165805E-3</v>
      </c>
      <c r="AY73" t="str">
        <f>Table3[[#This Row],[QW'#]]</f>
        <v>qw150</v>
      </c>
      <c r="AZ73" t="str">
        <f>VLOOKUP(Table10[[#This Row],[QW'#]],Table3[],2,FALSE)</f>
        <v>6bf306c7f8eaecc65552fe7ee1eae2db</v>
      </c>
      <c r="BA73" s="54">
        <f>IF(ABS(VLOOKUP(Table10[[#This Row],[QW'#]],Table3[],7,FALSE)-0)&lt;=$AZ$6,1,0)</f>
        <v>1</v>
      </c>
      <c r="BB73" s="54">
        <f>IF(ABS(VLOOKUP(Table10[[#This Row],[QW'#]],Table3[],22,FALSE)-0)&lt;=$AZ$6,1,0)</f>
        <v>0</v>
      </c>
      <c r="BC73" s="54">
        <f>IF(AND(Table10[[#This Row],[Retrieved]]=0, Table10[[#This Row],[Relevant]]=0),1,0)</f>
        <v>0</v>
      </c>
      <c r="BD73" s="54">
        <f>IF(AND(Table10[[#This Row],[Retrieved]]=0, Table10[[#This Row],[Relevant]]=1),1,0)</f>
        <v>0</v>
      </c>
      <c r="BE73" s="54">
        <f>IF(AND(Table10[[#This Row],[Retrieved]]=1, Table10[[#This Row],[Relevant]]=0),1,0)</f>
        <v>1</v>
      </c>
      <c r="BF73" s="54">
        <f>IF(AND(Table10[[#This Row],[Retrieved]]=1, Table10[[#This Row],[Relevant]]=1),1,0)</f>
        <v>0</v>
      </c>
    </row>
    <row r="74" spans="2:58">
      <c r="B74" s="76" t="s">
        <v>16</v>
      </c>
      <c r="C74" s="10" t="s">
        <v>54</v>
      </c>
      <c r="D74" s="8">
        <f>VLOOKUP(Table3[[#This Row],[MD5]],Input[],3,FALSE)+(Distances!$AA$6*(ABS(Distances!$AD$6-VLOOKUP(Table3[[#This Row],[MD5]],Input[],3,FALSE))*Distances!$AC$6))</f>
        <v>55.98857143</v>
      </c>
      <c r="E74" s="7">
        <f>VLOOKUP(Table3[[#This Row],[MD5]],Input[],4,FALSE)+(Distances!$AA$7*(ABS(Distances!$AD$7-VLOOKUP(Table3[[#This Row],[MD5]],Input[],4,FALSE))*Distances!$AC$7))</f>
        <v>57.466666666666669</v>
      </c>
      <c r="F74" s="7">
        <f>VLOOKUP(Table3[[#This Row],[MD5]],Input[],5,FALSE)+(Distances!$AA$8*(ABS(Distances!$AD$8-VLOOKUP(Table3[[#This Row],[MD5]],Input[],5,FALSE))*Distances!$AC$8))</f>
        <v>52.933333333333337</v>
      </c>
      <c r="G74" s="46">
        <f>SQRT(SUM((Table3[[#This Row],[time]]-Distances!$AD$6)^2,(Table3[[#This Row],[price]]-Distances!$AD$7)^2,(Table3[[#This Row],[energy]]-Distances!$AD$8)^2))</f>
        <v>10.010921202754911</v>
      </c>
      <c r="H74" s="46">
        <f>((Table3[[#This Row],[score-bt]]-MIN(Table3[score-bt]))*$G$6)/(MAX(Table3[score-bt])-MIN(Table3[score-bt]))</f>
        <v>0</v>
      </c>
      <c r="I74" s="8">
        <f>VLOOKUP(Table3[[#This Row],[MD5]],Input[],9,FALSE)+(Distances!$AA$6*(ABS(Distances!$AD$6-VLOOKUP(Table3[[#This Row],[MD5]],Input[],9,FALSE))*Distances!$AC$6))</f>
        <v>-22.857865861339292</v>
      </c>
      <c r="J74" s="7">
        <f>VLOOKUP(Table3[[#This Row],[MD5]],Input[],10,FALSE)+(Distances!$AA$7*(ABS(Distances!$AD$7-VLOOKUP(Table3[[#This Row],[MD5]],Input[],10,FALSE))*Distances!$AC$7))</f>
        <v>-14.594155741666674</v>
      </c>
      <c r="K74" s="7">
        <f>VLOOKUP(Table3[[#This Row],[MD5]],Input[],11,FALSE)+(Distances!$AA$8*(ABS(Distances!$AD$8-VLOOKUP(Table3[[#This Row],[MD5]],Input[],11,FALSE))*Distances!$AC$8))</f>
        <v>-6.7513715956250007</v>
      </c>
      <c r="L74" s="44">
        <f>SQRT(SUM((Table3[[#This Row],[time''2]]-Distances!$AD$6)^2,(Table3[[#This Row],[price''2]]-Distances!$AD$7)^2,(Table3[[#This Row],[energy''2]]-Distances!$AD$8)^2))</f>
        <v>112.70045142692335</v>
      </c>
      <c r="M74" s="44">
        <f>((Table3[[#This Row],[score-rt-partialcf]]-MIN(Table3[score-rt-partialcf]))*$G$6)/(MAX(Table3[score-rt-partialcf])-MIN(Table3[score-rt-partialcf]))</f>
        <v>0.99031287893040609</v>
      </c>
      <c r="N74" s="8">
        <f>VLOOKUP(Table3[[#This Row],[MD5]],Input[],15,FALSE)+(Distances!$AA$6*(ABS(Distances!$AD$6-VLOOKUP(Table3[[#This Row],[MD5]],Input[],15,FALSE))*Distances!$AC$6))</f>
        <v>-23.288834816250002</v>
      </c>
      <c r="O74" s="7">
        <f>VLOOKUP(Table3[[#This Row],[MD5]],Input[],16,FALSE)+(Distances!$AA$7*(ABS(Distances!$AD$7-VLOOKUP(Table3[[#This Row],[MD5]],Input[],16,FALSE))*Distances!$AC$7))</f>
        <v>55.482180504166671</v>
      </c>
      <c r="P74" s="7">
        <f>VLOOKUP(Table3[[#This Row],[MD5]],Input[],17,FALSE)+(Distances!$AA$8*(ABS(Distances!$AD$8-VLOOKUP(Table3[[#This Row],[MD5]],Input[],11,FALSE))*Distances!$AC$8))</f>
        <v>42.361664291875002</v>
      </c>
      <c r="Q74" s="47">
        <f>SQRT(SUM((Table3[[#This Row],[time''3]]-Distances!$AD$6)^2,(Table3[[#This Row],[price''3]]-Distances!$AD$7)^2,(Table3[[#This Row],[energy''3]]-Distances!$AD$8)^2))</f>
        <v>73.889456515756436</v>
      </c>
      <c r="R74" s="47">
        <f>((Table3[[#This Row],[score-rt-fullcf]]-MIN(Table3[score-rt-fullcf]))*$G$6)/(MAX(Table3[score-rt-fullcf])-MIN(Table3[score-rt-fullcf]))</f>
        <v>0.99498158068374964</v>
      </c>
      <c r="S74" s="8">
        <f>VLOOKUP(Table3[[#This Row],[MD5]],Input[],21,FALSE)+(Distances!$AI$6*(ABS(Distances!$L$3-VLOOKUP(Table3[[#This Row],[MD5]],Input[],21,FALSE))*Distances!$AC$6))</f>
        <v>4308.4717366666328</v>
      </c>
      <c r="T74" s="7">
        <f>VLOOKUP(Table3[[#This Row],[MD5]],Input[],22,FALSE)+(Distances!$AI$7*(ABS(Distances!$AB$7-VLOOKUP(Table3[[#This Row],[MD5]],Input[],22,FALSE))*Distances!$AC$7))</f>
        <v>2592.9011962962932</v>
      </c>
      <c r="U74" s="7">
        <f>VLOOKUP(Table3[[#This Row],[MD5]],Input[],23,FALSE)+(Distances!$AI$8*(ABS(Distances!$AD$8-VLOOKUP(Table3[[#This Row],[MD5]],Input[],23,FALSE))*Distances!$AC$8))</f>
        <v>1914.5443250000003</v>
      </c>
      <c r="V74" s="43">
        <f>SQRT(SUM((Table3[[#This Row],[time''4]]-Distances!$AD$6)^2,(Table3[[#This Row],[price''4]]-Distances!$AD$7)^2,(Table3[[#This Row],[energy''4]]-Distances!$AD$8)^2))</f>
        <v>5298.8162419547398</v>
      </c>
      <c r="W74" s="58">
        <f>((Table3[[#This Row],[score-rt-df]]-MIN(Table3[score-rt-df]))*$G$6)/(MAX(Table3[score-rt-df])-MIN(Table3[score-rt-df]))</f>
        <v>3.6455350900007756E-3</v>
      </c>
      <c r="AY74" t="str">
        <f>Table3[[#This Row],[QW'#]]</f>
        <v>qw8</v>
      </c>
      <c r="AZ74" t="str">
        <f>VLOOKUP(Table10[[#This Row],[QW'#]],Table3[],2,FALSE)</f>
        <v>9dd069a89346ba5ce68b3ea461ee14b1</v>
      </c>
      <c r="BA74" s="54">
        <f>IF(ABS(VLOOKUP(Table10[[#This Row],[QW'#]],Table3[],7,FALSE)-0)&lt;=$AZ$6,1,0)</f>
        <v>1</v>
      </c>
      <c r="BB74" s="54">
        <f>IF(ABS(VLOOKUP(Table10[[#This Row],[QW'#]],Table3[],22,FALSE)-0)&lt;=$AZ$6,1,0)</f>
        <v>0</v>
      </c>
      <c r="BC74" s="54">
        <f>IF(AND(Table10[[#This Row],[Retrieved]]=0, Table10[[#This Row],[Relevant]]=0),1,0)</f>
        <v>0</v>
      </c>
      <c r="BD74" s="54">
        <f>IF(AND(Table10[[#This Row],[Retrieved]]=0, Table10[[#This Row],[Relevant]]=1),1,0)</f>
        <v>0</v>
      </c>
      <c r="BE74" s="54">
        <f>IF(AND(Table10[[#This Row],[Retrieved]]=1, Table10[[#This Row],[Relevant]]=0),1,0)</f>
        <v>1</v>
      </c>
      <c r="BF74" s="54">
        <f>IF(AND(Table10[[#This Row],[Retrieved]]=1, Table10[[#This Row],[Relevant]]=1),1,0)</f>
        <v>0</v>
      </c>
    </row>
    <row r="75" spans="2:58">
      <c r="B75" s="76" t="s">
        <v>326</v>
      </c>
      <c r="C75" s="10" t="s">
        <v>194</v>
      </c>
      <c r="D75" s="8">
        <f>VLOOKUP(Table3[[#This Row],[MD5]],Input[],3,FALSE)+(Distances!$AA$6*(ABS(Distances!$AD$6-VLOOKUP(Table3[[#This Row],[MD5]],Input[],3,FALSE))*Distances!$AC$6))</f>
        <v>55.98857143</v>
      </c>
      <c r="E75" s="7">
        <f>VLOOKUP(Table3[[#This Row],[MD5]],Input[],4,FALSE)+(Distances!$AA$7*(ABS(Distances!$AD$7-VLOOKUP(Table3[[#This Row],[MD5]],Input[],4,FALSE))*Distances!$AC$7))</f>
        <v>57.466666666666669</v>
      </c>
      <c r="F75" s="7">
        <f>VLOOKUP(Table3[[#This Row],[MD5]],Input[],5,FALSE)+(Distances!$AA$8*(ABS(Distances!$AD$8-VLOOKUP(Table3[[#This Row],[MD5]],Input[],5,FALSE))*Distances!$AC$8))</f>
        <v>52.933333333333337</v>
      </c>
      <c r="G75" s="46">
        <f>SQRT(SUM((Table3[[#This Row],[time]]-Distances!$AD$6)^2,(Table3[[#This Row],[price]]-Distances!$AD$7)^2,(Table3[[#This Row],[energy]]-Distances!$AD$8)^2))</f>
        <v>10.010921202754911</v>
      </c>
      <c r="H75" s="46">
        <f>((Table3[[#This Row],[score-bt]]-MIN(Table3[score-bt]))*$G$6)/(MAX(Table3[score-bt])-MIN(Table3[score-bt]))</f>
        <v>0</v>
      </c>
      <c r="I75" s="8">
        <f>VLOOKUP(Table3[[#This Row],[MD5]],Input[],9,FALSE)+(Distances!$AA$6*(ABS(Distances!$AD$6-VLOOKUP(Table3[[#This Row],[MD5]],Input[],9,FALSE))*Distances!$AC$6))</f>
        <v>28.312229462410695</v>
      </c>
      <c r="J75" s="7">
        <f>VLOOKUP(Table3[[#This Row],[MD5]],Input[],10,FALSE)+(Distances!$AA$7*(ABS(Distances!$AD$7-VLOOKUP(Table3[[#This Row],[MD5]],Input[],10,FALSE))*Distances!$AC$7))</f>
        <v>30.326943941666581</v>
      </c>
      <c r="K75" s="7">
        <f>VLOOKUP(Table3[[#This Row],[MD5]],Input[],11,FALSE)+(Distances!$AA$8*(ABS(Distances!$AD$8-VLOOKUP(Table3[[#This Row],[MD5]],Input[],11,FALSE))*Distances!$AC$8))</f>
        <v>27.621937011736033</v>
      </c>
      <c r="L75" s="44">
        <f>SQRT(SUM((Table3[[#This Row],[time''2]]-Distances!$AD$6)^2,(Table3[[#This Row],[price''2]]-Distances!$AD$7)^2,(Table3[[#This Row],[energy''2]]-Distances!$AD$8)^2))</f>
        <v>36.853306889235398</v>
      </c>
      <c r="M75" s="44">
        <f>((Table3[[#This Row],[score-rt-partialcf]]-MIN(Table3[score-rt-partialcf]))*$G$6)/(MAX(Table3[score-rt-partialcf])-MIN(Table3[score-rt-partialcf]))</f>
        <v>0.2899373698994116</v>
      </c>
      <c r="N75" s="8">
        <f>VLOOKUP(Table3[[#This Row],[MD5]],Input[],15,FALSE)+(Distances!$AA$6*(ABS(Distances!$AD$6-VLOOKUP(Table3[[#This Row],[MD5]],Input[],15,FALSE))*Distances!$AC$6))</f>
        <v>27.865764355714198</v>
      </c>
      <c r="O75" s="7">
        <f>VLOOKUP(Table3[[#This Row],[MD5]],Input[],16,FALSE)+(Distances!$AA$7*(ABS(Distances!$AD$7-VLOOKUP(Table3[[#This Row],[MD5]],Input[],16,FALSE))*Distances!$AC$7))</f>
        <v>75.717948699999553</v>
      </c>
      <c r="P75" s="7">
        <f>VLOOKUP(Table3[[#This Row],[MD5]],Input[],17,FALSE)+(Distances!$AA$8*(ABS(Distances!$AD$8-VLOOKUP(Table3[[#This Row],[MD5]],Input[],11,FALSE))*Distances!$AC$8))</f>
        <v>73.842756759652104</v>
      </c>
      <c r="Q75" s="47">
        <f>SQRT(SUM((Table3[[#This Row],[time''3]]-Distances!$AD$6)^2,(Table3[[#This Row],[price''3]]-Distances!$AD$7)^2,(Table3[[#This Row],[energy''3]]-Distances!$AD$8)^2))</f>
        <v>41.470644108724876</v>
      </c>
      <c r="R75" s="47">
        <f>((Table3[[#This Row],[score-rt-fullcf]]-MIN(Table3[score-rt-fullcf]))*$G$6)/(MAX(Table3[score-rt-fullcf])-MIN(Table3[score-rt-fullcf]))</f>
        <v>1.0009500592561551E-3</v>
      </c>
      <c r="S75" s="8">
        <f>VLOOKUP(Table3[[#This Row],[MD5]],Input[],21,FALSE)+(Distances!$AI$6*(ABS(Distances!$L$3-VLOOKUP(Table3[[#This Row],[MD5]],Input[],21,FALSE))*Distances!$AC$6))</f>
        <v>424369.20460333332</v>
      </c>
      <c r="T75" s="7">
        <f>VLOOKUP(Table3[[#This Row],[MD5]],Input[],22,FALSE)+(Distances!$AI$7*(ABS(Distances!$AB$7-VLOOKUP(Table3[[#This Row],[MD5]],Input[],22,FALSE))*Distances!$AC$7))</f>
        <v>166991.39223333335</v>
      </c>
      <c r="U75" s="7">
        <f>VLOOKUP(Table3[[#This Row],[MD5]],Input[],23,FALSE)+(Distances!$AI$8*(ABS(Distances!$AD$8-VLOOKUP(Table3[[#This Row],[MD5]],Input[],23,FALSE))*Distances!$AC$8))</f>
        <v>121469.54382499945</v>
      </c>
      <c r="V75" s="43">
        <f>SQRT(SUM((Table3[[#This Row],[time''4]]-Distances!$AD$6)^2,(Table3[[#This Row],[price''4]]-Distances!$AD$7)^2,(Table3[[#This Row],[energy''4]]-Distances!$AD$8)^2))</f>
        <v>471867.48294270085</v>
      </c>
      <c r="W75" s="58">
        <f>((Table3[[#This Row],[score-rt-df]]-MIN(Table3[score-rt-df]))*$G$6)/(MAX(Table3[score-rt-df])-MIN(Table3[score-rt-df]))</f>
        <v>0.3878860017317306</v>
      </c>
      <c r="AY75" t="str">
        <f>Table3[[#This Row],[QW'#]]</f>
        <v>qw148</v>
      </c>
      <c r="AZ75" t="str">
        <f>VLOOKUP(Table10[[#This Row],[QW'#]],Table3[],2,FALSE)</f>
        <v>130d17fd2a9d69eac5d5b9b77b0121c7</v>
      </c>
      <c r="BA75" s="54">
        <f>IF(ABS(VLOOKUP(Table10[[#This Row],[QW'#]],Table3[],7,FALSE)-0)&lt;=$AZ$6,1,0)</f>
        <v>1</v>
      </c>
      <c r="BB75" s="54">
        <f>IF(ABS(VLOOKUP(Table10[[#This Row],[QW'#]],Table3[],22,FALSE)-0)&lt;=$AZ$6,1,0)</f>
        <v>0</v>
      </c>
      <c r="BC75" s="54">
        <f>IF(AND(Table10[[#This Row],[Retrieved]]=0, Table10[[#This Row],[Relevant]]=0),1,0)</f>
        <v>0</v>
      </c>
      <c r="BD75" s="54">
        <f>IF(AND(Table10[[#This Row],[Retrieved]]=0, Table10[[#This Row],[Relevant]]=1),1,0)</f>
        <v>0</v>
      </c>
      <c r="BE75" s="54">
        <f>IF(AND(Table10[[#This Row],[Retrieved]]=1, Table10[[#This Row],[Relevant]]=0),1,0)</f>
        <v>1</v>
      </c>
      <c r="BF75" s="54">
        <f>IF(AND(Table10[[#This Row],[Retrieved]]=1, Table10[[#This Row],[Relevant]]=1),1,0)</f>
        <v>0</v>
      </c>
    </row>
    <row r="76" spans="2:58">
      <c r="B76" s="76" t="s">
        <v>331</v>
      </c>
      <c r="C76" s="10" t="s">
        <v>199</v>
      </c>
      <c r="D76" s="8">
        <f>VLOOKUP(Table3[[#This Row],[MD5]],Input[],3,FALSE)+(Distances!$AA$6*(ABS(Distances!$AD$6-VLOOKUP(Table3[[#This Row],[MD5]],Input[],3,FALSE))*Distances!$AC$6))</f>
        <v>55.98857143</v>
      </c>
      <c r="E76" s="7">
        <f>VLOOKUP(Table3[[#This Row],[MD5]],Input[],4,FALSE)+(Distances!$AA$7*(ABS(Distances!$AD$7-VLOOKUP(Table3[[#This Row],[MD5]],Input[],4,FALSE))*Distances!$AC$7))</f>
        <v>57.466666666666669</v>
      </c>
      <c r="F76" s="7">
        <f>VLOOKUP(Table3[[#This Row],[MD5]],Input[],5,FALSE)+(Distances!$AA$8*(ABS(Distances!$AD$8-VLOOKUP(Table3[[#This Row],[MD5]],Input[],5,FALSE))*Distances!$AC$8))</f>
        <v>52.933333333333337</v>
      </c>
      <c r="G76" s="46">
        <f>SQRT(SUM((Table3[[#This Row],[time]]-Distances!$AD$6)^2,(Table3[[#This Row],[price]]-Distances!$AD$7)^2,(Table3[[#This Row],[energy]]-Distances!$AD$8)^2))</f>
        <v>10.010921202754911</v>
      </c>
      <c r="H76" s="46">
        <f>((Table3[[#This Row],[score-bt]]-MIN(Table3[score-bt]))*$G$6)/(MAX(Table3[score-bt])-MIN(Table3[score-bt]))</f>
        <v>0</v>
      </c>
      <c r="I76" s="8">
        <f>VLOOKUP(Table3[[#This Row],[MD5]],Input[],9,FALSE)+(Distances!$AA$6*(ABS(Distances!$AD$6-VLOOKUP(Table3[[#This Row],[MD5]],Input[],9,FALSE))*Distances!$AC$6))</f>
        <v>28.312230784285699</v>
      </c>
      <c r="J76" s="7">
        <f>VLOOKUP(Table3[[#This Row],[MD5]],Input[],10,FALSE)+(Distances!$AA$7*(ABS(Distances!$AD$7-VLOOKUP(Table3[[#This Row],[MD5]],Input[],10,FALSE))*Distances!$AC$7))</f>
        <v>30.326945691666577</v>
      </c>
      <c r="K76" s="7">
        <f>VLOOKUP(Table3[[#This Row],[MD5]],Input[],11,FALSE)+(Distances!$AA$8*(ABS(Distances!$AD$8-VLOOKUP(Table3[[#This Row],[MD5]],Input[],11,FALSE))*Distances!$AC$8))</f>
        <v>27.621938338819369</v>
      </c>
      <c r="L76" s="44">
        <f>SQRT(SUM((Table3[[#This Row],[time''2]]-Distances!$AD$6)^2,(Table3[[#This Row],[price''2]]-Distances!$AD$7)^2,(Table3[[#This Row],[energy''2]]-Distances!$AD$8)^2))</f>
        <v>36.853304371308738</v>
      </c>
      <c r="M76" s="44">
        <f>((Table3[[#This Row],[score-rt-partialcf]]-MIN(Table3[score-rt-partialcf]))*$G$6)/(MAX(Table3[score-rt-partialcf])-MIN(Table3[score-rt-partialcf]))</f>
        <v>0.28993734664877802</v>
      </c>
      <c r="N76" s="8">
        <f>VLOOKUP(Table3[[#This Row],[MD5]],Input[],15,FALSE)+(Distances!$AA$6*(ABS(Distances!$AD$6-VLOOKUP(Table3[[#This Row],[MD5]],Input[],15,FALSE))*Distances!$AC$6))</f>
        <v>27.865764355714198</v>
      </c>
      <c r="O76" s="7">
        <f>VLOOKUP(Table3[[#This Row],[MD5]],Input[],16,FALSE)+(Distances!$AA$7*(ABS(Distances!$AD$7-VLOOKUP(Table3[[#This Row],[MD5]],Input[],16,FALSE))*Distances!$AC$7))</f>
        <v>75.717948699999553</v>
      </c>
      <c r="P76" s="7">
        <f>VLOOKUP(Table3[[#This Row],[MD5]],Input[],17,FALSE)+(Distances!$AA$8*(ABS(Distances!$AD$8-VLOOKUP(Table3[[#This Row],[MD5]],Input[],11,FALSE))*Distances!$AC$8))</f>
        <v>73.842756949235437</v>
      </c>
      <c r="Q76" s="47">
        <f>SQRT(SUM((Table3[[#This Row],[time''3]]-Distances!$AD$6)^2,(Table3[[#This Row],[price''3]]-Distances!$AD$7)^2,(Table3[[#This Row],[energy''3]]-Distances!$AD$8)^2))</f>
        <v>41.470644217722196</v>
      </c>
      <c r="R76" s="47">
        <f>((Table3[[#This Row],[score-rt-fullcf]]-MIN(Table3[score-rt-fullcf]))*$G$6)/(MAX(Table3[score-rt-fullcf])-MIN(Table3[score-rt-fullcf]))</f>
        <v>1.0009534011806872E-3</v>
      </c>
      <c r="S76" s="8">
        <f>VLOOKUP(Table3[[#This Row],[MD5]],Input[],21,FALSE)+(Distances!$AI$6*(ABS(Distances!$L$3-VLOOKUP(Table3[[#This Row],[MD5]],Input[],21,FALSE))*Distances!$AC$6))</f>
        <v>424369.20460333332</v>
      </c>
      <c r="T76" s="7">
        <f>VLOOKUP(Table3[[#This Row],[MD5]],Input[],22,FALSE)+(Distances!$AI$7*(ABS(Distances!$AB$7-VLOOKUP(Table3[[#This Row],[MD5]],Input[],22,FALSE))*Distances!$AC$7))</f>
        <v>166991.39223333335</v>
      </c>
      <c r="U76" s="7">
        <f>VLOOKUP(Table3[[#This Row],[MD5]],Input[],23,FALSE)+(Distances!$AI$8*(ABS(Distances!$AD$8-VLOOKUP(Table3[[#This Row],[MD5]],Input[],23,FALSE))*Distances!$AC$8))</f>
        <v>121469.54382499945</v>
      </c>
      <c r="V76" s="43">
        <f>SQRT(SUM((Table3[[#This Row],[time''4]]-Distances!$AD$6)^2,(Table3[[#This Row],[price''4]]-Distances!$AD$7)^2,(Table3[[#This Row],[energy''4]]-Distances!$AD$8)^2))</f>
        <v>471867.48294270085</v>
      </c>
      <c r="W76" s="58">
        <f>((Table3[[#This Row],[score-rt-df]]-MIN(Table3[score-rt-df]))*$G$6)/(MAX(Table3[score-rt-df])-MIN(Table3[score-rt-df]))</f>
        <v>0.3878860017317306</v>
      </c>
      <c r="AY76" t="str">
        <f>Table3[[#This Row],[QW'#]]</f>
        <v>qw153</v>
      </c>
      <c r="AZ76" t="str">
        <f>VLOOKUP(Table10[[#This Row],[QW'#]],Table3[],2,FALSE)</f>
        <v>3243ca7fc3072e7c39e963bdeadaf735</v>
      </c>
      <c r="BA76" s="54">
        <f>IF(ABS(VLOOKUP(Table10[[#This Row],[QW'#]],Table3[],7,FALSE)-0)&lt;=$AZ$6,1,0)</f>
        <v>1</v>
      </c>
      <c r="BB76" s="54">
        <f>IF(ABS(VLOOKUP(Table10[[#This Row],[QW'#]],Table3[],22,FALSE)-0)&lt;=$AZ$6,1,0)</f>
        <v>0</v>
      </c>
      <c r="BC76" s="54">
        <f>IF(AND(Table10[[#This Row],[Retrieved]]=0, Table10[[#This Row],[Relevant]]=0),1,0)</f>
        <v>0</v>
      </c>
      <c r="BD76" s="54">
        <f>IF(AND(Table10[[#This Row],[Retrieved]]=0, Table10[[#This Row],[Relevant]]=1),1,0)</f>
        <v>0</v>
      </c>
      <c r="BE76" s="54">
        <f>IF(AND(Table10[[#This Row],[Retrieved]]=1, Table10[[#This Row],[Relevant]]=0),1,0)</f>
        <v>1</v>
      </c>
      <c r="BF76" s="54">
        <f>IF(AND(Table10[[#This Row],[Retrieved]]=1, Table10[[#This Row],[Relevant]]=1),1,0)</f>
        <v>0</v>
      </c>
    </row>
    <row r="77" spans="2:58">
      <c r="B77" s="76" t="s">
        <v>35</v>
      </c>
      <c r="C77" s="10" t="s">
        <v>73</v>
      </c>
      <c r="D77" s="8">
        <f>VLOOKUP(Table3[[#This Row],[MD5]],Input[],3,FALSE)+(Distances!$AA$6*(ABS(Distances!$AD$6-VLOOKUP(Table3[[#This Row],[MD5]],Input[],3,FALSE))*Distances!$AC$6))</f>
        <v>55.98857143</v>
      </c>
      <c r="E77" s="7">
        <f>VLOOKUP(Table3[[#This Row],[MD5]],Input[],4,FALSE)+(Distances!$AA$7*(ABS(Distances!$AD$7-VLOOKUP(Table3[[#This Row],[MD5]],Input[],4,FALSE))*Distances!$AC$7))</f>
        <v>57.466666666666669</v>
      </c>
      <c r="F77" s="7">
        <f>VLOOKUP(Table3[[#This Row],[MD5]],Input[],5,FALSE)+(Distances!$AA$8*(ABS(Distances!$AD$8-VLOOKUP(Table3[[#This Row],[MD5]],Input[],5,FALSE))*Distances!$AC$8))</f>
        <v>52.933333333333337</v>
      </c>
      <c r="G77" s="46">
        <f>SQRT(SUM((Table3[[#This Row],[time]]-Distances!$AD$6)^2,(Table3[[#This Row],[price]]-Distances!$AD$7)^2,(Table3[[#This Row],[energy]]-Distances!$AD$8)^2))</f>
        <v>10.010921202754911</v>
      </c>
      <c r="H77" s="46">
        <f>((Table3[[#This Row],[score-bt]]-MIN(Table3[score-bt]))*$G$6)/(MAX(Table3[score-bt])-MIN(Table3[score-bt]))</f>
        <v>0</v>
      </c>
      <c r="I77" s="8">
        <f>VLOOKUP(Table3[[#This Row],[MD5]],Input[],9,FALSE)+(Distances!$AA$6*(ABS(Distances!$AD$6-VLOOKUP(Table3[[#This Row],[MD5]],Input[],9,FALSE))*Distances!$AC$6))</f>
        <v>27.915995605714198</v>
      </c>
      <c r="J77" s="7">
        <f>VLOOKUP(Table3[[#This Row],[MD5]],Input[],10,FALSE)+(Distances!$AA$7*(ABS(Distances!$AD$7-VLOOKUP(Table3[[#This Row],[MD5]],Input[],10,FALSE))*Distances!$AC$7))</f>
        <v>29.802379024999908</v>
      </c>
      <c r="K77" s="7">
        <f>VLOOKUP(Table3[[#This Row],[MD5]],Input[],11,FALSE)+(Distances!$AA$8*(ABS(Distances!$AD$8-VLOOKUP(Table3[[#This Row],[MD5]],Input[],11,FALSE))*Distances!$AC$8))</f>
        <v>27.224141949930559</v>
      </c>
      <c r="L77" s="44">
        <f>SQRT(SUM((Table3[[#This Row],[time''2]]-Distances!$AD$6)^2,(Table3[[#This Row],[price''2]]-Distances!$AD$7)^2,(Table3[[#This Row],[energy''2]]-Distances!$AD$8)^2))</f>
        <v>37.608334888073827</v>
      </c>
      <c r="M77" s="44">
        <f>((Table3[[#This Row],[score-rt-partialcf]]-MIN(Table3[score-rt-partialcf]))*$G$6)/(MAX(Table3[score-rt-partialcf])-MIN(Table3[score-rt-partialcf]))</f>
        <v>0.29690932806925885</v>
      </c>
      <c r="N77" s="8">
        <f>VLOOKUP(Table3[[#This Row],[MD5]],Input[],15,FALSE)+(Distances!$AA$6*(ABS(Distances!$AD$6-VLOOKUP(Table3[[#This Row],[MD5]],Input[],15,FALSE))*Distances!$AC$6))</f>
        <v>27.865764355714198</v>
      </c>
      <c r="O77" s="7">
        <f>VLOOKUP(Table3[[#This Row],[MD5]],Input[],16,FALSE)+(Distances!$AA$7*(ABS(Distances!$AD$7-VLOOKUP(Table3[[#This Row],[MD5]],Input[],16,FALSE))*Distances!$AC$7))</f>
        <v>75.717948699999553</v>
      </c>
      <c r="P77" s="7">
        <f>VLOOKUP(Table3[[#This Row],[MD5]],Input[],17,FALSE)+(Distances!$AA$8*(ABS(Distances!$AD$8-VLOOKUP(Table3[[#This Row],[MD5]],Input[],11,FALSE))*Distances!$AC$8))</f>
        <v>73.785928893679895</v>
      </c>
      <c r="Q77" s="47">
        <f>SQRT(SUM((Table3[[#This Row],[time''3]]-Distances!$AD$6)^2,(Table3[[#This Row],[price''3]]-Distances!$AD$7)^2,(Table3[[#This Row],[energy''3]]-Distances!$AD$8)^2))</f>
        <v>41.437998096285696</v>
      </c>
      <c r="R77" s="47">
        <f>((Table3[[#This Row],[score-rt-fullcf]]-MIN(Table3[score-rt-fullcf]))*$G$6)/(MAX(Table3[score-rt-fullcf])-MIN(Table3[score-rt-fullcf]))</f>
        <v>3.3365861703217357E-9</v>
      </c>
      <c r="S77" s="8">
        <f>VLOOKUP(Table3[[#This Row],[MD5]],Input[],21,FALSE)+(Distances!$AI$6*(ABS(Distances!$L$3-VLOOKUP(Table3[[#This Row],[MD5]],Input[],21,FALSE))*Distances!$AC$6))</f>
        <v>424369.20460333332</v>
      </c>
      <c r="T77" s="7">
        <f>VLOOKUP(Table3[[#This Row],[MD5]],Input[],22,FALSE)+(Distances!$AI$7*(ABS(Distances!$AB$7-VLOOKUP(Table3[[#This Row],[MD5]],Input[],22,FALSE))*Distances!$AC$7))</f>
        <v>166991.39223333335</v>
      </c>
      <c r="U77" s="7">
        <f>VLOOKUP(Table3[[#This Row],[MD5]],Input[],23,FALSE)+(Distances!$AI$8*(ABS(Distances!$AD$8-VLOOKUP(Table3[[#This Row],[MD5]],Input[],23,FALSE))*Distances!$AC$8))</f>
        <v>121469.54382499945</v>
      </c>
      <c r="V77" s="43">
        <f>SQRT(SUM((Table3[[#This Row],[time''4]]-Distances!$AD$6)^2,(Table3[[#This Row],[price''4]]-Distances!$AD$7)^2,(Table3[[#This Row],[energy''4]]-Distances!$AD$8)^2))</f>
        <v>471867.48294270085</v>
      </c>
      <c r="W77" s="58">
        <f>((Table3[[#This Row],[score-rt-df]]-MIN(Table3[score-rt-df]))*$G$6)/(MAX(Table3[score-rt-df])-MIN(Table3[score-rt-df]))</f>
        <v>0.3878860017317306</v>
      </c>
      <c r="AY77" t="str">
        <f>Table3[[#This Row],[QW'#]]</f>
        <v>qw27</v>
      </c>
      <c r="AZ77" t="str">
        <f>VLOOKUP(Table10[[#This Row],[QW'#]],Table3[],2,FALSE)</f>
        <v>0816e5dec58e73bf4e1f680000c82f39</v>
      </c>
      <c r="BA77" s="54">
        <f>IF(ABS(VLOOKUP(Table10[[#This Row],[QW'#]],Table3[],7,FALSE)-0)&lt;=$AZ$6,1,0)</f>
        <v>1</v>
      </c>
      <c r="BB77" s="54">
        <f>IF(ABS(VLOOKUP(Table10[[#This Row],[QW'#]],Table3[],22,FALSE)-0)&lt;=$AZ$6,1,0)</f>
        <v>0</v>
      </c>
      <c r="BC77" s="54">
        <f>IF(AND(Table10[[#This Row],[Retrieved]]=0, Table10[[#This Row],[Relevant]]=0),1,0)</f>
        <v>0</v>
      </c>
      <c r="BD77" s="54">
        <f>IF(AND(Table10[[#This Row],[Retrieved]]=0, Table10[[#This Row],[Relevant]]=1),1,0)</f>
        <v>0</v>
      </c>
      <c r="BE77" s="54">
        <f>IF(AND(Table10[[#This Row],[Retrieved]]=1, Table10[[#This Row],[Relevant]]=0),1,0)</f>
        <v>1</v>
      </c>
      <c r="BF77" s="54">
        <f>IF(AND(Table10[[#This Row],[Retrieved]]=1, Table10[[#This Row],[Relevant]]=1),1,0)</f>
        <v>0</v>
      </c>
    </row>
    <row r="78" spans="2:58">
      <c r="B78" s="76" t="s">
        <v>232</v>
      </c>
      <c r="C78" s="10" t="s">
        <v>100</v>
      </c>
      <c r="D78" s="8">
        <f>VLOOKUP(Table3[[#This Row],[MD5]],Input[],3,FALSE)+(Distances!$AA$6*(ABS(Distances!$AD$6-VLOOKUP(Table3[[#This Row],[MD5]],Input[],3,FALSE))*Distances!$AC$6))</f>
        <v>55.98857143</v>
      </c>
      <c r="E78" s="7">
        <f>VLOOKUP(Table3[[#This Row],[MD5]],Input[],4,FALSE)+(Distances!$AA$7*(ABS(Distances!$AD$7-VLOOKUP(Table3[[#This Row],[MD5]],Input[],4,FALSE))*Distances!$AC$7))</f>
        <v>57.466666666666669</v>
      </c>
      <c r="F78" s="7">
        <f>VLOOKUP(Table3[[#This Row],[MD5]],Input[],5,FALSE)+(Distances!$AA$8*(ABS(Distances!$AD$8-VLOOKUP(Table3[[#This Row],[MD5]],Input[],5,FALSE))*Distances!$AC$8))</f>
        <v>52.933333333333337</v>
      </c>
      <c r="G78" s="46">
        <f>SQRT(SUM((Table3[[#This Row],[time]]-Distances!$AD$6)^2,(Table3[[#This Row],[price]]-Distances!$AD$7)^2,(Table3[[#This Row],[energy]]-Distances!$AD$8)^2))</f>
        <v>10.010921202754911</v>
      </c>
      <c r="H78" s="46">
        <f>((Table3[[#This Row],[score-bt]]-MIN(Table3[score-bt]))*$G$6)/(MAX(Table3[score-bt])-MIN(Table3[score-bt]))</f>
        <v>0</v>
      </c>
      <c r="I78" s="8">
        <f>VLOOKUP(Table3[[#This Row],[MD5]],Input[],9,FALSE)+(Distances!$AA$6*(ABS(Distances!$AD$6-VLOOKUP(Table3[[#This Row],[MD5]],Input[],9,FALSE))*Distances!$AC$6))</f>
        <v>27.915994283839193</v>
      </c>
      <c r="J78" s="7">
        <f>VLOOKUP(Table3[[#This Row],[MD5]],Input[],10,FALSE)+(Distances!$AA$7*(ABS(Distances!$AD$7-VLOOKUP(Table3[[#This Row],[MD5]],Input[],10,FALSE))*Distances!$AC$7))</f>
        <v>29.802377274999913</v>
      </c>
      <c r="K78" s="7">
        <f>VLOOKUP(Table3[[#This Row],[MD5]],Input[],11,FALSE)+(Distances!$AA$8*(ABS(Distances!$AD$8-VLOOKUP(Table3[[#This Row],[MD5]],Input[],11,FALSE))*Distances!$AC$8))</f>
        <v>27.224140622847226</v>
      </c>
      <c r="L78" s="44">
        <f>SQRT(SUM((Table3[[#This Row],[time''2]]-Distances!$AD$6)^2,(Table3[[#This Row],[price''2]]-Distances!$AD$7)^2,(Table3[[#This Row],[energy''2]]-Distances!$AD$8)^2))</f>
        <v>37.608337407823562</v>
      </c>
      <c r="M78" s="44">
        <f>((Table3[[#This Row],[score-rt-partialcf]]-MIN(Table3[score-rt-partialcf]))*$G$6)/(MAX(Table3[score-rt-partialcf])-MIN(Table3[score-rt-partialcf]))</f>
        <v>0.29690935133672675</v>
      </c>
      <c r="N78" s="8">
        <f>VLOOKUP(Table3[[#This Row],[MD5]],Input[],15,FALSE)+(Distances!$AA$6*(ABS(Distances!$AD$6-VLOOKUP(Table3[[#This Row],[MD5]],Input[],15,FALSE))*Distances!$AC$6))</f>
        <v>27.865764355714198</v>
      </c>
      <c r="O78" s="7">
        <f>VLOOKUP(Table3[[#This Row],[MD5]],Input[],16,FALSE)+(Distances!$AA$7*(ABS(Distances!$AD$7-VLOOKUP(Table3[[#This Row],[MD5]],Input[],16,FALSE))*Distances!$AC$7))</f>
        <v>75.717948699999553</v>
      </c>
      <c r="P78" s="7">
        <f>VLOOKUP(Table3[[#This Row],[MD5]],Input[],17,FALSE)+(Distances!$AA$8*(ABS(Distances!$AD$8-VLOOKUP(Table3[[#This Row],[MD5]],Input[],11,FALSE))*Distances!$AC$8))</f>
        <v>73.785928704096563</v>
      </c>
      <c r="Q78" s="47">
        <f>SQRT(SUM((Table3[[#This Row],[time''3]]-Distances!$AD$6)^2,(Table3[[#This Row],[price''3]]-Distances!$AD$7)^2,(Table3[[#This Row],[energy''3]]-Distances!$AD$8)^2))</f>
        <v>41.437997987462488</v>
      </c>
      <c r="R78" s="47">
        <f>((Table3[[#This Row],[score-rt-fullcf]]-MIN(Table3[score-rt-fullcf]))*$G$6)/(MAX(Table3[score-rt-fullcf])-MIN(Table3[score-rt-fullcf]))</f>
        <v>0</v>
      </c>
      <c r="S78" s="8">
        <f>VLOOKUP(Table3[[#This Row],[MD5]],Input[],21,FALSE)+(Distances!$AI$6*(ABS(Distances!$L$3-VLOOKUP(Table3[[#This Row],[MD5]],Input[],21,FALSE))*Distances!$AC$6))</f>
        <v>424369.20460333332</v>
      </c>
      <c r="T78" s="7">
        <f>VLOOKUP(Table3[[#This Row],[MD5]],Input[],22,FALSE)+(Distances!$AI$7*(ABS(Distances!$AB$7-VLOOKUP(Table3[[#This Row],[MD5]],Input[],22,FALSE))*Distances!$AC$7))</f>
        <v>166991.39223333335</v>
      </c>
      <c r="U78" s="7">
        <f>VLOOKUP(Table3[[#This Row],[MD5]],Input[],23,FALSE)+(Distances!$AI$8*(ABS(Distances!$AD$8-VLOOKUP(Table3[[#This Row],[MD5]],Input[],23,FALSE))*Distances!$AC$8))</f>
        <v>121469.54382499945</v>
      </c>
      <c r="V78" s="43">
        <f>SQRT(SUM((Table3[[#This Row],[time''4]]-Distances!$AD$6)^2,(Table3[[#This Row],[price''4]]-Distances!$AD$7)^2,(Table3[[#This Row],[energy''4]]-Distances!$AD$8)^2))</f>
        <v>471867.48294270085</v>
      </c>
      <c r="W78" s="58">
        <f>((Table3[[#This Row],[score-rt-df]]-MIN(Table3[score-rt-df]))*$G$6)/(MAX(Table3[score-rt-df])-MIN(Table3[score-rt-df]))</f>
        <v>0.3878860017317306</v>
      </c>
      <c r="AY78" t="str">
        <f>Table3[[#This Row],[QW'#]]</f>
        <v>qw54</v>
      </c>
      <c r="AZ78" t="str">
        <f>VLOOKUP(Table10[[#This Row],[QW'#]],Table3[],2,FALSE)</f>
        <v>1fb342321dce8e53624bf818d8a1dc0b</v>
      </c>
      <c r="BA78" s="54">
        <f>IF(ABS(VLOOKUP(Table10[[#This Row],[QW'#]],Table3[],7,FALSE)-0)&lt;=$AZ$6,1,0)</f>
        <v>1</v>
      </c>
      <c r="BB78" s="54">
        <f>IF(ABS(VLOOKUP(Table10[[#This Row],[QW'#]],Table3[],22,FALSE)-0)&lt;=$AZ$6,1,0)</f>
        <v>0</v>
      </c>
      <c r="BC78" s="54">
        <f>IF(AND(Table10[[#This Row],[Retrieved]]=0, Table10[[#This Row],[Relevant]]=0),1,0)</f>
        <v>0</v>
      </c>
      <c r="BD78" s="54">
        <f>IF(AND(Table10[[#This Row],[Retrieved]]=0, Table10[[#This Row],[Relevant]]=1),1,0)</f>
        <v>0</v>
      </c>
      <c r="BE78" s="54">
        <f>IF(AND(Table10[[#This Row],[Retrieved]]=1, Table10[[#This Row],[Relevant]]=0),1,0)</f>
        <v>1</v>
      </c>
      <c r="BF78" s="54">
        <f>IF(AND(Table10[[#This Row],[Retrieved]]=1, Table10[[#This Row],[Relevant]]=1),1,0)</f>
        <v>0</v>
      </c>
    </row>
    <row r="79" spans="2:58">
      <c r="B79" s="76" t="s">
        <v>343</v>
      </c>
      <c r="C79" s="10" t="s">
        <v>211</v>
      </c>
      <c r="D79" s="8">
        <f>VLOOKUP(Table3[[#This Row],[MD5]],Input[],3,FALSE)+(Distances!$AA$6*(ABS(Distances!$AD$6-VLOOKUP(Table3[[#This Row],[MD5]],Input[],3,FALSE))*Distances!$AC$6))</f>
        <v>55.98857143</v>
      </c>
      <c r="E79" s="7">
        <f>VLOOKUP(Table3[[#This Row],[MD5]],Input[],4,FALSE)+(Distances!$AA$7*(ABS(Distances!$AD$7-VLOOKUP(Table3[[#This Row],[MD5]],Input[],4,FALSE))*Distances!$AC$7))</f>
        <v>57.466666666666669</v>
      </c>
      <c r="F79" s="7">
        <f>VLOOKUP(Table3[[#This Row],[MD5]],Input[],5,FALSE)+(Distances!$AA$8*(ABS(Distances!$AD$8-VLOOKUP(Table3[[#This Row],[MD5]],Input[],5,FALSE))*Distances!$AC$8))</f>
        <v>52.933333333333337</v>
      </c>
      <c r="G79" s="46">
        <f>SQRT(SUM((Table3[[#This Row],[time]]-Distances!$AD$6)^2,(Table3[[#This Row],[price]]-Distances!$AD$7)^2,(Table3[[#This Row],[energy]]-Distances!$AD$8)^2))</f>
        <v>10.010921202754911</v>
      </c>
      <c r="H79" s="46">
        <f>((Table3[[#This Row],[score-bt]]-MIN(Table3[score-bt]))*$G$6)/(MAX(Table3[score-bt])-MIN(Table3[score-bt]))</f>
        <v>0</v>
      </c>
      <c r="I79" s="8">
        <f>VLOOKUP(Table3[[#This Row],[MD5]],Input[],9,FALSE)+(Distances!$AA$6*(ABS(Distances!$AD$6-VLOOKUP(Table3[[#This Row],[MD5]],Input[],9,FALSE))*Distances!$AC$6))</f>
        <v>28.312244884285704</v>
      </c>
      <c r="J79" s="7">
        <f>VLOOKUP(Table3[[#This Row],[MD5]],Input[],10,FALSE)+(Distances!$AA$7*(ABS(Distances!$AD$7-VLOOKUP(Table3[[#This Row],[MD5]],Input[],10,FALSE))*Distances!$AC$7))</f>
        <v>30.326964358333242</v>
      </c>
      <c r="K79" s="7">
        <f>VLOOKUP(Table3[[#This Row],[MD5]],Input[],11,FALSE)+(Distances!$AA$8*(ABS(Distances!$AD$8-VLOOKUP(Table3[[#This Row],[MD5]],Input[],11,FALSE))*Distances!$AC$8))</f>
        <v>27.621952494375002</v>
      </c>
      <c r="L79" s="44">
        <f>SQRT(SUM((Table3[[#This Row],[time''2]]-Distances!$AD$6)^2,(Table3[[#This Row],[price''2]]-Distances!$AD$7)^2,(Table3[[#This Row],[energy''2]]-Distances!$AD$8)^2))</f>
        <v>36.853277513424658</v>
      </c>
      <c r="M79" s="44">
        <f>((Table3[[#This Row],[score-rt-partialcf]]-MIN(Table3[score-rt-partialcf]))*$G$6)/(MAX(Table3[score-rt-partialcf])-MIN(Table3[score-rt-partialcf]))</f>
        <v>0.28993709864202244</v>
      </c>
      <c r="N79" s="8">
        <f>VLOOKUP(Table3[[#This Row],[MD5]],Input[],15,FALSE)+(Distances!$AA$6*(ABS(Distances!$AD$6-VLOOKUP(Table3[[#This Row],[MD5]],Input[],15,FALSE))*Distances!$AC$6))</f>
        <v>27.865768761964198</v>
      </c>
      <c r="O79" s="7">
        <f>VLOOKUP(Table3[[#This Row],[MD5]],Input[],16,FALSE)+(Distances!$AA$7*(ABS(Distances!$AD$7-VLOOKUP(Table3[[#This Row],[MD5]],Input[],16,FALSE))*Distances!$AC$7))</f>
        <v>75.717950158333338</v>
      </c>
      <c r="P79" s="7">
        <f>VLOOKUP(Table3[[#This Row],[MD5]],Input[],17,FALSE)+(Distances!$AA$8*(ABS(Distances!$AD$8-VLOOKUP(Table3[[#This Row],[MD5]],Input[],11,FALSE))*Distances!$AC$8))</f>
        <v>73.842760867291673</v>
      </c>
      <c r="Q79" s="47">
        <f>SQRT(SUM((Table3[[#This Row],[time''3]]-Distances!$AD$6)^2,(Table3[[#This Row],[price''3]]-Distances!$AD$7)^2,(Table3[[#This Row],[energy''3]]-Distances!$AD$8)^2))</f>
        <v>41.470645022958259</v>
      </c>
      <c r="R79" s="47">
        <f>((Table3[[#This Row],[score-rt-fullcf]]-MIN(Table3[score-rt-fullcf]))*$G$6)/(MAX(Table3[score-rt-fullcf])-MIN(Table3[score-rt-fullcf]))</f>
        <v>1.000978090211222E-3</v>
      </c>
      <c r="S79" s="8">
        <f>VLOOKUP(Table3[[#This Row],[MD5]],Input[],21,FALSE)+(Distances!$AI$6*(ABS(Distances!$L$3-VLOOKUP(Table3[[#This Row],[MD5]],Input[],21,FALSE))*Distances!$AC$6))</f>
        <v>424369.72727000003</v>
      </c>
      <c r="T79" s="7">
        <f>VLOOKUP(Table3[[#This Row],[MD5]],Input[],22,FALSE)+(Distances!$AI$7*(ABS(Distances!$AB$7-VLOOKUP(Table3[[#This Row],[MD5]],Input[],22,FALSE))*Distances!$AC$7))</f>
        <v>166991.51667777781</v>
      </c>
      <c r="U79" s="7">
        <f>VLOOKUP(Table3[[#This Row],[MD5]],Input[],23,FALSE)+(Distances!$AI$8*(ABS(Distances!$AD$8-VLOOKUP(Table3[[#This Row],[MD5]],Input[],23,FALSE))*Distances!$AC$8))</f>
        <v>121469.63715833277</v>
      </c>
      <c r="V79" s="43">
        <f>SQRT(SUM((Table3[[#This Row],[time''4]]-Distances!$AD$6)^2,(Table3[[#This Row],[price''4]]-Distances!$AD$7)^2,(Table3[[#This Row],[energy''4]]-Distances!$AD$8)^2))</f>
        <v>471868.02098555607</v>
      </c>
      <c r="W79" s="58">
        <f>((Table3[[#This Row],[score-rt-df]]-MIN(Table3[score-rt-df]))*$G$6)/(MAX(Table3[score-rt-df])-MIN(Table3[score-rt-df]))</f>
        <v>0.38788644483443452</v>
      </c>
      <c r="AY79" t="str">
        <f>Table3[[#This Row],[QW'#]]</f>
        <v>qw165</v>
      </c>
      <c r="AZ79" t="str">
        <f>VLOOKUP(Table10[[#This Row],[QW'#]],Table3[],2,FALSE)</f>
        <v>56c86985043d1ca0cb5f8df29feefc1c</v>
      </c>
      <c r="BA79" s="54">
        <f>IF(ABS(VLOOKUP(Table10[[#This Row],[QW'#]],Table3[],7,FALSE)-0)&lt;=$AZ$6,1,0)</f>
        <v>1</v>
      </c>
      <c r="BB79" s="54">
        <f>IF(ABS(VLOOKUP(Table10[[#This Row],[QW'#]],Table3[],22,FALSE)-0)&lt;=$AZ$6,1,0)</f>
        <v>0</v>
      </c>
      <c r="BC79" s="54">
        <f>IF(AND(Table10[[#This Row],[Retrieved]]=0, Table10[[#This Row],[Relevant]]=0),1,0)</f>
        <v>0</v>
      </c>
      <c r="BD79" s="54">
        <f>IF(AND(Table10[[#This Row],[Retrieved]]=0, Table10[[#This Row],[Relevant]]=1),1,0)</f>
        <v>0</v>
      </c>
      <c r="BE79" s="54">
        <f>IF(AND(Table10[[#This Row],[Retrieved]]=1, Table10[[#This Row],[Relevant]]=0),1,0)</f>
        <v>1</v>
      </c>
      <c r="BF79" s="54">
        <f>IF(AND(Table10[[#This Row],[Retrieved]]=1, Table10[[#This Row],[Relevant]]=1),1,0)</f>
        <v>0</v>
      </c>
    </row>
    <row r="80" spans="2:58">
      <c r="B80" s="76" t="s">
        <v>276</v>
      </c>
      <c r="C80" s="10" t="s">
        <v>144</v>
      </c>
      <c r="D80" s="8">
        <f>VLOOKUP(Table3[[#This Row],[MD5]],Input[],3,FALSE)+(Distances!$AA$6*(ABS(Distances!$AD$6-VLOOKUP(Table3[[#This Row],[MD5]],Input[],3,FALSE))*Distances!$AC$6))</f>
        <v>55.98857143</v>
      </c>
      <c r="E80" s="7">
        <f>VLOOKUP(Table3[[#This Row],[MD5]],Input[],4,FALSE)+(Distances!$AA$7*(ABS(Distances!$AD$7-VLOOKUP(Table3[[#This Row],[MD5]],Input[],4,FALSE))*Distances!$AC$7))</f>
        <v>57.466666666666669</v>
      </c>
      <c r="F80" s="7">
        <f>VLOOKUP(Table3[[#This Row],[MD5]],Input[],5,FALSE)+(Distances!$AA$8*(ABS(Distances!$AD$8-VLOOKUP(Table3[[#This Row],[MD5]],Input[],5,FALSE))*Distances!$AC$8))</f>
        <v>52.933333333333337</v>
      </c>
      <c r="G80" s="46">
        <f>SQRT(SUM((Table3[[#This Row],[time]]-Distances!$AD$6)^2,(Table3[[#This Row],[price]]-Distances!$AD$7)^2,(Table3[[#This Row],[energy]]-Distances!$AD$8)^2))</f>
        <v>10.010921202754911</v>
      </c>
      <c r="H80" s="46">
        <f>((Table3[[#This Row],[score-bt]]-MIN(Table3[score-bt]))*$G$6)/(MAX(Table3[score-bt])-MIN(Table3[score-bt]))</f>
        <v>0</v>
      </c>
      <c r="I80" s="8">
        <f>VLOOKUP(Table3[[#This Row],[MD5]],Input[],9,FALSE)+(Distances!$AA$6*(ABS(Distances!$AD$6-VLOOKUP(Table3[[#This Row],[MD5]],Input[],9,FALSE))*Distances!$AC$6))</f>
        <v>28.312236512410703</v>
      </c>
      <c r="J80" s="7">
        <f>VLOOKUP(Table3[[#This Row],[MD5]],Input[],10,FALSE)+(Distances!$AA$7*(ABS(Distances!$AD$7-VLOOKUP(Table3[[#This Row],[MD5]],Input[],10,FALSE))*Distances!$AC$7))</f>
        <v>30.326953274999909</v>
      </c>
      <c r="K80" s="7">
        <f>VLOOKUP(Table3[[#This Row],[MD5]],Input[],11,FALSE)+(Distances!$AA$8*(ABS(Distances!$AD$8-VLOOKUP(Table3[[#This Row],[MD5]],Input[],11,FALSE))*Distances!$AC$8))</f>
        <v>27.621944089513889</v>
      </c>
      <c r="L80" s="44">
        <f>SQRT(SUM((Table3[[#This Row],[time''2]]-Distances!$AD$6)^2,(Table3[[#This Row],[price''2]]-Distances!$AD$7)^2,(Table3[[#This Row],[energy''2]]-Distances!$AD$8)^2))</f>
        <v>36.853293460293216</v>
      </c>
      <c r="M80" s="44">
        <f>((Table3[[#This Row],[score-rt-partialcf]]-MIN(Table3[score-rt-partialcf]))*$G$6)/(MAX(Table3[score-rt-partialcf])-MIN(Table3[score-rt-partialcf]))</f>
        <v>0.28993724589603248</v>
      </c>
      <c r="N80" s="8">
        <f>VLOOKUP(Table3[[#This Row],[MD5]],Input[],15,FALSE)+(Distances!$AA$6*(ABS(Distances!$AD$6-VLOOKUP(Table3[[#This Row],[MD5]],Input[],15,FALSE))*Distances!$AC$6))</f>
        <v>27.865768761964198</v>
      </c>
      <c r="O80" s="7">
        <f>VLOOKUP(Table3[[#This Row],[MD5]],Input[],16,FALSE)+(Distances!$AA$7*(ABS(Distances!$AD$7-VLOOKUP(Table3[[#This Row],[MD5]],Input[],16,FALSE))*Distances!$AC$7))</f>
        <v>75.717950158333338</v>
      </c>
      <c r="P80" s="7">
        <f>VLOOKUP(Table3[[#This Row],[MD5]],Input[],17,FALSE)+(Distances!$AA$8*(ABS(Distances!$AD$8-VLOOKUP(Table3[[#This Row],[MD5]],Input[],11,FALSE))*Distances!$AC$8))</f>
        <v>73.842759666597232</v>
      </c>
      <c r="Q80" s="47">
        <f>SQRT(SUM((Table3[[#This Row],[time''3]]-Distances!$AD$6)^2,(Table3[[#This Row],[price''3]]-Distances!$AD$7)^2,(Table3[[#This Row],[energy''3]]-Distances!$AD$8)^2))</f>
        <v>41.470644332641776</v>
      </c>
      <c r="R80" s="47">
        <f>((Table3[[#This Row],[score-rt-fullcf]]-MIN(Table3[score-rt-fullcf]))*$G$6)/(MAX(Table3[score-rt-fullcf])-MIN(Table3[score-rt-fullcf]))</f>
        <v>1.0009569246853362E-3</v>
      </c>
      <c r="S80" s="8">
        <f>VLOOKUP(Table3[[#This Row],[MD5]],Input[],21,FALSE)+(Distances!$AI$6*(ABS(Distances!$L$3-VLOOKUP(Table3[[#This Row],[MD5]],Input[],21,FALSE))*Distances!$AC$6))</f>
        <v>424369.72727000003</v>
      </c>
      <c r="T80" s="7">
        <f>VLOOKUP(Table3[[#This Row],[MD5]],Input[],22,FALSE)+(Distances!$AI$7*(ABS(Distances!$AB$7-VLOOKUP(Table3[[#This Row],[MD5]],Input[],22,FALSE))*Distances!$AC$7))</f>
        <v>166991.51667777781</v>
      </c>
      <c r="U80" s="7">
        <f>VLOOKUP(Table3[[#This Row],[MD5]],Input[],23,FALSE)+(Distances!$AI$8*(ABS(Distances!$AD$8-VLOOKUP(Table3[[#This Row],[MD5]],Input[],23,FALSE))*Distances!$AC$8))</f>
        <v>121469.63715833277</v>
      </c>
      <c r="V80" s="43">
        <f>SQRT(SUM((Table3[[#This Row],[time''4]]-Distances!$AD$6)^2,(Table3[[#This Row],[price''4]]-Distances!$AD$7)^2,(Table3[[#This Row],[energy''4]]-Distances!$AD$8)^2))</f>
        <v>471868.02098555607</v>
      </c>
      <c r="W80" s="58">
        <f>((Table3[[#This Row],[score-rt-df]]-MIN(Table3[score-rt-df]))*$G$6)/(MAX(Table3[score-rt-df])-MIN(Table3[score-rt-df]))</f>
        <v>0.38788644483443452</v>
      </c>
      <c r="AY80" t="str">
        <f>Table3[[#This Row],[QW'#]]</f>
        <v>qw98</v>
      </c>
      <c r="AZ80" t="str">
        <f>VLOOKUP(Table10[[#This Row],[QW'#]],Table3[],2,FALSE)</f>
        <v>97b3065ef345c5541604a04d109958fa</v>
      </c>
      <c r="BA80" s="54">
        <f>IF(ABS(VLOOKUP(Table10[[#This Row],[QW'#]],Table3[],7,FALSE)-0)&lt;=$AZ$6,1,0)</f>
        <v>1</v>
      </c>
      <c r="BB80" s="54">
        <f>IF(ABS(VLOOKUP(Table10[[#This Row],[QW'#]],Table3[],22,FALSE)-0)&lt;=$AZ$6,1,0)</f>
        <v>0</v>
      </c>
      <c r="BC80" s="54">
        <f>IF(AND(Table10[[#This Row],[Retrieved]]=0, Table10[[#This Row],[Relevant]]=0),1,0)</f>
        <v>0</v>
      </c>
      <c r="BD80" s="54">
        <f>IF(AND(Table10[[#This Row],[Retrieved]]=0, Table10[[#This Row],[Relevant]]=1),1,0)</f>
        <v>0</v>
      </c>
      <c r="BE80" s="54">
        <f>IF(AND(Table10[[#This Row],[Retrieved]]=1, Table10[[#This Row],[Relevant]]=0),1,0)</f>
        <v>1</v>
      </c>
      <c r="BF80" s="54">
        <f>IF(AND(Table10[[#This Row],[Retrieved]]=1, Table10[[#This Row],[Relevant]]=1),1,0)</f>
        <v>0</v>
      </c>
    </row>
    <row r="81" spans="2:58">
      <c r="B81" s="76" t="s">
        <v>230</v>
      </c>
      <c r="C81" s="10" t="s">
        <v>98</v>
      </c>
      <c r="D81" s="8">
        <f>VLOOKUP(Table3[[#This Row],[MD5]],Input[],3,FALSE)+(Distances!$AA$6*(ABS(Distances!$AD$6-VLOOKUP(Table3[[#This Row],[MD5]],Input[],3,FALSE))*Distances!$AC$6))</f>
        <v>55.98857143</v>
      </c>
      <c r="E81" s="7">
        <f>VLOOKUP(Table3[[#This Row],[MD5]],Input[],4,FALSE)+(Distances!$AA$7*(ABS(Distances!$AD$7-VLOOKUP(Table3[[#This Row],[MD5]],Input[],4,FALSE))*Distances!$AC$7))</f>
        <v>57.466666666666669</v>
      </c>
      <c r="F81" s="7">
        <f>VLOOKUP(Table3[[#This Row],[MD5]],Input[],5,FALSE)+(Distances!$AA$8*(ABS(Distances!$AD$8-VLOOKUP(Table3[[#This Row],[MD5]],Input[],5,FALSE))*Distances!$AC$8))</f>
        <v>52.933333333333337</v>
      </c>
      <c r="G81" s="46">
        <f>SQRT(SUM((Table3[[#This Row],[time]]-Distances!$AD$6)^2,(Table3[[#This Row],[price]]-Distances!$AD$7)^2,(Table3[[#This Row],[energy]]-Distances!$AD$8)^2))</f>
        <v>10.010921202754911</v>
      </c>
      <c r="H81" s="46">
        <f>((Table3[[#This Row],[score-bt]]-MIN(Table3[score-bt]))*$G$6)/(MAX(Table3[score-bt])-MIN(Table3[score-bt]))</f>
        <v>0</v>
      </c>
      <c r="I81" s="8">
        <f>VLOOKUP(Table3[[#This Row],[MD5]],Input[],9,FALSE)+(Distances!$AA$6*(ABS(Distances!$AD$6-VLOOKUP(Table3[[#This Row],[MD5]],Input[],9,FALSE))*Distances!$AC$6))</f>
        <v>27.916003977589209</v>
      </c>
      <c r="J81" s="7">
        <f>VLOOKUP(Table3[[#This Row],[MD5]],Input[],10,FALSE)+(Distances!$AA$7*(ABS(Distances!$AD$7-VLOOKUP(Table3[[#This Row],[MD5]],Input[],10,FALSE))*Distances!$AC$7))</f>
        <v>29.802390108333242</v>
      </c>
      <c r="K81" s="7">
        <f>VLOOKUP(Table3[[#This Row],[MD5]],Input[],11,FALSE)+(Distances!$AA$8*(ABS(Distances!$AD$8-VLOOKUP(Table3[[#This Row],[MD5]],Input[],11,FALSE))*Distances!$AC$8))</f>
        <v>27.224150354791668</v>
      </c>
      <c r="L81" s="44">
        <f>SQRT(SUM((Table3[[#This Row],[time''2]]-Distances!$AD$6)^2,(Table3[[#This Row],[price''2]]-Distances!$AD$7)^2,(Table3[[#This Row],[energy''2]]-Distances!$AD$8)^2))</f>
        <v>37.608318929658992</v>
      </c>
      <c r="M81" s="44">
        <f>((Table3[[#This Row],[score-rt-partialcf]]-MIN(Table3[score-rt-partialcf]))*$G$6)/(MAX(Table3[score-rt-partialcf])-MIN(Table3[score-rt-partialcf]))</f>
        <v>0.29690918070862998</v>
      </c>
      <c r="N81" s="8">
        <f>VLOOKUP(Table3[[#This Row],[MD5]],Input[],15,FALSE)+(Distances!$AA$6*(ABS(Distances!$AD$6-VLOOKUP(Table3[[#This Row],[MD5]],Input[],15,FALSE))*Distances!$AC$6))</f>
        <v>27.865773168214197</v>
      </c>
      <c r="O81" s="7">
        <f>VLOOKUP(Table3[[#This Row],[MD5]],Input[],16,FALSE)+(Distances!$AA$7*(ABS(Distances!$AD$7-VLOOKUP(Table3[[#This Row],[MD5]],Input[],16,FALSE))*Distances!$AC$7))</f>
        <v>75.717951616666667</v>
      </c>
      <c r="P81" s="7">
        <f>VLOOKUP(Table3[[#This Row],[MD5]],Input[],17,FALSE)+(Distances!$AA$8*(ABS(Distances!$AD$8-VLOOKUP(Table3[[#This Row],[MD5]],Input[],11,FALSE))*Distances!$AC$8))</f>
        <v>73.785933886040993</v>
      </c>
      <c r="Q81" s="47">
        <f>SQRT(SUM((Table3[[#This Row],[time''3]]-Distances!$AD$6)^2,(Table3[[#This Row],[price''3]]-Distances!$AD$7)^2,(Table3[[#This Row],[energy''3]]-Distances!$AD$8)^2))</f>
        <v>41.437998064931506</v>
      </c>
      <c r="R81" s="47">
        <f>((Table3[[#This Row],[score-rt-fullcf]]-MIN(Table3[score-rt-fullcf]))*$G$6)/(MAX(Table3[score-rt-fullcf])-MIN(Table3[score-rt-fullcf]))</f>
        <v>2.3752475034191147E-9</v>
      </c>
      <c r="S81" s="8">
        <f>VLOOKUP(Table3[[#This Row],[MD5]],Input[],21,FALSE)+(Distances!$AI$6*(ABS(Distances!$L$3-VLOOKUP(Table3[[#This Row],[MD5]],Input[],21,FALSE))*Distances!$AC$6))</f>
        <v>424370.54860333336</v>
      </c>
      <c r="T81" s="7">
        <f>VLOOKUP(Table3[[#This Row],[MD5]],Input[],22,FALSE)+(Distances!$AI$7*(ABS(Distances!$AB$7-VLOOKUP(Table3[[#This Row],[MD5]],Input[],22,FALSE))*Distances!$AC$7))</f>
        <v>166991.71223333332</v>
      </c>
      <c r="U81" s="7">
        <f>VLOOKUP(Table3[[#This Row],[MD5]],Input[],23,FALSE)+(Distances!$AI$8*(ABS(Distances!$AD$8-VLOOKUP(Table3[[#This Row],[MD5]],Input[],23,FALSE))*Distances!$AC$8))</f>
        <v>121469.78382499944</v>
      </c>
      <c r="V81" s="43">
        <f>SQRT(SUM((Table3[[#This Row],[time''4]]-Distances!$AD$6)^2,(Table3[[#This Row],[price''4]]-Distances!$AD$7)^2,(Table3[[#This Row],[energy''4]]-Distances!$AD$8)^2))</f>
        <v>471868.86648150504</v>
      </c>
      <c r="W81" s="58">
        <f>((Table3[[#This Row],[score-rt-df]]-MIN(Table3[score-rt-df]))*$G$6)/(MAX(Table3[score-rt-df])-MIN(Table3[score-rt-df]))</f>
        <v>0.38788714113871114</v>
      </c>
      <c r="AY81" t="str">
        <f>Table3[[#This Row],[QW'#]]</f>
        <v>qw52</v>
      </c>
      <c r="AZ81" t="str">
        <f>VLOOKUP(Table10[[#This Row],[QW'#]],Table3[],2,FALSE)</f>
        <v>1f2aad63ed8965818d657bd6f52c4bf0</v>
      </c>
      <c r="BA81" s="54">
        <f>IF(ABS(VLOOKUP(Table10[[#This Row],[QW'#]],Table3[],7,FALSE)-0)&lt;=$AZ$6,1,0)</f>
        <v>1</v>
      </c>
      <c r="BB81" s="54">
        <f>IF(ABS(VLOOKUP(Table10[[#This Row],[QW'#]],Table3[],22,FALSE)-0)&lt;=$AZ$6,1,0)</f>
        <v>0</v>
      </c>
      <c r="BC81" s="54">
        <f>IF(AND(Table10[[#This Row],[Retrieved]]=0, Table10[[#This Row],[Relevant]]=0),1,0)</f>
        <v>0</v>
      </c>
      <c r="BD81" s="54">
        <f>IF(AND(Table10[[#This Row],[Retrieved]]=0, Table10[[#This Row],[Relevant]]=1),1,0)</f>
        <v>0</v>
      </c>
      <c r="BE81" s="54">
        <f>IF(AND(Table10[[#This Row],[Retrieved]]=1, Table10[[#This Row],[Relevant]]=0),1,0)</f>
        <v>1</v>
      </c>
      <c r="BF81" s="54">
        <f>IF(AND(Table10[[#This Row],[Retrieved]]=1, Table10[[#This Row],[Relevant]]=1),1,0)</f>
        <v>0</v>
      </c>
    </row>
    <row r="82" spans="2:58">
      <c r="B82" s="76" t="s">
        <v>262</v>
      </c>
      <c r="C82" s="10" t="s">
        <v>130</v>
      </c>
      <c r="D82" s="8">
        <f>VLOOKUP(Table3[[#This Row],[MD5]],Input[],3,FALSE)+(Distances!$AA$6*(ABS(Distances!$AD$6-VLOOKUP(Table3[[#This Row],[MD5]],Input[],3,FALSE))*Distances!$AC$6))</f>
        <v>55.98857143</v>
      </c>
      <c r="E82" s="7">
        <f>VLOOKUP(Table3[[#This Row],[MD5]],Input[],4,FALSE)+(Distances!$AA$7*(ABS(Distances!$AD$7-VLOOKUP(Table3[[#This Row],[MD5]],Input[],4,FALSE))*Distances!$AC$7))</f>
        <v>57.466666666666669</v>
      </c>
      <c r="F82" s="7">
        <f>VLOOKUP(Table3[[#This Row],[MD5]],Input[],5,FALSE)+(Distances!$AA$8*(ABS(Distances!$AD$8-VLOOKUP(Table3[[#This Row],[MD5]],Input[],5,FALSE))*Distances!$AC$8))</f>
        <v>52.933333333333337</v>
      </c>
      <c r="G82" s="46">
        <f>SQRT(SUM((Table3[[#This Row],[time]]-Distances!$AD$6)^2,(Table3[[#This Row],[price]]-Distances!$AD$7)^2,(Table3[[#This Row],[energy]]-Distances!$AD$8)^2))</f>
        <v>10.010921202754911</v>
      </c>
      <c r="H82" s="46">
        <f>((Table3[[#This Row],[score-bt]]-MIN(Table3[score-bt]))*$G$6)/(MAX(Table3[score-bt])-MIN(Table3[score-bt]))</f>
        <v>0</v>
      </c>
      <c r="I82" s="8">
        <f>VLOOKUP(Table3[[#This Row],[MD5]],Input[],9,FALSE)+(Distances!$AA$6*(ABS(Distances!$AD$6-VLOOKUP(Table3[[#This Row],[MD5]],Input[],9,FALSE))*Distances!$AC$6))</f>
        <v>28.312246206160708</v>
      </c>
      <c r="J82" s="7">
        <f>VLOOKUP(Table3[[#This Row],[MD5]],Input[],10,FALSE)+(Distances!$AA$7*(ABS(Distances!$AD$7-VLOOKUP(Table3[[#This Row],[MD5]],Input[],10,FALSE))*Distances!$AC$7))</f>
        <v>30.326966108333249</v>
      </c>
      <c r="K82" s="7">
        <f>VLOOKUP(Table3[[#This Row],[MD5]],Input[],11,FALSE)+(Distances!$AA$8*(ABS(Distances!$AD$8-VLOOKUP(Table3[[#This Row],[MD5]],Input[],11,FALSE))*Distances!$AC$8))</f>
        <v>27.621953821458334</v>
      </c>
      <c r="L82" s="44">
        <f>SQRT(SUM((Table3[[#This Row],[time''2]]-Distances!$AD$6)^2,(Table3[[#This Row],[price''2]]-Distances!$AD$7)^2,(Table3[[#This Row],[energy''2]]-Distances!$AD$8)^2))</f>
        <v>36.853274995498062</v>
      </c>
      <c r="M82" s="44">
        <f>((Table3[[#This Row],[score-rt-partialcf]]-MIN(Table3[score-rt-partialcf]))*$G$6)/(MAX(Table3[score-rt-partialcf])-MIN(Table3[score-rt-partialcf]))</f>
        <v>0.28993707539138946</v>
      </c>
      <c r="N82" s="8">
        <f>VLOOKUP(Table3[[#This Row],[MD5]],Input[],15,FALSE)+(Distances!$AA$6*(ABS(Distances!$AD$6-VLOOKUP(Table3[[#This Row],[MD5]],Input[],15,FALSE))*Distances!$AC$6))</f>
        <v>27.865773168214197</v>
      </c>
      <c r="O82" s="7">
        <f>VLOOKUP(Table3[[#This Row],[MD5]],Input[],16,FALSE)+(Distances!$AA$7*(ABS(Distances!$AD$7-VLOOKUP(Table3[[#This Row],[MD5]],Input[],16,FALSE))*Distances!$AC$7))</f>
        <v>75.717951616666667</v>
      </c>
      <c r="P82" s="7">
        <f>VLOOKUP(Table3[[#This Row],[MD5]],Input[],17,FALSE)+(Distances!$AA$8*(ABS(Distances!$AD$8-VLOOKUP(Table3[[#This Row],[MD5]],Input[],11,FALSE))*Distances!$AC$8))</f>
        <v>73.842762952707659</v>
      </c>
      <c r="Q82" s="47">
        <f>SQRT(SUM((Table3[[#This Row],[time''3]]-Distances!$AD$6)^2,(Table3[[#This Row],[price''3]]-Distances!$AD$7)^2,(Table3[[#This Row],[energy''3]]-Distances!$AD$8)^2))</f>
        <v>41.470644774553037</v>
      </c>
      <c r="R82" s="47">
        <f>((Table3[[#This Row],[score-rt-fullcf]]-MIN(Table3[score-rt-fullcf]))*$G$6)/(MAX(Table3[score-rt-fullcf])-MIN(Table3[score-rt-fullcf]))</f>
        <v>1.0009704739550854E-3</v>
      </c>
      <c r="S82" s="8">
        <f>VLOOKUP(Table3[[#This Row],[MD5]],Input[],21,FALSE)+(Distances!$AI$6*(ABS(Distances!$L$3-VLOOKUP(Table3[[#This Row],[MD5]],Input[],21,FALSE))*Distances!$AC$6))</f>
        <v>424370.54860333336</v>
      </c>
      <c r="T82" s="7">
        <f>VLOOKUP(Table3[[#This Row],[MD5]],Input[],22,FALSE)+(Distances!$AI$7*(ABS(Distances!$AB$7-VLOOKUP(Table3[[#This Row],[MD5]],Input[],22,FALSE))*Distances!$AC$7))</f>
        <v>166991.71223333332</v>
      </c>
      <c r="U82" s="7">
        <f>VLOOKUP(Table3[[#This Row],[MD5]],Input[],23,FALSE)+(Distances!$AI$8*(ABS(Distances!$AD$8-VLOOKUP(Table3[[#This Row],[MD5]],Input[],23,FALSE))*Distances!$AC$8))</f>
        <v>121469.78382499944</v>
      </c>
      <c r="V82" s="43">
        <f>SQRT(SUM((Table3[[#This Row],[time''4]]-Distances!$AD$6)^2,(Table3[[#This Row],[price''4]]-Distances!$AD$7)^2,(Table3[[#This Row],[energy''4]]-Distances!$AD$8)^2))</f>
        <v>471868.86648150504</v>
      </c>
      <c r="W82" s="58">
        <f>((Table3[[#This Row],[score-rt-df]]-MIN(Table3[score-rt-df]))*$G$6)/(MAX(Table3[score-rt-df])-MIN(Table3[score-rt-df]))</f>
        <v>0.38788714113871114</v>
      </c>
      <c r="AY82" t="str">
        <f>Table3[[#This Row],[QW'#]]</f>
        <v>qw84</v>
      </c>
      <c r="AZ82" t="str">
        <f>VLOOKUP(Table10[[#This Row],[QW'#]],Table3[],2,FALSE)</f>
        <v>52025c8b9cfb883d54e2c97bcb147fa5</v>
      </c>
      <c r="BA82" s="54">
        <f>IF(ABS(VLOOKUP(Table10[[#This Row],[QW'#]],Table3[],7,FALSE)-0)&lt;=$AZ$6,1,0)</f>
        <v>1</v>
      </c>
      <c r="BB82" s="54">
        <f>IF(ABS(VLOOKUP(Table10[[#This Row],[QW'#]],Table3[],22,FALSE)-0)&lt;=$AZ$6,1,0)</f>
        <v>0</v>
      </c>
      <c r="BC82" s="54">
        <f>IF(AND(Table10[[#This Row],[Retrieved]]=0, Table10[[#This Row],[Relevant]]=0),1,0)</f>
        <v>0</v>
      </c>
      <c r="BD82" s="54">
        <f>IF(AND(Table10[[#This Row],[Retrieved]]=0, Table10[[#This Row],[Relevant]]=1),1,0)</f>
        <v>0</v>
      </c>
      <c r="BE82" s="54">
        <f>IF(AND(Table10[[#This Row],[Retrieved]]=1, Table10[[#This Row],[Relevant]]=0),1,0)</f>
        <v>1</v>
      </c>
      <c r="BF82" s="54">
        <f>IF(AND(Table10[[#This Row],[Retrieved]]=1, Table10[[#This Row],[Relevant]]=1),1,0)</f>
        <v>0</v>
      </c>
    </row>
    <row r="83" spans="2:58">
      <c r="B83" s="76" t="s">
        <v>275</v>
      </c>
      <c r="C83" s="10" t="s">
        <v>143</v>
      </c>
      <c r="D83" s="8">
        <f>VLOOKUP(Table3[[#This Row],[MD5]],Input[],3,FALSE)+(Distances!$AA$6*(ABS(Distances!$AD$6-VLOOKUP(Table3[[#This Row],[MD5]],Input[],3,FALSE))*Distances!$AC$6))</f>
        <v>55.98857143</v>
      </c>
      <c r="E83" s="7">
        <f>VLOOKUP(Table3[[#This Row],[MD5]],Input[],4,FALSE)+(Distances!$AA$7*(ABS(Distances!$AD$7-VLOOKUP(Table3[[#This Row],[MD5]],Input[],4,FALSE))*Distances!$AC$7))</f>
        <v>57.466666666666669</v>
      </c>
      <c r="F83" s="7">
        <f>VLOOKUP(Table3[[#This Row],[MD5]],Input[],5,FALSE)+(Distances!$AA$8*(ABS(Distances!$AD$8-VLOOKUP(Table3[[#This Row],[MD5]],Input[],5,FALSE))*Distances!$AC$8))</f>
        <v>52.933333333333337</v>
      </c>
      <c r="G83" s="46">
        <f>SQRT(SUM((Table3[[#This Row],[time]]-Distances!$AD$6)^2,(Table3[[#This Row],[price]]-Distances!$AD$7)^2,(Table3[[#This Row],[energy]]-Distances!$AD$8)^2))</f>
        <v>10.010921202754911</v>
      </c>
      <c r="H83" s="46">
        <f>((Table3[[#This Row],[score-bt]]-MIN(Table3[score-bt]))*$G$6)/(MAX(Table3[score-bt])-MIN(Table3[score-bt]))</f>
        <v>0</v>
      </c>
      <c r="I83" s="8">
        <f>VLOOKUP(Table3[[#This Row],[MD5]],Input[],9,FALSE)+(Distances!$AA$6*(ABS(Distances!$AD$6-VLOOKUP(Table3[[#This Row],[MD5]],Input[],9,FALSE))*Distances!$AC$6))</f>
        <v>28.3122391561607</v>
      </c>
      <c r="J83" s="7">
        <f>VLOOKUP(Table3[[#This Row],[MD5]],Input[],10,FALSE)+(Distances!$AA$7*(ABS(Distances!$AD$7-VLOOKUP(Table3[[#This Row],[MD5]],Input[],10,FALSE))*Distances!$AC$7))</f>
        <v>30.326956774999921</v>
      </c>
      <c r="K83" s="7">
        <f>VLOOKUP(Table3[[#This Row],[MD5]],Input[],11,FALSE)+(Distances!$AA$8*(ABS(Distances!$AD$8-VLOOKUP(Table3[[#This Row],[MD5]],Input[],11,FALSE))*Distances!$AC$8))</f>
        <v>27.621946743680553</v>
      </c>
      <c r="L83" s="44">
        <f>SQRT(SUM((Table3[[#This Row],[time''2]]-Distances!$AD$6)^2,(Table3[[#This Row],[price''2]]-Distances!$AD$7)^2,(Table3[[#This Row],[energy''2]]-Distances!$AD$8)^2))</f>
        <v>36.853288424439953</v>
      </c>
      <c r="M83" s="44">
        <f>((Table3[[#This Row],[score-rt-partialcf]]-MIN(Table3[score-rt-partialcf]))*$G$6)/(MAX(Table3[score-rt-partialcf])-MIN(Table3[score-rt-partialcf]))</f>
        <v>0.28993719939476587</v>
      </c>
      <c r="N83" s="8">
        <f>VLOOKUP(Table3[[#This Row],[MD5]],Input[],15,FALSE)+(Distances!$AA$6*(ABS(Distances!$AD$6-VLOOKUP(Table3[[#This Row],[MD5]],Input[],15,FALSE))*Distances!$AC$6))</f>
        <v>27.865773168214197</v>
      </c>
      <c r="O83" s="7">
        <f>VLOOKUP(Table3[[#This Row],[MD5]],Input[],16,FALSE)+(Distances!$AA$7*(ABS(Distances!$AD$7-VLOOKUP(Table3[[#This Row],[MD5]],Input[],16,FALSE))*Distances!$AC$7))</f>
        <v>75.717951616666667</v>
      </c>
      <c r="P83" s="7">
        <f>VLOOKUP(Table3[[#This Row],[MD5]],Input[],17,FALSE)+(Distances!$AA$8*(ABS(Distances!$AD$8-VLOOKUP(Table3[[#This Row],[MD5]],Input[],11,FALSE))*Distances!$AC$8))</f>
        <v>73.842761941596549</v>
      </c>
      <c r="Q83" s="47">
        <f>SQRT(SUM((Table3[[#This Row],[time''3]]-Distances!$AD$6)^2,(Table3[[#This Row],[price''3]]-Distances!$AD$7)^2,(Table3[[#This Row],[energy''3]]-Distances!$AD$8)^2))</f>
        <v>41.470644193233831</v>
      </c>
      <c r="R83" s="47">
        <f>((Table3[[#This Row],[score-rt-fullcf]]-MIN(Table3[score-rt-fullcf]))*$G$6)/(MAX(Table3[score-rt-fullcf])-MIN(Table3[score-rt-fullcf]))</f>
        <v>1.0009526503524245E-3</v>
      </c>
      <c r="S83" s="8">
        <f>VLOOKUP(Table3[[#This Row],[MD5]],Input[],21,FALSE)+(Distances!$AI$6*(ABS(Distances!$L$3-VLOOKUP(Table3[[#This Row],[MD5]],Input[],21,FALSE))*Distances!$AC$6))</f>
        <v>424370.54860333336</v>
      </c>
      <c r="T83" s="7">
        <f>VLOOKUP(Table3[[#This Row],[MD5]],Input[],22,FALSE)+(Distances!$AI$7*(ABS(Distances!$AB$7-VLOOKUP(Table3[[#This Row],[MD5]],Input[],22,FALSE))*Distances!$AC$7))</f>
        <v>166991.71223333332</v>
      </c>
      <c r="U83" s="7">
        <f>VLOOKUP(Table3[[#This Row],[MD5]],Input[],23,FALSE)+(Distances!$AI$8*(ABS(Distances!$AD$8-VLOOKUP(Table3[[#This Row],[MD5]],Input[],23,FALSE))*Distances!$AC$8))</f>
        <v>121469.78382499944</v>
      </c>
      <c r="V83" s="43">
        <f>SQRT(SUM((Table3[[#This Row],[time''4]]-Distances!$AD$6)^2,(Table3[[#This Row],[price''4]]-Distances!$AD$7)^2,(Table3[[#This Row],[energy''4]]-Distances!$AD$8)^2))</f>
        <v>471868.86648150504</v>
      </c>
      <c r="W83" s="58">
        <f>((Table3[[#This Row],[score-rt-df]]-MIN(Table3[score-rt-df]))*$G$6)/(MAX(Table3[score-rt-df])-MIN(Table3[score-rt-df]))</f>
        <v>0.38788714113871114</v>
      </c>
      <c r="AY83" t="str">
        <f>Table3[[#This Row],[QW'#]]</f>
        <v>qw97</v>
      </c>
      <c r="AZ83" t="str">
        <f>VLOOKUP(Table10[[#This Row],[QW'#]],Table3[],2,FALSE)</f>
        <v>ba8e6ac63fc015892e8addc114d5a76f</v>
      </c>
      <c r="BA83" s="54">
        <f>IF(ABS(VLOOKUP(Table10[[#This Row],[QW'#]],Table3[],7,FALSE)-0)&lt;=$AZ$6,1,0)</f>
        <v>1</v>
      </c>
      <c r="BB83" s="54">
        <f>IF(ABS(VLOOKUP(Table10[[#This Row],[QW'#]],Table3[],22,FALSE)-0)&lt;=$AZ$6,1,0)</f>
        <v>0</v>
      </c>
      <c r="BC83" s="54">
        <f>IF(AND(Table10[[#This Row],[Retrieved]]=0, Table10[[#This Row],[Relevant]]=0),1,0)</f>
        <v>0</v>
      </c>
      <c r="BD83" s="54">
        <f>IF(AND(Table10[[#This Row],[Retrieved]]=0, Table10[[#This Row],[Relevant]]=1),1,0)</f>
        <v>0</v>
      </c>
      <c r="BE83" s="54">
        <f>IF(AND(Table10[[#This Row],[Retrieved]]=1, Table10[[#This Row],[Relevant]]=0),1,0)</f>
        <v>1</v>
      </c>
      <c r="BF83" s="54">
        <f>IF(AND(Table10[[#This Row],[Retrieved]]=1, Table10[[#This Row],[Relevant]]=1),1,0)</f>
        <v>0</v>
      </c>
    </row>
    <row r="84" spans="2:58">
      <c r="B84" s="76" t="s">
        <v>280</v>
      </c>
      <c r="C84" s="10" t="s">
        <v>148</v>
      </c>
      <c r="D84" s="8">
        <f>VLOOKUP(Table3[[#This Row],[MD5]],Input[],3,FALSE)+(Distances!$AA$6*(ABS(Distances!$AD$6-VLOOKUP(Table3[[#This Row],[MD5]],Input[],3,FALSE))*Distances!$AC$6))</f>
        <v>55.98857143</v>
      </c>
      <c r="E84" s="7">
        <f>VLOOKUP(Table3[[#This Row],[MD5]],Input[],4,FALSE)+(Distances!$AA$7*(ABS(Distances!$AD$7-VLOOKUP(Table3[[#This Row],[MD5]],Input[],4,FALSE))*Distances!$AC$7))</f>
        <v>57.466666666666669</v>
      </c>
      <c r="F84" s="7">
        <f>VLOOKUP(Table3[[#This Row],[MD5]],Input[],5,FALSE)+(Distances!$AA$8*(ABS(Distances!$AD$8-VLOOKUP(Table3[[#This Row],[MD5]],Input[],5,FALSE))*Distances!$AC$8))</f>
        <v>52.933333333333337</v>
      </c>
      <c r="G84" s="46">
        <f>SQRT(SUM((Table3[[#This Row],[time]]-Distances!$AD$6)^2,(Table3[[#This Row],[price]]-Distances!$AD$7)^2,(Table3[[#This Row],[energy]]-Distances!$AD$8)^2))</f>
        <v>10.010921202754911</v>
      </c>
      <c r="H84" s="46">
        <f>((Table3[[#This Row],[score-bt]]-MIN(Table3[score-bt]))*$G$6)/(MAX(Table3[score-bt])-MIN(Table3[score-bt]))</f>
        <v>0</v>
      </c>
      <c r="I84" s="8">
        <f>VLOOKUP(Table3[[#This Row],[MD5]],Input[],9,FALSE)+(Distances!$AA$6*(ABS(Distances!$AD$6-VLOOKUP(Table3[[#This Row],[MD5]],Input[],9,FALSE))*Distances!$AC$6))</f>
        <v>27.978855030669603</v>
      </c>
      <c r="J84" s="7">
        <f>VLOOKUP(Table3[[#This Row],[MD5]],Input[],10,FALSE)+(Distances!$AA$7*(ABS(Distances!$AD$7-VLOOKUP(Table3[[#This Row],[MD5]],Input[],10,FALSE))*Distances!$AC$7))</f>
        <v>29.876245495833246</v>
      </c>
      <c r="K84" s="7">
        <f>VLOOKUP(Table3[[#This Row],[MD5]],Input[],11,FALSE)+(Distances!$AA$8*(ABS(Distances!$AD$8-VLOOKUP(Table3[[#This Row],[MD5]],Input[],11,FALSE))*Distances!$AC$8))</f>
        <v>27.280283623854167</v>
      </c>
      <c r="L84" s="44">
        <f>SQRT(SUM((Table3[[#This Row],[time''2]]-Distances!$AD$6)^2,(Table3[[#This Row],[price''2]]-Distances!$AD$7)^2,(Table3[[#This Row],[energy''2]]-Distances!$AD$8)^2))</f>
        <v>37.497757710518457</v>
      </c>
      <c r="M84" s="44">
        <f>((Table3[[#This Row],[score-rt-partialcf]]-MIN(Table3[score-rt-partialcf]))*$G$6)/(MAX(Table3[score-rt-partialcf])-MIN(Table3[score-rt-partialcf]))</f>
        <v>0.29588825407247743</v>
      </c>
      <c r="N84" s="8">
        <f>VLOOKUP(Table3[[#This Row],[MD5]],Input[],15,FALSE)+(Distances!$AA$6*(ABS(Distances!$AD$6-VLOOKUP(Table3[[#This Row],[MD5]],Input[],15,FALSE))*Distances!$AC$6))</f>
        <v>27.886730351651703</v>
      </c>
      <c r="O84" s="7">
        <f>VLOOKUP(Table3[[#This Row],[MD5]],Input[],16,FALSE)+(Distances!$AA$7*(ABS(Distances!$AD$7-VLOOKUP(Table3[[#This Row],[MD5]],Input[],16,FALSE))*Distances!$AC$7))</f>
        <v>75.730873602083108</v>
      </c>
      <c r="P84" s="7">
        <f>VLOOKUP(Table3[[#This Row],[MD5]],Input[],17,FALSE)+(Distances!$AA$8*(ABS(Distances!$AD$8-VLOOKUP(Table3[[#This Row],[MD5]],Input[],11,FALSE))*Distances!$AC$8))</f>
        <v>73.810859734270494</v>
      </c>
      <c r="Q84" s="47">
        <f>SQRT(SUM((Table3[[#This Row],[time''3]]-Distances!$AD$6)^2,(Table3[[#This Row],[price''3]]-Distances!$AD$7)^2,(Table3[[#This Row],[energy''3]]-Distances!$AD$8)^2))</f>
        <v>41.449144649220969</v>
      </c>
      <c r="R84" s="47">
        <f>((Table3[[#This Row],[score-rt-fullcf]]-MIN(Table3[score-rt-fullcf]))*$G$6)/(MAX(Table3[score-rt-fullcf])-MIN(Table3[score-rt-fullcf]))</f>
        <v>3.4176347192933391E-4</v>
      </c>
      <c r="S84" s="8">
        <f>VLOOKUP(Table3[[#This Row],[MD5]],Input[],21,FALSE)+(Distances!$AI$6*(ABS(Distances!$L$3-VLOOKUP(Table3[[#This Row],[MD5]],Input[],21,FALSE))*Distances!$AC$6))</f>
        <v>424693.13753666671</v>
      </c>
      <c r="T84" s="7">
        <f>VLOOKUP(Table3[[#This Row],[MD5]],Input[],22,FALSE)+(Distances!$AI$7*(ABS(Distances!$AB$7-VLOOKUP(Table3[[#This Row],[MD5]],Input[],22,FALSE))*Distances!$AC$7))</f>
        <v>167277.27534444444</v>
      </c>
      <c r="U84" s="7">
        <f>VLOOKUP(Table3[[#This Row],[MD5]],Input[],23,FALSE)+(Distances!$AI$8*(ABS(Distances!$AD$8-VLOOKUP(Table3[[#This Row],[MD5]],Input[],23,FALSE))*Distances!$AC$8))</f>
        <v>121681.07371388833</v>
      </c>
      <c r="V84" s="43">
        <f>SQRT(SUM((Table3[[#This Row],[time''4]]-Distances!$AD$6)^2,(Table3[[#This Row],[price''4]]-Distances!$AD$7)^2,(Table3[[#This Row],[energy''4]]-Distances!$AD$8)^2))</f>
        <v>472314.38043839444</v>
      </c>
      <c r="W84" s="58">
        <f>((Table3[[#This Row],[score-rt-df]]-MIN(Table3[score-rt-df]))*$G$6)/(MAX(Table3[score-rt-df])-MIN(Table3[score-rt-df]))</f>
        <v>0.38825404209650816</v>
      </c>
      <c r="AY84" t="str">
        <f>Table3[[#This Row],[QW'#]]</f>
        <v>qw102</v>
      </c>
      <c r="AZ84" t="str">
        <f>VLOOKUP(Table10[[#This Row],[QW'#]],Table3[],2,FALSE)</f>
        <v>bc3b1e9b2deafa7a11cdcb51f7aa329e</v>
      </c>
      <c r="BA84" s="54">
        <f>IF(ABS(VLOOKUP(Table10[[#This Row],[QW'#]],Table3[],7,FALSE)-0)&lt;=$AZ$6,1,0)</f>
        <v>1</v>
      </c>
      <c r="BB84" s="54">
        <f>IF(ABS(VLOOKUP(Table10[[#This Row],[QW'#]],Table3[],22,FALSE)-0)&lt;=$AZ$6,1,0)</f>
        <v>0</v>
      </c>
      <c r="BC84" s="54">
        <f>IF(AND(Table10[[#This Row],[Retrieved]]=0, Table10[[#This Row],[Relevant]]=0),1,0)</f>
        <v>0</v>
      </c>
      <c r="BD84" s="54">
        <f>IF(AND(Table10[[#This Row],[Retrieved]]=0, Table10[[#This Row],[Relevant]]=1),1,0)</f>
        <v>0</v>
      </c>
      <c r="BE84" s="54">
        <f>IF(AND(Table10[[#This Row],[Retrieved]]=1, Table10[[#This Row],[Relevant]]=0),1,0)</f>
        <v>1</v>
      </c>
      <c r="BF84" s="54">
        <f>IF(AND(Table10[[#This Row],[Retrieved]]=1, Table10[[#This Row],[Relevant]]=1),1,0)</f>
        <v>0</v>
      </c>
    </row>
    <row r="85" spans="2:58">
      <c r="B85" s="76" t="s">
        <v>252</v>
      </c>
      <c r="C85" s="10" t="s">
        <v>120</v>
      </c>
      <c r="D85" s="8">
        <f>VLOOKUP(Table3[[#This Row],[MD5]],Input[],3,FALSE)+(Distances!$AA$6*(ABS(Distances!$AD$6-VLOOKUP(Table3[[#This Row],[MD5]],Input[],3,FALSE))*Distances!$AC$6))</f>
        <v>55.98857143</v>
      </c>
      <c r="E85" s="7">
        <f>VLOOKUP(Table3[[#This Row],[MD5]],Input[],4,FALSE)+(Distances!$AA$7*(ABS(Distances!$AD$7-VLOOKUP(Table3[[#This Row],[MD5]],Input[],4,FALSE))*Distances!$AC$7))</f>
        <v>57.466666666666669</v>
      </c>
      <c r="F85" s="7">
        <f>VLOOKUP(Table3[[#This Row],[MD5]],Input[],5,FALSE)+(Distances!$AA$8*(ABS(Distances!$AD$8-VLOOKUP(Table3[[#This Row],[MD5]],Input[],5,FALSE))*Distances!$AC$8))</f>
        <v>52.933333333333337</v>
      </c>
      <c r="G85" s="46">
        <f>SQRT(SUM((Table3[[#This Row],[time]]-Distances!$AD$6)^2,(Table3[[#This Row],[price]]-Distances!$AD$7)^2,(Table3[[#This Row],[energy]]-Distances!$AD$8)^2))</f>
        <v>10.010921202754911</v>
      </c>
      <c r="H85" s="46">
        <f>((Table3[[#This Row],[score-bt]]-MIN(Table3[score-bt]))*$G$6)/(MAX(Table3[score-bt])-MIN(Table3[score-bt]))</f>
        <v>0</v>
      </c>
      <c r="I85" s="8">
        <f>VLOOKUP(Table3[[#This Row],[MD5]],Input[],9,FALSE)+(Distances!$AA$6*(ABS(Distances!$AD$6-VLOOKUP(Table3[[#This Row],[MD5]],Input[],9,FALSE))*Distances!$AC$6))</f>
        <v>28.375090209240998</v>
      </c>
      <c r="J85" s="7">
        <f>VLOOKUP(Table3[[#This Row],[MD5]],Input[],10,FALSE)+(Distances!$AA$7*(ABS(Distances!$AD$7-VLOOKUP(Table3[[#This Row],[MD5]],Input[],10,FALSE))*Distances!$AC$7))</f>
        <v>30.400812162499914</v>
      </c>
      <c r="K85" s="7">
        <f>VLOOKUP(Table3[[#This Row],[MD5]],Input[],11,FALSE)+(Distances!$AA$8*(ABS(Distances!$AD$8-VLOOKUP(Table3[[#This Row],[MD5]],Input[],11,FALSE))*Distances!$AC$8))</f>
        <v>27.678080012742974</v>
      </c>
      <c r="L85" s="44">
        <f>SQRT(SUM((Table3[[#This Row],[time''2]]-Distances!$AD$6)^2,(Table3[[#This Row],[price''2]]-Distances!$AD$7)^2,(Table3[[#This Row],[energy''2]]-Distances!$AD$8)^2))</f>
        <v>36.742795202128818</v>
      </c>
      <c r="M85" s="44">
        <f>((Table3[[#This Row],[score-rt-partialcf]]-MIN(Table3[score-rt-partialcf]))*$G$6)/(MAX(Table3[score-rt-partialcf])-MIN(Table3[score-rt-partialcf]))</f>
        <v>0.28891690064400427</v>
      </c>
      <c r="N85" s="8">
        <f>VLOOKUP(Table3[[#This Row],[MD5]],Input[],15,FALSE)+(Distances!$AA$6*(ABS(Distances!$AD$6-VLOOKUP(Table3[[#This Row],[MD5]],Input[],15,FALSE))*Distances!$AC$6))</f>
        <v>27.886730351651703</v>
      </c>
      <c r="O85" s="7">
        <f>VLOOKUP(Table3[[#This Row],[MD5]],Input[],16,FALSE)+(Distances!$AA$7*(ABS(Distances!$AD$7-VLOOKUP(Table3[[#This Row],[MD5]],Input[],16,FALSE))*Distances!$AC$7))</f>
        <v>75.730873602083108</v>
      </c>
      <c r="P85" s="7">
        <f>VLOOKUP(Table3[[#This Row],[MD5]],Input[],17,FALSE)+(Distances!$AA$8*(ABS(Distances!$AD$8-VLOOKUP(Table3[[#This Row],[MD5]],Input[],11,FALSE))*Distances!$AC$8))</f>
        <v>73.867687789826036</v>
      </c>
      <c r="Q85" s="47">
        <f>SQRT(SUM((Table3[[#This Row],[time''3]]-Distances!$AD$6)^2,(Table3[[#This Row],[price''3]]-Distances!$AD$7)^2,(Table3[[#This Row],[energy''3]]-Distances!$AD$8)^2))</f>
        <v>41.481816152376332</v>
      </c>
      <c r="R85" s="47">
        <f>((Table3[[#This Row],[score-rt-fullcf]]-MIN(Table3[score-rt-fullcf]))*$G$6)/(MAX(Table3[score-rt-fullcf])-MIN(Table3[score-rt-fullcf]))</f>
        <v>1.3434917555593165E-3</v>
      </c>
      <c r="S85" s="8">
        <f>VLOOKUP(Table3[[#This Row],[MD5]],Input[],21,FALSE)+(Distances!$AI$6*(ABS(Distances!$L$3-VLOOKUP(Table3[[#This Row],[MD5]],Input[],21,FALSE))*Distances!$AC$6))</f>
        <v>424693.13753666671</v>
      </c>
      <c r="T85" s="7">
        <f>VLOOKUP(Table3[[#This Row],[MD5]],Input[],22,FALSE)+(Distances!$AI$7*(ABS(Distances!$AB$7-VLOOKUP(Table3[[#This Row],[MD5]],Input[],22,FALSE))*Distances!$AC$7))</f>
        <v>167277.27534444444</v>
      </c>
      <c r="U85" s="7">
        <f>VLOOKUP(Table3[[#This Row],[MD5]],Input[],23,FALSE)+(Distances!$AI$8*(ABS(Distances!$AD$8-VLOOKUP(Table3[[#This Row],[MD5]],Input[],23,FALSE))*Distances!$AC$8))</f>
        <v>121681.07371388833</v>
      </c>
      <c r="V85" s="43">
        <f>SQRT(SUM((Table3[[#This Row],[time''4]]-Distances!$AD$6)^2,(Table3[[#This Row],[price''4]]-Distances!$AD$7)^2,(Table3[[#This Row],[energy''4]]-Distances!$AD$8)^2))</f>
        <v>472314.38043839444</v>
      </c>
      <c r="W85" s="58">
        <f>((Table3[[#This Row],[score-rt-df]]-MIN(Table3[score-rt-df]))*$G$6)/(MAX(Table3[score-rt-df])-MIN(Table3[score-rt-df]))</f>
        <v>0.38825404209650816</v>
      </c>
      <c r="AY85" t="str">
        <f>Table3[[#This Row],[QW'#]]</f>
        <v>qw74</v>
      </c>
      <c r="AZ85" t="str">
        <f>VLOOKUP(Table10[[#This Row],[QW'#]],Table3[],2,FALSE)</f>
        <v>563bad0e66c5ecec41740deb946e54d2</v>
      </c>
      <c r="BA85" s="54">
        <f>IF(ABS(VLOOKUP(Table10[[#This Row],[QW'#]],Table3[],7,FALSE)-0)&lt;=$AZ$6,1,0)</f>
        <v>1</v>
      </c>
      <c r="BB85" s="54">
        <f>IF(ABS(VLOOKUP(Table10[[#This Row],[QW'#]],Table3[],22,FALSE)-0)&lt;=$AZ$6,1,0)</f>
        <v>0</v>
      </c>
      <c r="BC85" s="54">
        <f>IF(AND(Table10[[#This Row],[Retrieved]]=0, Table10[[#This Row],[Relevant]]=0),1,0)</f>
        <v>0</v>
      </c>
      <c r="BD85" s="54">
        <f>IF(AND(Table10[[#This Row],[Retrieved]]=0, Table10[[#This Row],[Relevant]]=1),1,0)</f>
        <v>0</v>
      </c>
      <c r="BE85" s="54">
        <f>IF(AND(Table10[[#This Row],[Retrieved]]=1, Table10[[#This Row],[Relevant]]=0),1,0)</f>
        <v>1</v>
      </c>
      <c r="BF85" s="54">
        <f>IF(AND(Table10[[#This Row],[Retrieved]]=1, Table10[[#This Row],[Relevant]]=1),1,0)</f>
        <v>0</v>
      </c>
    </row>
    <row r="86" spans="2:58">
      <c r="B86" s="76" t="s">
        <v>264</v>
      </c>
      <c r="C86" s="10" t="s">
        <v>132</v>
      </c>
      <c r="D86" s="8">
        <f>VLOOKUP(Table3[[#This Row],[MD5]],Input[],3,FALSE)+(Distances!$AA$6*(ABS(Distances!$AD$6-VLOOKUP(Table3[[#This Row],[MD5]],Input[],3,FALSE))*Distances!$AC$6))</f>
        <v>55.98857143</v>
      </c>
      <c r="E86" s="7">
        <f>VLOOKUP(Table3[[#This Row],[MD5]],Input[],4,FALSE)+(Distances!$AA$7*(ABS(Distances!$AD$7-VLOOKUP(Table3[[#This Row],[MD5]],Input[],4,FALSE))*Distances!$AC$7))</f>
        <v>57.466666666666669</v>
      </c>
      <c r="F86" s="7">
        <f>VLOOKUP(Table3[[#This Row],[MD5]],Input[],5,FALSE)+(Distances!$AA$8*(ABS(Distances!$AD$8-VLOOKUP(Table3[[#This Row],[MD5]],Input[],5,FALSE))*Distances!$AC$8))</f>
        <v>52.933333333333337</v>
      </c>
      <c r="G86" s="46">
        <f>SQRT(SUM((Table3[[#This Row],[time]]-Distances!$AD$6)^2,(Table3[[#This Row],[price]]-Distances!$AD$7)^2,(Table3[[#This Row],[energy]]-Distances!$AD$8)^2))</f>
        <v>10.010921202754911</v>
      </c>
      <c r="H86" s="46">
        <f>((Table3[[#This Row],[score-bt]]-MIN(Table3[score-bt]))*$G$6)/(MAX(Table3[score-bt])-MIN(Table3[score-bt]))</f>
        <v>0</v>
      </c>
      <c r="I86" s="8">
        <f>VLOOKUP(Table3[[#This Row],[MD5]],Input[],9,FALSE)+(Distances!$AA$6*(ABS(Distances!$AD$6-VLOOKUP(Table3[[#This Row],[MD5]],Input[],9,FALSE))*Distances!$AC$6))</f>
        <v>28.375091531116002</v>
      </c>
      <c r="J86" s="7">
        <f>VLOOKUP(Table3[[#This Row],[MD5]],Input[],10,FALSE)+(Distances!$AA$7*(ABS(Distances!$AD$7-VLOOKUP(Table3[[#This Row],[MD5]],Input[],10,FALSE))*Distances!$AC$7))</f>
        <v>30.40081391249992</v>
      </c>
      <c r="K86" s="7">
        <f>VLOOKUP(Table3[[#This Row],[MD5]],Input[],11,FALSE)+(Distances!$AA$8*(ABS(Distances!$AD$8-VLOOKUP(Table3[[#This Row],[MD5]],Input[],11,FALSE))*Distances!$AC$8))</f>
        <v>27.67808133982631</v>
      </c>
      <c r="L86" s="44">
        <f>SQRT(SUM((Table3[[#This Row],[time''2]]-Distances!$AD$6)^2,(Table3[[#This Row],[price''2]]-Distances!$AD$7)^2,(Table3[[#This Row],[energy''2]]-Distances!$AD$8)^2))</f>
        <v>36.742792684436466</v>
      </c>
      <c r="M86" s="44">
        <f>((Table3[[#This Row],[score-rt-partialcf]]-MIN(Table3[score-rt-partialcf]))*$G$6)/(MAX(Table3[score-rt-partialcf])-MIN(Table3[score-rt-partialcf]))</f>
        <v>0.28891687739553429</v>
      </c>
      <c r="N86" s="8">
        <f>VLOOKUP(Table3[[#This Row],[MD5]],Input[],15,FALSE)+(Distances!$AA$6*(ABS(Distances!$AD$6-VLOOKUP(Table3[[#This Row],[MD5]],Input[],15,FALSE))*Distances!$AC$6))</f>
        <v>27.886734757901703</v>
      </c>
      <c r="O86" s="7">
        <f>VLOOKUP(Table3[[#This Row],[MD5]],Input[],16,FALSE)+(Distances!$AA$7*(ABS(Distances!$AD$7-VLOOKUP(Table3[[#This Row],[MD5]],Input[],16,FALSE))*Distances!$AC$7))</f>
        <v>75.730875060416452</v>
      </c>
      <c r="P86" s="7">
        <f>VLOOKUP(Table3[[#This Row],[MD5]],Input[],17,FALSE)+(Distances!$AA$8*(ABS(Distances!$AD$8-VLOOKUP(Table3[[#This Row],[MD5]],Input[],11,FALSE))*Distances!$AC$8))</f>
        <v>73.867689875242704</v>
      </c>
      <c r="Q86" s="47">
        <f>SQRT(SUM((Table3[[#This Row],[time''3]]-Distances!$AD$6)^2,(Table3[[#This Row],[price''3]]-Distances!$AD$7)^2,(Table3[[#This Row],[energy''3]]-Distances!$AD$8)^2))</f>
        <v>41.481815907972461</v>
      </c>
      <c r="R86" s="47">
        <f>((Table3[[#This Row],[score-rt-fullcf]]-MIN(Table3[score-rt-fullcf]))*$G$6)/(MAX(Table3[score-rt-fullcf])-MIN(Table3[score-rt-fullcf]))</f>
        <v>1.3434842619870311E-3</v>
      </c>
      <c r="S86" s="8">
        <f>VLOOKUP(Table3[[#This Row],[MD5]],Input[],21,FALSE)+(Distances!$AI$6*(ABS(Distances!$L$3-VLOOKUP(Table3[[#This Row],[MD5]],Input[],21,FALSE))*Distances!$AC$6))</f>
        <v>424693.95887000003</v>
      </c>
      <c r="T86" s="7">
        <f>VLOOKUP(Table3[[#This Row],[MD5]],Input[],22,FALSE)+(Distances!$AI$7*(ABS(Distances!$AB$7-VLOOKUP(Table3[[#This Row],[MD5]],Input[],22,FALSE))*Distances!$AC$7))</f>
        <v>167277.47090000001</v>
      </c>
      <c r="U86" s="7">
        <f>VLOOKUP(Table3[[#This Row],[MD5]],Input[],23,FALSE)+(Distances!$AI$8*(ABS(Distances!$AD$8-VLOOKUP(Table3[[#This Row],[MD5]],Input[],23,FALSE))*Distances!$AC$8))</f>
        <v>121681.22038055499</v>
      </c>
      <c r="V86" s="43">
        <f>SQRT(SUM((Table3[[#This Row],[time''4]]-Distances!$AD$6)^2,(Table3[[#This Row],[price''4]]-Distances!$AD$7)^2,(Table3[[#This Row],[energy''4]]-Distances!$AD$8)^2))</f>
        <v>472315.22588167718</v>
      </c>
      <c r="W86" s="58">
        <f>((Table3[[#This Row],[score-rt-df]]-MIN(Table3[score-rt-df]))*$G$6)/(MAX(Table3[score-rt-df])-MIN(Table3[score-rt-df]))</f>
        <v>0.38825473835741181</v>
      </c>
      <c r="AY86" t="str">
        <f>Table3[[#This Row],[QW'#]]</f>
        <v>qw86</v>
      </c>
      <c r="AZ86" t="str">
        <f>VLOOKUP(Table10[[#This Row],[QW'#]],Table3[],2,FALSE)</f>
        <v>fef1e1af8f96d605fe2b0d012291bb0c</v>
      </c>
      <c r="BA86" s="54">
        <f>IF(ABS(VLOOKUP(Table10[[#This Row],[QW'#]],Table3[],7,FALSE)-0)&lt;=$AZ$6,1,0)</f>
        <v>1</v>
      </c>
      <c r="BB86" s="54">
        <f>IF(ABS(VLOOKUP(Table10[[#This Row],[QW'#]],Table3[],22,FALSE)-0)&lt;=$AZ$6,1,0)</f>
        <v>0</v>
      </c>
      <c r="BC86" s="54">
        <f>IF(AND(Table10[[#This Row],[Retrieved]]=0, Table10[[#This Row],[Relevant]]=0),1,0)</f>
        <v>0</v>
      </c>
      <c r="BD86" s="54">
        <f>IF(AND(Table10[[#This Row],[Retrieved]]=0, Table10[[#This Row],[Relevant]]=1),1,0)</f>
        <v>0</v>
      </c>
      <c r="BE86" s="54">
        <f>IF(AND(Table10[[#This Row],[Retrieved]]=1, Table10[[#This Row],[Relevant]]=0),1,0)</f>
        <v>1</v>
      </c>
      <c r="BF86" s="54">
        <f>IF(AND(Table10[[#This Row],[Retrieved]]=1, Table10[[#This Row],[Relevant]]=1),1,0)</f>
        <v>0</v>
      </c>
    </row>
    <row r="87" spans="2:58">
      <c r="B87" s="76" t="s">
        <v>271</v>
      </c>
      <c r="C87" s="10" t="s">
        <v>139</v>
      </c>
      <c r="D87" s="8">
        <f>VLOOKUP(Table3[[#This Row],[MD5]],Input[],3,FALSE)+(Distances!$AA$6*(ABS(Distances!$AD$6-VLOOKUP(Table3[[#This Row],[MD5]],Input[],3,FALSE))*Distances!$AC$6))</f>
        <v>55.98857143</v>
      </c>
      <c r="E87" s="7">
        <f>VLOOKUP(Table3[[#This Row],[MD5]],Input[],4,FALSE)+(Distances!$AA$7*(ABS(Distances!$AD$7-VLOOKUP(Table3[[#This Row],[MD5]],Input[],4,FALSE))*Distances!$AC$7))</f>
        <v>57.466666666666669</v>
      </c>
      <c r="F87" s="7">
        <f>VLOOKUP(Table3[[#This Row],[MD5]],Input[],5,FALSE)+(Distances!$AA$8*(ABS(Distances!$AD$8-VLOOKUP(Table3[[#This Row],[MD5]],Input[],5,FALSE))*Distances!$AC$8))</f>
        <v>52.933333333333337</v>
      </c>
      <c r="G87" s="46">
        <f>SQRT(SUM((Table3[[#This Row],[time]]-Distances!$AD$6)^2,(Table3[[#This Row],[price]]-Distances!$AD$7)^2,(Table3[[#This Row],[energy]]-Distances!$AD$8)^2))</f>
        <v>10.010921202754911</v>
      </c>
      <c r="H87" s="46">
        <f>((Table3[[#This Row],[score-bt]]-MIN(Table3[score-bt]))*$G$6)/(MAX(Table3[score-bt])-MIN(Table3[score-bt]))</f>
        <v>0</v>
      </c>
      <c r="I87" s="8">
        <f>VLOOKUP(Table3[[#This Row],[MD5]],Input[],9,FALSE)+(Distances!$AA$6*(ABS(Distances!$AD$6-VLOOKUP(Table3[[#This Row],[MD5]],Input[],9,FALSE))*Distances!$AC$6))</f>
        <v>27.978856352544597</v>
      </c>
      <c r="J87" s="7">
        <f>VLOOKUP(Table3[[#This Row],[MD5]],Input[],10,FALSE)+(Distances!$AA$7*(ABS(Distances!$AD$7-VLOOKUP(Table3[[#This Row],[MD5]],Input[],10,FALSE))*Distances!$AC$7))</f>
        <v>29.876247245833252</v>
      </c>
      <c r="K87" s="7">
        <f>VLOOKUP(Table3[[#This Row],[MD5]],Input[],11,FALSE)+(Distances!$AA$8*(ABS(Distances!$AD$8-VLOOKUP(Table3[[#This Row],[MD5]],Input[],11,FALSE))*Distances!$AC$8))</f>
        <v>27.280284950937499</v>
      </c>
      <c r="L87" s="44">
        <f>SQRT(SUM((Table3[[#This Row],[time''2]]-Distances!$AD$6)^2,(Table3[[#This Row],[price''2]]-Distances!$AD$7)^2,(Table3[[#This Row],[energy''2]]-Distances!$AD$8)^2))</f>
        <v>37.497755190988386</v>
      </c>
      <c r="M87" s="44">
        <f>((Table3[[#This Row],[score-rt-partialcf]]-MIN(Table3[score-rt-partialcf]))*$G$6)/(MAX(Table3[score-rt-partialcf])-MIN(Table3[score-rt-partialcf]))</f>
        <v>0.29588823080703791</v>
      </c>
      <c r="N87" s="8">
        <f>VLOOKUP(Table3[[#This Row],[MD5]],Input[],15,FALSE)+(Distances!$AA$6*(ABS(Distances!$AD$6-VLOOKUP(Table3[[#This Row],[MD5]],Input[],15,FALSE))*Distances!$AC$6))</f>
        <v>27.886734757901703</v>
      </c>
      <c r="O87" s="7">
        <f>VLOOKUP(Table3[[#This Row],[MD5]],Input[],16,FALSE)+(Distances!$AA$7*(ABS(Distances!$AD$7-VLOOKUP(Table3[[#This Row],[MD5]],Input[],16,FALSE))*Distances!$AC$7))</f>
        <v>75.730875060416452</v>
      </c>
      <c r="P87" s="7">
        <f>VLOOKUP(Table3[[#This Row],[MD5]],Input[],17,FALSE)+(Distances!$AA$8*(ABS(Distances!$AD$8-VLOOKUP(Table3[[#This Row],[MD5]],Input[],11,FALSE))*Distances!$AC$8))</f>
        <v>73.810861819687162</v>
      </c>
      <c r="Q87" s="47">
        <f>SQRT(SUM((Table3[[#This Row],[time''3]]-Distances!$AD$6)^2,(Table3[[#This Row],[price''3]]-Distances!$AD$7)^2,(Table3[[#This Row],[energy''3]]-Distances!$AD$8)^2))</f>
        <v>41.449144401765274</v>
      </c>
      <c r="R87" s="47">
        <f>((Table3[[#This Row],[score-rt-fullcf]]-MIN(Table3[score-rt-fullcf]))*$G$6)/(MAX(Table3[score-rt-fullcf])-MIN(Table3[score-rt-fullcf]))</f>
        <v>3.4175588478626634E-4</v>
      </c>
      <c r="S87" s="8">
        <f>VLOOKUP(Table3[[#This Row],[MD5]],Input[],21,FALSE)+(Distances!$AI$6*(ABS(Distances!$L$3-VLOOKUP(Table3[[#This Row],[MD5]],Input[],21,FALSE))*Distances!$AC$6))</f>
        <v>424693.95887000003</v>
      </c>
      <c r="T87" s="7">
        <f>VLOOKUP(Table3[[#This Row],[MD5]],Input[],22,FALSE)+(Distances!$AI$7*(ABS(Distances!$AB$7-VLOOKUP(Table3[[#This Row],[MD5]],Input[],22,FALSE))*Distances!$AC$7))</f>
        <v>167277.47090000001</v>
      </c>
      <c r="U87" s="7">
        <f>VLOOKUP(Table3[[#This Row],[MD5]],Input[],23,FALSE)+(Distances!$AI$8*(ABS(Distances!$AD$8-VLOOKUP(Table3[[#This Row],[MD5]],Input[],23,FALSE))*Distances!$AC$8))</f>
        <v>121681.22038055499</v>
      </c>
      <c r="V87" s="43">
        <f>SQRT(SUM((Table3[[#This Row],[time''4]]-Distances!$AD$6)^2,(Table3[[#This Row],[price''4]]-Distances!$AD$7)^2,(Table3[[#This Row],[energy''4]]-Distances!$AD$8)^2))</f>
        <v>472315.22588167718</v>
      </c>
      <c r="W87" s="58">
        <f>((Table3[[#This Row],[score-rt-df]]-MIN(Table3[score-rt-df]))*$G$6)/(MAX(Table3[score-rt-df])-MIN(Table3[score-rt-df]))</f>
        <v>0.38825473835741181</v>
      </c>
      <c r="AY87" t="str">
        <f>Table3[[#This Row],[QW'#]]</f>
        <v>qw93</v>
      </c>
      <c r="AZ87" t="str">
        <f>VLOOKUP(Table10[[#This Row],[QW'#]],Table3[],2,FALSE)</f>
        <v>edd10409b0814458178eec7fcc0e3a40</v>
      </c>
      <c r="BA87" s="54">
        <f>IF(ABS(VLOOKUP(Table10[[#This Row],[QW'#]],Table3[],7,FALSE)-0)&lt;=$AZ$6,1,0)</f>
        <v>1</v>
      </c>
      <c r="BB87" s="54">
        <f>IF(ABS(VLOOKUP(Table10[[#This Row],[QW'#]],Table3[],22,FALSE)-0)&lt;=$AZ$6,1,0)</f>
        <v>0</v>
      </c>
      <c r="BC87" s="54">
        <f>IF(AND(Table10[[#This Row],[Retrieved]]=0, Table10[[#This Row],[Relevant]]=0),1,0)</f>
        <v>0</v>
      </c>
      <c r="BD87" s="54">
        <f>IF(AND(Table10[[#This Row],[Retrieved]]=0, Table10[[#This Row],[Relevant]]=1),1,0)</f>
        <v>0</v>
      </c>
      <c r="BE87" s="54">
        <f>IF(AND(Table10[[#This Row],[Retrieved]]=1, Table10[[#This Row],[Relevant]]=0),1,0)</f>
        <v>1</v>
      </c>
      <c r="BF87" s="54">
        <f>IF(AND(Table10[[#This Row],[Retrieved]]=1, Table10[[#This Row],[Relevant]]=1),1,0)</f>
        <v>0</v>
      </c>
    </row>
    <row r="88" spans="2:58">
      <c r="B88" s="76" t="s">
        <v>286</v>
      </c>
      <c r="C88" s="10" t="s">
        <v>154</v>
      </c>
      <c r="D88" s="8">
        <f>VLOOKUP(Table3[[#This Row],[MD5]],Input[],3,FALSE)+(Distances!$AA$6*(ABS(Distances!$AD$6-VLOOKUP(Table3[[#This Row],[MD5]],Input[],3,FALSE))*Distances!$AC$6))</f>
        <v>55.98857143</v>
      </c>
      <c r="E88" s="7">
        <f>VLOOKUP(Table3[[#This Row],[MD5]],Input[],4,FALSE)+(Distances!$AA$7*(ABS(Distances!$AD$7-VLOOKUP(Table3[[#This Row],[MD5]],Input[],4,FALSE))*Distances!$AC$7))</f>
        <v>57.466666666666669</v>
      </c>
      <c r="F88" s="7">
        <f>VLOOKUP(Table3[[#This Row],[MD5]],Input[],5,FALSE)+(Distances!$AA$8*(ABS(Distances!$AD$8-VLOOKUP(Table3[[#This Row],[MD5]],Input[],5,FALSE))*Distances!$AC$8))</f>
        <v>52.933333333333337</v>
      </c>
      <c r="G88" s="46">
        <f>SQRT(SUM((Table3[[#This Row],[time]]-Distances!$AD$6)^2,(Table3[[#This Row],[price]]-Distances!$AD$7)^2,(Table3[[#This Row],[energy]]-Distances!$AD$8)^2))</f>
        <v>10.010921202754911</v>
      </c>
      <c r="H88" s="46">
        <f>((Table3[[#This Row],[score-bt]]-MIN(Table3[score-bt]))*$G$6)/(MAX(Table3[score-bt])-MIN(Table3[score-bt]))</f>
        <v>0</v>
      </c>
      <c r="I88" s="8">
        <f>VLOOKUP(Table3[[#This Row],[MD5]],Input[],9,FALSE)+(Distances!$AA$6*(ABS(Distances!$AD$6-VLOOKUP(Table3[[#This Row],[MD5]],Input[],9,FALSE))*Distances!$AC$6))</f>
        <v>28.355139141830303</v>
      </c>
      <c r="J88" s="7">
        <f>VLOOKUP(Table3[[#This Row],[MD5]],Input[],10,FALSE)+(Distances!$AA$7*(ABS(Distances!$AD$7-VLOOKUP(Table3[[#This Row],[MD5]],Input[],10,FALSE))*Distances!$AC$7))</f>
        <v>30.353282704166581</v>
      </c>
      <c r="K88" s="7">
        <f>VLOOKUP(Table3[[#This Row],[MD5]],Input[],11,FALSE)+(Distances!$AA$8*(ABS(Distances!$AD$8-VLOOKUP(Table3[[#This Row],[MD5]],Input[],11,FALSE))*Distances!$AC$8))</f>
        <v>27.642321958923532</v>
      </c>
      <c r="L88" s="44">
        <f>SQRT(SUM((Table3[[#This Row],[time''2]]-Distances!$AD$6)^2,(Table3[[#This Row],[price''2]]-Distances!$AD$7)^2,(Table3[[#This Row],[energy''2]]-Distances!$AD$8)^2))</f>
        <v>36.801620473293831</v>
      </c>
      <c r="M88" s="44">
        <f>((Table3[[#This Row],[score-rt-partialcf]]-MIN(Table3[score-rt-partialcf]))*$G$6)/(MAX(Table3[score-rt-partialcf])-MIN(Table3[score-rt-partialcf]))</f>
        <v>0.28946009550634494</v>
      </c>
      <c r="N88" s="8">
        <f>VLOOKUP(Table3[[#This Row],[MD5]],Input[],15,FALSE)+(Distances!$AA$6*(ABS(Distances!$AD$6-VLOOKUP(Table3[[#This Row],[MD5]],Input[],15,FALSE))*Distances!$AC$6))</f>
        <v>27.934058567276701</v>
      </c>
      <c r="O88" s="7">
        <f>VLOOKUP(Table3[[#This Row],[MD5]],Input[],16,FALSE)+(Distances!$AA$7*(ABS(Distances!$AD$7-VLOOKUP(Table3[[#This Row],[MD5]],Input[],16,FALSE))*Distances!$AC$7))</f>
        <v>75.742044143749766</v>
      </c>
      <c r="P88" s="7">
        <f>VLOOKUP(Table3[[#This Row],[MD5]],Input[],17,FALSE)+(Distances!$AA$8*(ABS(Distances!$AD$8-VLOOKUP(Table3[[#This Row],[MD5]],Input[],11,FALSE))*Distances!$AC$8))</f>
        <v>73.877345588089923</v>
      </c>
      <c r="Q88" s="47">
        <f>SQRT(SUM((Table3[[#This Row],[time''3]]-Distances!$AD$6)^2,(Table3[[#This Row],[price''3]]-Distances!$AD$7)^2,(Table3[[#This Row],[energy''3]]-Distances!$AD$8)^2))</f>
        <v>41.469099825583548</v>
      </c>
      <c r="R88" s="47">
        <f>((Table3[[#This Row],[score-rt-fullcf]]-MIN(Table3[score-rt-fullcf]))*$G$6)/(MAX(Table3[score-rt-fullcf])-MIN(Table3[score-rt-fullcf]))</f>
        <v>9.536013929506862E-4</v>
      </c>
      <c r="S88" s="8">
        <f>VLOOKUP(Table3[[#This Row],[MD5]],Input[],21,FALSE)+(Distances!$AI$6*(ABS(Distances!$L$3-VLOOKUP(Table3[[#This Row],[MD5]],Input[],21,FALSE))*Distances!$AC$6))</f>
        <v>426971.67113666667</v>
      </c>
      <c r="T88" s="7">
        <f>VLOOKUP(Table3[[#This Row],[MD5]],Input[],22,FALSE)+(Distances!$AI$7*(ABS(Distances!$AB$7-VLOOKUP(Table3[[#This Row],[MD5]],Input[],22,FALSE))*Distances!$AC$7))</f>
        <v>167905.17401111111</v>
      </c>
      <c r="U88" s="7">
        <f>VLOOKUP(Table3[[#This Row],[MD5]],Input[],23,FALSE)+(Distances!$AI$8*(ABS(Distances!$AD$8-VLOOKUP(Table3[[#This Row],[MD5]],Input[],23,FALSE))*Distances!$AC$8))</f>
        <v>122131.6852694439</v>
      </c>
      <c r="V88" s="43">
        <f>SQRT(SUM((Table3[[#This Row],[time''4]]-Distances!$AD$6)^2,(Table3[[#This Row],[price''4]]-Distances!$AD$7)^2,(Table3[[#This Row],[energy''4]]-Distances!$AD$8)^2))</f>
        <v>474701.39098874794</v>
      </c>
      <c r="W88" s="58">
        <f>((Table3[[#This Row],[score-rt-df]]-MIN(Table3[score-rt-df]))*$G$6)/(MAX(Table3[score-rt-df])-MIN(Table3[score-rt-df]))</f>
        <v>0.39021985359052103</v>
      </c>
      <c r="AY88" t="str">
        <f>Table3[[#This Row],[QW'#]]</f>
        <v>qw108</v>
      </c>
      <c r="AZ88" t="str">
        <f>VLOOKUP(Table10[[#This Row],[QW'#]],Table3[],2,FALSE)</f>
        <v>bd5b6eab38c594b7241612531d80a13d</v>
      </c>
      <c r="BA88" s="54">
        <f>IF(ABS(VLOOKUP(Table10[[#This Row],[QW'#]],Table3[],7,FALSE)-0)&lt;=$AZ$6,1,0)</f>
        <v>1</v>
      </c>
      <c r="BB88" s="54">
        <f>IF(ABS(VLOOKUP(Table10[[#This Row],[QW'#]],Table3[],22,FALSE)-0)&lt;=$AZ$6,1,0)</f>
        <v>0</v>
      </c>
      <c r="BC88" s="54">
        <f>IF(AND(Table10[[#This Row],[Retrieved]]=0, Table10[[#This Row],[Relevant]]=0),1,0)</f>
        <v>0</v>
      </c>
      <c r="BD88" s="54">
        <f>IF(AND(Table10[[#This Row],[Retrieved]]=0, Table10[[#This Row],[Relevant]]=1),1,0)</f>
        <v>0</v>
      </c>
      <c r="BE88" s="54">
        <f>IF(AND(Table10[[#This Row],[Retrieved]]=1, Table10[[#This Row],[Relevant]]=0),1,0)</f>
        <v>1</v>
      </c>
      <c r="BF88" s="54">
        <f>IF(AND(Table10[[#This Row],[Retrieved]]=1, Table10[[#This Row],[Relevant]]=1),1,0)</f>
        <v>0</v>
      </c>
    </row>
    <row r="89" spans="2:58">
      <c r="B89" s="76" t="s">
        <v>223</v>
      </c>
      <c r="C89" s="10" t="s">
        <v>91</v>
      </c>
      <c r="D89" s="8">
        <f>VLOOKUP(Table3[[#This Row],[MD5]],Input[],3,FALSE)+(Distances!$AA$6*(ABS(Distances!$AD$6-VLOOKUP(Table3[[#This Row],[MD5]],Input[],3,FALSE))*Distances!$AC$6))</f>
        <v>55.98857143</v>
      </c>
      <c r="E89" s="7">
        <f>VLOOKUP(Table3[[#This Row],[MD5]],Input[],4,FALSE)+(Distances!$AA$7*(ABS(Distances!$AD$7-VLOOKUP(Table3[[#This Row],[MD5]],Input[],4,FALSE))*Distances!$AC$7))</f>
        <v>57.466666666666669</v>
      </c>
      <c r="F89" s="7">
        <f>VLOOKUP(Table3[[#This Row],[MD5]],Input[],5,FALSE)+(Distances!$AA$8*(ABS(Distances!$AD$8-VLOOKUP(Table3[[#This Row],[MD5]],Input[],5,FALSE))*Distances!$AC$8))</f>
        <v>52.933333333333337</v>
      </c>
      <c r="G89" s="46">
        <f>SQRT(SUM((Table3[[#This Row],[time]]-Distances!$AD$6)^2,(Table3[[#This Row],[price]]-Distances!$AD$7)^2,(Table3[[#This Row],[energy]]-Distances!$AD$8)^2))</f>
        <v>10.010921202754911</v>
      </c>
      <c r="H89" s="46">
        <f>((Table3[[#This Row],[score-bt]]-MIN(Table3[score-bt]))*$G$6)/(MAX(Table3[score-bt])-MIN(Table3[score-bt]))</f>
        <v>0</v>
      </c>
      <c r="I89" s="8">
        <f>VLOOKUP(Table3[[#This Row],[MD5]],Input[],9,FALSE)+(Distances!$AA$6*(ABS(Distances!$AD$6-VLOOKUP(Table3[[#This Row],[MD5]],Input[],9,FALSE))*Distances!$AC$6))</f>
        <v>28.355137819955299</v>
      </c>
      <c r="J89" s="7">
        <f>VLOOKUP(Table3[[#This Row],[MD5]],Input[],10,FALSE)+(Distances!$AA$7*(ABS(Distances!$AD$7-VLOOKUP(Table3[[#This Row],[MD5]],Input[],10,FALSE))*Distances!$AC$7))</f>
        <v>30.353280954166575</v>
      </c>
      <c r="K89" s="7">
        <f>VLOOKUP(Table3[[#This Row],[MD5]],Input[],11,FALSE)+(Distances!$AA$8*(ABS(Distances!$AD$8-VLOOKUP(Table3[[#This Row],[MD5]],Input[],11,FALSE))*Distances!$AC$8))</f>
        <v>27.642320631840199</v>
      </c>
      <c r="L89" s="44">
        <f>SQRT(SUM((Table3[[#This Row],[time''2]]-Distances!$AD$6)^2,(Table3[[#This Row],[price''2]]-Distances!$AD$7)^2,(Table3[[#This Row],[energy''2]]-Distances!$AD$8)^2))</f>
        <v>36.801622991228001</v>
      </c>
      <c r="M89" s="44">
        <f>((Table3[[#This Row],[score-rt-partialcf]]-MIN(Table3[score-rt-partialcf]))*$G$6)/(MAX(Table3[score-rt-partialcf])-MIN(Table3[score-rt-partialcf]))</f>
        <v>0.28946011875704786</v>
      </c>
      <c r="N89" s="8">
        <f>VLOOKUP(Table3[[#This Row],[MD5]],Input[],15,FALSE)+(Distances!$AA$6*(ABS(Distances!$AD$6-VLOOKUP(Table3[[#This Row],[MD5]],Input[],15,FALSE))*Distances!$AC$6))</f>
        <v>27.934058567276701</v>
      </c>
      <c r="O89" s="7">
        <f>VLOOKUP(Table3[[#This Row],[MD5]],Input[],16,FALSE)+(Distances!$AA$7*(ABS(Distances!$AD$7-VLOOKUP(Table3[[#This Row],[MD5]],Input[],16,FALSE))*Distances!$AC$7))</f>
        <v>75.742044143749766</v>
      </c>
      <c r="P89" s="7">
        <f>VLOOKUP(Table3[[#This Row],[MD5]],Input[],17,FALSE)+(Distances!$AA$8*(ABS(Distances!$AD$8-VLOOKUP(Table3[[#This Row],[MD5]],Input[],11,FALSE))*Distances!$AC$8))</f>
        <v>73.877345398506591</v>
      </c>
      <c r="Q89" s="47">
        <f>SQRT(SUM((Table3[[#This Row],[time''3]]-Distances!$AD$6)^2,(Table3[[#This Row],[price''3]]-Distances!$AD$7)^2,(Table3[[#This Row],[energy''3]]-Distances!$AD$8)^2))</f>
        <v>41.46909971642404</v>
      </c>
      <c r="R89" s="47">
        <f>((Table3[[#This Row],[score-rt-fullcf]]-MIN(Table3[score-rt-fullcf]))*$G$6)/(MAX(Table3[score-rt-fullcf])-MIN(Table3[score-rt-fullcf]))</f>
        <v>9.5359804605335584E-4</v>
      </c>
      <c r="S89" s="8">
        <f>VLOOKUP(Table3[[#This Row],[MD5]],Input[],21,FALSE)+(Distances!$AI$6*(ABS(Distances!$L$3-VLOOKUP(Table3[[#This Row],[MD5]],Input[],21,FALSE))*Distances!$AC$6))</f>
        <v>426971.67113666667</v>
      </c>
      <c r="T89" s="7">
        <f>VLOOKUP(Table3[[#This Row],[MD5]],Input[],22,FALSE)+(Distances!$AI$7*(ABS(Distances!$AB$7-VLOOKUP(Table3[[#This Row],[MD5]],Input[],22,FALSE))*Distances!$AC$7))</f>
        <v>167905.17401111111</v>
      </c>
      <c r="U89" s="7">
        <f>VLOOKUP(Table3[[#This Row],[MD5]],Input[],23,FALSE)+(Distances!$AI$8*(ABS(Distances!$AD$8-VLOOKUP(Table3[[#This Row],[MD5]],Input[],23,FALSE))*Distances!$AC$8))</f>
        <v>122131.6852694439</v>
      </c>
      <c r="V89" s="43">
        <f>SQRT(SUM((Table3[[#This Row],[time''4]]-Distances!$AD$6)^2,(Table3[[#This Row],[price''4]]-Distances!$AD$7)^2,(Table3[[#This Row],[energy''4]]-Distances!$AD$8)^2))</f>
        <v>474701.39098874794</v>
      </c>
      <c r="W89" s="58">
        <f>((Table3[[#This Row],[score-rt-df]]-MIN(Table3[score-rt-df]))*$G$6)/(MAX(Table3[score-rt-df])-MIN(Table3[score-rt-df]))</f>
        <v>0.39021985359052103</v>
      </c>
      <c r="AY89" t="str">
        <f>Table3[[#This Row],[QW'#]]</f>
        <v>qw45</v>
      </c>
      <c r="AZ89" t="str">
        <f>VLOOKUP(Table10[[#This Row],[QW'#]],Table3[],2,FALSE)</f>
        <v>43319d31fedeb83cbedcfafd82f9b5bb</v>
      </c>
      <c r="BA89" s="54">
        <f>IF(ABS(VLOOKUP(Table10[[#This Row],[QW'#]],Table3[],7,FALSE)-0)&lt;=$AZ$6,1,0)</f>
        <v>1</v>
      </c>
      <c r="BB89" s="54">
        <f>IF(ABS(VLOOKUP(Table10[[#This Row],[QW'#]],Table3[],22,FALSE)-0)&lt;=$AZ$6,1,0)</f>
        <v>0</v>
      </c>
      <c r="BC89" s="54">
        <f>IF(AND(Table10[[#This Row],[Retrieved]]=0, Table10[[#This Row],[Relevant]]=0),1,0)</f>
        <v>0</v>
      </c>
      <c r="BD89" s="54">
        <f>IF(AND(Table10[[#This Row],[Retrieved]]=0, Table10[[#This Row],[Relevant]]=1),1,0)</f>
        <v>0</v>
      </c>
      <c r="BE89" s="54">
        <f>IF(AND(Table10[[#This Row],[Retrieved]]=1, Table10[[#This Row],[Relevant]]=0),1,0)</f>
        <v>1</v>
      </c>
      <c r="BF89" s="54">
        <f>IF(AND(Table10[[#This Row],[Retrieved]]=1, Table10[[#This Row],[Relevant]]=1),1,0)</f>
        <v>0</v>
      </c>
    </row>
    <row r="90" spans="2:58">
      <c r="B90" s="76" t="s">
        <v>42</v>
      </c>
      <c r="C90" s="10" t="s">
        <v>80</v>
      </c>
      <c r="D90" s="8">
        <f>VLOOKUP(Table3[[#This Row],[MD5]],Input[],3,FALSE)+(Distances!$AA$6*(ABS(Distances!$AD$6-VLOOKUP(Table3[[#This Row],[MD5]],Input[],3,FALSE))*Distances!$AC$6))</f>
        <v>55.98857143</v>
      </c>
      <c r="E90" s="7">
        <f>VLOOKUP(Table3[[#This Row],[MD5]],Input[],4,FALSE)+(Distances!$AA$7*(ABS(Distances!$AD$7-VLOOKUP(Table3[[#This Row],[MD5]],Input[],4,FALSE))*Distances!$AC$7))</f>
        <v>57.466666666666669</v>
      </c>
      <c r="F90" s="7">
        <f>VLOOKUP(Table3[[#This Row],[MD5]],Input[],5,FALSE)+(Distances!$AA$8*(ABS(Distances!$AD$8-VLOOKUP(Table3[[#This Row],[MD5]],Input[],5,FALSE))*Distances!$AC$8))</f>
        <v>52.933333333333337</v>
      </c>
      <c r="G90" s="46">
        <f>SQRT(SUM((Table3[[#This Row],[time]]-Distances!$AD$6)^2,(Table3[[#This Row],[price]]-Distances!$AD$7)^2,(Table3[[#This Row],[energy]]-Distances!$AD$8)^2))</f>
        <v>10.010921202754911</v>
      </c>
      <c r="H90" s="46">
        <f>((Table3[[#This Row],[score-bt]]-MIN(Table3[score-bt]))*$G$6)/(MAX(Table3[score-bt])-MIN(Table3[score-bt]))</f>
        <v>0</v>
      </c>
      <c r="I90" s="8">
        <f>VLOOKUP(Table3[[#This Row],[MD5]],Input[],9,FALSE)+(Distances!$AA$6*(ABS(Distances!$AD$6-VLOOKUP(Table3[[#This Row],[MD5]],Input[],9,FALSE))*Distances!$AC$6))</f>
        <v>28.355144869955307</v>
      </c>
      <c r="J90" s="7">
        <f>VLOOKUP(Table3[[#This Row],[MD5]],Input[],10,FALSE)+(Distances!$AA$7*(ABS(Distances!$AD$7-VLOOKUP(Table3[[#This Row],[MD5]],Input[],10,FALSE))*Distances!$AC$7))</f>
        <v>30.353290287499913</v>
      </c>
      <c r="K90" s="7">
        <f>VLOOKUP(Table3[[#This Row],[MD5]],Input[],11,FALSE)+(Distances!$AA$8*(ABS(Distances!$AD$8-VLOOKUP(Table3[[#This Row],[MD5]],Input[],11,FALSE))*Distances!$AC$8))</f>
        <v>27.64232770961798</v>
      </c>
      <c r="L90" s="44">
        <f>SQRT(SUM((Table3[[#This Row],[time''2]]-Distances!$AD$6)^2,(Table3[[#This Row],[price''2]]-Distances!$AD$7)^2,(Table3[[#This Row],[energy''2]]-Distances!$AD$8)^2))</f>
        <v>36.801609562245822</v>
      </c>
      <c r="M90" s="44">
        <f>((Table3[[#This Row],[score-rt-partialcf]]-MIN(Table3[score-rt-partialcf]))*$G$6)/(MAX(Table3[score-rt-partialcf])-MIN(Table3[score-rt-partialcf]))</f>
        <v>0.28945999475329948</v>
      </c>
      <c r="N90" s="8">
        <f>VLOOKUP(Table3[[#This Row],[MD5]],Input[],15,FALSE)+(Distances!$AA$6*(ABS(Distances!$AD$6-VLOOKUP(Table3[[#This Row],[MD5]],Input[],15,FALSE))*Distances!$AC$6))</f>
        <v>27.9340629735267</v>
      </c>
      <c r="O90" s="7">
        <f>VLOOKUP(Table3[[#This Row],[MD5]],Input[],16,FALSE)+(Distances!$AA$7*(ABS(Distances!$AD$7-VLOOKUP(Table3[[#This Row],[MD5]],Input[],16,FALSE))*Distances!$AC$7))</f>
        <v>75.74204560208311</v>
      </c>
      <c r="P90" s="7">
        <f>VLOOKUP(Table3[[#This Row],[MD5]],Input[],17,FALSE)+(Distances!$AA$8*(ABS(Distances!$AD$8-VLOOKUP(Table3[[#This Row],[MD5]],Input[],11,FALSE))*Distances!$AC$8))</f>
        <v>73.877348305451051</v>
      </c>
      <c r="Q90" s="47">
        <f>SQRT(SUM((Table3[[#This Row],[time''3]]-Distances!$AD$6)^2,(Table3[[#This Row],[price''3]]-Distances!$AD$7)^2,(Table3[[#This Row],[energy''3]]-Distances!$AD$8)^2))</f>
        <v>41.469099950877137</v>
      </c>
      <c r="R90" s="47">
        <f>((Table3[[#This Row],[score-rt-fullcf]]-MIN(Table3[score-rt-fullcf]))*$G$6)/(MAX(Table3[score-rt-fullcf])-MIN(Table3[score-rt-fullcf]))</f>
        <v>9.5360523452880702E-4</v>
      </c>
      <c r="S90" s="8">
        <f>VLOOKUP(Table3[[#This Row],[MD5]],Input[],21,FALSE)+(Distances!$AI$6*(ABS(Distances!$L$3-VLOOKUP(Table3[[#This Row],[MD5]],Input[],21,FALSE))*Distances!$AC$6))</f>
        <v>426972.19380333333</v>
      </c>
      <c r="T90" s="7">
        <f>VLOOKUP(Table3[[#This Row],[MD5]],Input[],22,FALSE)+(Distances!$AI$7*(ABS(Distances!$AB$7-VLOOKUP(Table3[[#This Row],[MD5]],Input[],22,FALSE))*Distances!$AC$7))</f>
        <v>167905.29845555557</v>
      </c>
      <c r="U90" s="7">
        <f>VLOOKUP(Table3[[#This Row],[MD5]],Input[],23,FALSE)+(Distances!$AI$8*(ABS(Distances!$AD$8-VLOOKUP(Table3[[#This Row],[MD5]],Input[],23,FALSE))*Distances!$AC$8))</f>
        <v>122131.77860277722</v>
      </c>
      <c r="V90" s="43">
        <f>SQRT(SUM((Table3[[#This Row],[time''4]]-Distances!$AD$6)^2,(Table3[[#This Row],[price''4]]-Distances!$AD$7)^2,(Table3[[#This Row],[energy''4]]-Distances!$AD$8)^2))</f>
        <v>474701.92905471957</v>
      </c>
      <c r="W90" s="58">
        <f>((Table3[[#This Row],[score-rt-df]]-MIN(Table3[score-rt-df]))*$G$6)/(MAX(Table3[score-rt-df])-MIN(Table3[score-rt-df]))</f>
        <v>0.39022029671226233</v>
      </c>
      <c r="AY90" t="str">
        <f>Table3[[#This Row],[QW'#]]</f>
        <v>qw34</v>
      </c>
      <c r="AZ90" t="str">
        <f>VLOOKUP(Table10[[#This Row],[QW'#]],Table3[],2,FALSE)</f>
        <v>af265e378e9513ac2d500b5066a83dd8</v>
      </c>
      <c r="BA90" s="54">
        <f>IF(ABS(VLOOKUP(Table10[[#This Row],[QW'#]],Table3[],7,FALSE)-0)&lt;=$AZ$6,1,0)</f>
        <v>1</v>
      </c>
      <c r="BB90" s="54">
        <f>IF(ABS(VLOOKUP(Table10[[#This Row],[QW'#]],Table3[],22,FALSE)-0)&lt;=$AZ$6,1,0)</f>
        <v>0</v>
      </c>
      <c r="BC90" s="54">
        <f>IF(AND(Table10[[#This Row],[Retrieved]]=0, Table10[[#This Row],[Relevant]]=0),1,0)</f>
        <v>0</v>
      </c>
      <c r="BD90" s="54">
        <f>IF(AND(Table10[[#This Row],[Retrieved]]=0, Table10[[#This Row],[Relevant]]=1),1,0)</f>
        <v>0</v>
      </c>
      <c r="BE90" s="54">
        <f>IF(AND(Table10[[#This Row],[Retrieved]]=1, Table10[[#This Row],[Relevant]]=0),1,0)</f>
        <v>1</v>
      </c>
      <c r="BF90" s="54">
        <f>IF(AND(Table10[[#This Row],[Retrieved]]=1, Table10[[#This Row],[Relevant]]=1),1,0)</f>
        <v>0</v>
      </c>
    </row>
    <row r="91" spans="2:58">
      <c r="B91" s="76" t="s">
        <v>233</v>
      </c>
      <c r="C91" s="10" t="s">
        <v>101</v>
      </c>
      <c r="D91" s="8">
        <f>VLOOKUP(Table3[[#This Row],[MD5]],Input[],3,FALSE)+(Distances!$AA$6*(ABS(Distances!$AD$6-VLOOKUP(Table3[[#This Row],[MD5]],Input[],3,FALSE))*Distances!$AC$6))</f>
        <v>55.98857143</v>
      </c>
      <c r="E91" s="7">
        <f>VLOOKUP(Table3[[#This Row],[MD5]],Input[],4,FALSE)+(Distances!$AA$7*(ABS(Distances!$AD$7-VLOOKUP(Table3[[#This Row],[MD5]],Input[],4,FALSE))*Distances!$AC$7))</f>
        <v>57.466666666666669</v>
      </c>
      <c r="F91" s="7">
        <f>VLOOKUP(Table3[[#This Row],[MD5]],Input[],5,FALSE)+(Distances!$AA$8*(ABS(Distances!$AD$8-VLOOKUP(Table3[[#This Row],[MD5]],Input[],5,FALSE))*Distances!$AC$8))</f>
        <v>52.933333333333337</v>
      </c>
      <c r="G91" s="46">
        <f>SQRT(SUM((Table3[[#This Row],[time]]-Distances!$AD$6)^2,(Table3[[#This Row],[price]]-Distances!$AD$7)^2,(Table3[[#This Row],[energy]]-Distances!$AD$8)^2))</f>
        <v>10.010921202754911</v>
      </c>
      <c r="H91" s="46">
        <f>((Table3[[#This Row],[score-bt]]-MIN(Table3[score-bt]))*$G$6)/(MAX(Table3[score-bt])-MIN(Table3[score-bt]))</f>
        <v>0</v>
      </c>
      <c r="I91" s="8">
        <f>VLOOKUP(Table3[[#This Row],[MD5]],Input[],9,FALSE)+(Distances!$AA$6*(ABS(Distances!$AD$6-VLOOKUP(Table3[[#This Row],[MD5]],Input[],9,FALSE))*Distances!$AC$6))</f>
        <v>28.355153241830298</v>
      </c>
      <c r="J91" s="7">
        <f>VLOOKUP(Table3[[#This Row],[MD5]],Input[],10,FALSE)+(Distances!$AA$7*(ABS(Distances!$AD$7-VLOOKUP(Table3[[#This Row],[MD5]],Input[],10,FALSE))*Distances!$AC$7))</f>
        <v>30.353301370833247</v>
      </c>
      <c r="K91" s="7">
        <f>VLOOKUP(Table3[[#This Row],[MD5]],Input[],11,FALSE)+(Distances!$AA$8*(ABS(Distances!$AD$8-VLOOKUP(Table3[[#This Row],[MD5]],Input[],11,FALSE))*Distances!$AC$8))</f>
        <v>27.642336114479164</v>
      </c>
      <c r="L91" s="44">
        <f>SQRT(SUM((Table3[[#This Row],[time''2]]-Distances!$AD$6)^2,(Table3[[#This Row],[price''2]]-Distances!$AD$7)^2,(Table3[[#This Row],[energy''2]]-Distances!$AD$8)^2))</f>
        <v>36.801593615329693</v>
      </c>
      <c r="M91" s="44">
        <f>((Table3[[#This Row],[score-rt-partialcf]]-MIN(Table3[score-rt-partialcf]))*$G$6)/(MAX(Table3[score-rt-partialcf])-MIN(Table3[score-rt-partialcf]))</f>
        <v>0.28945984749885018</v>
      </c>
      <c r="N91" s="8">
        <f>VLOOKUP(Table3[[#This Row],[MD5]],Input[],15,FALSE)+(Distances!$AA$6*(ABS(Distances!$AD$6-VLOOKUP(Table3[[#This Row],[MD5]],Input[],15,FALSE))*Distances!$AC$6))</f>
        <v>27.9340629735267</v>
      </c>
      <c r="O91" s="7">
        <f>VLOOKUP(Table3[[#This Row],[MD5]],Input[],16,FALSE)+(Distances!$AA$7*(ABS(Distances!$AD$7-VLOOKUP(Table3[[#This Row],[MD5]],Input[],16,FALSE))*Distances!$AC$7))</f>
        <v>75.74204560208311</v>
      </c>
      <c r="P91" s="7">
        <f>VLOOKUP(Table3[[#This Row],[MD5]],Input[],17,FALSE)+(Distances!$AA$8*(ABS(Distances!$AD$8-VLOOKUP(Table3[[#This Row],[MD5]],Input[],11,FALSE))*Distances!$AC$8))</f>
        <v>73.877349506145507</v>
      </c>
      <c r="Q91" s="47">
        <f>SQRT(SUM((Table3[[#This Row],[time''3]]-Distances!$AD$6)^2,(Table3[[#This Row],[price''3]]-Distances!$AD$7)^2,(Table3[[#This Row],[energy''3]]-Distances!$AD$8)^2))</f>
        <v>41.469100642220816</v>
      </c>
      <c r="R91" s="47">
        <f>((Table3[[#This Row],[score-rt-fullcf]]-MIN(Table3[score-rt-fullcf]))*$G$6)/(MAX(Table3[score-rt-fullcf])-MIN(Table3[score-rt-fullcf]))</f>
        <v>9.5362643154915422E-4</v>
      </c>
      <c r="S91" s="8">
        <f>VLOOKUP(Table3[[#This Row],[MD5]],Input[],21,FALSE)+(Distances!$AI$6*(ABS(Distances!$L$3-VLOOKUP(Table3[[#This Row],[MD5]],Input[],21,FALSE))*Distances!$AC$6))</f>
        <v>426972.19380333333</v>
      </c>
      <c r="T91" s="7">
        <f>VLOOKUP(Table3[[#This Row],[MD5]],Input[],22,FALSE)+(Distances!$AI$7*(ABS(Distances!$AB$7-VLOOKUP(Table3[[#This Row],[MD5]],Input[],22,FALSE))*Distances!$AC$7))</f>
        <v>167905.29845555557</v>
      </c>
      <c r="U91" s="7">
        <f>VLOOKUP(Table3[[#This Row],[MD5]],Input[],23,FALSE)+(Distances!$AI$8*(ABS(Distances!$AD$8-VLOOKUP(Table3[[#This Row],[MD5]],Input[],23,FALSE))*Distances!$AC$8))</f>
        <v>122131.77860277722</v>
      </c>
      <c r="V91" s="43">
        <f>SQRT(SUM((Table3[[#This Row],[time''4]]-Distances!$AD$6)^2,(Table3[[#This Row],[price''4]]-Distances!$AD$7)^2,(Table3[[#This Row],[energy''4]]-Distances!$AD$8)^2))</f>
        <v>474701.92905471957</v>
      </c>
      <c r="W91" s="58">
        <f>((Table3[[#This Row],[score-rt-df]]-MIN(Table3[score-rt-df]))*$G$6)/(MAX(Table3[score-rt-df])-MIN(Table3[score-rt-df]))</f>
        <v>0.39022029671226233</v>
      </c>
      <c r="AY91" t="str">
        <f>Table3[[#This Row],[QW'#]]</f>
        <v>qw55</v>
      </c>
      <c r="AZ91" t="str">
        <f>VLOOKUP(Table10[[#This Row],[QW'#]],Table3[],2,FALSE)</f>
        <v>c45e2acf2fcfe543de3377d90e36b60a</v>
      </c>
      <c r="BA91" s="54">
        <f>IF(ABS(VLOOKUP(Table10[[#This Row],[QW'#]],Table3[],7,FALSE)-0)&lt;=$AZ$6,1,0)</f>
        <v>1</v>
      </c>
      <c r="BB91" s="54">
        <f>IF(ABS(VLOOKUP(Table10[[#This Row],[QW'#]],Table3[],22,FALSE)-0)&lt;=$AZ$6,1,0)</f>
        <v>0</v>
      </c>
      <c r="BC91" s="54">
        <f>IF(AND(Table10[[#This Row],[Retrieved]]=0, Table10[[#This Row],[Relevant]]=0),1,0)</f>
        <v>0</v>
      </c>
      <c r="BD91" s="54">
        <f>IF(AND(Table10[[#This Row],[Retrieved]]=0, Table10[[#This Row],[Relevant]]=1),1,0)</f>
        <v>0</v>
      </c>
      <c r="BE91" s="54">
        <f>IF(AND(Table10[[#This Row],[Retrieved]]=1, Table10[[#This Row],[Relevant]]=0),1,0)</f>
        <v>1</v>
      </c>
      <c r="BF91" s="54">
        <f>IF(AND(Table10[[#This Row],[Retrieved]]=1, Table10[[#This Row],[Relevant]]=1),1,0)</f>
        <v>0</v>
      </c>
    </row>
    <row r="92" spans="2:58">
      <c r="B92" s="76" t="s">
        <v>338</v>
      </c>
      <c r="C92" s="10" t="s">
        <v>206</v>
      </c>
      <c r="D92" s="8">
        <f>VLOOKUP(Table3[[#This Row],[MD5]],Input[],3,FALSE)+(Distances!$AA$6*(ABS(Distances!$AD$6-VLOOKUP(Table3[[#This Row],[MD5]],Input[],3,FALSE))*Distances!$AC$6))</f>
        <v>55.98857143</v>
      </c>
      <c r="E92" s="7">
        <f>VLOOKUP(Table3[[#This Row],[MD5]],Input[],4,FALSE)+(Distances!$AA$7*(ABS(Distances!$AD$7-VLOOKUP(Table3[[#This Row],[MD5]],Input[],4,FALSE))*Distances!$AC$7))</f>
        <v>57.466666666666669</v>
      </c>
      <c r="F92" s="7">
        <f>VLOOKUP(Table3[[#This Row],[MD5]],Input[],5,FALSE)+(Distances!$AA$8*(ABS(Distances!$AD$8-VLOOKUP(Table3[[#This Row],[MD5]],Input[],5,FALSE))*Distances!$AC$8))</f>
        <v>52.933333333333337</v>
      </c>
      <c r="G92" s="46">
        <f>SQRT(SUM((Table3[[#This Row],[time]]-Distances!$AD$6)^2,(Table3[[#This Row],[price]]-Distances!$AD$7)^2,(Table3[[#This Row],[energy]]-Distances!$AD$8)^2))</f>
        <v>10.010921202754911</v>
      </c>
      <c r="H92" s="46">
        <f>((Table3[[#This Row],[score-bt]]-MIN(Table3[score-bt]))*$G$6)/(MAX(Table3[score-bt])-MIN(Table3[score-bt]))</f>
        <v>0</v>
      </c>
      <c r="I92" s="8">
        <f>VLOOKUP(Table3[[#This Row],[MD5]],Input[],9,FALSE)+(Distances!$AA$6*(ABS(Distances!$AD$6-VLOOKUP(Table3[[#This Row],[MD5]],Input[],9,FALSE))*Distances!$AC$6))</f>
        <v>28.355147513705305</v>
      </c>
      <c r="J92" s="7">
        <f>VLOOKUP(Table3[[#This Row],[MD5]],Input[],10,FALSE)+(Distances!$AA$7*(ABS(Distances!$AD$7-VLOOKUP(Table3[[#This Row],[MD5]],Input[],10,FALSE))*Distances!$AC$7))</f>
        <v>30.353293787499915</v>
      </c>
      <c r="K92" s="7">
        <f>VLOOKUP(Table3[[#This Row],[MD5]],Input[],11,FALSE)+(Distances!$AA$8*(ABS(Distances!$AD$8-VLOOKUP(Table3[[#This Row],[MD5]],Input[],11,FALSE))*Distances!$AC$8))</f>
        <v>27.642330363784719</v>
      </c>
      <c r="L92" s="44">
        <f>SQRT(SUM((Table3[[#This Row],[time''2]]-Distances!$AD$6)^2,(Table3[[#This Row],[price''2]]-Distances!$AD$7)^2,(Table3[[#This Row],[energy''2]]-Distances!$AD$8)^2))</f>
        <v>36.801604526377517</v>
      </c>
      <c r="M92" s="44">
        <f>((Table3[[#This Row],[score-rt-partialcf]]-MIN(Table3[score-rt-partialcf]))*$G$6)/(MAX(Table3[score-rt-partialcf])-MIN(Table3[score-rt-partialcf]))</f>
        <v>0.28945994825189392</v>
      </c>
      <c r="N92" s="8">
        <f>VLOOKUP(Table3[[#This Row],[MD5]],Input[],15,FALSE)+(Distances!$AA$6*(ABS(Distances!$AD$6-VLOOKUP(Table3[[#This Row],[MD5]],Input[],15,FALSE))*Distances!$AC$6))</f>
        <v>27.9340673797767</v>
      </c>
      <c r="O92" s="7">
        <f>VLOOKUP(Table3[[#This Row],[MD5]],Input[],16,FALSE)+(Distances!$AA$7*(ABS(Distances!$AD$7-VLOOKUP(Table3[[#This Row],[MD5]],Input[],16,FALSE))*Distances!$AC$7))</f>
        <v>75.742047060416439</v>
      </c>
      <c r="P92" s="7">
        <f>VLOOKUP(Table3[[#This Row],[MD5]],Input[],17,FALSE)+(Distances!$AA$8*(ABS(Distances!$AD$8-VLOOKUP(Table3[[#This Row],[MD5]],Input[],11,FALSE))*Distances!$AC$8))</f>
        <v>73.877350580451051</v>
      </c>
      <c r="Q92" s="47">
        <f>SQRT(SUM((Table3[[#This Row],[time''3]]-Distances!$AD$6)^2,(Table3[[#This Row],[price''3]]-Distances!$AD$7)^2,(Table3[[#This Row],[energy''3]]-Distances!$AD$8)^2))</f>
        <v>41.469099821465811</v>
      </c>
      <c r="R92" s="47">
        <f>((Table3[[#This Row],[score-rt-fullcf]]-MIN(Table3[score-rt-fullcf]))*$G$6)/(MAX(Table3[score-rt-fullcf])-MIN(Table3[score-rt-fullcf]))</f>
        <v>9.5360126669834146E-4</v>
      </c>
      <c r="S92" s="8">
        <f>VLOOKUP(Table3[[#This Row],[MD5]],Input[],21,FALSE)+(Distances!$AI$6*(ABS(Distances!$L$3-VLOOKUP(Table3[[#This Row],[MD5]],Input[],21,FALSE))*Distances!$AC$6))</f>
        <v>426973.01513666665</v>
      </c>
      <c r="T92" s="7">
        <f>VLOOKUP(Table3[[#This Row],[MD5]],Input[],22,FALSE)+(Distances!$AI$7*(ABS(Distances!$AB$7-VLOOKUP(Table3[[#This Row],[MD5]],Input[],22,FALSE))*Distances!$AC$7))</f>
        <v>167905.49401111112</v>
      </c>
      <c r="U92" s="7">
        <f>VLOOKUP(Table3[[#This Row],[MD5]],Input[],23,FALSE)+(Distances!$AI$8*(ABS(Distances!$AD$8-VLOOKUP(Table3[[#This Row],[MD5]],Input[],23,FALSE))*Distances!$AC$8))</f>
        <v>122131.92526944389</v>
      </c>
      <c r="V92" s="43">
        <f>SQRT(SUM((Table3[[#This Row],[time''4]]-Distances!$AD$6)^2,(Table3[[#This Row],[price''4]]-Distances!$AD$7)^2,(Table3[[#This Row],[energy''4]]-Distances!$AD$8)^2))</f>
        <v>474702.77458699432</v>
      </c>
      <c r="W92" s="58">
        <f>((Table3[[#This Row],[score-rt-df]]-MIN(Table3[score-rt-df]))*$G$6)/(MAX(Table3[score-rt-df])-MIN(Table3[score-rt-df]))</f>
        <v>0.39022099304645486</v>
      </c>
      <c r="AY92" t="str">
        <f>Table3[[#This Row],[QW'#]]</f>
        <v>qw160</v>
      </c>
      <c r="AZ92" t="str">
        <f>VLOOKUP(Table10[[#This Row],[QW'#]],Table3[],2,FALSE)</f>
        <v>df8792790319eeaae1870474df9504e2</v>
      </c>
      <c r="BA92" s="54">
        <f>IF(ABS(VLOOKUP(Table10[[#This Row],[QW'#]],Table3[],7,FALSE)-0)&lt;=$AZ$6,1,0)</f>
        <v>1</v>
      </c>
      <c r="BB92" s="54">
        <f>IF(ABS(VLOOKUP(Table10[[#This Row],[QW'#]],Table3[],22,FALSE)-0)&lt;=$AZ$6,1,0)</f>
        <v>0</v>
      </c>
      <c r="BC92" s="54">
        <f>IF(AND(Table10[[#This Row],[Retrieved]]=0, Table10[[#This Row],[Relevant]]=0),1,0)</f>
        <v>0</v>
      </c>
      <c r="BD92" s="54">
        <f>IF(AND(Table10[[#This Row],[Retrieved]]=0, Table10[[#This Row],[Relevant]]=1),1,0)</f>
        <v>0</v>
      </c>
      <c r="BE92" s="54">
        <f>IF(AND(Table10[[#This Row],[Retrieved]]=1, Table10[[#This Row],[Relevant]]=0),1,0)</f>
        <v>1</v>
      </c>
      <c r="BF92" s="54">
        <f>IF(AND(Table10[[#This Row],[Retrieved]]=1, Table10[[#This Row],[Relevant]]=1),1,0)</f>
        <v>0</v>
      </c>
    </row>
    <row r="93" spans="2:58">
      <c r="B93" s="76" t="s">
        <v>341</v>
      </c>
      <c r="C93" s="10" t="s">
        <v>209</v>
      </c>
      <c r="D93" s="8">
        <f>VLOOKUP(Table3[[#This Row],[MD5]],Input[],3,FALSE)+(Distances!$AA$6*(ABS(Distances!$AD$6-VLOOKUP(Table3[[#This Row],[MD5]],Input[],3,FALSE))*Distances!$AC$6))</f>
        <v>55.98857143</v>
      </c>
      <c r="E93" s="7">
        <f>VLOOKUP(Table3[[#This Row],[MD5]],Input[],4,FALSE)+(Distances!$AA$7*(ABS(Distances!$AD$7-VLOOKUP(Table3[[#This Row],[MD5]],Input[],4,FALSE))*Distances!$AC$7))</f>
        <v>57.466666666666669</v>
      </c>
      <c r="F93" s="7">
        <f>VLOOKUP(Table3[[#This Row],[MD5]],Input[],5,FALSE)+(Distances!$AA$8*(ABS(Distances!$AD$8-VLOOKUP(Table3[[#This Row],[MD5]],Input[],5,FALSE))*Distances!$AC$8))</f>
        <v>52.933333333333337</v>
      </c>
      <c r="G93" s="46">
        <f>SQRT(SUM((Table3[[#This Row],[time]]-Distances!$AD$6)^2,(Table3[[#This Row],[price]]-Distances!$AD$7)^2,(Table3[[#This Row],[energy]]-Distances!$AD$8)^2))</f>
        <v>10.010921202754911</v>
      </c>
      <c r="H93" s="46">
        <f>((Table3[[#This Row],[score-bt]]-MIN(Table3[score-bt]))*$G$6)/(MAX(Table3[score-bt])-MIN(Table3[score-bt]))</f>
        <v>0</v>
      </c>
      <c r="I93" s="8">
        <f>VLOOKUP(Table3[[#This Row],[MD5]],Input[],9,FALSE)+(Distances!$AA$6*(ABS(Distances!$AD$6-VLOOKUP(Table3[[#This Row],[MD5]],Input[],9,FALSE))*Distances!$AC$6))</f>
        <v>28.355154563705302</v>
      </c>
      <c r="J93" s="7">
        <f>VLOOKUP(Table3[[#This Row],[MD5]],Input[],10,FALSE)+(Distances!$AA$7*(ABS(Distances!$AD$7-VLOOKUP(Table3[[#This Row],[MD5]],Input[],10,FALSE))*Distances!$AC$7))</f>
        <v>30.353303120833242</v>
      </c>
      <c r="K93" s="7">
        <f>VLOOKUP(Table3[[#This Row],[MD5]],Input[],11,FALSE)+(Distances!$AA$8*(ABS(Distances!$AD$8-VLOOKUP(Table3[[#This Row],[MD5]],Input[],11,FALSE))*Distances!$AC$8))</f>
        <v>27.6423374415625</v>
      </c>
      <c r="L93" s="44">
        <f>SQRT(SUM((Table3[[#This Row],[time''2]]-Distances!$AD$6)^2,(Table3[[#This Row],[price''2]]-Distances!$AD$7)^2,(Table3[[#This Row],[energy''2]]-Distances!$AD$8)^2))</f>
        <v>36.801591097395587</v>
      </c>
      <c r="M93" s="44">
        <f>((Table3[[#This Row],[score-rt-partialcf]]-MIN(Table3[score-rt-partialcf]))*$G$6)/(MAX(Table3[score-rt-partialcf])-MIN(Table3[score-rt-partialcf]))</f>
        <v>0.28945982424814781</v>
      </c>
      <c r="N93" s="8">
        <f>VLOOKUP(Table3[[#This Row],[MD5]],Input[],15,FALSE)+(Distances!$AA$6*(ABS(Distances!$AD$6-VLOOKUP(Table3[[#This Row],[MD5]],Input[],15,FALSE))*Distances!$AC$6))</f>
        <v>27.9340673797767</v>
      </c>
      <c r="O93" s="7">
        <f>VLOOKUP(Table3[[#This Row],[MD5]],Input[],16,FALSE)+(Distances!$AA$7*(ABS(Distances!$AD$7-VLOOKUP(Table3[[#This Row],[MD5]],Input[],16,FALSE))*Distances!$AC$7))</f>
        <v>75.742047060416439</v>
      </c>
      <c r="P93" s="7">
        <f>VLOOKUP(Table3[[#This Row],[MD5]],Input[],17,FALSE)+(Distances!$AA$8*(ABS(Distances!$AD$8-VLOOKUP(Table3[[#This Row],[MD5]],Input[],11,FALSE))*Distances!$AC$8))</f>
        <v>73.87735159156216</v>
      </c>
      <c r="Q93" s="47">
        <f>SQRT(SUM((Table3[[#This Row],[time''3]]-Distances!$AD$6)^2,(Table3[[#This Row],[price''3]]-Distances!$AD$7)^2,(Table3[[#This Row],[energy''3]]-Distances!$AD$8)^2))</f>
        <v>41.46910040365001</v>
      </c>
      <c r="R93" s="47">
        <f>((Table3[[#This Row],[score-rt-fullcf]]-MIN(Table3[score-rt-fullcf]))*$G$6)/(MAX(Table3[score-rt-fullcf])-MIN(Table3[score-rt-fullcf]))</f>
        <v>9.5361911682222968E-4</v>
      </c>
      <c r="S93" s="8">
        <f>VLOOKUP(Table3[[#This Row],[MD5]],Input[],21,FALSE)+(Distances!$AI$6*(ABS(Distances!$L$3-VLOOKUP(Table3[[#This Row],[MD5]],Input[],21,FALSE))*Distances!$AC$6))</f>
        <v>426973.01513666665</v>
      </c>
      <c r="T93" s="7">
        <f>VLOOKUP(Table3[[#This Row],[MD5]],Input[],22,FALSE)+(Distances!$AI$7*(ABS(Distances!$AB$7-VLOOKUP(Table3[[#This Row],[MD5]],Input[],22,FALSE))*Distances!$AC$7))</f>
        <v>167905.49401111112</v>
      </c>
      <c r="U93" s="7">
        <f>VLOOKUP(Table3[[#This Row],[MD5]],Input[],23,FALSE)+(Distances!$AI$8*(ABS(Distances!$AD$8-VLOOKUP(Table3[[#This Row],[MD5]],Input[],23,FALSE))*Distances!$AC$8))</f>
        <v>122131.92526944389</v>
      </c>
      <c r="V93" s="43">
        <f>SQRT(SUM((Table3[[#This Row],[time''4]]-Distances!$AD$6)^2,(Table3[[#This Row],[price''4]]-Distances!$AD$7)^2,(Table3[[#This Row],[energy''4]]-Distances!$AD$8)^2))</f>
        <v>474702.77458699432</v>
      </c>
      <c r="W93" s="58">
        <f>((Table3[[#This Row],[score-rt-df]]-MIN(Table3[score-rt-df]))*$G$6)/(MAX(Table3[score-rt-df])-MIN(Table3[score-rt-df]))</f>
        <v>0.39022099304645486</v>
      </c>
      <c r="AY93" t="str">
        <f>Table3[[#This Row],[QW'#]]</f>
        <v>qw163</v>
      </c>
      <c r="AZ93" t="str">
        <f>VLOOKUP(Table10[[#This Row],[QW'#]],Table3[],2,FALSE)</f>
        <v>71f3ad239b3a98e6fea16a118e7633ae</v>
      </c>
      <c r="BA93" s="54">
        <f>IF(ABS(VLOOKUP(Table10[[#This Row],[QW'#]],Table3[],7,FALSE)-0)&lt;=$AZ$6,1,0)</f>
        <v>1</v>
      </c>
      <c r="BB93" s="54">
        <f>IF(ABS(VLOOKUP(Table10[[#This Row],[QW'#]],Table3[],22,FALSE)-0)&lt;=$AZ$6,1,0)</f>
        <v>0</v>
      </c>
      <c r="BC93" s="54">
        <f>IF(AND(Table10[[#This Row],[Retrieved]]=0, Table10[[#This Row],[Relevant]]=0),1,0)</f>
        <v>0</v>
      </c>
      <c r="BD93" s="54">
        <f>IF(AND(Table10[[#This Row],[Retrieved]]=0, Table10[[#This Row],[Relevant]]=1),1,0)</f>
        <v>0</v>
      </c>
      <c r="BE93" s="54">
        <f>IF(AND(Table10[[#This Row],[Retrieved]]=1, Table10[[#This Row],[Relevant]]=0),1,0)</f>
        <v>1</v>
      </c>
      <c r="BF93" s="54">
        <f>IF(AND(Table10[[#This Row],[Retrieved]]=1, Table10[[#This Row],[Relevant]]=1),1,0)</f>
        <v>0</v>
      </c>
    </row>
    <row r="94" spans="2:58">
      <c r="B94" s="76" t="s">
        <v>247</v>
      </c>
      <c r="C94" s="10" t="s">
        <v>115</v>
      </c>
      <c r="D94" s="8">
        <f>VLOOKUP(Table3[[#This Row],[MD5]],Input[],3,FALSE)+(Distances!$AA$6*(ABS(Distances!$AD$6-VLOOKUP(Table3[[#This Row],[MD5]],Input[],3,FALSE))*Distances!$AC$6))</f>
        <v>55.98857143</v>
      </c>
      <c r="E94" s="7">
        <f>VLOOKUP(Table3[[#This Row],[MD5]],Input[],4,FALSE)+(Distances!$AA$7*(ABS(Distances!$AD$7-VLOOKUP(Table3[[#This Row],[MD5]],Input[],4,FALSE))*Distances!$AC$7))</f>
        <v>57.466666666666669</v>
      </c>
      <c r="F94" s="7">
        <f>VLOOKUP(Table3[[#This Row],[MD5]],Input[],5,FALSE)+(Distances!$AA$8*(ABS(Distances!$AD$8-VLOOKUP(Table3[[#This Row],[MD5]],Input[],5,FALSE))*Distances!$AC$8))</f>
        <v>52.933333333333337</v>
      </c>
      <c r="G94" s="46">
        <f>SQRT(SUM((Table3[[#This Row],[time]]-Distances!$AD$6)^2,(Table3[[#This Row],[price]]-Distances!$AD$7)^2,(Table3[[#This Row],[energy]]-Distances!$AD$8)^2))</f>
        <v>10.010921202754911</v>
      </c>
      <c r="H94" s="46">
        <f>((Table3[[#This Row],[score-bt]]-MIN(Table3[score-bt]))*$G$6)/(MAX(Table3[score-bt])-MIN(Table3[score-bt]))</f>
        <v>0</v>
      </c>
      <c r="I94" s="8">
        <f>VLOOKUP(Table3[[#This Row],[MD5]],Input[],9,FALSE)+(Distances!$AA$6*(ABS(Distances!$AD$6-VLOOKUP(Table3[[#This Row],[MD5]],Input[],9,FALSE))*Distances!$AC$6))</f>
        <v>28.396893781830304</v>
      </c>
      <c r="J94" s="7">
        <f>VLOOKUP(Table3[[#This Row],[MD5]],Input[],10,FALSE)+(Distances!$AA$7*(ABS(Distances!$AD$7-VLOOKUP(Table3[[#This Row],[MD5]],Input[],10,FALSE))*Distances!$AC$7))</f>
        <v>30.405305129166578</v>
      </c>
      <c r="K94" s="7">
        <f>VLOOKUP(Table3[[#This Row],[MD5]],Input[],11,FALSE)+(Distances!$AA$8*(ABS(Distances!$AD$8-VLOOKUP(Table3[[#This Row],[MD5]],Input[],11,FALSE))*Distances!$AC$8))</f>
        <v>27.681816254965277</v>
      </c>
      <c r="L94" s="44">
        <f>SQRT(SUM((Table3[[#This Row],[time''2]]-Distances!$AD$6)^2,(Table3[[#This Row],[price''2]]-Distances!$AD$7)^2,(Table3[[#This Row],[energy''2]]-Distances!$AD$8)^2))</f>
        <v>36.725299059799632</v>
      </c>
      <c r="M94" s="44">
        <f>((Table3[[#This Row],[score-rt-partialcf]]-MIN(Table3[score-rt-partialcf]))*$G$6)/(MAX(Table3[score-rt-partialcf])-MIN(Table3[score-rt-partialcf]))</f>
        <v>0.28875534057915841</v>
      </c>
      <c r="N94" s="8">
        <f>VLOOKUP(Table3[[#This Row],[MD5]],Input[],15,FALSE)+(Distances!$AA$6*(ABS(Distances!$AD$6-VLOOKUP(Table3[[#This Row],[MD5]],Input[],15,FALSE))*Distances!$AC$6))</f>
        <v>27.941355891651696</v>
      </c>
      <c r="O94" s="7">
        <f>VLOOKUP(Table3[[#This Row],[MD5]],Input[],16,FALSE)+(Distances!$AA$7*(ABS(Distances!$AD$7-VLOOKUP(Table3[[#This Row],[MD5]],Input[],16,FALSE))*Distances!$AC$7))</f>
        <v>75.745246731249779</v>
      </c>
      <c r="P94" s="7">
        <f>VLOOKUP(Table3[[#This Row],[MD5]],Input[],17,FALSE)+(Distances!$AA$8*(ABS(Distances!$AD$8-VLOOKUP(Table3[[#This Row],[MD5]],Input[],11,FALSE))*Distances!$AC$8))</f>
        <v>73.887188671631606</v>
      </c>
      <c r="Q94" s="47">
        <f>SQRT(SUM((Table3[[#This Row],[time''3]]-Distances!$AD$6)^2,(Table3[[#This Row],[price''3]]-Distances!$AD$7)^2,(Table3[[#This Row],[energy''3]]-Distances!$AD$8)^2))</f>
        <v>41.472874168374467</v>
      </c>
      <c r="R94" s="47">
        <f>((Table3[[#This Row],[score-rt-fullcf]]-MIN(Table3[score-rt-fullcf]))*$G$6)/(MAX(Table3[score-rt-fullcf])-MIN(Table3[score-rt-fullcf]))</f>
        <v>1.0693250530406256E-3</v>
      </c>
      <c r="S94" s="8">
        <f>VLOOKUP(Table3[[#This Row],[MD5]],Input[],21,FALSE)+(Distances!$AI$6*(ABS(Distances!$L$3-VLOOKUP(Table3[[#This Row],[MD5]],Input[],21,FALSE))*Distances!$AC$6))</f>
        <v>427147.40127000003</v>
      </c>
      <c r="T94" s="7">
        <f>VLOOKUP(Table3[[#This Row],[MD5]],Input[],22,FALSE)+(Distances!$AI$7*(ABS(Distances!$AB$7-VLOOKUP(Table3[[#This Row],[MD5]],Input[],22,FALSE))*Distances!$AC$7))</f>
        <v>167989.75001111111</v>
      </c>
      <c r="U94" s="7">
        <f>VLOOKUP(Table3[[#This Row],[MD5]],Input[],23,FALSE)+(Distances!$AI$8*(ABS(Distances!$AD$8-VLOOKUP(Table3[[#This Row],[MD5]],Input[],23,FALSE))*Distances!$AC$8))</f>
        <v>122193.55104722166</v>
      </c>
      <c r="V94" s="43">
        <f>SQRT(SUM((Table3[[#This Row],[time''4]]-Distances!$AD$6)^2,(Table3[[#This Row],[price''4]]-Distances!$AD$7)^2,(Table3[[#This Row],[energy''4]]-Distances!$AD$8)^2))</f>
        <v>474905.25041086582</v>
      </c>
      <c r="W94" s="58">
        <f>((Table3[[#This Row],[score-rt-df]]-MIN(Table3[score-rt-df]))*$G$6)/(MAX(Table3[score-rt-df])-MIN(Table3[score-rt-df]))</f>
        <v>0.39038774107434582</v>
      </c>
      <c r="AY94" t="str">
        <f>Table3[[#This Row],[QW'#]]</f>
        <v>qw69</v>
      </c>
      <c r="AZ94" t="str">
        <f>VLOOKUP(Table10[[#This Row],[QW'#]],Table3[],2,FALSE)</f>
        <v>e03f7a57b17aca1eb1415d586be72e2e</v>
      </c>
      <c r="BA94" s="54">
        <f>IF(ABS(VLOOKUP(Table10[[#This Row],[QW'#]],Table3[],7,FALSE)-0)&lt;=$AZ$6,1,0)</f>
        <v>1</v>
      </c>
      <c r="BB94" s="54">
        <f>IF(ABS(VLOOKUP(Table10[[#This Row],[QW'#]],Table3[],22,FALSE)-0)&lt;=$AZ$6,1,0)</f>
        <v>0</v>
      </c>
      <c r="BC94" s="54">
        <f>IF(AND(Table10[[#This Row],[Retrieved]]=0, Table10[[#This Row],[Relevant]]=0),1,0)</f>
        <v>0</v>
      </c>
      <c r="BD94" s="54">
        <f>IF(AND(Table10[[#This Row],[Retrieved]]=0, Table10[[#This Row],[Relevant]]=1),1,0)</f>
        <v>0</v>
      </c>
      <c r="BE94" s="54">
        <f>IF(AND(Table10[[#This Row],[Retrieved]]=1, Table10[[#This Row],[Relevant]]=0),1,0)</f>
        <v>1</v>
      </c>
      <c r="BF94" s="54">
        <f>IF(AND(Table10[[#This Row],[Retrieved]]=1, Table10[[#This Row],[Relevant]]=1),1,0)</f>
        <v>0</v>
      </c>
    </row>
    <row r="95" spans="2:58">
      <c r="B95" s="76" t="s">
        <v>217</v>
      </c>
      <c r="C95" s="10" t="s">
        <v>85</v>
      </c>
      <c r="D95" s="8">
        <f>VLOOKUP(Table3[[#This Row],[MD5]],Input[],3,FALSE)+(Distances!$AA$6*(ABS(Distances!$AD$6-VLOOKUP(Table3[[#This Row],[MD5]],Input[],3,FALSE))*Distances!$AC$6))</f>
        <v>55.98857143</v>
      </c>
      <c r="E95" s="7">
        <f>VLOOKUP(Table3[[#This Row],[MD5]],Input[],4,FALSE)+(Distances!$AA$7*(ABS(Distances!$AD$7-VLOOKUP(Table3[[#This Row],[MD5]],Input[],4,FALSE))*Distances!$AC$7))</f>
        <v>57.466666666666669</v>
      </c>
      <c r="F95" s="7">
        <f>VLOOKUP(Table3[[#This Row],[MD5]],Input[],5,FALSE)+(Distances!$AA$8*(ABS(Distances!$AD$8-VLOOKUP(Table3[[#This Row],[MD5]],Input[],5,FALSE))*Distances!$AC$8))</f>
        <v>52.933333333333337</v>
      </c>
      <c r="G95" s="46">
        <f>SQRT(SUM((Table3[[#This Row],[time]]-Distances!$AD$6)^2,(Table3[[#This Row],[price]]-Distances!$AD$7)^2,(Table3[[#This Row],[energy]]-Distances!$AD$8)^2))</f>
        <v>10.010921202754911</v>
      </c>
      <c r="H95" s="46">
        <f>((Table3[[#This Row],[score-bt]]-MIN(Table3[score-bt]))*$G$6)/(MAX(Table3[score-bt])-MIN(Table3[score-bt]))</f>
        <v>0</v>
      </c>
      <c r="I95" s="8">
        <f>VLOOKUP(Table3[[#This Row],[MD5]],Input[],9,FALSE)+(Distances!$AA$6*(ABS(Distances!$AD$6-VLOOKUP(Table3[[#This Row],[MD5]],Input[],9,FALSE))*Distances!$AC$6))</f>
        <v>28.396900831830301</v>
      </c>
      <c r="J95" s="7">
        <f>VLOOKUP(Table3[[#This Row],[MD5]],Input[],10,FALSE)+(Distances!$AA$7*(ABS(Distances!$AD$7-VLOOKUP(Table3[[#This Row],[MD5]],Input[],10,FALSE))*Distances!$AC$7))</f>
        <v>30.405314462499909</v>
      </c>
      <c r="K95" s="7">
        <f>VLOOKUP(Table3[[#This Row],[MD5]],Input[],11,FALSE)+(Distances!$AA$8*(ABS(Distances!$AD$8-VLOOKUP(Table3[[#This Row],[MD5]],Input[],11,FALSE))*Distances!$AC$8))</f>
        <v>27.681823332743058</v>
      </c>
      <c r="L95" s="44">
        <f>SQRT(SUM((Table3[[#This Row],[time''2]]-Distances!$AD$6)^2,(Table3[[#This Row],[price''2]]-Distances!$AD$7)^2,(Table3[[#This Row],[energy''2]]-Distances!$AD$8)^2))</f>
        <v>36.725285631757608</v>
      </c>
      <c r="M95" s="44">
        <f>((Table3[[#This Row],[score-rt-partialcf]]-MIN(Table3[score-rt-partialcf]))*$G$6)/(MAX(Table3[score-rt-partialcf])-MIN(Table3[score-rt-partialcf]))</f>
        <v>0.28875521658409142</v>
      </c>
      <c r="N95" s="8">
        <f>VLOOKUP(Table3[[#This Row],[MD5]],Input[],15,FALSE)+(Distances!$AA$6*(ABS(Distances!$AD$6-VLOOKUP(Table3[[#This Row],[MD5]],Input[],15,FALSE))*Distances!$AC$6))</f>
        <v>27.941360297901696</v>
      </c>
      <c r="O95" s="7">
        <f>VLOOKUP(Table3[[#This Row],[MD5]],Input[],16,FALSE)+(Distances!$AA$7*(ABS(Distances!$AD$7-VLOOKUP(Table3[[#This Row],[MD5]],Input[],16,FALSE))*Distances!$AC$7))</f>
        <v>75.745248189583108</v>
      </c>
      <c r="P95" s="7">
        <f>VLOOKUP(Table3[[#This Row],[MD5]],Input[],17,FALSE)+(Distances!$AA$8*(ABS(Distances!$AD$8-VLOOKUP(Table3[[#This Row],[MD5]],Input[],11,FALSE))*Distances!$AC$8))</f>
        <v>73.887191578576051</v>
      </c>
      <c r="Q95" s="47">
        <f>SQRT(SUM((Table3[[#This Row],[time''3]]-Distances!$AD$6)^2,(Table3[[#This Row],[price''3]]-Distances!$AD$7)^2,(Table3[[#This Row],[energy''3]]-Distances!$AD$8)^2))</f>
        <v>41.472874404384058</v>
      </c>
      <c r="R95" s="47">
        <f>((Table3[[#This Row],[score-rt-fullcf]]-MIN(Table3[score-rt-fullcf]))*$G$6)/(MAX(Table3[score-rt-fullcf])-MIN(Table3[score-rt-fullcf]))</f>
        <v>1.0693322892391232E-3</v>
      </c>
      <c r="S95" s="8">
        <f>VLOOKUP(Table3[[#This Row],[MD5]],Input[],21,FALSE)+(Distances!$AI$6*(ABS(Distances!$L$3-VLOOKUP(Table3[[#This Row],[MD5]],Input[],21,FALSE))*Distances!$AC$6))</f>
        <v>427147.92393666669</v>
      </c>
      <c r="T95" s="7">
        <f>VLOOKUP(Table3[[#This Row],[MD5]],Input[],22,FALSE)+(Distances!$AI$7*(ABS(Distances!$AB$7-VLOOKUP(Table3[[#This Row],[MD5]],Input[],22,FALSE))*Distances!$AC$7))</f>
        <v>167989.87445555557</v>
      </c>
      <c r="U95" s="7">
        <f>VLOOKUP(Table3[[#This Row],[MD5]],Input[],23,FALSE)+(Distances!$AI$8*(ABS(Distances!$AD$8-VLOOKUP(Table3[[#This Row],[MD5]],Input[],23,FALSE))*Distances!$AC$8))</f>
        <v>122193.64438055501</v>
      </c>
      <c r="V95" s="43">
        <f>SQRT(SUM((Table3[[#This Row],[time''4]]-Distances!$AD$6)^2,(Table3[[#This Row],[price''4]]-Distances!$AD$7)^2,(Table3[[#This Row],[energy''4]]-Distances!$AD$8)^2))</f>
        <v>474905.78847358975</v>
      </c>
      <c r="W95" s="58">
        <f>((Table3[[#This Row],[score-rt-df]]-MIN(Table3[score-rt-df]))*$G$6)/(MAX(Table3[score-rt-df])-MIN(Table3[score-rt-df]))</f>
        <v>0.39038818419341248</v>
      </c>
      <c r="AY95" t="str">
        <f>Table3[[#This Row],[QW'#]]</f>
        <v>qw39</v>
      </c>
      <c r="AZ95" t="str">
        <f>VLOOKUP(Table10[[#This Row],[QW'#]],Table3[],2,FALSE)</f>
        <v>91d430c82e26f84e4a83b3757688ff04</v>
      </c>
      <c r="BA95" s="54">
        <f>IF(ABS(VLOOKUP(Table10[[#This Row],[QW'#]],Table3[],7,FALSE)-0)&lt;=$AZ$6,1,0)</f>
        <v>1</v>
      </c>
      <c r="BB95" s="54">
        <f>IF(ABS(VLOOKUP(Table10[[#This Row],[QW'#]],Table3[],22,FALSE)-0)&lt;=$AZ$6,1,0)</f>
        <v>0</v>
      </c>
      <c r="BC95" s="54">
        <f>IF(AND(Table10[[#This Row],[Retrieved]]=0, Table10[[#This Row],[Relevant]]=0),1,0)</f>
        <v>0</v>
      </c>
      <c r="BD95" s="54">
        <f>IF(AND(Table10[[#This Row],[Retrieved]]=0, Table10[[#This Row],[Relevant]]=1),1,0)</f>
        <v>0</v>
      </c>
      <c r="BE95" s="54">
        <f>IF(AND(Table10[[#This Row],[Retrieved]]=1, Table10[[#This Row],[Relevant]]=0),1,0)</f>
        <v>1</v>
      </c>
      <c r="BF95" s="54">
        <f>IF(AND(Table10[[#This Row],[Retrieved]]=1, Table10[[#This Row],[Relevant]]=1),1,0)</f>
        <v>0</v>
      </c>
    </row>
    <row r="96" spans="2:58">
      <c r="B96" s="76" t="s">
        <v>269</v>
      </c>
      <c r="C96" s="10" t="s">
        <v>137</v>
      </c>
      <c r="D96" s="8">
        <f>VLOOKUP(Table3[[#This Row],[MD5]],Input[],3,FALSE)+(Distances!$AA$6*(ABS(Distances!$AD$6-VLOOKUP(Table3[[#This Row],[MD5]],Input[],3,FALSE))*Distances!$AC$6))</f>
        <v>55.98857143</v>
      </c>
      <c r="E96" s="7">
        <f>VLOOKUP(Table3[[#This Row],[MD5]],Input[],4,FALSE)+(Distances!$AA$7*(ABS(Distances!$AD$7-VLOOKUP(Table3[[#This Row],[MD5]],Input[],4,FALSE))*Distances!$AC$7))</f>
        <v>57.466666666666669</v>
      </c>
      <c r="F96" s="7">
        <f>VLOOKUP(Table3[[#This Row],[MD5]],Input[],5,FALSE)+(Distances!$AA$8*(ABS(Distances!$AD$8-VLOOKUP(Table3[[#This Row],[MD5]],Input[],5,FALSE))*Distances!$AC$8))</f>
        <v>52.933333333333337</v>
      </c>
      <c r="G96" s="46">
        <f>SQRT(SUM((Table3[[#This Row],[time]]-Distances!$AD$6)^2,(Table3[[#This Row],[price]]-Distances!$AD$7)^2,(Table3[[#This Row],[energy]]-Distances!$AD$8)^2))</f>
        <v>10.010921202754911</v>
      </c>
      <c r="H96" s="46">
        <f>((Table3[[#This Row],[score-bt]]-MIN(Table3[score-bt]))*$G$6)/(MAX(Table3[score-bt])-MIN(Table3[score-bt]))</f>
        <v>0</v>
      </c>
      <c r="I96" s="8">
        <f>VLOOKUP(Table3[[#This Row],[MD5]],Input[],9,FALSE)+(Distances!$AA$6*(ABS(Distances!$AD$6-VLOOKUP(Table3[[#This Row],[MD5]],Input[],9,FALSE))*Distances!$AC$6))</f>
        <v>28.402531650267793</v>
      </c>
      <c r="J96" s="7">
        <f>VLOOKUP(Table3[[#This Row],[MD5]],Input[],10,FALSE)+(Distances!$AA$7*(ABS(Distances!$AD$7-VLOOKUP(Table3[[#This Row],[MD5]],Input[],10,FALSE))*Distances!$AC$7))</f>
        <v>30.409689549999911</v>
      </c>
      <c r="K96" s="7">
        <f>VLOOKUP(Table3[[#This Row],[MD5]],Input[],11,FALSE)+(Distances!$AA$8*(ABS(Distances!$AD$8-VLOOKUP(Table3[[#This Row],[MD5]],Input[],11,FALSE))*Distances!$AC$8))</f>
        <v>27.685182685972226</v>
      </c>
      <c r="L96" s="44">
        <f>SQRT(SUM((Table3[[#This Row],[time''2]]-Distances!$AD$6)^2,(Table3[[#This Row],[price''2]]-Distances!$AD$7)^2,(Table3[[#This Row],[energy''2]]-Distances!$AD$8)^2))</f>
        <v>36.717597612091957</v>
      </c>
      <c r="M96" s="44">
        <f>((Table3[[#This Row],[score-rt-partialcf]]-MIN(Table3[score-rt-partialcf]))*$G$6)/(MAX(Table3[score-rt-partialcf])-MIN(Table3[score-rt-partialcf]))</f>
        <v>0.28868422510880792</v>
      </c>
      <c r="N96" s="8">
        <f>VLOOKUP(Table3[[#This Row],[MD5]],Input[],15,FALSE)+(Distances!$AA$6*(ABS(Distances!$AD$6-VLOOKUP(Table3[[#This Row],[MD5]],Input[],15,FALSE))*Distances!$AC$6))</f>
        <v>27.948258353839201</v>
      </c>
      <c r="O96" s="7">
        <f>VLOOKUP(Table3[[#This Row],[MD5]],Input[],16,FALSE)+(Distances!$AA$7*(ABS(Distances!$AD$7-VLOOKUP(Table3[[#This Row],[MD5]],Input[],16,FALSE))*Distances!$AC$7))</f>
        <v>75.752931024999995</v>
      </c>
      <c r="P96" s="7">
        <f>VLOOKUP(Table3[[#This Row],[MD5]],Input[],17,FALSE)+(Distances!$AA$8*(ABS(Distances!$AD$8-VLOOKUP(Table3[[#This Row],[MD5]],Input[],11,FALSE))*Distances!$AC$8))</f>
        <v>73.897694810972226</v>
      </c>
      <c r="Q96" s="47">
        <f>SQRT(SUM((Table3[[#This Row],[time''3]]-Distances!$AD$6)^2,(Table3[[#This Row],[price''3]]-Distances!$AD$7)^2,(Table3[[#This Row],[energy''3]]-Distances!$AD$8)^2))</f>
        <v>41.480026317322881</v>
      </c>
      <c r="R96" s="47">
        <f>((Table3[[#This Row],[score-rt-fullcf]]-MIN(Table3[score-rt-fullcf]))*$G$6)/(MAX(Table3[score-rt-fullcf])-MIN(Table3[score-rt-fullcf]))</f>
        <v>1.2886143173359149E-3</v>
      </c>
      <c r="S96" s="8">
        <f>VLOOKUP(Table3[[#This Row],[MD5]],Input[],21,FALSE)+(Distances!$AI$6*(ABS(Distances!$L$3-VLOOKUP(Table3[[#This Row],[MD5]],Input[],21,FALSE))*Distances!$AC$6))</f>
        <v>427373.57153666666</v>
      </c>
      <c r="T96" s="7">
        <f>VLOOKUP(Table3[[#This Row],[MD5]],Input[],22,FALSE)+(Distances!$AI$7*(ABS(Distances!$AB$7-VLOOKUP(Table3[[#This Row],[MD5]],Input[],22,FALSE))*Distances!$AC$7))</f>
        <v>168365.70423333335</v>
      </c>
      <c r="U96" s="7">
        <f>VLOOKUP(Table3[[#This Row],[MD5]],Input[],23,FALSE)+(Distances!$AI$8*(ABS(Distances!$AD$8-VLOOKUP(Table3[[#This Row],[MD5]],Input[],23,FALSE))*Distances!$AC$8))</f>
        <v>122473.50093611056</v>
      </c>
      <c r="V96" s="43">
        <f>SQRT(SUM((Table3[[#This Row],[time''4]]-Distances!$AD$6)^2,(Table3[[#This Row],[price''4]]-Distances!$AD$7)^2,(Table3[[#This Row],[energy''4]]-Distances!$AD$8)^2))</f>
        <v>475313.71184078994</v>
      </c>
      <c r="W96" s="58">
        <f>((Table3[[#This Row],[score-rt-df]]-MIN(Table3[score-rt-df]))*$G$6)/(MAX(Table3[score-rt-df])-MIN(Table3[score-rt-df]))</f>
        <v>0.39072412759500313</v>
      </c>
      <c r="AY96" t="str">
        <f>Table3[[#This Row],[QW'#]]</f>
        <v>qw91</v>
      </c>
      <c r="AZ96" t="str">
        <f>VLOOKUP(Table10[[#This Row],[QW'#]],Table3[],2,FALSE)</f>
        <v>6255d96e74c4303747cb327e546058df</v>
      </c>
      <c r="BA96" s="54">
        <f>IF(ABS(VLOOKUP(Table10[[#This Row],[QW'#]],Table3[],7,FALSE)-0)&lt;=$AZ$6,1,0)</f>
        <v>1</v>
      </c>
      <c r="BB96" s="54">
        <f>IF(ABS(VLOOKUP(Table10[[#This Row],[QW'#]],Table3[],22,FALSE)-0)&lt;=$AZ$6,1,0)</f>
        <v>0</v>
      </c>
      <c r="BC96" s="54">
        <f>IF(AND(Table10[[#This Row],[Retrieved]]=0, Table10[[#This Row],[Relevant]]=0),1,0)</f>
        <v>0</v>
      </c>
      <c r="BD96" s="54">
        <f>IF(AND(Table10[[#This Row],[Retrieved]]=0, Table10[[#This Row],[Relevant]]=1),1,0)</f>
        <v>0</v>
      </c>
      <c r="BE96" s="54">
        <f>IF(AND(Table10[[#This Row],[Retrieved]]=1, Table10[[#This Row],[Relevant]]=0),1,0)</f>
        <v>1</v>
      </c>
      <c r="BF96" s="54">
        <f>IF(AND(Table10[[#This Row],[Retrieved]]=1, Table10[[#This Row],[Relevant]]=1),1,0)</f>
        <v>0</v>
      </c>
    </row>
    <row r="97" spans="2:58">
      <c r="B97" s="76" t="s">
        <v>315</v>
      </c>
      <c r="C97" s="10" t="s">
        <v>183</v>
      </c>
      <c r="D97" s="8">
        <f>VLOOKUP(Table3[[#This Row],[MD5]],Input[],3,FALSE)+(Distances!$AA$6*(ABS(Distances!$AD$6-VLOOKUP(Table3[[#This Row],[MD5]],Input[],3,FALSE))*Distances!$AC$6))</f>
        <v>55.98857143</v>
      </c>
      <c r="E97" s="7">
        <f>VLOOKUP(Table3[[#This Row],[MD5]],Input[],4,FALSE)+(Distances!$AA$7*(ABS(Distances!$AD$7-VLOOKUP(Table3[[#This Row],[MD5]],Input[],4,FALSE))*Distances!$AC$7))</f>
        <v>57.466666666666669</v>
      </c>
      <c r="F97" s="7">
        <f>VLOOKUP(Table3[[#This Row],[MD5]],Input[],5,FALSE)+(Distances!$AA$8*(ABS(Distances!$AD$8-VLOOKUP(Table3[[#This Row],[MD5]],Input[],5,FALSE))*Distances!$AC$8))</f>
        <v>52.933333333333337</v>
      </c>
      <c r="G97" s="46">
        <f>SQRT(SUM((Table3[[#This Row],[time]]-Distances!$AD$6)^2,(Table3[[#This Row],[price]]-Distances!$AD$7)^2,(Table3[[#This Row],[energy]]-Distances!$AD$8)^2))</f>
        <v>10.010921202754911</v>
      </c>
      <c r="H97" s="46">
        <f>((Table3[[#This Row],[score-bt]]-MIN(Table3[score-bt]))*$G$6)/(MAX(Table3[score-bt])-MIN(Table3[score-bt]))</f>
        <v>0</v>
      </c>
      <c r="I97" s="8">
        <f>VLOOKUP(Table3[[#This Row],[MD5]],Input[],9,FALSE)+(Distances!$AA$6*(ABS(Distances!$AD$6-VLOOKUP(Table3[[#This Row],[MD5]],Input[],9,FALSE))*Distances!$AC$6))</f>
        <v>28.402540022142805</v>
      </c>
      <c r="J97" s="7">
        <f>VLOOKUP(Table3[[#This Row],[MD5]],Input[],10,FALSE)+(Distances!$AA$7*(ABS(Distances!$AD$7-VLOOKUP(Table3[[#This Row],[MD5]],Input[],10,FALSE))*Distances!$AC$7))</f>
        <v>30.409700633333244</v>
      </c>
      <c r="K97" s="7">
        <f>VLOOKUP(Table3[[#This Row],[MD5]],Input[],11,FALSE)+(Distances!$AA$8*(ABS(Distances!$AD$8-VLOOKUP(Table3[[#This Row],[MD5]],Input[],11,FALSE))*Distances!$AC$8))</f>
        <v>27.685191090833253</v>
      </c>
      <c r="L97" s="44">
        <f>SQRT(SUM((Table3[[#This Row],[time''2]]-Distances!$AD$6)^2,(Table3[[#This Row],[price''2]]-Distances!$AD$7)^2,(Table3[[#This Row],[energy''2]]-Distances!$AD$8)^2))</f>
        <v>36.717581666327028</v>
      </c>
      <c r="M97" s="44">
        <f>((Table3[[#This Row],[score-rt-partialcf]]-MIN(Table3[score-rt-partialcf]))*$G$6)/(MAX(Table3[score-rt-partialcf])-MIN(Table3[score-rt-partialcf]))</f>
        <v>0.28868407786498884</v>
      </c>
      <c r="N97" s="8">
        <f>VLOOKUP(Table3[[#This Row],[MD5]],Input[],15,FALSE)+(Distances!$AA$6*(ABS(Distances!$AD$6-VLOOKUP(Table3[[#This Row],[MD5]],Input[],15,FALSE))*Distances!$AC$6))</f>
        <v>27.9482671663392</v>
      </c>
      <c r="O97" s="7">
        <f>VLOOKUP(Table3[[#This Row],[MD5]],Input[],16,FALSE)+(Distances!$AA$7*(ABS(Distances!$AD$7-VLOOKUP(Table3[[#This Row],[MD5]],Input[],16,FALSE))*Distances!$AC$7))</f>
        <v>75.752933941666669</v>
      </c>
      <c r="P97" s="7">
        <f>VLOOKUP(Table3[[#This Row],[MD5]],Input[],17,FALSE)+(Distances!$AA$8*(ABS(Distances!$AD$8-VLOOKUP(Table3[[#This Row],[MD5]],Input[],11,FALSE))*Distances!$AC$8))</f>
        <v>73.897699803333339</v>
      </c>
      <c r="Q97" s="47">
        <f>SQRT(SUM((Table3[[#This Row],[time''3]]-Distances!$AD$6)^2,(Table3[[#This Row],[price''3]]-Distances!$AD$7)^2,(Table3[[#This Row],[energy''3]]-Distances!$AD$8)^2))</f>
        <v>41.480026319437641</v>
      </c>
      <c r="R97" s="47">
        <f>((Table3[[#This Row],[score-rt-fullcf]]-MIN(Table3[score-rt-fullcf]))*$G$6)/(MAX(Table3[score-rt-fullcf])-MIN(Table3[score-rt-fullcf]))</f>
        <v>1.2886143821757485E-3</v>
      </c>
      <c r="S97" s="8">
        <f>VLOOKUP(Table3[[#This Row],[MD5]],Input[],21,FALSE)+(Distances!$AI$6*(ABS(Distances!$L$3-VLOOKUP(Table3[[#This Row],[MD5]],Input[],21,FALSE))*Distances!$AC$6))</f>
        <v>427374.9155366667</v>
      </c>
      <c r="T97" s="7">
        <f>VLOOKUP(Table3[[#This Row],[MD5]],Input[],22,FALSE)+(Distances!$AI$7*(ABS(Distances!$AB$7-VLOOKUP(Table3[[#This Row],[MD5]],Input[],22,FALSE))*Distances!$AC$7))</f>
        <v>168366.02423333336</v>
      </c>
      <c r="U97" s="7">
        <f>VLOOKUP(Table3[[#This Row],[MD5]],Input[],23,FALSE)+(Distances!$AI$8*(ABS(Distances!$AD$8-VLOOKUP(Table3[[#This Row],[MD5]],Input[],23,FALSE))*Distances!$AC$8))</f>
        <v>122473.74093611055</v>
      </c>
      <c r="V97" s="43">
        <f>SQRT(SUM((Table3[[#This Row],[time''4]]-Distances!$AD$6)^2,(Table3[[#This Row],[price''4]]-Distances!$AD$7)^2,(Table3[[#This Row],[energy''4]]-Distances!$AD$8)^2))</f>
        <v>475315.09527567844</v>
      </c>
      <c r="W97" s="58">
        <f>((Table3[[#This Row],[score-rt-df]]-MIN(Table3[score-rt-df]))*$G$6)/(MAX(Table3[score-rt-df])-MIN(Table3[score-rt-df]))</f>
        <v>0.39072526691640441</v>
      </c>
      <c r="AY97" t="str">
        <f>Table3[[#This Row],[QW'#]]</f>
        <v>qw137</v>
      </c>
      <c r="AZ97" t="str">
        <f>VLOOKUP(Table10[[#This Row],[QW'#]],Table3[],2,FALSE)</f>
        <v>8b57b1ab8c441386f126f1aa3ec60bed</v>
      </c>
      <c r="BA97" s="54">
        <f>IF(ABS(VLOOKUP(Table10[[#This Row],[QW'#]],Table3[],7,FALSE)-0)&lt;=$AZ$6,1,0)</f>
        <v>1</v>
      </c>
      <c r="BB97" s="54">
        <f>IF(ABS(VLOOKUP(Table10[[#This Row],[QW'#]],Table3[],22,FALSE)-0)&lt;=$AZ$6,1,0)</f>
        <v>0</v>
      </c>
      <c r="BC97" s="54">
        <f>IF(AND(Table10[[#This Row],[Retrieved]]=0, Table10[[#This Row],[Relevant]]=0),1,0)</f>
        <v>0</v>
      </c>
      <c r="BD97" s="54">
        <f>IF(AND(Table10[[#This Row],[Retrieved]]=0, Table10[[#This Row],[Relevant]]=1),1,0)</f>
        <v>0</v>
      </c>
      <c r="BE97" s="54">
        <f>IF(AND(Table10[[#This Row],[Retrieved]]=1, Table10[[#This Row],[Relevant]]=0),1,0)</f>
        <v>1</v>
      </c>
      <c r="BF97" s="54">
        <f>IF(AND(Table10[[#This Row],[Retrieved]]=1, Table10[[#This Row],[Relevant]]=1),1,0)</f>
        <v>0</v>
      </c>
    </row>
    <row r="98" spans="2:58">
      <c r="B98" s="76" t="s">
        <v>18</v>
      </c>
      <c r="C98" s="10" t="s">
        <v>56</v>
      </c>
      <c r="D98" s="8">
        <f>VLOOKUP(Table3[[#This Row],[MD5]],Input[],3,FALSE)+(Distances!$AA$6*(ABS(Distances!$AD$6-VLOOKUP(Table3[[#This Row],[MD5]],Input[],3,FALSE))*Distances!$AC$6))</f>
        <v>55.98857143</v>
      </c>
      <c r="E98" s="7">
        <f>VLOOKUP(Table3[[#This Row],[MD5]],Input[],4,FALSE)+(Distances!$AA$7*(ABS(Distances!$AD$7-VLOOKUP(Table3[[#This Row],[MD5]],Input[],4,FALSE))*Distances!$AC$7))</f>
        <v>57.466666666666669</v>
      </c>
      <c r="F98" s="7">
        <f>VLOOKUP(Table3[[#This Row],[MD5]],Input[],5,FALSE)+(Distances!$AA$8*(ABS(Distances!$AD$8-VLOOKUP(Table3[[#This Row],[MD5]],Input[],5,FALSE))*Distances!$AC$8))</f>
        <v>52.933333333333337</v>
      </c>
      <c r="G98" s="46">
        <f>SQRT(SUM((Table3[[#This Row],[time]]-Distances!$AD$6)^2,(Table3[[#This Row],[price]]-Distances!$AD$7)^2,(Table3[[#This Row],[energy]]-Distances!$AD$8)^2))</f>
        <v>10.010921202754911</v>
      </c>
      <c r="H98" s="46">
        <f>((Table3[[#This Row],[score-bt]]-MIN(Table3[score-bt]))*$G$6)/(MAX(Table3[score-bt])-MIN(Table3[score-bt]))</f>
        <v>0</v>
      </c>
      <c r="I98" s="8">
        <f>VLOOKUP(Table3[[#This Row],[MD5]],Input[],9,FALSE)+(Distances!$AA$6*(ABS(Distances!$AD$6-VLOOKUP(Table3[[#This Row],[MD5]],Input[],9,FALSE))*Distances!$AC$6))</f>
        <v>28.410369459642798</v>
      </c>
      <c r="J98" s="7">
        <f>VLOOKUP(Table3[[#This Row],[MD5]],Input[],10,FALSE)+(Distances!$AA$7*(ABS(Distances!$AD$7-VLOOKUP(Table3[[#This Row],[MD5]],Input[],10,FALSE))*Distances!$AC$7))</f>
        <v>30.417049174999914</v>
      </c>
      <c r="K98" s="7">
        <f>VLOOKUP(Table3[[#This Row],[MD5]],Input[],11,FALSE)+(Distances!$AA$8*(ABS(Distances!$AD$8-VLOOKUP(Table3[[#This Row],[MD5]],Input[],11,FALSE))*Distances!$AC$8))</f>
        <v>27.690804466180477</v>
      </c>
      <c r="L98" s="44">
        <f>SQRT(SUM((Table3[[#This Row],[time''2]]-Distances!$AD$6)^2,(Table3[[#This Row],[price''2]]-Distances!$AD$7)^2,(Table3[[#This Row],[energy''2]]-Distances!$AD$8)^2))</f>
        <v>36.705644187913236</v>
      </c>
      <c r="M98" s="44">
        <f>((Table3[[#This Row],[score-rt-partialcf]]-MIN(Table3[score-rt-partialcf]))*$G$6)/(MAX(Table3[score-rt-partialcf])-MIN(Table3[score-rt-partialcf]))</f>
        <v>0.28857384672086911</v>
      </c>
      <c r="N98" s="8">
        <f>VLOOKUP(Table3[[#This Row],[MD5]],Input[],15,FALSE)+(Distances!$AA$6*(ABS(Distances!$AD$6-VLOOKUP(Table3[[#This Row],[MD5]],Input[],15,FALSE))*Distances!$AC$6))</f>
        <v>27.955024563214195</v>
      </c>
      <c r="O98" s="7">
        <f>VLOOKUP(Table3[[#This Row],[MD5]],Input[],16,FALSE)+(Distances!$AA$7*(ABS(Distances!$AD$7-VLOOKUP(Table3[[#This Row],[MD5]],Input[],16,FALSE))*Distances!$AC$7))</f>
        <v>75.754969045833334</v>
      </c>
      <c r="P98" s="7">
        <f>VLOOKUP(Table3[[#This Row],[MD5]],Input[],17,FALSE)+(Distances!$AA$8*(ABS(Distances!$AD$8-VLOOKUP(Table3[[#This Row],[MD5]],Input[],11,FALSE))*Distances!$AC$8))</f>
        <v>73.901182262013876</v>
      </c>
      <c r="Q98" s="47">
        <f>SQRT(SUM((Table3[[#This Row],[time''3]]-Distances!$AD$6)^2,(Table3[[#This Row],[price''3]]-Distances!$AD$7)^2,(Table3[[#This Row],[energy''3]]-Distances!$AD$8)^2))</f>
        <v>41.479704508136621</v>
      </c>
      <c r="R98" s="47">
        <f>((Table3[[#This Row],[score-rt-fullcf]]-MIN(Table3[score-rt-fullcf]))*$G$6)/(MAX(Table3[score-rt-fullcf])-MIN(Table3[score-rt-fullcf]))</f>
        <v>1.2787474507189637E-3</v>
      </c>
      <c r="S98" s="8">
        <f>VLOOKUP(Table3[[#This Row],[MD5]],Input[],21,FALSE)+(Distances!$AI$6*(ABS(Distances!$L$3-VLOOKUP(Table3[[#This Row],[MD5]],Input[],21,FALSE))*Distances!$AC$6))</f>
        <v>427513.02273666667</v>
      </c>
      <c r="T98" s="7">
        <f>VLOOKUP(Table3[[#This Row],[MD5]],Input[],22,FALSE)+(Distances!$AI$7*(ABS(Distances!$AB$7-VLOOKUP(Table3[[#This Row],[MD5]],Input[],22,FALSE))*Distances!$AC$7))</f>
        <v>168383.16378888889</v>
      </c>
      <c r="U98" s="7">
        <f>VLOOKUP(Table3[[#This Row],[MD5]],Input[],23,FALSE)+(Distances!$AI$8*(ABS(Distances!$AD$8-VLOOKUP(Table3[[#This Row],[MD5]],Input[],23,FALSE))*Distances!$AC$8))</f>
        <v>122485.357380555</v>
      </c>
      <c r="V98" s="43">
        <f>SQRT(SUM((Table3[[#This Row],[time''4]]-Distances!$AD$6)^2,(Table3[[#This Row],[price''4]]-Distances!$AD$7)^2,(Table3[[#This Row],[energy''4]]-Distances!$AD$8)^2))</f>
        <v>475448.32166624494</v>
      </c>
      <c r="W98" s="58">
        <f>((Table3[[#This Row],[score-rt-df]]-MIN(Table3[score-rt-df]))*$G$6)/(MAX(Table3[score-rt-df])-MIN(Table3[score-rt-df]))</f>
        <v>0.3908349848939151</v>
      </c>
      <c r="AY98" t="str">
        <f>Table3[[#This Row],[QW'#]]</f>
        <v>qw10</v>
      </c>
      <c r="AZ98" t="str">
        <f>VLOOKUP(Table10[[#This Row],[QW'#]],Table3[],2,FALSE)</f>
        <v>5db729e7545a037e1953ea90a7db018b</v>
      </c>
      <c r="BA98" s="54">
        <f>IF(ABS(VLOOKUP(Table10[[#This Row],[QW'#]],Table3[],7,FALSE)-0)&lt;=$AZ$6,1,0)</f>
        <v>1</v>
      </c>
      <c r="BB98" s="54">
        <f>IF(ABS(VLOOKUP(Table10[[#This Row],[QW'#]],Table3[],22,FALSE)-0)&lt;=$AZ$6,1,0)</f>
        <v>0</v>
      </c>
      <c r="BC98" s="54">
        <f>IF(AND(Table10[[#This Row],[Retrieved]]=0, Table10[[#This Row],[Relevant]]=0),1,0)</f>
        <v>0</v>
      </c>
      <c r="BD98" s="54">
        <f>IF(AND(Table10[[#This Row],[Retrieved]]=0, Table10[[#This Row],[Relevant]]=1),1,0)</f>
        <v>0</v>
      </c>
      <c r="BE98" s="54">
        <f>IF(AND(Table10[[#This Row],[Retrieved]]=1, Table10[[#This Row],[Relevant]]=0),1,0)</f>
        <v>1</v>
      </c>
      <c r="BF98" s="54">
        <f>IF(AND(Table10[[#This Row],[Retrieved]]=1, Table10[[#This Row],[Relevant]]=1),1,0)</f>
        <v>0</v>
      </c>
    </row>
    <row r="99" spans="2:58">
      <c r="B99" s="76" t="s">
        <v>36</v>
      </c>
      <c r="C99" s="10" t="s">
        <v>74</v>
      </c>
      <c r="D99" s="8">
        <f>VLOOKUP(Table3[[#This Row],[MD5]],Input[],3,FALSE)+(Distances!$AA$6*(ABS(Distances!$AD$6-VLOOKUP(Table3[[#This Row],[MD5]],Input[],3,FALSE))*Distances!$AC$6))</f>
        <v>55.98857143</v>
      </c>
      <c r="E99" s="7">
        <f>VLOOKUP(Table3[[#This Row],[MD5]],Input[],4,FALSE)+(Distances!$AA$7*(ABS(Distances!$AD$7-VLOOKUP(Table3[[#This Row],[MD5]],Input[],4,FALSE))*Distances!$AC$7))</f>
        <v>57.466666666666669</v>
      </c>
      <c r="F99" s="7">
        <f>VLOOKUP(Table3[[#This Row],[MD5]],Input[],5,FALSE)+(Distances!$AA$8*(ABS(Distances!$AD$8-VLOOKUP(Table3[[#This Row],[MD5]],Input[],5,FALSE))*Distances!$AC$8))</f>
        <v>52.933333333333337</v>
      </c>
      <c r="G99" s="46">
        <f>SQRT(SUM((Table3[[#This Row],[time]]-Distances!$AD$6)^2,(Table3[[#This Row],[price]]-Distances!$AD$7)^2,(Table3[[#This Row],[energy]]-Distances!$AD$8)^2))</f>
        <v>10.010921202754911</v>
      </c>
      <c r="H99" s="46">
        <f>((Table3[[#This Row],[score-bt]]-MIN(Table3[score-bt]))*$G$6)/(MAX(Table3[score-bt])-MIN(Table3[score-bt]))</f>
        <v>0</v>
      </c>
      <c r="I99" s="8">
        <f>VLOOKUP(Table3[[#This Row],[MD5]],Input[],9,FALSE)+(Distances!$AA$6*(ABS(Distances!$AD$6-VLOOKUP(Table3[[#This Row],[MD5]],Input[],9,FALSE))*Distances!$AC$6))</f>
        <v>28.410370781517802</v>
      </c>
      <c r="J99" s="7">
        <f>VLOOKUP(Table3[[#This Row],[MD5]],Input[],10,FALSE)+(Distances!$AA$7*(ABS(Distances!$AD$7-VLOOKUP(Table3[[#This Row],[MD5]],Input[],10,FALSE))*Distances!$AC$7))</f>
        <v>30.417050924999909</v>
      </c>
      <c r="K99" s="7">
        <f>VLOOKUP(Table3[[#This Row],[MD5]],Input[],11,FALSE)+(Distances!$AA$8*(ABS(Distances!$AD$8-VLOOKUP(Table3[[#This Row],[MD5]],Input[],11,FALSE))*Distances!$AC$8))</f>
        <v>27.690805793263809</v>
      </c>
      <c r="L99" s="44">
        <f>SQRT(SUM((Table3[[#This Row],[time''2]]-Distances!$AD$6)^2,(Table3[[#This Row],[price''2]]-Distances!$AD$7)^2,(Table3[[#This Row],[energy''2]]-Distances!$AD$8)^2))</f>
        <v>36.705641670177336</v>
      </c>
      <c r="M99" s="44">
        <f>((Table3[[#This Row],[score-rt-partialcf]]-MIN(Table3[score-rt-partialcf]))*$G$6)/(MAX(Table3[score-rt-partialcf])-MIN(Table3[score-rt-partialcf]))</f>
        <v>0.288573823471997</v>
      </c>
      <c r="N99" s="8">
        <f>VLOOKUP(Table3[[#This Row],[MD5]],Input[],15,FALSE)+(Distances!$AA$6*(ABS(Distances!$AD$6-VLOOKUP(Table3[[#This Row],[MD5]],Input[],15,FALSE))*Distances!$AC$6))</f>
        <v>27.955028969464195</v>
      </c>
      <c r="O99" s="7">
        <f>VLOOKUP(Table3[[#This Row],[MD5]],Input[],16,FALSE)+(Distances!$AA$7*(ABS(Distances!$AD$7-VLOOKUP(Table3[[#This Row],[MD5]],Input[],16,FALSE))*Distances!$AC$7))</f>
        <v>75.754970504166224</v>
      </c>
      <c r="P99" s="7">
        <f>VLOOKUP(Table3[[#This Row],[MD5]],Input[],17,FALSE)+(Distances!$AA$8*(ABS(Distances!$AD$8-VLOOKUP(Table3[[#This Row],[MD5]],Input[],11,FALSE))*Distances!$AC$8))</f>
        <v>73.901184347430544</v>
      </c>
      <c r="Q99" s="47">
        <f>SQRT(SUM((Table3[[#This Row],[time''3]]-Distances!$AD$6)^2,(Table3[[#This Row],[price''3]]-Distances!$AD$7)^2,(Table3[[#This Row],[energy''3]]-Distances!$AD$8)^2))</f>
        <v>41.479704273505781</v>
      </c>
      <c r="R99" s="47">
        <f>((Table3[[#This Row],[score-rt-fullcf]]-MIN(Table3[score-rt-fullcf]))*$G$6)/(MAX(Table3[score-rt-fullcf])-MIN(Table3[score-rt-fullcf]))</f>
        <v>1.2787402567938258E-3</v>
      </c>
      <c r="S99" s="8">
        <f>VLOOKUP(Table3[[#This Row],[MD5]],Input[],21,FALSE)+(Distances!$AI$6*(ABS(Distances!$L$3-VLOOKUP(Table3[[#This Row],[MD5]],Input[],21,FALSE))*Distances!$AC$6))</f>
        <v>427513.84406999999</v>
      </c>
      <c r="T99" s="7">
        <f>VLOOKUP(Table3[[#This Row],[MD5]],Input[],22,FALSE)+(Distances!$AI$7*(ABS(Distances!$AB$7-VLOOKUP(Table3[[#This Row],[MD5]],Input[],22,FALSE))*Distances!$AC$7))</f>
        <v>168383.35934444447</v>
      </c>
      <c r="U99" s="7">
        <f>VLOOKUP(Table3[[#This Row],[MD5]],Input[],23,FALSE)+(Distances!$AI$8*(ABS(Distances!$AD$8-VLOOKUP(Table3[[#This Row],[MD5]],Input[],23,FALSE))*Distances!$AC$8))</f>
        <v>122485.50404722168</v>
      </c>
      <c r="V99" s="43">
        <f>SQRT(SUM((Table3[[#This Row],[time''4]]-Distances!$AD$6)^2,(Table3[[#This Row],[price''4]]-Distances!$AD$7)^2,(Table3[[#This Row],[energy''4]]-Distances!$AD$8)^2))</f>
        <v>475449.16711104289</v>
      </c>
      <c r="W99" s="58">
        <f>((Table3[[#This Row],[score-rt-df]]-MIN(Table3[score-rt-df]))*$G$6)/(MAX(Table3[score-rt-df])-MIN(Table3[score-rt-df]))</f>
        <v>0.39083568115606654</v>
      </c>
      <c r="AY99" t="str">
        <f>Table3[[#This Row],[QW'#]]</f>
        <v>qw28</v>
      </c>
      <c r="AZ99" t="str">
        <f>VLOOKUP(Table10[[#This Row],[QW'#]],Table3[],2,FALSE)</f>
        <v>5aec146b0d73c3cabd2ab05ebdc1721a</v>
      </c>
      <c r="BA99" s="54">
        <f>IF(ABS(VLOOKUP(Table10[[#This Row],[QW'#]],Table3[],7,FALSE)-0)&lt;=$AZ$6,1,0)</f>
        <v>1</v>
      </c>
      <c r="BB99" s="54">
        <f>IF(ABS(VLOOKUP(Table10[[#This Row],[QW'#]],Table3[],22,FALSE)-0)&lt;=$AZ$6,1,0)</f>
        <v>0</v>
      </c>
      <c r="BC99" s="54">
        <f>IF(AND(Table10[[#This Row],[Retrieved]]=0, Table10[[#This Row],[Relevant]]=0),1,0)</f>
        <v>0</v>
      </c>
      <c r="BD99" s="54">
        <f>IF(AND(Table10[[#This Row],[Retrieved]]=0, Table10[[#This Row],[Relevant]]=1),1,0)</f>
        <v>0</v>
      </c>
      <c r="BE99" s="54">
        <f>IF(AND(Table10[[#This Row],[Retrieved]]=1, Table10[[#This Row],[Relevant]]=0),1,0)</f>
        <v>1</v>
      </c>
      <c r="BF99" s="54">
        <f>IF(AND(Table10[[#This Row],[Retrieved]]=1, Table10[[#This Row],[Relevant]]=1),1,0)</f>
        <v>0</v>
      </c>
    </row>
    <row r="100" spans="2:58">
      <c r="B100" s="76" t="s">
        <v>29</v>
      </c>
      <c r="C100" s="10" t="s">
        <v>67</v>
      </c>
      <c r="D100" s="8">
        <f>VLOOKUP(Table3[[#This Row],[MD5]],Input[],3,FALSE)+(Distances!$AA$6*(ABS(Distances!$AD$6-VLOOKUP(Table3[[#This Row],[MD5]],Input[],3,FALSE))*Distances!$AC$6))</f>
        <v>55.98857143</v>
      </c>
      <c r="E100" s="7">
        <f>VLOOKUP(Table3[[#This Row],[MD5]],Input[],4,FALSE)+(Distances!$AA$7*(ABS(Distances!$AD$7-VLOOKUP(Table3[[#This Row],[MD5]],Input[],4,FALSE))*Distances!$AC$7))</f>
        <v>57.466666666666669</v>
      </c>
      <c r="F100" s="7">
        <f>VLOOKUP(Table3[[#This Row],[MD5]],Input[],5,FALSE)+(Distances!$AA$8*(ABS(Distances!$AD$8-VLOOKUP(Table3[[#This Row],[MD5]],Input[],5,FALSE))*Distances!$AC$8))</f>
        <v>52.933333333333337</v>
      </c>
      <c r="G100" s="46">
        <f>SQRT(SUM((Table3[[#This Row],[time]]-Distances!$AD$6)^2,(Table3[[#This Row],[price]]-Distances!$AD$7)^2,(Table3[[#This Row],[energy]]-Distances!$AD$8)^2))</f>
        <v>10.010921202754911</v>
      </c>
      <c r="H100" s="46">
        <f>((Table3[[#This Row],[score-bt]]-MIN(Table3[score-bt]))*$G$6)/(MAX(Table3[score-bt])-MIN(Table3[score-bt]))</f>
        <v>0</v>
      </c>
      <c r="I100" s="8">
        <f>VLOOKUP(Table3[[#This Row],[MD5]],Input[],9,FALSE)+(Distances!$AA$6*(ABS(Distances!$AD$6-VLOOKUP(Table3[[#This Row],[MD5]],Input[],9,FALSE))*Distances!$AC$6))</f>
        <v>43.358878584240998</v>
      </c>
      <c r="J100" s="7">
        <f>VLOOKUP(Table3[[#This Row],[MD5]],Input[],10,FALSE)+(Distances!$AA$7*(ABS(Distances!$AD$7-VLOOKUP(Table3[[#This Row],[MD5]],Input[],10,FALSE))*Distances!$AC$7))</f>
        <v>46.496833829166576</v>
      </c>
      <c r="K100" s="7">
        <f>VLOOKUP(Table3[[#This Row],[MD5]],Input[],11,FALSE)+(Distances!$AA$8*(ABS(Distances!$AD$8-VLOOKUP(Table3[[#This Row],[MD5]],Input[],11,FALSE))*Distances!$AC$8))</f>
        <v>39.934736526631866</v>
      </c>
      <c r="L100" s="44">
        <f>SQRT(SUM((Table3[[#This Row],[time''2]]-Distances!$AD$6)^2,(Table3[[#This Row],[price''2]]-Distances!$AD$7)^2,(Table3[[#This Row],[energy''2]]-Distances!$AD$8)^2))</f>
        <v>12.557316419826464</v>
      </c>
      <c r="M100" s="44">
        <f>((Table3[[#This Row],[score-rt-partialcf]]-MIN(Table3[score-rt-partialcf]))*$G$6)/(MAX(Table3[score-rt-partialcf])-MIN(Table3[score-rt-partialcf]))</f>
        <v>6.5587240489211079E-2</v>
      </c>
      <c r="N100" s="8">
        <f>VLOOKUP(Table3[[#This Row],[MD5]],Input[],15,FALSE)+(Distances!$AA$6*(ABS(Distances!$AD$6-VLOOKUP(Table3[[#This Row],[MD5]],Input[],15,FALSE))*Distances!$AC$6))</f>
        <v>36.271366226651701</v>
      </c>
      <c r="O100" s="7">
        <f>VLOOKUP(Table3[[#This Row],[MD5]],Input[],16,FALSE)+(Distances!$AA$7*(ABS(Distances!$AD$7-VLOOKUP(Table3[[#This Row],[MD5]],Input[],16,FALSE))*Distances!$AC$7))</f>
        <v>80.900251102083118</v>
      </c>
      <c r="P100" s="7">
        <f>VLOOKUP(Table3[[#This Row],[MD5]],Input[],17,FALSE)+(Distances!$AA$8*(ABS(Distances!$AD$8-VLOOKUP(Table3[[#This Row],[MD5]],Input[],11,FALSE))*Distances!$AC$8))</f>
        <v>82.382120970381607</v>
      </c>
      <c r="Q100" s="47">
        <f>SQRT(SUM((Table3[[#This Row],[time''3]]-Distances!$AD$6)^2,(Table3[[#This Row],[price''3]]-Distances!$AD$7)^2,(Table3[[#This Row],[energy''3]]-Distances!$AD$8)^2))</f>
        <v>46.817760112962866</v>
      </c>
      <c r="R100" s="47">
        <f>((Table3[[#This Row],[score-rt-fullcf]]-MIN(Table3[score-rt-fullcf]))*$G$6)/(MAX(Table3[score-rt-fullcf])-MIN(Table3[score-rt-fullcf]))</f>
        <v>0.16494679949950286</v>
      </c>
      <c r="S100" s="8">
        <f>VLOOKUP(Table3[[#This Row],[MD5]],Input[],21,FALSE)+(Distances!$AI$6*(ABS(Distances!$L$3-VLOOKUP(Table3[[#This Row],[MD5]],Input[],21,FALSE))*Distances!$AC$6))</f>
        <v>489592.60953666666</v>
      </c>
      <c r="T100" s="7">
        <f>VLOOKUP(Table3[[#This Row],[MD5]],Input[],22,FALSE)+(Distances!$AI$7*(ABS(Distances!$AB$7-VLOOKUP(Table3[[#This Row],[MD5]],Input[],22,FALSE))*Distances!$AC$7))</f>
        <v>224621.11534444446</v>
      </c>
      <c r="U100" s="7">
        <f>VLOOKUP(Table3[[#This Row],[MD5]],Input[],23,FALSE)+(Distances!$AI$8*(ABS(Distances!$AD$8-VLOOKUP(Table3[[#This Row],[MD5]],Input[],23,FALSE))*Distances!$AC$8))</f>
        <v>164110.52704722167</v>
      </c>
      <c r="V100" s="43">
        <f>SQRT(SUM((Table3[[#This Row],[time''4]]-Distances!$AD$6)^2,(Table3[[#This Row],[price''4]]-Distances!$AD$7)^2,(Table3[[#This Row],[energy''4]]-Distances!$AD$8)^2))</f>
        <v>563027.53834428848</v>
      </c>
      <c r="W100" s="58">
        <f>((Table3[[#This Row],[score-rt-df]]-MIN(Table3[score-rt-df]))*$G$6)/(MAX(Table3[score-rt-df])-MIN(Table3[score-rt-df]))</f>
        <v>0.46296044355887173</v>
      </c>
      <c r="AY100" t="str">
        <f>Table3[[#This Row],[QW'#]]</f>
        <v>qw21</v>
      </c>
      <c r="AZ100" t="str">
        <f>VLOOKUP(Table10[[#This Row],[QW'#]],Table3[],2,FALSE)</f>
        <v>a7889ad7d0ec5a61597f16714b4907bf</v>
      </c>
      <c r="BA100" s="54">
        <f>IF(ABS(VLOOKUP(Table10[[#This Row],[QW'#]],Table3[],7,FALSE)-0)&lt;=$AZ$6,1,0)</f>
        <v>1</v>
      </c>
      <c r="BB100" s="54">
        <f>IF(ABS(VLOOKUP(Table10[[#This Row],[QW'#]],Table3[],22,FALSE)-0)&lt;=$AZ$6,1,0)</f>
        <v>0</v>
      </c>
      <c r="BC100" s="54">
        <f>IF(AND(Table10[[#This Row],[Retrieved]]=0, Table10[[#This Row],[Relevant]]=0),1,0)</f>
        <v>0</v>
      </c>
      <c r="BD100" s="54">
        <f>IF(AND(Table10[[#This Row],[Retrieved]]=0, Table10[[#This Row],[Relevant]]=1),1,0)</f>
        <v>0</v>
      </c>
      <c r="BE100" s="54">
        <f>IF(AND(Table10[[#This Row],[Retrieved]]=1, Table10[[#This Row],[Relevant]]=0),1,0)</f>
        <v>1</v>
      </c>
      <c r="BF100" s="54">
        <f>IF(AND(Table10[[#This Row],[Retrieved]]=1, Table10[[#This Row],[Relevant]]=1),1,0)</f>
        <v>0</v>
      </c>
    </row>
    <row r="101" spans="2:58">
      <c r="B101" s="76" t="s">
        <v>273</v>
      </c>
      <c r="C101" s="10" t="s">
        <v>141</v>
      </c>
      <c r="D101" s="8">
        <f>VLOOKUP(Table3[[#This Row],[MD5]],Input[],3,FALSE)+(Distances!$AA$6*(ABS(Distances!$AD$6-VLOOKUP(Table3[[#This Row],[MD5]],Input[],3,FALSE))*Distances!$AC$6))</f>
        <v>55.98857143</v>
      </c>
      <c r="E101" s="7">
        <f>VLOOKUP(Table3[[#This Row],[MD5]],Input[],4,FALSE)+(Distances!$AA$7*(ABS(Distances!$AD$7-VLOOKUP(Table3[[#This Row],[MD5]],Input[],4,FALSE))*Distances!$AC$7))</f>
        <v>57.466666666666669</v>
      </c>
      <c r="F101" s="7">
        <f>VLOOKUP(Table3[[#This Row],[MD5]],Input[],5,FALSE)+(Distances!$AA$8*(ABS(Distances!$AD$8-VLOOKUP(Table3[[#This Row],[MD5]],Input[],5,FALSE))*Distances!$AC$8))</f>
        <v>52.933333333333337</v>
      </c>
      <c r="G101" s="46">
        <f>SQRT(SUM((Table3[[#This Row],[time]]-Distances!$AD$6)^2,(Table3[[#This Row],[price]]-Distances!$AD$7)^2,(Table3[[#This Row],[energy]]-Distances!$AD$8)^2))</f>
        <v>10.010921202754911</v>
      </c>
      <c r="H101" s="46">
        <f>((Table3[[#This Row],[score-bt]]-MIN(Table3[score-bt]))*$G$6)/(MAX(Table3[score-bt])-MIN(Table3[score-bt]))</f>
        <v>0</v>
      </c>
      <c r="I101" s="8">
        <f>VLOOKUP(Table3[[#This Row],[MD5]],Input[],9,FALSE)+(Distances!$AA$6*(ABS(Distances!$AD$6-VLOOKUP(Table3[[#This Row],[MD5]],Input[],9,FALSE))*Distances!$AC$6))</f>
        <v>42.925933048526694</v>
      </c>
      <c r="J101" s="7">
        <f>VLOOKUP(Table3[[#This Row],[MD5]],Input[],10,FALSE)+(Distances!$AA$7*(ABS(Distances!$AD$7-VLOOKUP(Table3[[#This Row],[MD5]],Input[],10,FALSE))*Distances!$AC$7))</f>
        <v>45.923667162499903</v>
      </c>
      <c r="K101" s="7">
        <f>VLOOKUP(Table3[[#This Row],[MD5]],Input[],11,FALSE)+(Distances!$AA$8*(ABS(Distances!$AD$8-VLOOKUP(Table3[[#This Row],[MD5]],Input[],11,FALSE))*Distances!$AC$8))</f>
        <v>39.500085137742978</v>
      </c>
      <c r="L101" s="44">
        <f>SQRT(SUM((Table3[[#This Row],[time''2]]-Distances!$AD$6)^2,(Table3[[#This Row],[price''2]]-Distances!$AD$7)^2,(Table3[[#This Row],[energy''2]]-Distances!$AD$8)^2))</f>
        <v>13.30064377203804</v>
      </c>
      <c r="M101" s="44">
        <f>((Table3[[#This Row],[score-rt-partialcf]]-MIN(Table3[score-rt-partialcf]))*$G$6)/(MAX(Table3[score-rt-partialcf])-MIN(Table3[score-rt-partialcf]))</f>
        <v>7.2451154428952835E-2</v>
      </c>
      <c r="N101" s="8">
        <f>VLOOKUP(Table3[[#This Row],[MD5]],Input[],15,FALSE)+(Distances!$AA$6*(ABS(Distances!$AD$6-VLOOKUP(Table3[[#This Row],[MD5]],Input[],15,FALSE))*Distances!$AC$6))</f>
        <v>36.271366226651701</v>
      </c>
      <c r="O101" s="7">
        <f>VLOOKUP(Table3[[#This Row],[MD5]],Input[],16,FALSE)+(Distances!$AA$7*(ABS(Distances!$AD$7-VLOOKUP(Table3[[#This Row],[MD5]],Input[],16,FALSE))*Distances!$AC$7))</f>
        <v>80.900251102083118</v>
      </c>
      <c r="P101" s="7">
        <f>VLOOKUP(Table3[[#This Row],[MD5]],Input[],17,FALSE)+(Distances!$AA$8*(ABS(Distances!$AD$8-VLOOKUP(Table3[[#This Row],[MD5]],Input[],11,FALSE))*Distances!$AC$8))</f>
        <v>82.320027914826056</v>
      </c>
      <c r="Q101" s="47">
        <f>SQRT(SUM((Table3[[#This Row],[time''3]]-Distances!$AD$6)^2,(Table3[[#This Row],[price''3]]-Distances!$AD$7)^2,(Table3[[#This Row],[energy''3]]-Distances!$AD$8)^2))</f>
        <v>46.774834129792957</v>
      </c>
      <c r="R101" s="47">
        <f>((Table3[[#This Row],[score-rt-fullcf]]-MIN(Table3[score-rt-fullcf]))*$G$6)/(MAX(Table3[score-rt-fullcf])-MIN(Table3[score-rt-fullcf]))</f>
        <v>0.16363066258228046</v>
      </c>
      <c r="S101" s="8">
        <f>VLOOKUP(Table3[[#This Row],[MD5]],Input[],21,FALSE)+(Distances!$AI$6*(ABS(Distances!$L$3-VLOOKUP(Table3[[#This Row],[MD5]],Input[],21,FALSE))*Distances!$AC$6))</f>
        <v>489592.60953666666</v>
      </c>
      <c r="T101" s="7">
        <f>VLOOKUP(Table3[[#This Row],[MD5]],Input[],22,FALSE)+(Distances!$AI$7*(ABS(Distances!$AB$7-VLOOKUP(Table3[[#This Row],[MD5]],Input[],22,FALSE))*Distances!$AC$7))</f>
        <v>224621.11534444446</v>
      </c>
      <c r="U101" s="7">
        <f>VLOOKUP(Table3[[#This Row],[MD5]],Input[],23,FALSE)+(Distances!$AI$8*(ABS(Distances!$AD$8-VLOOKUP(Table3[[#This Row],[MD5]],Input[],23,FALSE))*Distances!$AC$8))</f>
        <v>164110.52704722167</v>
      </c>
      <c r="V101" s="43">
        <f>SQRT(SUM((Table3[[#This Row],[time''4]]-Distances!$AD$6)^2,(Table3[[#This Row],[price''4]]-Distances!$AD$7)^2,(Table3[[#This Row],[energy''4]]-Distances!$AD$8)^2))</f>
        <v>563027.53834428848</v>
      </c>
      <c r="W101" s="58">
        <f>((Table3[[#This Row],[score-rt-df]]-MIN(Table3[score-rt-df]))*$G$6)/(MAX(Table3[score-rt-df])-MIN(Table3[score-rt-df]))</f>
        <v>0.46296044355887173</v>
      </c>
      <c r="AY101" t="str">
        <f>Table3[[#This Row],[QW'#]]</f>
        <v>qw95</v>
      </c>
      <c r="AZ101" t="str">
        <f>VLOOKUP(Table10[[#This Row],[QW'#]],Table3[],2,FALSE)</f>
        <v>7b88db91a335068efbf4596ff5467978</v>
      </c>
      <c r="BA101" s="54">
        <f>IF(ABS(VLOOKUP(Table10[[#This Row],[QW'#]],Table3[],7,FALSE)-0)&lt;=$AZ$6,1,0)</f>
        <v>1</v>
      </c>
      <c r="BB101" s="54">
        <f>IF(ABS(VLOOKUP(Table10[[#This Row],[QW'#]],Table3[],22,FALSE)-0)&lt;=$AZ$6,1,0)</f>
        <v>0</v>
      </c>
      <c r="BC101" s="54">
        <f>IF(AND(Table10[[#This Row],[Retrieved]]=0, Table10[[#This Row],[Relevant]]=0),1,0)</f>
        <v>0</v>
      </c>
      <c r="BD101" s="54">
        <f>IF(AND(Table10[[#This Row],[Retrieved]]=0, Table10[[#This Row],[Relevant]]=1),1,0)</f>
        <v>0</v>
      </c>
      <c r="BE101" s="54">
        <f>IF(AND(Table10[[#This Row],[Retrieved]]=1, Table10[[#This Row],[Relevant]]=0),1,0)</f>
        <v>1</v>
      </c>
      <c r="BF101" s="54">
        <f>IF(AND(Table10[[#This Row],[Retrieved]]=1, Table10[[#This Row],[Relevant]]=1),1,0)</f>
        <v>0</v>
      </c>
    </row>
    <row r="102" spans="2:58">
      <c r="B102" s="76" t="s">
        <v>222</v>
      </c>
      <c r="C102" s="10" t="s">
        <v>90</v>
      </c>
      <c r="D102" s="8">
        <f>VLOOKUP(Table3[[#This Row],[MD5]],Input[],3,FALSE)+(Distances!$AA$6*(ABS(Distances!$AD$6-VLOOKUP(Table3[[#This Row],[MD5]],Input[],3,FALSE))*Distances!$AC$6))</f>
        <v>55.98857143</v>
      </c>
      <c r="E102" s="7">
        <f>VLOOKUP(Table3[[#This Row],[MD5]],Input[],4,FALSE)+(Distances!$AA$7*(ABS(Distances!$AD$7-VLOOKUP(Table3[[#This Row],[MD5]],Input[],4,FALSE))*Distances!$AC$7))</f>
        <v>57.466666666666669</v>
      </c>
      <c r="F102" s="7">
        <f>VLOOKUP(Table3[[#This Row],[MD5]],Input[],5,FALSE)+(Distances!$AA$8*(ABS(Distances!$AD$8-VLOOKUP(Table3[[#This Row],[MD5]],Input[],5,FALSE))*Distances!$AC$8))</f>
        <v>52.933333333333337</v>
      </c>
      <c r="G102" s="46">
        <f>SQRT(SUM((Table3[[#This Row],[time]]-Distances!$AD$6)^2,(Table3[[#This Row],[price]]-Distances!$AD$7)^2,(Table3[[#This Row],[energy]]-Distances!$AD$8)^2))</f>
        <v>10.010921202754911</v>
      </c>
      <c r="H102" s="46">
        <f>((Table3[[#This Row],[score-bt]]-MIN(Table3[score-bt]))*$G$6)/(MAX(Table3[score-bt])-MIN(Table3[score-bt]))</f>
        <v>0</v>
      </c>
      <c r="I102" s="8">
        <f>VLOOKUP(Table3[[#This Row],[MD5]],Input[],9,FALSE)+(Distances!$AA$6*(ABS(Distances!$AD$6-VLOOKUP(Table3[[#This Row],[MD5]],Input[],9,FALSE))*Distances!$AC$6))</f>
        <v>42.925934370401698</v>
      </c>
      <c r="J102" s="7">
        <f>VLOOKUP(Table3[[#This Row],[MD5]],Input[],10,FALSE)+(Distances!$AA$7*(ABS(Distances!$AD$7-VLOOKUP(Table3[[#This Row],[MD5]],Input[],10,FALSE))*Distances!$AC$7))</f>
        <v>45.923668912499913</v>
      </c>
      <c r="K102" s="7">
        <f>VLOOKUP(Table3[[#This Row],[MD5]],Input[],11,FALSE)+(Distances!$AA$8*(ABS(Distances!$AD$8-VLOOKUP(Table3[[#This Row],[MD5]],Input[],11,FALSE))*Distances!$AC$8))</f>
        <v>39.50008646482631</v>
      </c>
      <c r="L102" s="44">
        <f>SQRT(SUM((Table3[[#This Row],[time''2]]-Distances!$AD$6)^2,(Table3[[#This Row],[price''2]]-Distances!$AD$7)^2,(Table3[[#This Row],[energy''2]]-Distances!$AD$8)^2))</f>
        <v>13.300641485015198</v>
      </c>
      <c r="M102" s="44">
        <f>((Table3[[#This Row],[score-rt-partialcf]]-MIN(Table3[score-rt-partialcf]))*$G$6)/(MAX(Table3[score-rt-partialcf])-MIN(Table3[score-rt-partialcf]))</f>
        <v>7.2451133310494173E-2</v>
      </c>
      <c r="N102" s="8">
        <f>VLOOKUP(Table3[[#This Row],[MD5]],Input[],15,FALSE)+(Distances!$AA$6*(ABS(Distances!$AD$6-VLOOKUP(Table3[[#This Row],[MD5]],Input[],15,FALSE))*Distances!$AC$6))</f>
        <v>36.271370632901693</v>
      </c>
      <c r="O102" s="7">
        <f>VLOOKUP(Table3[[#This Row],[MD5]],Input[],16,FALSE)+(Distances!$AA$7*(ABS(Distances!$AD$7-VLOOKUP(Table3[[#This Row],[MD5]],Input[],16,FALSE))*Distances!$AC$7))</f>
        <v>80.900252560416448</v>
      </c>
      <c r="P102" s="7">
        <f>VLOOKUP(Table3[[#This Row],[MD5]],Input[],17,FALSE)+(Distances!$AA$8*(ABS(Distances!$AD$8-VLOOKUP(Table3[[#This Row],[MD5]],Input[],11,FALSE))*Distances!$AC$8))</f>
        <v>82.32003000024271</v>
      </c>
      <c r="Q102" s="47">
        <f>SQRT(SUM((Table3[[#This Row],[time''3]]-Distances!$AD$6)^2,(Table3[[#This Row],[price''3]]-Distances!$AD$7)^2,(Table3[[#This Row],[energy''3]]-Distances!$AD$8)^2))</f>
        <v>46.774835240899208</v>
      </c>
      <c r="R102" s="47">
        <f>((Table3[[#This Row],[score-rt-fullcf]]-MIN(Table3[score-rt-fullcf]))*$G$6)/(MAX(Table3[score-rt-fullcf])-MIN(Table3[score-rt-fullcf]))</f>
        <v>0.16363069664947819</v>
      </c>
      <c r="S102" s="8">
        <f>VLOOKUP(Table3[[#This Row],[MD5]],Input[],21,FALSE)+(Distances!$AI$6*(ABS(Distances!$L$3-VLOOKUP(Table3[[#This Row],[MD5]],Input[],21,FALSE))*Distances!$AC$6))</f>
        <v>489593.43087000004</v>
      </c>
      <c r="T102" s="7">
        <f>VLOOKUP(Table3[[#This Row],[MD5]],Input[],22,FALSE)+(Distances!$AI$7*(ABS(Distances!$AB$7-VLOOKUP(Table3[[#This Row],[MD5]],Input[],22,FALSE))*Distances!$AC$7))</f>
        <v>224621.31090000001</v>
      </c>
      <c r="U102" s="7">
        <f>VLOOKUP(Table3[[#This Row],[MD5]],Input[],23,FALSE)+(Distances!$AI$8*(ABS(Distances!$AD$8-VLOOKUP(Table3[[#This Row],[MD5]],Input[],23,FALSE))*Distances!$AC$8))</f>
        <v>164110.67371388833</v>
      </c>
      <c r="V102" s="43">
        <f>SQRT(SUM((Table3[[#This Row],[time''4]]-Distances!$AD$6)^2,(Table3[[#This Row],[price''4]]-Distances!$AD$7)^2,(Table3[[#This Row],[energy''4]]-Distances!$AD$8)^2))</f>
        <v>563028.37321645697</v>
      </c>
      <c r="W102" s="58">
        <f>((Table3[[#This Row],[score-rt-df]]-MIN(Table3[score-rt-df]))*$G$6)/(MAX(Table3[score-rt-df])-MIN(Table3[score-rt-df]))</f>
        <v>0.46296113111398313</v>
      </c>
      <c r="AY102" t="str">
        <f>Table3[[#This Row],[QW'#]]</f>
        <v>qw44</v>
      </c>
      <c r="AZ102" t="str">
        <f>VLOOKUP(Table10[[#This Row],[QW'#]],Table3[],2,FALSE)</f>
        <v>e924a406455e8513bdeb7982006c69a9</v>
      </c>
      <c r="BA102" s="54">
        <f>IF(ABS(VLOOKUP(Table10[[#This Row],[QW'#]],Table3[],7,FALSE)-0)&lt;=$AZ$6,1,0)</f>
        <v>1</v>
      </c>
      <c r="BB102" s="54">
        <f>IF(ABS(VLOOKUP(Table10[[#This Row],[QW'#]],Table3[],22,FALSE)-0)&lt;=$AZ$6,1,0)</f>
        <v>0</v>
      </c>
      <c r="BC102" s="54">
        <f>IF(AND(Table10[[#This Row],[Retrieved]]=0, Table10[[#This Row],[Relevant]]=0),1,0)</f>
        <v>0</v>
      </c>
      <c r="BD102" s="54">
        <f>IF(AND(Table10[[#This Row],[Retrieved]]=0, Table10[[#This Row],[Relevant]]=1),1,0)</f>
        <v>0</v>
      </c>
      <c r="BE102" s="54">
        <f>IF(AND(Table10[[#This Row],[Retrieved]]=1, Table10[[#This Row],[Relevant]]=0),1,0)</f>
        <v>1</v>
      </c>
      <c r="BF102" s="54">
        <f>IF(AND(Table10[[#This Row],[Retrieved]]=1, Table10[[#This Row],[Relevant]]=1),1,0)</f>
        <v>0</v>
      </c>
    </row>
    <row r="103" spans="2:58">
      <c r="B103" s="76" t="s">
        <v>14</v>
      </c>
      <c r="C103" s="10" t="s">
        <v>52</v>
      </c>
      <c r="D103" s="8">
        <f>VLOOKUP(Table3[[#This Row],[MD5]],Input[],3,FALSE)+(Distances!$AA$6*(ABS(Distances!$AD$6-VLOOKUP(Table3[[#This Row],[MD5]],Input[],3,FALSE))*Distances!$AC$6))</f>
        <v>55.98857143</v>
      </c>
      <c r="E103" s="7">
        <f>VLOOKUP(Table3[[#This Row],[MD5]],Input[],4,FALSE)+(Distances!$AA$7*(ABS(Distances!$AD$7-VLOOKUP(Table3[[#This Row],[MD5]],Input[],4,FALSE))*Distances!$AC$7))</f>
        <v>57.466666666666669</v>
      </c>
      <c r="F103" s="7">
        <f>VLOOKUP(Table3[[#This Row],[MD5]],Input[],5,FALSE)+(Distances!$AA$8*(ABS(Distances!$AD$8-VLOOKUP(Table3[[#This Row],[MD5]],Input[],5,FALSE))*Distances!$AC$8))</f>
        <v>52.933333333333337</v>
      </c>
      <c r="G103" s="46">
        <f>SQRT(SUM((Table3[[#This Row],[time]]-Distances!$AD$6)^2,(Table3[[#This Row],[price]]-Distances!$AD$7)^2,(Table3[[#This Row],[energy]]-Distances!$AD$8)^2))</f>
        <v>10.010921202754911</v>
      </c>
      <c r="H103" s="46">
        <f>((Table3[[#This Row],[score-bt]]-MIN(Table3[score-bt]))*$G$6)/(MAX(Table3[score-bt])-MIN(Table3[score-bt]))</f>
        <v>0</v>
      </c>
      <c r="I103" s="8">
        <f>VLOOKUP(Table3[[#This Row],[MD5]],Input[],9,FALSE)+(Distances!$AA$6*(ABS(Distances!$AD$6-VLOOKUP(Table3[[#This Row],[MD5]],Input[],9,FALSE))*Distances!$AC$6))</f>
        <v>43.358879906115995</v>
      </c>
      <c r="J103" s="7">
        <f>VLOOKUP(Table3[[#This Row],[MD5]],Input[],10,FALSE)+(Distances!$AA$7*(ABS(Distances!$AD$7-VLOOKUP(Table3[[#This Row],[MD5]],Input[],10,FALSE))*Distances!$AC$7))</f>
        <v>46.496835579166579</v>
      </c>
      <c r="K103" s="7">
        <f>VLOOKUP(Table3[[#This Row],[MD5]],Input[],11,FALSE)+(Distances!$AA$8*(ABS(Distances!$AD$8-VLOOKUP(Table3[[#This Row],[MD5]],Input[],11,FALSE))*Distances!$AC$8))</f>
        <v>39.934737853715198</v>
      </c>
      <c r="L103" s="44">
        <f>SQRT(SUM((Table3[[#This Row],[time''2]]-Distances!$AD$6)^2,(Table3[[#This Row],[price''2]]-Distances!$AD$7)^2,(Table3[[#This Row],[energy''2]]-Distances!$AD$8)^2))</f>
        <v>12.557314168810812</v>
      </c>
      <c r="M103" s="44">
        <f>((Table3[[#This Row],[score-rt-partialcf]]-MIN(Table3[score-rt-partialcf]))*$G$6)/(MAX(Table3[score-rt-partialcf])-MIN(Table3[score-rt-partialcf]))</f>
        <v>6.5587219703244229E-2</v>
      </c>
      <c r="N103" s="8">
        <f>VLOOKUP(Table3[[#This Row],[MD5]],Input[],15,FALSE)+(Distances!$AA$6*(ABS(Distances!$AD$6-VLOOKUP(Table3[[#This Row],[MD5]],Input[],15,FALSE))*Distances!$AC$6))</f>
        <v>36.271370632901693</v>
      </c>
      <c r="O103" s="7">
        <f>VLOOKUP(Table3[[#This Row],[MD5]],Input[],16,FALSE)+(Distances!$AA$7*(ABS(Distances!$AD$7-VLOOKUP(Table3[[#This Row],[MD5]],Input[],16,FALSE))*Distances!$AC$7))</f>
        <v>80.900252560416448</v>
      </c>
      <c r="P103" s="7">
        <f>VLOOKUP(Table3[[#This Row],[MD5]],Input[],17,FALSE)+(Distances!$AA$8*(ABS(Distances!$AD$8-VLOOKUP(Table3[[#This Row],[MD5]],Input[],11,FALSE))*Distances!$AC$8))</f>
        <v>82.38212305579826</v>
      </c>
      <c r="Q103" s="47">
        <f>SQRT(SUM((Table3[[#This Row],[time''3]]-Distances!$AD$6)^2,(Table3[[#This Row],[price''3]]-Distances!$AD$7)^2,(Table3[[#This Row],[energy''3]]-Distances!$AD$8)^2))</f>
        <v>46.817761225816199</v>
      </c>
      <c r="R103" s="47">
        <f>((Table3[[#This Row],[score-rt-fullcf]]-MIN(Table3[score-rt-fullcf]))*$G$6)/(MAX(Table3[score-rt-fullcf])-MIN(Table3[score-rt-fullcf]))</f>
        <v>0.16494683362026719</v>
      </c>
      <c r="S103" s="8">
        <f>VLOOKUP(Table3[[#This Row],[MD5]],Input[],21,FALSE)+(Distances!$AI$6*(ABS(Distances!$L$3-VLOOKUP(Table3[[#This Row],[MD5]],Input[],21,FALSE))*Distances!$AC$6))</f>
        <v>489593.43087000004</v>
      </c>
      <c r="T103" s="7">
        <f>VLOOKUP(Table3[[#This Row],[MD5]],Input[],22,FALSE)+(Distances!$AI$7*(ABS(Distances!$AB$7-VLOOKUP(Table3[[#This Row],[MD5]],Input[],22,FALSE))*Distances!$AC$7))</f>
        <v>224621.31090000001</v>
      </c>
      <c r="U103" s="7">
        <f>VLOOKUP(Table3[[#This Row],[MD5]],Input[],23,FALSE)+(Distances!$AI$8*(ABS(Distances!$AD$8-VLOOKUP(Table3[[#This Row],[MD5]],Input[],23,FALSE))*Distances!$AC$8))</f>
        <v>164110.67371388833</v>
      </c>
      <c r="V103" s="43">
        <f>SQRT(SUM((Table3[[#This Row],[time''4]]-Distances!$AD$6)^2,(Table3[[#This Row],[price''4]]-Distances!$AD$7)^2,(Table3[[#This Row],[energy''4]]-Distances!$AD$8)^2))</f>
        <v>563028.37321645697</v>
      </c>
      <c r="W103" s="58">
        <f>((Table3[[#This Row],[score-rt-df]]-MIN(Table3[score-rt-df]))*$G$6)/(MAX(Table3[score-rt-df])-MIN(Table3[score-rt-df]))</f>
        <v>0.46296113111398313</v>
      </c>
      <c r="AY103" t="str">
        <f>Table3[[#This Row],[QW'#]]</f>
        <v>qw6</v>
      </c>
      <c r="AZ103" t="str">
        <f>VLOOKUP(Table10[[#This Row],[QW'#]],Table3[],2,FALSE)</f>
        <v>a1ba309f670566f0bfdc824e410d9c14</v>
      </c>
      <c r="BA103" s="54">
        <f>IF(ABS(VLOOKUP(Table10[[#This Row],[QW'#]],Table3[],7,FALSE)-0)&lt;=$AZ$6,1,0)</f>
        <v>1</v>
      </c>
      <c r="BB103" s="54">
        <f>IF(ABS(VLOOKUP(Table10[[#This Row],[QW'#]],Table3[],22,FALSE)-0)&lt;=$AZ$6,1,0)</f>
        <v>0</v>
      </c>
      <c r="BC103" s="54">
        <f>IF(AND(Table10[[#This Row],[Retrieved]]=0, Table10[[#This Row],[Relevant]]=0),1,0)</f>
        <v>0</v>
      </c>
      <c r="BD103" s="54">
        <f>IF(AND(Table10[[#This Row],[Retrieved]]=0, Table10[[#This Row],[Relevant]]=1),1,0)</f>
        <v>0</v>
      </c>
      <c r="BE103" s="54">
        <f>IF(AND(Table10[[#This Row],[Retrieved]]=1, Table10[[#This Row],[Relevant]]=0),1,0)</f>
        <v>1</v>
      </c>
      <c r="BF103" s="54">
        <f>IF(AND(Table10[[#This Row],[Retrieved]]=1, Table10[[#This Row],[Relevant]]=1),1,0)</f>
        <v>0</v>
      </c>
    </row>
    <row r="104" spans="2:58">
      <c r="B104" s="76" t="s">
        <v>333</v>
      </c>
      <c r="C104" s="10" t="s">
        <v>201</v>
      </c>
      <c r="D104" s="8">
        <f>VLOOKUP(Table3[[#This Row],[MD5]],Input[],3,FALSE)+(Distances!$AA$6*(ABS(Distances!$AD$6-VLOOKUP(Table3[[#This Row],[MD5]],Input[],3,FALSE))*Distances!$AC$6))</f>
        <v>55.98857143</v>
      </c>
      <c r="E104" s="7">
        <f>VLOOKUP(Table3[[#This Row],[MD5]],Input[],4,FALSE)+(Distances!$AA$7*(ABS(Distances!$AD$7-VLOOKUP(Table3[[#This Row],[MD5]],Input[],4,FALSE))*Distances!$AC$7))</f>
        <v>57.466666666666669</v>
      </c>
      <c r="F104" s="7">
        <f>VLOOKUP(Table3[[#This Row],[MD5]],Input[],5,FALSE)+(Distances!$AA$8*(ABS(Distances!$AD$8-VLOOKUP(Table3[[#This Row],[MD5]],Input[],5,FALSE))*Distances!$AC$8))</f>
        <v>52.933333333333337</v>
      </c>
      <c r="G104" s="46">
        <f>SQRT(SUM((Table3[[#This Row],[time]]-Distances!$AD$6)^2,(Table3[[#This Row],[price]]-Distances!$AD$7)^2,(Table3[[#This Row],[energy]]-Distances!$AD$8)^2))</f>
        <v>10.010921202754911</v>
      </c>
      <c r="H104" s="46">
        <f>((Table3[[#This Row],[score-bt]]-MIN(Table3[score-bt]))*$G$6)/(MAX(Table3[score-bt])-MIN(Table3[score-bt]))</f>
        <v>0</v>
      </c>
      <c r="I104" s="8">
        <f>VLOOKUP(Table3[[#This Row],[MD5]],Input[],9,FALSE)+(Distances!$AA$6*(ABS(Distances!$AD$6-VLOOKUP(Table3[[#This Row],[MD5]],Input[],9,FALSE))*Distances!$AC$6))</f>
        <v>43.401788263660706</v>
      </c>
      <c r="J104" s="7">
        <f>VLOOKUP(Table3[[#This Row],[MD5]],Input[],10,FALSE)+(Distances!$AA$7*(ABS(Distances!$AD$7-VLOOKUP(Table3[[#This Row],[MD5]],Input[],10,FALSE))*Distances!$AC$7))</f>
        <v>46.523172591666572</v>
      </c>
      <c r="K104" s="7">
        <f>VLOOKUP(Table3[[#This Row],[MD5]],Input[],11,FALSE)+(Distances!$AA$8*(ABS(Distances!$AD$8-VLOOKUP(Table3[[#This Row],[MD5]],Input[],11,FALSE))*Distances!$AC$8))</f>
        <v>39.955121473819446</v>
      </c>
      <c r="L104" s="44">
        <f>SQRT(SUM((Table3[[#This Row],[time''2]]-Distances!$AD$6)^2,(Table3[[#This Row],[price''2]]-Distances!$AD$7)^2,(Table3[[#This Row],[energy''2]]-Distances!$AD$8)^2))</f>
        <v>12.510967650450839</v>
      </c>
      <c r="M104" s="44">
        <f>((Table3[[#This Row],[score-rt-partialcf]]-MIN(Table3[score-rt-partialcf]))*$G$6)/(MAX(Table3[score-rt-partialcf])-MIN(Table3[score-rt-partialcf]))</f>
        <v>6.5159254133992622E-2</v>
      </c>
      <c r="N104" s="8">
        <f>VLOOKUP(Table3[[#This Row],[MD5]],Input[],15,FALSE)+(Distances!$AA$6*(ABS(Distances!$AD$6-VLOOKUP(Table3[[#This Row],[MD5]],Input[],15,FALSE))*Distances!$AC$6))</f>
        <v>36.339664844464195</v>
      </c>
      <c r="O104" s="7">
        <f>VLOOKUP(Table3[[#This Row],[MD5]],Input[],16,FALSE)+(Distances!$AA$7*(ABS(Distances!$AD$7-VLOOKUP(Table3[[#This Row],[MD5]],Input[],16,FALSE))*Distances!$AC$7))</f>
        <v>80.924348004166674</v>
      </c>
      <c r="P104" s="7">
        <f>VLOOKUP(Table3[[#This Row],[MD5]],Input[],17,FALSE)+(Distances!$AA$8*(ABS(Distances!$AD$8-VLOOKUP(Table3[[#This Row],[MD5]],Input[],11,FALSE))*Distances!$AC$8))</f>
        <v>82.416711694652776</v>
      </c>
      <c r="Q104" s="47">
        <f>SQRT(SUM((Table3[[#This Row],[time''3]]-Distances!$AD$6)^2,(Table3[[#This Row],[price''3]]-Distances!$AD$7)^2,(Table3[[#This Row],[energy''3]]-Distances!$AD$8)^2))</f>
        <v>46.837626467815518</v>
      </c>
      <c r="R104" s="47">
        <f>((Table3[[#This Row],[score-rt-fullcf]]-MIN(Table3[score-rt-fullcf]))*$G$6)/(MAX(Table3[score-rt-fullcf])-MIN(Table3[score-rt-fullcf]))</f>
        <v>0.16555591409866588</v>
      </c>
      <c r="S104" s="8">
        <f>VLOOKUP(Table3[[#This Row],[MD5]],Input[],21,FALSE)+(Distances!$AI$6*(ABS(Distances!$L$3-VLOOKUP(Table3[[#This Row],[MD5]],Input[],21,FALSE))*Distances!$AC$6))</f>
        <v>492195.89740333334</v>
      </c>
      <c r="T104" s="7">
        <f>VLOOKUP(Table3[[#This Row],[MD5]],Input[],22,FALSE)+(Distances!$AI$7*(ABS(Distances!$AB$7-VLOOKUP(Table3[[#This Row],[MD5]],Input[],22,FALSE))*Distances!$AC$7))</f>
        <v>225535.09267777781</v>
      </c>
      <c r="U104" s="7">
        <f>VLOOKUP(Table3[[#This Row],[MD5]],Input[],23,FALSE)+(Distances!$AI$8*(ABS(Distances!$AD$8-VLOOKUP(Table3[[#This Row],[MD5]],Input[],23,FALSE))*Distances!$AC$8))</f>
        <v>164772.81515833276</v>
      </c>
      <c r="V104" s="43">
        <f>SQRT(SUM((Table3[[#This Row],[time''4]]-Distances!$AD$6)^2,(Table3[[#This Row],[price''4]]-Distances!$AD$7)^2,(Table3[[#This Row],[energy''4]]-Distances!$AD$8)^2))</f>
        <v>565848.66986193811</v>
      </c>
      <c r="W104" s="58">
        <f>((Table3[[#This Row],[score-rt-df]]-MIN(Table3[score-rt-df]))*$G$6)/(MAX(Table3[score-rt-df])-MIN(Table3[score-rt-df]))</f>
        <v>0.46528377336681753</v>
      </c>
      <c r="AY104" t="str">
        <f>Table3[[#This Row],[QW'#]]</f>
        <v>qw155</v>
      </c>
      <c r="AZ104" t="str">
        <f>VLOOKUP(Table10[[#This Row],[QW'#]],Table3[],2,FALSE)</f>
        <v>b4e11532aeb139f3bdb9711f508a6c61</v>
      </c>
      <c r="BA104" s="54">
        <f>IF(ABS(VLOOKUP(Table10[[#This Row],[QW'#]],Table3[],7,FALSE)-0)&lt;=$AZ$6,1,0)</f>
        <v>1</v>
      </c>
      <c r="BB104" s="54">
        <f>IF(ABS(VLOOKUP(Table10[[#This Row],[QW'#]],Table3[],22,FALSE)-0)&lt;=$AZ$6,1,0)</f>
        <v>0</v>
      </c>
      <c r="BC104" s="54">
        <f>IF(AND(Table10[[#This Row],[Retrieved]]=0, Table10[[#This Row],[Relevant]]=0),1,0)</f>
        <v>0</v>
      </c>
      <c r="BD104" s="54">
        <f>IF(AND(Table10[[#This Row],[Retrieved]]=0, Table10[[#This Row],[Relevant]]=1),1,0)</f>
        <v>0</v>
      </c>
      <c r="BE104" s="54">
        <f>IF(AND(Table10[[#This Row],[Retrieved]]=1, Table10[[#This Row],[Relevant]]=0),1,0)</f>
        <v>1</v>
      </c>
      <c r="BF104" s="54">
        <f>IF(AND(Table10[[#This Row],[Retrieved]]=1, Table10[[#This Row],[Relevant]]=1),1,0)</f>
        <v>0</v>
      </c>
    </row>
    <row r="105" spans="2:58">
      <c r="B105" s="76" t="s">
        <v>285</v>
      </c>
      <c r="C105" s="10" t="s">
        <v>153</v>
      </c>
      <c r="D105" s="8">
        <f>VLOOKUP(Table3[[#This Row],[MD5]],Input[],3,FALSE)+(Distances!$AA$6*(ABS(Distances!$AD$6-VLOOKUP(Table3[[#This Row],[MD5]],Input[],3,FALSE))*Distances!$AC$6))</f>
        <v>53.122142855</v>
      </c>
      <c r="E105" s="7">
        <f>VLOOKUP(Table3[[#This Row],[MD5]],Input[],4,FALSE)+(Distances!$AA$7*(ABS(Distances!$AD$7-VLOOKUP(Table3[[#This Row],[MD5]],Input[],4,FALSE))*Distances!$AC$7))</f>
        <v>59.466666666666669</v>
      </c>
      <c r="F105" s="7">
        <f>VLOOKUP(Table3[[#This Row],[MD5]],Input[],5,FALSE)+(Distances!$AA$8*(ABS(Distances!$AD$8-VLOOKUP(Table3[[#This Row],[MD5]],Input[],5,FALSE))*Distances!$AC$8))</f>
        <v>55.099999999999994</v>
      </c>
      <c r="G105" s="46">
        <f>SQRT(SUM((Table3[[#This Row],[time]]-Distances!$AD$6)^2,(Table3[[#This Row],[price]]-Distances!$AD$7)^2,(Table3[[#This Row],[energy]]-Distances!$AD$8)^2))</f>
        <v>11.197122567195793</v>
      </c>
      <c r="H105" s="46">
        <f>((Table3[[#This Row],[score-bt]]-MIN(Table3[score-bt]))*$G$6)/(MAX(Table3[score-bt])-MIN(Table3[score-bt]))</f>
        <v>9.7223252191376744E-2</v>
      </c>
      <c r="I105" s="8">
        <f>VLOOKUP(Table3[[#This Row],[MD5]],Input[],9,FALSE)+(Distances!$AA$6*(ABS(Distances!$AD$6-VLOOKUP(Table3[[#This Row],[MD5]],Input[],9,FALSE))*Distances!$AC$6))</f>
        <v>-23.06584446725893</v>
      </c>
      <c r="J105" s="7">
        <f>VLOOKUP(Table3[[#This Row],[MD5]],Input[],10,FALSE)+(Distances!$AA$7*(ABS(Distances!$AD$7-VLOOKUP(Table3[[#This Row],[MD5]],Input[],10,FALSE))*Distances!$AC$7))</f>
        <v>-15.047079684166675</v>
      </c>
      <c r="K105" s="7">
        <f>VLOOKUP(Table3[[#This Row],[MD5]],Input[],11,FALSE)+(Distances!$AA$8*(ABS(Distances!$AD$8-VLOOKUP(Table3[[#This Row],[MD5]],Input[],11,FALSE))*Distances!$AC$8))</f>
        <v>-7.0957605739791658</v>
      </c>
      <c r="L105" s="44">
        <f>SQRT(SUM((Table3[[#This Row],[time''2]]-Distances!$AD$6)^2,(Table3[[#This Row],[price''2]]-Distances!$AD$7)^2,(Table3[[#This Row],[energy''2]]-Distances!$AD$8)^2))</f>
        <v>113.26811589619187</v>
      </c>
      <c r="M105" s="44">
        <f>((Table3[[#This Row],[score-rt-partialcf]]-MIN(Table3[score-rt-partialcf]))*$G$6)/(MAX(Table3[score-rt-partialcf])-MIN(Table3[score-rt-partialcf]))</f>
        <v>0.99555471491574354</v>
      </c>
      <c r="N105" s="8">
        <f>VLOOKUP(Table3[[#This Row],[MD5]],Input[],15,FALSE)+(Distances!$AA$6*(ABS(Distances!$AD$6-VLOOKUP(Table3[[#This Row],[MD5]],Input[],15,FALSE))*Distances!$AC$6))</f>
        <v>-23.066803254669651</v>
      </c>
      <c r="O105" s="7">
        <f>VLOOKUP(Table3[[#This Row],[MD5]],Input[],16,FALSE)+(Distances!$AA$7*(ABS(Distances!$AD$7-VLOOKUP(Table3[[#This Row],[MD5]],Input[],16,FALSE))*Distances!$AC$7))</f>
        <v>55.542490387083333</v>
      </c>
      <c r="P105" s="7">
        <f>VLOOKUP(Table3[[#This Row],[MD5]],Input[],17,FALSE)+(Distances!$AA$8*(ABS(Distances!$AD$8-VLOOKUP(Table3[[#This Row],[MD5]],Input[],11,FALSE))*Distances!$AC$8))</f>
        <v>42.390078723937435</v>
      </c>
      <c r="Q105" s="47">
        <f>SQRT(SUM((Table3[[#This Row],[time''3]]-Distances!$AD$6)^2,(Table3[[#This Row],[price''3]]-Distances!$AD$7)^2,(Table3[[#This Row],[energy''3]]-Distances!$AD$8)^2))</f>
        <v>73.67080723987884</v>
      </c>
      <c r="R105" s="47">
        <f>((Table3[[#This Row],[score-rt-fullcf]]-MIN(Table3[score-rt-fullcf]))*$G$6)/(MAX(Table3[score-rt-fullcf])-MIN(Table3[score-rt-fullcf]))</f>
        <v>0.98827766005909212</v>
      </c>
      <c r="S105" s="8">
        <f>VLOOKUP(Table3[[#This Row],[MD5]],Input[],21,FALSE)+(Distances!$AI$6*(ABS(Distances!$L$3-VLOOKUP(Table3[[#This Row],[MD5]],Input[],21,FALSE))*Distances!$AC$6))</f>
        <v>367.79631011111104</v>
      </c>
      <c r="T105" s="7">
        <f>VLOOKUP(Table3[[#This Row],[MD5]],Input[],22,FALSE)+(Distances!$AI$7*(ABS(Distances!$AB$7-VLOOKUP(Table3[[#This Row],[MD5]],Input[],22,FALSE))*Distances!$AC$7))</f>
        <v>760.14864111111115</v>
      </c>
      <c r="U105" s="7">
        <f>VLOOKUP(Table3[[#This Row],[MD5]],Input[],23,FALSE)+(Distances!$AI$8*(ABS(Distances!$AD$8-VLOOKUP(Table3[[#This Row],[MD5]],Input[],23,FALSE))*Distances!$AC$8))</f>
        <v>576.25892842592225</v>
      </c>
      <c r="V105" s="43">
        <f>SQRT(SUM((Table3[[#This Row],[time''4]]-Distances!$AD$6)^2,(Table3[[#This Row],[price''4]]-Distances!$AD$7)^2,(Table3[[#This Row],[energy''4]]-Distances!$AD$8)^2))</f>
        <v>939.28379467560023</v>
      </c>
      <c r="W105" s="58">
        <f>((Table3[[#This Row],[score-rt-df]]-MIN(Table3[score-rt-df]))*$G$6)/(MAX(Table3[score-rt-df])-MIN(Table3[score-rt-df]))</f>
        <v>5.5262314660930335E-5</v>
      </c>
      <c r="AY105" t="str">
        <f>Table3[[#This Row],[QW'#]]</f>
        <v>qw107</v>
      </c>
      <c r="AZ105" t="str">
        <f>VLOOKUP(Table10[[#This Row],[QW'#]],Table3[],2,FALSE)</f>
        <v>fc9ef8875c95ab57a7b9f40c871eb61e</v>
      </c>
      <c r="BA105" s="54">
        <f>IF(ABS(VLOOKUP(Table10[[#This Row],[QW'#]],Table3[],7,FALSE)-0)&lt;=$AZ$6,1,0)</f>
        <v>0</v>
      </c>
      <c r="BB105" s="54">
        <f>IF(ABS(VLOOKUP(Table10[[#This Row],[QW'#]],Table3[],22,FALSE)-0)&lt;=$AZ$6,1,0)</f>
        <v>1</v>
      </c>
      <c r="BC105" s="54">
        <f>IF(AND(Table10[[#This Row],[Retrieved]]=0, Table10[[#This Row],[Relevant]]=0),1,0)</f>
        <v>0</v>
      </c>
      <c r="BD105" s="54">
        <f>IF(AND(Table10[[#This Row],[Retrieved]]=0, Table10[[#This Row],[Relevant]]=1),1,0)</f>
        <v>1</v>
      </c>
      <c r="BE105" s="54">
        <f>IF(AND(Table10[[#This Row],[Retrieved]]=1, Table10[[#This Row],[Relevant]]=0),1,0)</f>
        <v>0</v>
      </c>
      <c r="BF105" s="54">
        <f>IF(AND(Table10[[#This Row],[Retrieved]]=1, Table10[[#This Row],[Relevant]]=1),1,0)</f>
        <v>0</v>
      </c>
    </row>
    <row r="106" spans="2:58">
      <c r="B106" s="76" t="s">
        <v>284</v>
      </c>
      <c r="C106" s="10" t="s">
        <v>152</v>
      </c>
      <c r="D106" s="8">
        <f>VLOOKUP(Table3[[#This Row],[MD5]],Input[],3,FALSE)+(Distances!$AA$6*(ABS(Distances!$AD$6-VLOOKUP(Table3[[#This Row],[MD5]],Input[],3,FALSE))*Distances!$AC$6))</f>
        <v>53.122142855</v>
      </c>
      <c r="E106" s="7">
        <f>VLOOKUP(Table3[[#This Row],[MD5]],Input[],4,FALSE)+(Distances!$AA$7*(ABS(Distances!$AD$7-VLOOKUP(Table3[[#This Row],[MD5]],Input[],4,FALSE))*Distances!$AC$7))</f>
        <v>59.466666666666669</v>
      </c>
      <c r="F106" s="7">
        <f>VLOOKUP(Table3[[#This Row],[MD5]],Input[],5,FALSE)+(Distances!$AA$8*(ABS(Distances!$AD$8-VLOOKUP(Table3[[#This Row],[MD5]],Input[],5,FALSE))*Distances!$AC$8))</f>
        <v>55.099999999999994</v>
      </c>
      <c r="G106" s="46">
        <f>SQRT(SUM((Table3[[#This Row],[time]]-Distances!$AD$6)^2,(Table3[[#This Row],[price]]-Distances!$AD$7)^2,(Table3[[#This Row],[energy]]-Distances!$AD$8)^2))</f>
        <v>11.197122567195793</v>
      </c>
      <c r="H106" s="46">
        <f>((Table3[[#This Row],[score-bt]]-MIN(Table3[score-bt]))*$G$6)/(MAX(Table3[score-bt])-MIN(Table3[score-bt]))</f>
        <v>9.7223252191376744E-2</v>
      </c>
      <c r="I106" s="8">
        <f>VLOOKUP(Table3[[#This Row],[MD5]],Input[],9,FALSE)+(Distances!$AA$6*(ABS(Distances!$AD$6-VLOOKUP(Table3[[#This Row],[MD5]],Input[],9,FALSE))*Distances!$AC$6))</f>
        <v>-23.06572923316072</v>
      </c>
      <c r="J106" s="7">
        <f>VLOOKUP(Table3[[#This Row],[MD5]],Input[],10,FALSE)+(Distances!$AA$7*(ABS(Distances!$AD$7-VLOOKUP(Table3[[#This Row],[MD5]],Input[],10,FALSE))*Distances!$AC$7))</f>
        <v>-15.046942098333343</v>
      </c>
      <c r="K106" s="7">
        <f>VLOOKUP(Table3[[#This Row],[MD5]],Input[],11,FALSE)+(Distances!$AA$8*(ABS(Distances!$AD$8-VLOOKUP(Table3[[#This Row],[MD5]],Input[],11,FALSE))*Distances!$AC$8))</f>
        <v>-7.0956560359305545</v>
      </c>
      <c r="L106" s="44">
        <f>SQRT(SUM((Table3[[#This Row],[time''2]]-Distances!$AD$6)^2,(Table3[[#This Row],[price''2]]-Distances!$AD$7)^2,(Table3[[#This Row],[energy''2]]-Distances!$AD$8)^2))</f>
        <v>113.26790985486923</v>
      </c>
      <c r="M106" s="44">
        <f>((Table3[[#This Row],[score-rt-partialcf]]-MIN(Table3[score-rt-partialcf]))*$G$6)/(MAX(Table3[score-rt-partialcf])-MIN(Table3[score-rt-partialcf]))</f>
        <v>0.99555281232208492</v>
      </c>
      <c r="N106" s="8">
        <f>VLOOKUP(Table3[[#This Row],[MD5]],Input[],15,FALSE)+(Distances!$AA$6*(ABS(Distances!$AD$6-VLOOKUP(Table3[[#This Row],[MD5]],Input[],15,FALSE))*Distances!$AC$6))</f>
        <v>-23.066769699857151</v>
      </c>
      <c r="O106" s="7">
        <f>VLOOKUP(Table3[[#This Row],[MD5]],Input[],16,FALSE)+(Distances!$AA$7*(ABS(Distances!$AD$7-VLOOKUP(Table3[[#This Row],[MD5]],Input[],16,FALSE))*Distances!$AC$7))</f>
        <v>55.542516113333292</v>
      </c>
      <c r="P106" s="7">
        <f>VLOOKUP(Table3[[#This Row],[MD5]],Input[],17,FALSE)+(Distances!$AA$8*(ABS(Distances!$AD$8-VLOOKUP(Table3[[#This Row],[MD5]],Input[],11,FALSE))*Distances!$AC$8))</f>
        <v>42.390127275319379</v>
      </c>
      <c r="Q106" s="47">
        <f>SQRT(SUM((Table3[[#This Row],[time''3]]-Distances!$AD$6)^2,(Table3[[#This Row],[price''3]]-Distances!$AD$7)^2,(Table3[[#This Row],[energy''3]]-Distances!$AD$8)^2))</f>
        <v>73.670770880481214</v>
      </c>
      <c r="R106" s="47">
        <f>((Table3[[#This Row],[score-rt-fullcf]]-MIN(Table3[score-rt-fullcf]))*$G$6)/(MAX(Table3[score-rt-fullcf])-MIN(Table3[score-rt-fullcf]))</f>
        <v>0.98827654525770681</v>
      </c>
      <c r="S106" s="8">
        <f>VLOOKUP(Table3[[#This Row],[MD5]],Input[],21,FALSE)+(Distances!$AI$6*(ABS(Distances!$L$3-VLOOKUP(Table3[[#This Row],[MD5]],Input[],21,FALSE))*Distances!$AC$6))</f>
        <v>369.81422711111099</v>
      </c>
      <c r="T106" s="7">
        <f>VLOOKUP(Table3[[#This Row],[MD5]],Input[],22,FALSE)+(Distances!$AI$7*(ABS(Distances!$AB$7-VLOOKUP(Table3[[#This Row],[MD5]],Input[],22,FALSE))*Distances!$AC$7))</f>
        <v>762.46093481481353</v>
      </c>
      <c r="U106" s="7">
        <f>VLOOKUP(Table3[[#This Row],[MD5]],Input[],23,FALSE)+(Distances!$AI$8*(ABS(Distances!$AD$8-VLOOKUP(Table3[[#This Row],[MD5]],Input[],23,FALSE))*Distances!$AC$8))</f>
        <v>577.97516370369999</v>
      </c>
      <c r="V106" s="43">
        <f>SQRT(SUM((Table3[[#This Row],[time''4]]-Distances!$AD$6)^2,(Table3[[#This Row],[price''4]]-Distances!$AD$7)^2,(Table3[[#This Row],[energy''4]]-Distances!$AD$8)^2))</f>
        <v>942.67677227553668</v>
      </c>
      <c r="W106" s="58">
        <f>((Table3[[#This Row],[score-rt-df]]-MIN(Table3[score-rt-df]))*$G$6)/(MAX(Table3[score-rt-df])-MIN(Table3[score-rt-df]))</f>
        <v>5.8056585664003738E-5</v>
      </c>
      <c r="AY106" t="str">
        <f>Table3[[#This Row],[QW'#]]</f>
        <v>qw106</v>
      </c>
      <c r="AZ106" t="str">
        <f>VLOOKUP(Table10[[#This Row],[QW'#]],Table3[],2,FALSE)</f>
        <v>4e297046810025d3f6cc372a03237ebf</v>
      </c>
      <c r="BA106" s="54">
        <f>IF(ABS(VLOOKUP(Table10[[#This Row],[QW'#]],Table3[],7,FALSE)-0)&lt;=$AZ$6,1,0)</f>
        <v>0</v>
      </c>
      <c r="BB106" s="54">
        <f>IF(ABS(VLOOKUP(Table10[[#This Row],[QW'#]],Table3[],22,FALSE)-0)&lt;=$AZ$6,1,0)</f>
        <v>1</v>
      </c>
      <c r="BC106" s="54">
        <f>IF(AND(Table10[[#This Row],[Retrieved]]=0, Table10[[#This Row],[Relevant]]=0),1,0)</f>
        <v>0</v>
      </c>
      <c r="BD106" s="54">
        <f>IF(AND(Table10[[#This Row],[Retrieved]]=0, Table10[[#This Row],[Relevant]]=1),1,0)</f>
        <v>1</v>
      </c>
      <c r="BE106" s="54">
        <f>IF(AND(Table10[[#This Row],[Retrieved]]=1, Table10[[#This Row],[Relevant]]=0),1,0)</f>
        <v>0</v>
      </c>
      <c r="BF106" s="54">
        <f>IF(AND(Table10[[#This Row],[Retrieved]]=1, Table10[[#This Row],[Relevant]]=1),1,0)</f>
        <v>0</v>
      </c>
    </row>
    <row r="107" spans="2:58">
      <c r="B107" s="76" t="s">
        <v>342</v>
      </c>
      <c r="C107" s="10" t="s">
        <v>210</v>
      </c>
      <c r="D107" s="8">
        <f>VLOOKUP(Table3[[#This Row],[MD5]],Input[],3,FALSE)+(Distances!$AA$6*(ABS(Distances!$AD$6-VLOOKUP(Table3[[#This Row],[MD5]],Input[],3,FALSE))*Distances!$AC$6))</f>
        <v>53.122142855</v>
      </c>
      <c r="E107" s="7">
        <f>VLOOKUP(Table3[[#This Row],[MD5]],Input[],4,FALSE)+(Distances!$AA$7*(ABS(Distances!$AD$7-VLOOKUP(Table3[[#This Row],[MD5]],Input[],4,FALSE))*Distances!$AC$7))</f>
        <v>59.466666666666669</v>
      </c>
      <c r="F107" s="7">
        <f>VLOOKUP(Table3[[#This Row],[MD5]],Input[],5,FALSE)+(Distances!$AA$8*(ABS(Distances!$AD$8-VLOOKUP(Table3[[#This Row],[MD5]],Input[],5,FALSE))*Distances!$AC$8))</f>
        <v>55.099999999999994</v>
      </c>
      <c r="G107" s="46">
        <f>SQRT(SUM((Table3[[#This Row],[time]]-Distances!$AD$6)^2,(Table3[[#This Row],[price]]-Distances!$AD$7)^2,(Table3[[#This Row],[energy]]-Distances!$AD$8)^2))</f>
        <v>11.197122567195793</v>
      </c>
      <c r="H107" s="46">
        <f>((Table3[[#This Row],[score-bt]]-MIN(Table3[score-bt]))*$G$6)/(MAX(Table3[score-bt])-MIN(Table3[score-bt]))</f>
        <v>9.7223252191376744E-2</v>
      </c>
      <c r="I107" s="8">
        <f>VLOOKUP(Table3[[#This Row],[MD5]],Input[],9,FALSE)+(Distances!$AA$6*(ABS(Distances!$AD$6-VLOOKUP(Table3[[#This Row],[MD5]],Input[],9,FALSE))*Distances!$AC$6))</f>
        <v>-23.06572218316072</v>
      </c>
      <c r="J107" s="7">
        <f>VLOOKUP(Table3[[#This Row],[MD5]],Input[],10,FALSE)+(Distances!$AA$7*(ABS(Distances!$AD$7-VLOOKUP(Table3[[#This Row],[MD5]],Input[],10,FALSE))*Distances!$AC$7))</f>
        <v>-15.046932765000008</v>
      </c>
      <c r="K107" s="7">
        <f>VLOOKUP(Table3[[#This Row],[MD5]],Input[],11,FALSE)+(Distances!$AA$8*(ABS(Distances!$AD$8-VLOOKUP(Table3[[#This Row],[MD5]],Input[],11,FALSE))*Distances!$AC$8))</f>
        <v>-7.0956489581527782</v>
      </c>
      <c r="L107" s="44">
        <f>SQRT(SUM((Table3[[#This Row],[time''2]]-Distances!$AD$6)^2,(Table3[[#This Row],[price''2]]-Distances!$AD$7)^2,(Table3[[#This Row],[energy''2]]-Distances!$AD$8)^2))</f>
        <v>113.26789637948552</v>
      </c>
      <c r="M107" s="44">
        <f>((Table3[[#This Row],[score-rt-partialcf]]-MIN(Table3[score-rt-partialcf]))*$G$6)/(MAX(Table3[score-rt-partialcf])-MIN(Table3[score-rt-partialcf]))</f>
        <v>0.99555268788986295</v>
      </c>
      <c r="N107" s="8">
        <f>VLOOKUP(Table3[[#This Row],[MD5]],Input[],15,FALSE)+(Distances!$AA$6*(ABS(Distances!$AD$6-VLOOKUP(Table3[[#This Row],[MD5]],Input[],15,FALSE))*Distances!$AC$6))</f>
        <v>-23.066765293607151</v>
      </c>
      <c r="O107" s="7">
        <f>VLOOKUP(Table3[[#This Row],[MD5]],Input[],16,FALSE)+(Distances!$AA$7*(ABS(Distances!$AD$7-VLOOKUP(Table3[[#This Row],[MD5]],Input[],16,FALSE))*Distances!$AC$7))</f>
        <v>55.542517571666629</v>
      </c>
      <c r="P107" s="7">
        <f>VLOOKUP(Table3[[#This Row],[MD5]],Input[],17,FALSE)+(Distances!$AA$8*(ABS(Distances!$AD$8-VLOOKUP(Table3[[#This Row],[MD5]],Input[],11,FALSE))*Distances!$AC$8))</f>
        <v>42.390130182263889</v>
      </c>
      <c r="Q107" s="47">
        <f>SQRT(SUM((Table3[[#This Row],[time''3]]-Distances!$AD$6)^2,(Table3[[#This Row],[price''3]]-Distances!$AD$7)^2,(Table3[[#This Row],[energy''3]]-Distances!$AD$8)^2))</f>
        <v>73.670766319797423</v>
      </c>
      <c r="R107" s="47">
        <f>((Table3[[#This Row],[score-rt-fullcf]]-MIN(Table3[score-rt-fullcf]))*$G$6)/(MAX(Table3[score-rt-fullcf])-MIN(Table3[score-rt-fullcf]))</f>
        <v>0.98827640542435036</v>
      </c>
      <c r="S107" s="8">
        <f>VLOOKUP(Table3[[#This Row],[MD5]],Input[],21,FALSE)+(Distances!$AI$6*(ABS(Distances!$L$3-VLOOKUP(Table3[[#This Row],[MD5]],Input[],21,FALSE))*Distances!$AC$6))</f>
        <v>370.33689377777768</v>
      </c>
      <c r="T107" s="7">
        <f>VLOOKUP(Table3[[#This Row],[MD5]],Input[],22,FALSE)+(Distances!$AI$7*(ABS(Distances!$AB$7-VLOOKUP(Table3[[#This Row],[MD5]],Input[],22,FALSE))*Distances!$AC$7))</f>
        <v>762.58537925925782</v>
      </c>
      <c r="U107" s="7">
        <f>VLOOKUP(Table3[[#This Row],[MD5]],Input[],23,FALSE)+(Distances!$AI$8*(ABS(Distances!$AD$8-VLOOKUP(Table3[[#This Row],[MD5]],Input[],23,FALSE))*Distances!$AC$8))</f>
        <v>578.06849703703335</v>
      </c>
      <c r="V107" s="43">
        <f>SQRT(SUM((Table3[[#This Row],[time''4]]-Distances!$AD$6)^2,(Table3[[#This Row],[price''4]]-Distances!$AD$7)^2,(Table3[[#This Row],[energy''4]]-Distances!$AD$8)^2))</f>
        <v>943.00052269985872</v>
      </c>
      <c r="W107" s="58">
        <f>((Table3[[#This Row],[score-rt-df]]-MIN(Table3[score-rt-df]))*$G$6)/(MAX(Table3[score-rt-df])-MIN(Table3[score-rt-df]))</f>
        <v>5.832320882795647E-5</v>
      </c>
      <c r="AY107" t="str">
        <f>Table3[[#This Row],[QW'#]]</f>
        <v>qw164</v>
      </c>
      <c r="AZ107" t="str">
        <f>VLOOKUP(Table10[[#This Row],[QW'#]],Table3[],2,FALSE)</f>
        <v>13b9eb46d8dd81c84a30d88840091a6f</v>
      </c>
      <c r="BA107" s="54">
        <f>IF(ABS(VLOOKUP(Table10[[#This Row],[QW'#]],Table3[],7,FALSE)-0)&lt;=$AZ$6,1,0)</f>
        <v>0</v>
      </c>
      <c r="BB107" s="54">
        <f>IF(ABS(VLOOKUP(Table10[[#This Row],[QW'#]],Table3[],22,FALSE)-0)&lt;=$AZ$6,1,0)</f>
        <v>1</v>
      </c>
      <c r="BC107" s="54">
        <f>IF(AND(Table10[[#This Row],[Retrieved]]=0, Table10[[#This Row],[Relevant]]=0),1,0)</f>
        <v>0</v>
      </c>
      <c r="BD107" s="54">
        <f>IF(AND(Table10[[#This Row],[Retrieved]]=0, Table10[[#This Row],[Relevant]]=1),1,0)</f>
        <v>1</v>
      </c>
      <c r="BE107" s="54">
        <f>IF(AND(Table10[[#This Row],[Retrieved]]=1, Table10[[#This Row],[Relevant]]=0),1,0)</f>
        <v>0</v>
      </c>
      <c r="BF107" s="54">
        <f>IF(AND(Table10[[#This Row],[Retrieved]]=1, Table10[[#This Row],[Relevant]]=1),1,0)</f>
        <v>0</v>
      </c>
    </row>
    <row r="108" spans="2:58">
      <c r="B108" s="76" t="s">
        <v>307</v>
      </c>
      <c r="C108" s="10" t="s">
        <v>175</v>
      </c>
      <c r="D108" s="8">
        <f>VLOOKUP(Table3[[#This Row],[MD5]],Input[],3,FALSE)+(Distances!$AA$6*(ABS(Distances!$AD$6-VLOOKUP(Table3[[#This Row],[MD5]],Input[],3,FALSE))*Distances!$AC$6))</f>
        <v>53.122142855</v>
      </c>
      <c r="E108" s="7">
        <f>VLOOKUP(Table3[[#This Row],[MD5]],Input[],4,FALSE)+(Distances!$AA$7*(ABS(Distances!$AD$7-VLOOKUP(Table3[[#This Row],[MD5]],Input[],4,FALSE))*Distances!$AC$7))</f>
        <v>59.466666666666669</v>
      </c>
      <c r="F108" s="7">
        <f>VLOOKUP(Table3[[#This Row],[MD5]],Input[],5,FALSE)+(Distances!$AA$8*(ABS(Distances!$AD$8-VLOOKUP(Table3[[#This Row],[MD5]],Input[],5,FALSE))*Distances!$AC$8))</f>
        <v>55.099999999999994</v>
      </c>
      <c r="G108" s="46">
        <f>SQRT(SUM((Table3[[#This Row],[time]]-Distances!$AD$6)^2,(Table3[[#This Row],[price]]-Distances!$AD$7)^2,(Table3[[#This Row],[energy]]-Distances!$AD$8)^2))</f>
        <v>11.197122567195793</v>
      </c>
      <c r="H108" s="46">
        <f>((Table3[[#This Row],[score-bt]]-MIN(Table3[score-bt]))*$G$6)/(MAX(Table3[score-bt])-MIN(Table3[score-bt]))</f>
        <v>9.7223252191376744E-2</v>
      </c>
      <c r="I108" s="8">
        <f>VLOOKUP(Table3[[#This Row],[MD5]],Input[],9,FALSE)+(Distances!$AA$6*(ABS(Distances!$AD$6-VLOOKUP(Table3[[#This Row],[MD5]],Input[],9,FALSE))*Distances!$AC$6))</f>
        <v>-23.065635572580359</v>
      </c>
      <c r="J108" s="7">
        <f>VLOOKUP(Table3[[#This Row],[MD5]],Input[],10,FALSE)+(Distances!$AA$7*(ABS(Distances!$AD$7-VLOOKUP(Table3[[#This Row],[MD5]],Input[],10,FALSE))*Distances!$AC$7))</f>
        <v>-15.046873727500007</v>
      </c>
      <c r="K108" s="7">
        <f>VLOOKUP(Table3[[#This Row],[MD5]],Input[],11,FALSE)+(Distances!$AA$8*(ABS(Distances!$AD$8-VLOOKUP(Table3[[#This Row],[MD5]],Input[],11,FALSE))*Distances!$AC$8))</f>
        <v>-7.0956034370069432</v>
      </c>
      <c r="L108" s="44">
        <f>SQRT(SUM((Table3[[#This Row],[time''2]]-Distances!$AD$6)^2,(Table3[[#This Row],[price''2]]-Distances!$AD$7)^2,(Table3[[#This Row],[energy''2]]-Distances!$AD$8)^2))</f>
        <v>113.26778365970799</v>
      </c>
      <c r="M108" s="44">
        <f>((Table3[[#This Row],[score-rt-partialcf]]-MIN(Table3[score-rt-partialcf]))*$G$6)/(MAX(Table3[score-rt-partialcf])-MIN(Table3[score-rt-partialcf]))</f>
        <v>0.99555164703101384</v>
      </c>
      <c r="N108" s="8">
        <f>VLOOKUP(Table3[[#This Row],[MD5]],Input[],15,FALSE)+(Distances!$AA$6*(ABS(Distances!$AD$6-VLOOKUP(Table3[[#This Row],[MD5]],Input[],15,FALSE))*Distances!$AC$6))</f>
        <v>-23.066645019276791</v>
      </c>
      <c r="O108" s="7">
        <f>VLOOKUP(Table3[[#This Row],[MD5]],Input[],16,FALSE)+(Distances!$AA$7*(ABS(Distances!$AD$7-VLOOKUP(Table3[[#This Row],[MD5]],Input[],16,FALSE))*Distances!$AC$7))</f>
        <v>55.542559832083334</v>
      </c>
      <c r="P108" s="7">
        <f>VLOOKUP(Table3[[#This Row],[MD5]],Input[],17,FALSE)+(Distances!$AA$8*(ABS(Distances!$AD$8-VLOOKUP(Table3[[#This Row],[MD5]],Input[],11,FALSE))*Distances!$AC$8))</f>
        <v>42.390192267576388</v>
      </c>
      <c r="Q108" s="47">
        <f>SQRT(SUM((Table3[[#This Row],[time''3]]-Distances!$AD$6)^2,(Table3[[#This Row],[price''3]]-Distances!$AD$7)^2,(Table3[[#This Row],[energy''3]]-Distances!$AD$8)^2))</f>
        <v>73.67064379784992</v>
      </c>
      <c r="R108" s="47">
        <f>((Table3[[#This Row],[score-rt-fullcf]]-MIN(Table3[score-rt-fullcf]))*$G$6)/(MAX(Table3[score-rt-fullcf])-MIN(Table3[score-rt-fullcf]))</f>
        <v>0.98827264882644927</v>
      </c>
      <c r="S108" s="8">
        <f>VLOOKUP(Table3[[#This Row],[MD5]],Input[],21,FALSE)+(Distances!$AI$6*(ABS(Distances!$L$3-VLOOKUP(Table3[[#This Row],[MD5]],Input[],21,FALSE))*Distances!$AC$6))</f>
        <v>376.57207466666665</v>
      </c>
      <c r="T108" s="7">
        <f>VLOOKUP(Table3[[#This Row],[MD5]],Input[],22,FALSE)+(Distances!$AI$7*(ABS(Distances!$AB$7-VLOOKUP(Table3[[#This Row],[MD5]],Input[],22,FALSE))*Distances!$AC$7))</f>
        <v>764.37227111111122</v>
      </c>
      <c r="U108" s="7">
        <f>VLOOKUP(Table3[[#This Row],[MD5]],Input[],23,FALSE)+(Distances!$AI$8*(ABS(Distances!$AD$8-VLOOKUP(Table3[[#This Row],[MD5]],Input[],23,FALSE))*Distances!$AC$8))</f>
        <v>579.34843555555551</v>
      </c>
      <c r="V108" s="43">
        <f>SQRT(SUM((Table3[[#This Row],[time''4]]-Distances!$AD$6)^2,(Table3[[#This Row],[price''4]]-Distances!$AD$7)^2,(Table3[[#This Row],[energy''4]]-Distances!$AD$8)^2))</f>
        <v>947.19946574607616</v>
      </c>
      <c r="W108" s="58">
        <f>((Table3[[#This Row],[score-rt-df]]-MIN(Table3[score-rt-df]))*$G$6)/(MAX(Table3[score-rt-df])-MIN(Table3[score-rt-df]))</f>
        <v>6.1781228945101331E-5</v>
      </c>
      <c r="AY108" t="str">
        <f>Table3[[#This Row],[QW'#]]</f>
        <v>qw129</v>
      </c>
      <c r="AZ108" t="str">
        <f>VLOOKUP(Table10[[#This Row],[QW'#]],Table3[],2,FALSE)</f>
        <v>decb06cfbc41edd8357142828784d415</v>
      </c>
      <c r="BA108" s="54">
        <f>IF(ABS(VLOOKUP(Table10[[#This Row],[QW'#]],Table3[],7,FALSE)-0)&lt;=$AZ$6,1,0)</f>
        <v>0</v>
      </c>
      <c r="BB108" s="54">
        <f>IF(ABS(VLOOKUP(Table10[[#This Row],[QW'#]],Table3[],22,FALSE)-0)&lt;=$AZ$6,1,0)</f>
        <v>1</v>
      </c>
      <c r="BC108" s="54">
        <f>IF(AND(Table10[[#This Row],[Retrieved]]=0, Table10[[#This Row],[Relevant]]=0),1,0)</f>
        <v>0</v>
      </c>
      <c r="BD108" s="54">
        <f>IF(AND(Table10[[#This Row],[Retrieved]]=0, Table10[[#This Row],[Relevant]]=1),1,0)</f>
        <v>1</v>
      </c>
      <c r="BE108" s="54">
        <f>IF(AND(Table10[[#This Row],[Retrieved]]=1, Table10[[#This Row],[Relevant]]=0),1,0)</f>
        <v>0</v>
      </c>
      <c r="BF108" s="54">
        <f>IF(AND(Table10[[#This Row],[Retrieved]]=1, Table10[[#This Row],[Relevant]]=1),1,0)</f>
        <v>0</v>
      </c>
    </row>
    <row r="109" spans="2:58">
      <c r="B109" s="76" t="s">
        <v>268</v>
      </c>
      <c r="C109" s="11" t="s">
        <v>136</v>
      </c>
      <c r="D109" s="8">
        <f>VLOOKUP(Table3[[#This Row],[MD5]],Input[],3,FALSE)+(Distances!$AA$6*(ABS(Distances!$AD$6-VLOOKUP(Table3[[#This Row],[MD5]],Input[],3,FALSE))*Distances!$AC$6))</f>
        <v>53.122142855</v>
      </c>
      <c r="E109" s="7">
        <f>VLOOKUP(Table3[[#This Row],[MD5]],Input[],4,FALSE)+(Distances!$AA$7*(ABS(Distances!$AD$7-VLOOKUP(Table3[[#This Row],[MD5]],Input[],4,FALSE))*Distances!$AC$7))</f>
        <v>59.466666666666669</v>
      </c>
      <c r="F109" s="7">
        <f>VLOOKUP(Table3[[#This Row],[MD5]],Input[],5,FALSE)+(Distances!$AA$8*(ABS(Distances!$AD$8-VLOOKUP(Table3[[#This Row],[MD5]],Input[],5,FALSE))*Distances!$AC$8))</f>
        <v>55.099999999999994</v>
      </c>
      <c r="G109" s="46">
        <f>SQRT(SUM((Table3[[#This Row],[time]]-Distances!$AD$6)^2,(Table3[[#This Row],[price]]-Distances!$AD$7)^2,(Table3[[#This Row],[energy]]-Distances!$AD$8)^2))</f>
        <v>11.197122567195793</v>
      </c>
      <c r="H109" s="46">
        <f>((Table3[[#This Row],[score-bt]]-MIN(Table3[score-bt]))*$G$6)/(MAX(Table3[score-bt])-MIN(Table3[score-bt]))</f>
        <v>9.7223252191376744E-2</v>
      </c>
      <c r="I109" s="8">
        <f>VLOOKUP(Table3[[#This Row],[MD5]],Input[],9,FALSE)+(Distances!$AA$6*(ABS(Distances!$AD$6-VLOOKUP(Table3[[#This Row],[MD5]],Input[],9,FALSE))*Distances!$AC$6))</f>
        <v>-23.065627200705357</v>
      </c>
      <c r="J109" s="7">
        <f>VLOOKUP(Table3[[#This Row],[MD5]],Input[],10,FALSE)+(Distances!$AA$7*(ABS(Distances!$AD$7-VLOOKUP(Table3[[#This Row],[MD5]],Input[],10,FALSE))*Distances!$AC$7))</f>
        <v>-15.046862644166676</v>
      </c>
      <c r="K109" s="7">
        <f>VLOOKUP(Table3[[#This Row],[MD5]],Input[],11,FALSE)+(Distances!$AA$8*(ABS(Distances!$AD$8-VLOOKUP(Table3[[#This Row],[MD5]],Input[],11,FALSE))*Distances!$AC$8))</f>
        <v>-7.095595032145833</v>
      </c>
      <c r="L109" s="44">
        <f>SQRT(SUM((Table3[[#This Row],[time''2]]-Distances!$AD$6)^2,(Table3[[#This Row],[price''2]]-Distances!$AD$7)^2,(Table3[[#This Row],[energy''2]]-Distances!$AD$8)^2))</f>
        <v>113.26776765768953</v>
      </c>
      <c r="M109" s="44">
        <f>((Table3[[#This Row],[score-rt-partialcf]]-MIN(Table3[score-rt-partialcf]))*$G$6)/(MAX(Table3[score-rt-partialcf])-MIN(Table3[score-rt-partialcf]))</f>
        <v>0.99555149926774755</v>
      </c>
      <c r="N109" s="8">
        <f>VLOOKUP(Table3[[#This Row],[MD5]],Input[],15,FALSE)+(Distances!$AA$6*(ABS(Distances!$AD$6-VLOOKUP(Table3[[#This Row],[MD5]],Input[],15,FALSE))*Distances!$AC$6))</f>
        <v>-23.066636206776788</v>
      </c>
      <c r="O109" s="7">
        <f>VLOOKUP(Table3[[#This Row],[MD5]],Input[],16,FALSE)+(Distances!$AA$7*(ABS(Distances!$AD$7-VLOOKUP(Table3[[#This Row],[MD5]],Input[],16,FALSE))*Distances!$AC$7))</f>
        <v>55.542562748749958</v>
      </c>
      <c r="P109" s="7">
        <f>VLOOKUP(Table3[[#This Row],[MD5]],Input[],17,FALSE)+(Distances!$AA$8*(ABS(Distances!$AD$8-VLOOKUP(Table3[[#This Row],[MD5]],Input[],11,FALSE))*Distances!$AC$8))</f>
        <v>42.390197259937501</v>
      </c>
      <c r="Q109" s="47">
        <f>SQRT(SUM((Table3[[#This Row],[time''3]]-Distances!$AD$6)^2,(Table3[[#This Row],[price''3]]-Distances!$AD$7)^2,(Table3[[#This Row],[energy''3]]-Distances!$AD$8)^2))</f>
        <v>73.670634761348154</v>
      </c>
      <c r="R109" s="47">
        <f>((Table3[[#This Row],[score-rt-fullcf]]-MIN(Table3[score-rt-fullcf]))*$G$6)/(MAX(Table3[score-rt-fullcf])-MIN(Table3[score-rt-fullcf]))</f>
        <v>0.98827237176177429</v>
      </c>
      <c r="S109" s="8">
        <f>VLOOKUP(Table3[[#This Row],[MD5]],Input[],21,FALSE)+(Distances!$AI$6*(ABS(Distances!$L$3-VLOOKUP(Table3[[#This Row],[MD5]],Input[],21,FALSE))*Distances!$AC$6))</f>
        <v>377.9160746666667</v>
      </c>
      <c r="T109" s="7">
        <f>VLOOKUP(Table3[[#This Row],[MD5]],Input[],22,FALSE)+(Distances!$AI$7*(ABS(Distances!$AB$7-VLOOKUP(Table3[[#This Row],[MD5]],Input[],22,FALSE))*Distances!$AC$7))</f>
        <v>764.69227111111127</v>
      </c>
      <c r="U109" s="7">
        <f>VLOOKUP(Table3[[#This Row],[MD5]],Input[],23,FALSE)+(Distances!$AI$8*(ABS(Distances!$AD$8-VLOOKUP(Table3[[#This Row],[MD5]],Input[],23,FALSE))*Distances!$AC$8))</f>
        <v>579.58843555555552</v>
      </c>
      <c r="V109" s="43">
        <f>SQRT(SUM((Table3[[#This Row],[time''4]]-Distances!$AD$6)^2,(Table3[[#This Row],[price''4]]-Distances!$AD$7)^2,(Table3[[#This Row],[energy''4]]-Distances!$AD$8)^2))</f>
        <v>948.0389788847998</v>
      </c>
      <c r="W109" s="58">
        <f>((Table3[[#This Row],[score-rt-df]]-MIN(Table3[score-rt-df]))*$G$6)/(MAX(Table3[score-rt-df])-MIN(Table3[score-rt-df]))</f>
        <v>6.2472606106058295E-5</v>
      </c>
      <c r="AY109" t="str">
        <f>Table3[[#This Row],[QW'#]]</f>
        <v>qw90</v>
      </c>
      <c r="AZ109" t="str">
        <f>VLOOKUP(Table10[[#This Row],[QW'#]],Table3[],2,FALSE)</f>
        <v>5e953cde95780bf6ee80004f650a86a4</v>
      </c>
      <c r="BA109" s="54">
        <f>IF(ABS(VLOOKUP(Table10[[#This Row],[QW'#]],Table3[],7,FALSE)-0)&lt;=$AZ$6,1,0)</f>
        <v>0</v>
      </c>
      <c r="BB109" s="54">
        <f>IF(ABS(VLOOKUP(Table10[[#This Row],[QW'#]],Table3[],22,FALSE)-0)&lt;=$AZ$6,1,0)</f>
        <v>1</v>
      </c>
      <c r="BC109" s="54">
        <f>IF(AND(Table10[[#This Row],[Retrieved]]=0, Table10[[#This Row],[Relevant]]=0),1,0)</f>
        <v>0</v>
      </c>
      <c r="BD109" s="54">
        <f>IF(AND(Table10[[#This Row],[Retrieved]]=0, Table10[[#This Row],[Relevant]]=1),1,0)</f>
        <v>1</v>
      </c>
      <c r="BE109" s="54">
        <f>IF(AND(Table10[[#This Row],[Retrieved]]=1, Table10[[#This Row],[Relevant]]=0),1,0)</f>
        <v>0</v>
      </c>
      <c r="BF109" s="54">
        <f>IF(AND(Table10[[#This Row],[Retrieved]]=1, Table10[[#This Row],[Relevant]]=1),1,0)</f>
        <v>0</v>
      </c>
    </row>
    <row r="110" spans="2:58">
      <c r="B110" s="76" t="s">
        <v>322</v>
      </c>
      <c r="C110" s="10" t="s">
        <v>190</v>
      </c>
      <c r="D110" s="8">
        <f>VLOOKUP(Table3[[#This Row],[MD5]],Input[],3,FALSE)+(Distances!$AA$6*(ABS(Distances!$AD$6-VLOOKUP(Table3[[#This Row],[MD5]],Input[],3,FALSE))*Distances!$AC$6))</f>
        <v>53.122142855</v>
      </c>
      <c r="E110" s="7">
        <f>VLOOKUP(Table3[[#This Row],[MD5]],Input[],4,FALSE)+(Distances!$AA$7*(ABS(Distances!$AD$7-VLOOKUP(Table3[[#This Row],[MD5]],Input[],4,FALSE))*Distances!$AC$7))</f>
        <v>59.466666666666669</v>
      </c>
      <c r="F110" s="7">
        <f>VLOOKUP(Table3[[#This Row],[MD5]],Input[],5,FALSE)+(Distances!$AA$8*(ABS(Distances!$AD$8-VLOOKUP(Table3[[#This Row],[MD5]],Input[],5,FALSE))*Distances!$AC$8))</f>
        <v>55.099999999999994</v>
      </c>
      <c r="G110" s="46">
        <f>SQRT(SUM((Table3[[#This Row],[time]]-Distances!$AD$6)^2,(Table3[[#This Row],[price]]-Distances!$AD$7)^2,(Table3[[#This Row],[energy]]-Distances!$AD$8)^2))</f>
        <v>11.197122567195793</v>
      </c>
      <c r="H110" s="46">
        <f>((Table3[[#This Row],[score-bt]]-MIN(Table3[score-bt]))*$G$6)/(MAX(Table3[score-bt])-MIN(Table3[score-bt]))</f>
        <v>9.7223252191376744E-2</v>
      </c>
      <c r="I110" s="8">
        <f>VLOOKUP(Table3[[#This Row],[MD5]],Input[],9,FALSE)+(Distances!$AA$6*(ABS(Distances!$AD$6-VLOOKUP(Table3[[#This Row],[MD5]],Input[],9,FALSE))*Distances!$AC$6))</f>
        <v>-23.065487178303577</v>
      </c>
      <c r="J110" s="7">
        <f>VLOOKUP(Table3[[#This Row],[MD5]],Input[],10,FALSE)+(Distances!$AA$7*(ABS(Distances!$AD$7-VLOOKUP(Table3[[#This Row],[MD5]],Input[],10,FALSE))*Distances!$AC$7))</f>
        <v>-15.046692241666676</v>
      </c>
      <c r="K110" s="7">
        <f>VLOOKUP(Table3[[#This Row],[MD5]],Input[],11,FALSE)+(Distances!$AA$8*(ABS(Distances!$AD$8-VLOOKUP(Table3[[#This Row],[MD5]],Input[],11,FALSE))*Distances!$AC$8))</f>
        <v>-7.0954656081249992</v>
      </c>
      <c r="L110" s="44">
        <f>SQRT(SUM((Table3[[#This Row],[time''2]]-Distances!$AD$6)^2,(Table3[[#This Row],[price''2]]-Distances!$AD$7)^2,(Table3[[#This Row],[energy''2]]-Distances!$AD$8)^2))</f>
        <v>113.26751423596058</v>
      </c>
      <c r="M110" s="44">
        <f>((Table3[[#This Row],[score-rt-partialcf]]-MIN(Table3[score-rt-partialcf]))*$G$6)/(MAX(Table3[score-rt-partialcf])-MIN(Table3[score-rt-partialcf]))</f>
        <v>0.99554915916155762</v>
      </c>
      <c r="N110" s="8">
        <f>VLOOKUP(Table3[[#This Row],[MD5]],Input[],15,FALSE)+(Distances!$AA$6*(ABS(Distances!$AD$6-VLOOKUP(Table3[[#This Row],[MD5]],Input[],15,FALSE))*Distances!$AC$6))</f>
        <v>-23.066611464464291</v>
      </c>
      <c r="O110" s="7">
        <f>VLOOKUP(Table3[[#This Row],[MD5]],Input[],16,FALSE)+(Distances!$AA$7*(ABS(Distances!$AD$7-VLOOKUP(Table3[[#This Row],[MD5]],Input[],16,FALSE))*Distances!$AC$7))</f>
        <v>55.542585558333336</v>
      </c>
      <c r="P110" s="7">
        <f>VLOOKUP(Table3[[#This Row],[MD5]],Input[],17,FALSE)+(Distances!$AA$8*(ABS(Distances!$AD$8-VLOOKUP(Table3[[#This Row],[MD5]],Input[],11,FALSE))*Distances!$AC$8))</f>
        <v>42.39024557479167</v>
      </c>
      <c r="Q110" s="47">
        <f>SQRT(SUM((Table3[[#This Row],[time''3]]-Distances!$AD$6)^2,(Table3[[#This Row],[price''3]]-Distances!$AD$7)^2,(Table3[[#This Row],[energy''3]]-Distances!$AD$8)^2))</f>
        <v>73.670606947292129</v>
      </c>
      <c r="R110" s="47">
        <f>((Table3[[#This Row],[score-rt-fullcf]]-MIN(Table3[score-rt-fullcf]))*$G$6)/(MAX(Table3[score-rt-fullcf])-MIN(Table3[score-rt-fullcf]))</f>
        <v>0.98827151896579268</v>
      </c>
      <c r="S110" s="8">
        <f>VLOOKUP(Table3[[#This Row],[MD5]],Input[],21,FALSE)+(Distances!$AI$6*(ABS(Distances!$L$3-VLOOKUP(Table3[[#This Row],[MD5]],Input[],21,FALSE))*Distances!$AC$6))</f>
        <v>378.58999166666666</v>
      </c>
      <c r="T110" s="7">
        <f>VLOOKUP(Table3[[#This Row],[MD5]],Input[],22,FALSE)+(Distances!$AI$7*(ABS(Distances!$AB$7-VLOOKUP(Table3[[#This Row],[MD5]],Input[],22,FALSE))*Distances!$AC$7))</f>
        <v>766.68456481481326</v>
      </c>
      <c r="U110" s="7">
        <f>VLOOKUP(Table3[[#This Row],[MD5]],Input[],23,FALSE)+(Distances!$AI$8*(ABS(Distances!$AD$8-VLOOKUP(Table3[[#This Row],[MD5]],Input[],23,FALSE))*Distances!$AC$8))</f>
        <v>581.06467083333337</v>
      </c>
      <c r="V110" s="43">
        <f>SQRT(SUM((Table3[[#This Row],[time''4]]-Distances!$AD$6)^2,(Table3[[#This Row],[price''4]]-Distances!$AD$7)^2,(Table3[[#This Row],[energy''4]]-Distances!$AD$8)^2))</f>
        <v>950.59867066739321</v>
      </c>
      <c r="W110" s="58">
        <f>((Table3[[#This Row],[score-rt-df]]-MIN(Table3[score-rt-df]))*$G$6)/(MAX(Table3[score-rt-df])-MIN(Table3[score-rt-df]))</f>
        <v>6.4580628429883837E-5</v>
      </c>
      <c r="AY110" t="str">
        <f>Table3[[#This Row],[QW'#]]</f>
        <v>qw144</v>
      </c>
      <c r="AZ110" t="str">
        <f>VLOOKUP(Table10[[#This Row],[QW'#]],Table3[],2,FALSE)</f>
        <v>2c3434e7fafe5fa4ec6a41033effd6c9</v>
      </c>
      <c r="BA110" s="54">
        <f>IF(ABS(VLOOKUP(Table10[[#This Row],[QW'#]],Table3[],7,FALSE)-0)&lt;=$AZ$6,1,0)</f>
        <v>0</v>
      </c>
      <c r="BB110" s="54">
        <f>IF(ABS(VLOOKUP(Table10[[#This Row],[QW'#]],Table3[],22,FALSE)-0)&lt;=$AZ$6,1,0)</f>
        <v>1</v>
      </c>
      <c r="BC110" s="54">
        <f>IF(AND(Table10[[#This Row],[Retrieved]]=0, Table10[[#This Row],[Relevant]]=0),1,0)</f>
        <v>0</v>
      </c>
      <c r="BD110" s="54">
        <f>IF(AND(Table10[[#This Row],[Retrieved]]=0, Table10[[#This Row],[Relevant]]=1),1,0)</f>
        <v>1</v>
      </c>
      <c r="BE110" s="54">
        <f>IF(AND(Table10[[#This Row],[Retrieved]]=1, Table10[[#This Row],[Relevant]]=0),1,0)</f>
        <v>0</v>
      </c>
      <c r="BF110" s="54">
        <f>IF(AND(Table10[[#This Row],[Retrieved]]=1, Table10[[#This Row],[Relevant]]=1),1,0)</f>
        <v>0</v>
      </c>
    </row>
    <row r="111" spans="2:58">
      <c r="B111" s="76" t="s">
        <v>255</v>
      </c>
      <c r="C111" s="10" t="s">
        <v>123</v>
      </c>
      <c r="D111" s="8">
        <f>VLOOKUP(Table3[[#This Row],[MD5]],Input[],3,FALSE)+(Distances!$AA$6*(ABS(Distances!$AD$6-VLOOKUP(Table3[[#This Row],[MD5]],Input[],3,FALSE))*Distances!$AC$6))</f>
        <v>53.122142855</v>
      </c>
      <c r="E111" s="7">
        <f>VLOOKUP(Table3[[#This Row],[MD5]],Input[],4,FALSE)+(Distances!$AA$7*(ABS(Distances!$AD$7-VLOOKUP(Table3[[#This Row],[MD5]],Input[],4,FALSE))*Distances!$AC$7))</f>
        <v>59.466666666666669</v>
      </c>
      <c r="F111" s="7">
        <f>VLOOKUP(Table3[[#This Row],[MD5]],Input[],5,FALSE)+(Distances!$AA$8*(ABS(Distances!$AD$8-VLOOKUP(Table3[[#This Row],[MD5]],Input[],5,FALSE))*Distances!$AC$8))</f>
        <v>55.099999999999994</v>
      </c>
      <c r="G111" s="46">
        <f>SQRT(SUM((Table3[[#This Row],[time]]-Distances!$AD$6)^2,(Table3[[#This Row],[price]]-Distances!$AD$7)^2,(Table3[[#This Row],[energy]]-Distances!$AD$8)^2))</f>
        <v>11.197122567195793</v>
      </c>
      <c r="H111" s="46">
        <f>((Table3[[#This Row],[score-bt]]-MIN(Table3[score-bt]))*$G$6)/(MAX(Table3[score-bt])-MIN(Table3[score-bt]))</f>
        <v>9.7223252191376744E-2</v>
      </c>
      <c r="I111" s="8">
        <f>VLOOKUP(Table3[[#This Row],[MD5]],Input[],9,FALSE)+(Distances!$AA$6*(ABS(Distances!$AD$6-VLOOKUP(Table3[[#This Row],[MD5]],Input[],9,FALSE))*Distances!$AC$6))</f>
        <v>-23.06548585642858</v>
      </c>
      <c r="J111" s="7">
        <f>VLOOKUP(Table3[[#This Row],[MD5]],Input[],10,FALSE)+(Distances!$AA$7*(ABS(Distances!$AD$7-VLOOKUP(Table3[[#This Row],[MD5]],Input[],10,FALSE))*Distances!$AC$7))</f>
        <v>-15.046690491666673</v>
      </c>
      <c r="K111" s="7">
        <f>VLOOKUP(Table3[[#This Row],[MD5]],Input[],11,FALSE)+(Distances!$AA$8*(ABS(Distances!$AD$8-VLOOKUP(Table3[[#This Row],[MD5]],Input[],11,FALSE))*Distances!$AC$8))</f>
        <v>-7.0954642810416653</v>
      </c>
      <c r="L111" s="44">
        <f>SQRT(SUM((Table3[[#This Row],[time''2]]-Distances!$AD$6)^2,(Table3[[#This Row],[price''2]]-Distances!$AD$7)^2,(Table3[[#This Row],[energy''2]]-Distances!$AD$8)^2))</f>
        <v>113.26751170932621</v>
      </c>
      <c r="M111" s="44">
        <f>((Table3[[#This Row],[score-rt-partialcf]]-MIN(Table3[score-rt-partialcf]))*$G$6)/(MAX(Table3[score-rt-partialcf])-MIN(Table3[score-rt-partialcf]))</f>
        <v>0.99554913583051674</v>
      </c>
      <c r="N111" s="8">
        <f>VLOOKUP(Table3[[#This Row],[MD5]],Input[],15,FALSE)+(Distances!$AA$6*(ABS(Distances!$AD$6-VLOOKUP(Table3[[#This Row],[MD5]],Input[],15,FALSE))*Distances!$AC$6))</f>
        <v>-23.066611464464291</v>
      </c>
      <c r="O111" s="7">
        <f>VLOOKUP(Table3[[#This Row],[MD5]],Input[],16,FALSE)+(Distances!$AA$7*(ABS(Distances!$AD$7-VLOOKUP(Table3[[#This Row],[MD5]],Input[],16,FALSE))*Distances!$AC$7))</f>
        <v>55.542585558333336</v>
      </c>
      <c r="P111" s="7">
        <f>VLOOKUP(Table3[[#This Row],[MD5]],Input[],17,FALSE)+(Distances!$AA$8*(ABS(Distances!$AD$8-VLOOKUP(Table3[[#This Row],[MD5]],Input[],11,FALSE))*Distances!$AC$8))</f>
        <v>42.390245764375003</v>
      </c>
      <c r="Q111" s="47">
        <f>SQRT(SUM((Table3[[#This Row],[time''3]]-Distances!$AD$6)^2,(Table3[[#This Row],[price''3]]-Distances!$AD$7)^2,(Table3[[#This Row],[energy''3]]-Distances!$AD$8)^2))</f>
        <v>73.670606927709258</v>
      </c>
      <c r="R111" s="47">
        <f>((Table3[[#This Row],[score-rt-fullcf]]-MIN(Table3[score-rt-fullcf]))*$G$6)/(MAX(Table3[score-rt-fullcf])-MIN(Table3[score-rt-fullcf]))</f>
        <v>0.98827151836536986</v>
      </c>
      <c r="S111" s="8">
        <f>VLOOKUP(Table3[[#This Row],[MD5]],Input[],21,FALSE)+(Distances!$AI$6*(ABS(Distances!$L$3-VLOOKUP(Table3[[#This Row],[MD5]],Input[],21,FALSE))*Distances!$AC$6))</f>
        <v>378.58999166666666</v>
      </c>
      <c r="T111" s="7">
        <f>VLOOKUP(Table3[[#This Row],[MD5]],Input[],22,FALSE)+(Distances!$AI$7*(ABS(Distances!$AB$7-VLOOKUP(Table3[[#This Row],[MD5]],Input[],22,FALSE))*Distances!$AC$7))</f>
        <v>766.68456481481326</v>
      </c>
      <c r="U111" s="7">
        <f>VLOOKUP(Table3[[#This Row],[MD5]],Input[],23,FALSE)+(Distances!$AI$8*(ABS(Distances!$AD$8-VLOOKUP(Table3[[#This Row],[MD5]],Input[],23,FALSE))*Distances!$AC$8))</f>
        <v>581.06467083333337</v>
      </c>
      <c r="V111" s="43">
        <f>SQRT(SUM((Table3[[#This Row],[time''4]]-Distances!$AD$6)^2,(Table3[[#This Row],[price''4]]-Distances!$AD$7)^2,(Table3[[#This Row],[energy''4]]-Distances!$AD$8)^2))</f>
        <v>950.59867066739321</v>
      </c>
      <c r="W111" s="58">
        <f>((Table3[[#This Row],[score-rt-df]]-MIN(Table3[score-rt-df]))*$G$6)/(MAX(Table3[score-rt-df])-MIN(Table3[score-rt-df]))</f>
        <v>6.4580628429883837E-5</v>
      </c>
      <c r="AY111" t="str">
        <f>Table3[[#This Row],[QW'#]]</f>
        <v>qw77</v>
      </c>
      <c r="AZ111" t="str">
        <f>VLOOKUP(Table10[[#This Row],[QW'#]],Table3[],2,FALSE)</f>
        <v>12c3764158e4a6f4f4e000baa1432ef9</v>
      </c>
      <c r="BA111" s="54">
        <f>IF(ABS(VLOOKUP(Table10[[#This Row],[QW'#]],Table3[],7,FALSE)-0)&lt;=$AZ$6,1,0)</f>
        <v>0</v>
      </c>
      <c r="BB111" s="54">
        <f>IF(ABS(VLOOKUP(Table10[[#This Row],[QW'#]],Table3[],22,FALSE)-0)&lt;=$AZ$6,1,0)</f>
        <v>1</v>
      </c>
      <c r="BC111" s="54">
        <f>IF(AND(Table10[[#This Row],[Retrieved]]=0, Table10[[#This Row],[Relevant]]=0),1,0)</f>
        <v>0</v>
      </c>
      <c r="BD111" s="54">
        <f>IF(AND(Table10[[#This Row],[Retrieved]]=0, Table10[[#This Row],[Relevant]]=1),1,0)</f>
        <v>1</v>
      </c>
      <c r="BE111" s="54">
        <f>IF(AND(Table10[[#This Row],[Retrieved]]=1, Table10[[#This Row],[Relevant]]=0),1,0)</f>
        <v>0</v>
      </c>
      <c r="BF111" s="54">
        <f>IF(AND(Table10[[#This Row],[Retrieved]]=1, Table10[[#This Row],[Relevant]]=1),1,0)</f>
        <v>0</v>
      </c>
    </row>
    <row r="112" spans="2:58">
      <c r="B112" s="76" t="s">
        <v>298</v>
      </c>
      <c r="C112" s="10" t="s">
        <v>166</v>
      </c>
      <c r="D112" s="8">
        <f>VLOOKUP(Table3[[#This Row],[MD5]],Input[],3,FALSE)+(Distances!$AA$6*(ABS(Distances!$AD$6-VLOOKUP(Table3[[#This Row],[MD5]],Input[],3,FALSE))*Distances!$AC$6))</f>
        <v>53.122142855</v>
      </c>
      <c r="E112" s="7">
        <f>VLOOKUP(Table3[[#This Row],[MD5]],Input[],4,FALSE)+(Distances!$AA$7*(ABS(Distances!$AD$7-VLOOKUP(Table3[[#This Row],[MD5]],Input[],4,FALSE))*Distances!$AC$7))</f>
        <v>59.466666666666669</v>
      </c>
      <c r="F112" s="7">
        <f>VLOOKUP(Table3[[#This Row],[MD5]],Input[],5,FALSE)+(Distances!$AA$8*(ABS(Distances!$AD$8-VLOOKUP(Table3[[#This Row],[MD5]],Input[],5,FALSE))*Distances!$AC$8))</f>
        <v>55.099999999999994</v>
      </c>
      <c r="G112" s="46">
        <f>SQRT(SUM((Table3[[#This Row],[time]]-Distances!$AD$6)^2,(Table3[[#This Row],[price]]-Distances!$AD$7)^2,(Table3[[#This Row],[energy]]-Distances!$AD$8)^2))</f>
        <v>11.197122567195793</v>
      </c>
      <c r="H112" s="46">
        <f>((Table3[[#This Row],[score-bt]]-MIN(Table3[score-bt]))*$G$6)/(MAX(Table3[score-bt])-MIN(Table3[score-bt]))</f>
        <v>9.7223252191376744E-2</v>
      </c>
      <c r="I112" s="8">
        <f>VLOOKUP(Table3[[#This Row],[MD5]],Input[],9,FALSE)+(Distances!$AA$6*(ABS(Distances!$AD$6-VLOOKUP(Table3[[#This Row],[MD5]],Input[],9,FALSE))*Distances!$AC$6))</f>
        <v>-23.06548012830358</v>
      </c>
      <c r="J112" s="7">
        <f>VLOOKUP(Table3[[#This Row],[MD5]],Input[],10,FALSE)+(Distances!$AA$7*(ABS(Distances!$AD$7-VLOOKUP(Table3[[#This Row],[MD5]],Input[],10,FALSE))*Distances!$AC$7))</f>
        <v>-15.046682908333342</v>
      </c>
      <c r="K112" s="7">
        <f>VLOOKUP(Table3[[#This Row],[MD5]],Input[],11,FALSE)+(Distances!$AA$8*(ABS(Distances!$AD$8-VLOOKUP(Table3[[#This Row],[MD5]],Input[],11,FALSE))*Distances!$AC$8))</f>
        <v>-7.0954585303472211</v>
      </c>
      <c r="L112" s="44">
        <f>SQRT(SUM((Table3[[#This Row],[time''2]]-Distances!$AD$6)^2,(Table3[[#This Row],[price''2]]-Distances!$AD$7)^2,(Table3[[#This Row],[energy''2]]-Distances!$AD$8)^2))</f>
        <v>113.26750076057735</v>
      </c>
      <c r="M112" s="44">
        <f>((Table3[[#This Row],[score-rt-partialcf]]-MIN(Table3[score-rt-partialcf]))*$G$6)/(MAX(Table3[score-rt-partialcf])-MIN(Table3[score-rt-partialcf]))</f>
        <v>0.99554903472934009</v>
      </c>
      <c r="N112" s="8">
        <f>VLOOKUP(Table3[[#This Row],[MD5]],Input[],15,FALSE)+(Distances!$AA$6*(ABS(Distances!$AD$6-VLOOKUP(Table3[[#This Row],[MD5]],Input[],15,FALSE))*Distances!$AC$6))</f>
        <v>-23.066607058214291</v>
      </c>
      <c r="O112" s="7">
        <f>VLOOKUP(Table3[[#This Row],[MD5]],Input[],16,FALSE)+(Distances!$AA$7*(ABS(Distances!$AD$7-VLOOKUP(Table3[[#This Row],[MD5]],Input[],16,FALSE))*Distances!$AC$7))</f>
        <v>55.542587016666623</v>
      </c>
      <c r="P112" s="7">
        <f>VLOOKUP(Table3[[#This Row],[MD5]],Input[],17,FALSE)+(Distances!$AA$8*(ABS(Distances!$AD$8-VLOOKUP(Table3[[#This Row],[MD5]],Input[],11,FALSE))*Distances!$AC$8))</f>
        <v>42.390248481736045</v>
      </c>
      <c r="Q112" s="47">
        <f>SQRT(SUM((Table3[[#This Row],[time''3]]-Distances!$AD$6)^2,(Table3[[#This Row],[price''3]]-Distances!$AD$7)^2,(Table3[[#This Row],[energy''3]]-Distances!$AD$8)^2))</f>
        <v>73.670602386613695</v>
      </c>
      <c r="R112" s="47">
        <f>((Table3[[#This Row],[score-rt-fullcf]]-MIN(Table3[score-rt-fullcf]))*$G$6)/(MAX(Table3[score-rt-fullcf])-MIN(Table3[score-rt-fullcf]))</f>
        <v>0.98827137913260055</v>
      </c>
      <c r="S112" s="8">
        <f>VLOOKUP(Table3[[#This Row],[MD5]],Input[],21,FALSE)+(Distances!$AI$6*(ABS(Distances!$L$3-VLOOKUP(Table3[[#This Row],[MD5]],Input[],21,FALSE))*Distances!$AC$6))</f>
        <v>379.11265833333334</v>
      </c>
      <c r="T112" s="7">
        <f>VLOOKUP(Table3[[#This Row],[MD5]],Input[],22,FALSE)+(Distances!$AI$7*(ABS(Distances!$AB$7-VLOOKUP(Table3[[#This Row],[MD5]],Input[],22,FALSE))*Distances!$AC$7))</f>
        <v>766.80900925925778</v>
      </c>
      <c r="U112" s="7">
        <f>VLOOKUP(Table3[[#This Row],[MD5]],Input[],23,FALSE)+(Distances!$AI$8*(ABS(Distances!$AD$8-VLOOKUP(Table3[[#This Row],[MD5]],Input[],23,FALSE))*Distances!$AC$8))</f>
        <v>581.15800416666661</v>
      </c>
      <c r="V112" s="43">
        <f>SQRT(SUM((Table3[[#This Row],[time''4]]-Distances!$AD$6)^2,(Table3[[#This Row],[price''4]]-Distances!$AD$7)^2,(Table3[[#This Row],[energy''4]]-Distances!$AD$8)^2))</f>
        <v>950.92540349955345</v>
      </c>
      <c r="W112" s="58">
        <f>((Table3[[#This Row],[score-rt-df]]-MIN(Table3[score-rt-df]))*$G$6)/(MAX(Table3[score-rt-df])-MIN(Table3[score-rt-df]))</f>
        <v>6.4849707742012079E-5</v>
      </c>
      <c r="AY112" t="str">
        <f>Table3[[#This Row],[QW'#]]</f>
        <v>qw120</v>
      </c>
      <c r="AZ112" t="str">
        <f>VLOOKUP(Table10[[#This Row],[QW'#]],Table3[],2,FALSE)</f>
        <v>233024b37d92fc02003e5248328be140</v>
      </c>
      <c r="BA112" s="54">
        <f>IF(ABS(VLOOKUP(Table10[[#This Row],[QW'#]],Table3[],7,FALSE)-0)&lt;=$AZ$6,1,0)</f>
        <v>0</v>
      </c>
      <c r="BB112" s="54">
        <f>IF(ABS(VLOOKUP(Table10[[#This Row],[QW'#]],Table3[],22,FALSE)-0)&lt;=$AZ$6,1,0)</f>
        <v>1</v>
      </c>
      <c r="BC112" s="54">
        <f>IF(AND(Table10[[#This Row],[Retrieved]]=0, Table10[[#This Row],[Relevant]]=0),1,0)</f>
        <v>0</v>
      </c>
      <c r="BD112" s="54">
        <f>IF(AND(Table10[[#This Row],[Retrieved]]=0, Table10[[#This Row],[Relevant]]=1),1,0)</f>
        <v>1</v>
      </c>
      <c r="BE112" s="54">
        <f>IF(AND(Table10[[#This Row],[Retrieved]]=1, Table10[[#This Row],[Relevant]]=0),1,0)</f>
        <v>0</v>
      </c>
      <c r="BF112" s="54">
        <f>IF(AND(Table10[[#This Row],[Retrieved]]=1, Table10[[#This Row],[Relevant]]=1),1,0)</f>
        <v>0</v>
      </c>
    </row>
    <row r="113" spans="2:58">
      <c r="B113" s="76" t="s">
        <v>40</v>
      </c>
      <c r="C113" s="10" t="s">
        <v>78</v>
      </c>
      <c r="D113" s="8">
        <f>VLOOKUP(Table3[[#This Row],[MD5]],Input[],3,FALSE)+(Distances!$AA$6*(ABS(Distances!$AD$6-VLOOKUP(Table3[[#This Row],[MD5]],Input[],3,FALSE))*Distances!$AC$6))</f>
        <v>53.122142855</v>
      </c>
      <c r="E113" s="7">
        <f>VLOOKUP(Table3[[#This Row],[MD5]],Input[],4,FALSE)+(Distances!$AA$7*(ABS(Distances!$AD$7-VLOOKUP(Table3[[#This Row],[MD5]],Input[],4,FALSE))*Distances!$AC$7))</f>
        <v>59.466666666666669</v>
      </c>
      <c r="F113" s="7">
        <f>VLOOKUP(Table3[[#This Row],[MD5]],Input[],5,FALSE)+(Distances!$AA$8*(ABS(Distances!$AD$8-VLOOKUP(Table3[[#This Row],[MD5]],Input[],5,FALSE))*Distances!$AC$8))</f>
        <v>55.099999999999994</v>
      </c>
      <c r="G113" s="46">
        <f>SQRT(SUM((Table3[[#This Row],[time]]-Distances!$AD$6)^2,(Table3[[#This Row],[price]]-Distances!$AD$7)^2,(Table3[[#This Row],[energy]]-Distances!$AD$8)^2))</f>
        <v>11.197122567195793</v>
      </c>
      <c r="H113" s="46">
        <f>((Table3[[#This Row],[score-bt]]-MIN(Table3[score-bt]))*$G$6)/(MAX(Table3[score-bt])-MIN(Table3[score-bt]))</f>
        <v>9.7223252191376744E-2</v>
      </c>
      <c r="I113" s="8">
        <f>VLOOKUP(Table3[[#This Row],[MD5]],Input[],9,FALSE)+(Distances!$AA$6*(ABS(Distances!$AD$6-VLOOKUP(Table3[[#This Row],[MD5]],Input[],9,FALSE))*Distances!$AC$6))</f>
        <v>-23.065471756428579</v>
      </c>
      <c r="J113" s="7">
        <f>VLOOKUP(Table3[[#This Row],[MD5]],Input[],10,FALSE)+(Distances!$AA$7*(ABS(Distances!$AD$7-VLOOKUP(Table3[[#This Row],[MD5]],Input[],10,FALSE))*Distances!$AC$7))</f>
        <v>-15.046671825000008</v>
      </c>
      <c r="K113" s="7">
        <f>VLOOKUP(Table3[[#This Row],[MD5]],Input[],11,FALSE)+(Distances!$AA$8*(ABS(Distances!$AD$8-VLOOKUP(Table3[[#This Row],[MD5]],Input[],11,FALSE))*Distances!$AC$8))</f>
        <v>-7.0954501254861091</v>
      </c>
      <c r="L113" s="44">
        <f>SQRT(SUM((Table3[[#This Row],[time''2]]-Distances!$AD$6)^2,(Table3[[#This Row],[price''2]]-Distances!$AD$7)^2,(Table3[[#This Row],[energy''2]]-Distances!$AD$8)^2))</f>
        <v>113.26748475855983</v>
      </c>
      <c r="M113" s="44">
        <f>((Table3[[#This Row],[score-rt-partialcf]]-MIN(Table3[score-rt-partialcf]))*$G$6)/(MAX(Table3[score-rt-partialcf])-MIN(Table3[score-rt-partialcf]))</f>
        <v>0.99554888696608246</v>
      </c>
      <c r="N113" s="8">
        <f>VLOOKUP(Table3[[#This Row],[MD5]],Input[],15,FALSE)+(Distances!$AA$6*(ABS(Distances!$AD$6-VLOOKUP(Table3[[#This Row],[MD5]],Input[],15,FALSE))*Distances!$AC$6))</f>
        <v>-23.066607058214291</v>
      </c>
      <c r="O113" s="7">
        <f>VLOOKUP(Table3[[#This Row],[MD5]],Input[],16,FALSE)+(Distances!$AA$7*(ABS(Distances!$AD$7-VLOOKUP(Table3[[#This Row],[MD5]],Input[],16,FALSE))*Distances!$AC$7))</f>
        <v>55.542587016666623</v>
      </c>
      <c r="P113" s="7">
        <f>VLOOKUP(Table3[[#This Row],[MD5]],Input[],17,FALSE)+(Distances!$AA$8*(ABS(Distances!$AD$8-VLOOKUP(Table3[[#This Row],[MD5]],Input[],11,FALSE))*Distances!$AC$8))</f>
        <v>42.390249682430493</v>
      </c>
      <c r="Q113" s="47">
        <f>SQRT(SUM((Table3[[#This Row],[time''3]]-Distances!$AD$6)^2,(Table3[[#This Row],[price''3]]-Distances!$AD$7)^2,(Table3[[#This Row],[energy''3]]-Distances!$AD$8)^2))</f>
        <v>73.670602262588844</v>
      </c>
      <c r="R113" s="47">
        <f>((Table3[[#This Row],[score-rt-fullcf]]-MIN(Table3[score-rt-fullcf]))*$G$6)/(MAX(Table3[score-rt-fullcf])-MIN(Table3[score-rt-fullcf]))</f>
        <v>0.98827137532992271</v>
      </c>
      <c r="S113" s="8">
        <f>VLOOKUP(Table3[[#This Row],[MD5]],Input[],21,FALSE)+(Distances!$AI$6*(ABS(Distances!$L$3-VLOOKUP(Table3[[#This Row],[MD5]],Input[],21,FALSE))*Distances!$AC$6))</f>
        <v>379.11265833333334</v>
      </c>
      <c r="T113" s="7">
        <f>VLOOKUP(Table3[[#This Row],[MD5]],Input[],22,FALSE)+(Distances!$AI$7*(ABS(Distances!$AB$7-VLOOKUP(Table3[[#This Row],[MD5]],Input[],22,FALSE))*Distances!$AC$7))</f>
        <v>766.80900925925778</v>
      </c>
      <c r="U113" s="7">
        <f>VLOOKUP(Table3[[#This Row],[MD5]],Input[],23,FALSE)+(Distances!$AI$8*(ABS(Distances!$AD$8-VLOOKUP(Table3[[#This Row],[MD5]],Input[],23,FALSE))*Distances!$AC$8))</f>
        <v>581.15800416666661</v>
      </c>
      <c r="V113" s="43">
        <f>SQRT(SUM((Table3[[#This Row],[time''4]]-Distances!$AD$6)^2,(Table3[[#This Row],[price''4]]-Distances!$AD$7)^2,(Table3[[#This Row],[energy''4]]-Distances!$AD$8)^2))</f>
        <v>950.92540349955345</v>
      </c>
      <c r="W113" s="58">
        <f>((Table3[[#This Row],[score-rt-df]]-MIN(Table3[score-rt-df]))*$G$6)/(MAX(Table3[score-rt-df])-MIN(Table3[score-rt-df]))</f>
        <v>6.4849707742012079E-5</v>
      </c>
      <c r="AY113" t="str">
        <f>Table3[[#This Row],[QW'#]]</f>
        <v>qw32</v>
      </c>
      <c r="AZ113" t="str">
        <f>VLOOKUP(Table10[[#This Row],[QW'#]],Table3[],2,FALSE)</f>
        <v>67058165eac5e10c56a3c02521aaf850</v>
      </c>
      <c r="BA113" s="54">
        <f>IF(ABS(VLOOKUP(Table10[[#This Row],[QW'#]],Table3[],7,FALSE)-0)&lt;=$AZ$6,1,0)</f>
        <v>0</v>
      </c>
      <c r="BB113" s="54">
        <f>IF(ABS(VLOOKUP(Table10[[#This Row],[QW'#]],Table3[],22,FALSE)-0)&lt;=$AZ$6,1,0)</f>
        <v>1</v>
      </c>
      <c r="BC113" s="54">
        <f>IF(AND(Table10[[#This Row],[Retrieved]]=0, Table10[[#This Row],[Relevant]]=0),1,0)</f>
        <v>0</v>
      </c>
      <c r="BD113" s="54">
        <f>IF(AND(Table10[[#This Row],[Retrieved]]=0, Table10[[#This Row],[Relevant]]=1),1,0)</f>
        <v>1</v>
      </c>
      <c r="BE113" s="54">
        <f>IF(AND(Table10[[#This Row],[Retrieved]]=1, Table10[[#This Row],[Relevant]]=0),1,0)</f>
        <v>0</v>
      </c>
      <c r="BF113" s="54">
        <f>IF(AND(Table10[[#This Row],[Retrieved]]=1, Table10[[#This Row],[Relevant]]=1),1,0)</f>
        <v>0</v>
      </c>
    </row>
    <row r="114" spans="2:58">
      <c r="B114" s="76" t="s">
        <v>313</v>
      </c>
      <c r="C114" s="10" t="s">
        <v>181</v>
      </c>
      <c r="D114" s="8">
        <f>VLOOKUP(Table3[[#This Row],[MD5]],Input[],3,FALSE)+(Distances!$AA$6*(ABS(Distances!$AD$6-VLOOKUP(Table3[[#This Row],[MD5]],Input[],3,FALSE))*Distances!$AC$6))</f>
        <v>53.122142855</v>
      </c>
      <c r="E114" s="7">
        <f>VLOOKUP(Table3[[#This Row],[MD5]],Input[],4,FALSE)+(Distances!$AA$7*(ABS(Distances!$AD$7-VLOOKUP(Table3[[#This Row],[MD5]],Input[],4,FALSE))*Distances!$AC$7))</f>
        <v>59.466666666666669</v>
      </c>
      <c r="F114" s="7">
        <f>VLOOKUP(Table3[[#This Row],[MD5]],Input[],5,FALSE)+(Distances!$AA$8*(ABS(Distances!$AD$8-VLOOKUP(Table3[[#This Row],[MD5]],Input[],5,FALSE))*Distances!$AC$8))</f>
        <v>55.099999999999994</v>
      </c>
      <c r="G114" s="46">
        <f>SQRT(SUM((Table3[[#This Row],[time]]-Distances!$AD$6)^2,(Table3[[#This Row],[price]]-Distances!$AD$7)^2,(Table3[[#This Row],[energy]]-Distances!$AD$8)^2))</f>
        <v>11.197122567195793</v>
      </c>
      <c r="H114" s="46">
        <f>((Table3[[#This Row],[score-bt]]-MIN(Table3[score-bt]))*$G$6)/(MAX(Table3[score-bt])-MIN(Table3[score-bt]))</f>
        <v>9.7223252191376744E-2</v>
      </c>
      <c r="I114" s="8">
        <f>VLOOKUP(Table3[[#This Row],[MD5]],Input[],9,FALSE)+(Distances!$AA$6*(ABS(Distances!$AD$6-VLOOKUP(Table3[[#This Row],[MD5]],Input[],9,FALSE))*Distances!$AC$6))</f>
        <v>-23.065477484553583</v>
      </c>
      <c r="J114" s="7">
        <f>VLOOKUP(Table3[[#This Row],[MD5]],Input[],10,FALSE)+(Distances!$AA$7*(ABS(Distances!$AD$7-VLOOKUP(Table3[[#This Row],[MD5]],Input[],10,FALSE))*Distances!$AC$7))</f>
        <v>-15.04667940833334</v>
      </c>
      <c r="K114" s="7">
        <f>VLOOKUP(Table3[[#This Row],[MD5]],Input[],11,FALSE)+(Distances!$AA$8*(ABS(Distances!$AD$8-VLOOKUP(Table3[[#This Row],[MD5]],Input[],11,FALSE))*Distances!$AC$8))</f>
        <v>-7.0954558761805551</v>
      </c>
      <c r="L114" s="44">
        <f>SQRT(SUM((Table3[[#This Row],[time''2]]-Distances!$AD$6)^2,(Table3[[#This Row],[price''2]]-Distances!$AD$7)^2,(Table3[[#This Row],[energy''2]]-Distances!$AD$8)^2))</f>
        <v>113.26749570730865</v>
      </c>
      <c r="M114" s="44">
        <f>((Table3[[#This Row],[score-rt-partialcf]]-MIN(Table3[score-rt-partialcf]))*$G$6)/(MAX(Table3[score-rt-partialcf])-MIN(Table3[score-rt-partialcf]))</f>
        <v>0.99554898806725867</v>
      </c>
      <c r="N114" s="8">
        <f>VLOOKUP(Table3[[#This Row],[MD5]],Input[],15,FALSE)+(Distances!$AA$6*(ABS(Distances!$AD$6-VLOOKUP(Table3[[#This Row],[MD5]],Input[],15,FALSE))*Distances!$AC$6))</f>
        <v>-23.066602651964292</v>
      </c>
      <c r="O114" s="7">
        <f>VLOOKUP(Table3[[#This Row],[MD5]],Input[],16,FALSE)+(Distances!$AA$7*(ABS(Distances!$AD$7-VLOOKUP(Table3[[#This Row],[MD5]],Input[],16,FALSE))*Distances!$AC$7))</f>
        <v>55.54258847499996</v>
      </c>
      <c r="P114" s="7">
        <f>VLOOKUP(Table3[[#This Row],[MD5]],Input[],17,FALSE)+(Distances!$AA$8*(ABS(Distances!$AD$8-VLOOKUP(Table3[[#This Row],[MD5]],Input[],11,FALSE))*Distances!$AC$8))</f>
        <v>42.390250756736108</v>
      </c>
      <c r="Q114" s="47">
        <f>SQRT(SUM((Table3[[#This Row],[time''3]]-Distances!$AD$6)^2,(Table3[[#This Row],[price''3]]-Distances!$AD$7)^2,(Table3[[#This Row],[energy''3]]-Distances!$AD$8)^2))</f>
        <v>73.670597891211614</v>
      </c>
      <c r="R114" s="47">
        <f>((Table3[[#This Row],[score-rt-fullcf]]-MIN(Table3[score-rt-fullcf]))*$G$6)/(MAX(Table3[score-rt-fullcf])-MIN(Table3[score-rt-fullcf]))</f>
        <v>0.98827124130082122</v>
      </c>
      <c r="S114" s="8">
        <f>VLOOKUP(Table3[[#This Row],[MD5]],Input[],21,FALSE)+(Distances!$AI$6*(ABS(Distances!$L$3-VLOOKUP(Table3[[#This Row],[MD5]],Input[],21,FALSE))*Distances!$AC$6))</f>
        <v>379.93399166666666</v>
      </c>
      <c r="T114" s="7">
        <f>VLOOKUP(Table3[[#This Row],[MD5]],Input[],22,FALSE)+(Distances!$AI$7*(ABS(Distances!$AB$7-VLOOKUP(Table3[[#This Row],[MD5]],Input[],22,FALSE))*Distances!$AC$7))</f>
        <v>767.00456481481331</v>
      </c>
      <c r="U114" s="7">
        <f>VLOOKUP(Table3[[#This Row],[MD5]],Input[],23,FALSE)+(Distances!$AI$8*(ABS(Distances!$AD$8-VLOOKUP(Table3[[#This Row],[MD5]],Input[],23,FALSE))*Distances!$AC$8))</f>
        <v>581.30467083333338</v>
      </c>
      <c r="V114" s="43">
        <f>SQRT(SUM((Table3[[#This Row],[time''4]]-Distances!$AD$6)^2,(Table3[[#This Row],[price''4]]-Distances!$AD$7)^2,(Table3[[#This Row],[energy''4]]-Distances!$AD$8)^2))</f>
        <v>951.43924560199673</v>
      </c>
      <c r="W114" s="58">
        <f>((Table3[[#This Row],[score-rt-df]]-MIN(Table3[score-rt-df]))*$G$6)/(MAX(Table3[score-rt-df])-MIN(Table3[score-rt-df]))</f>
        <v>6.5272880027924726E-5</v>
      </c>
      <c r="AY114" t="str">
        <f>Table3[[#This Row],[QW'#]]</f>
        <v>qw135</v>
      </c>
      <c r="AZ114" t="str">
        <f>VLOOKUP(Table10[[#This Row],[QW'#]],Table3[],2,FALSE)</f>
        <v>3160065ee36b6c26bf142ee07153f44c</v>
      </c>
      <c r="BA114" s="54">
        <f>IF(ABS(VLOOKUP(Table10[[#This Row],[QW'#]],Table3[],7,FALSE)-0)&lt;=$AZ$6,1,0)</f>
        <v>0</v>
      </c>
      <c r="BB114" s="54">
        <f>IF(ABS(VLOOKUP(Table10[[#This Row],[QW'#]],Table3[],22,FALSE)-0)&lt;=$AZ$6,1,0)</f>
        <v>1</v>
      </c>
      <c r="BC114" s="54">
        <f>IF(AND(Table10[[#This Row],[Retrieved]]=0, Table10[[#This Row],[Relevant]]=0),1,0)</f>
        <v>0</v>
      </c>
      <c r="BD114" s="54">
        <f>IF(AND(Table10[[#This Row],[Retrieved]]=0, Table10[[#This Row],[Relevant]]=1),1,0)</f>
        <v>1</v>
      </c>
      <c r="BE114" s="54">
        <f>IF(AND(Table10[[#This Row],[Retrieved]]=1, Table10[[#This Row],[Relevant]]=0),1,0)</f>
        <v>0</v>
      </c>
      <c r="BF114" s="54">
        <f>IF(AND(Table10[[#This Row],[Retrieved]]=1, Table10[[#This Row],[Relevant]]=1),1,0)</f>
        <v>0</v>
      </c>
    </row>
    <row r="115" spans="2:58">
      <c r="B115" s="76" t="s">
        <v>319</v>
      </c>
      <c r="C115" s="10" t="s">
        <v>187</v>
      </c>
      <c r="D115" s="8">
        <f>VLOOKUP(Table3[[#This Row],[MD5]],Input[],3,FALSE)+(Distances!$AA$6*(ABS(Distances!$AD$6-VLOOKUP(Table3[[#This Row],[MD5]],Input[],3,FALSE))*Distances!$AC$6))</f>
        <v>53.122142855</v>
      </c>
      <c r="E115" s="7">
        <f>VLOOKUP(Table3[[#This Row],[MD5]],Input[],4,FALSE)+(Distances!$AA$7*(ABS(Distances!$AD$7-VLOOKUP(Table3[[#This Row],[MD5]],Input[],4,FALSE))*Distances!$AC$7))</f>
        <v>59.466666666666669</v>
      </c>
      <c r="F115" s="7">
        <f>VLOOKUP(Table3[[#This Row],[MD5]],Input[],5,FALSE)+(Distances!$AA$8*(ABS(Distances!$AD$8-VLOOKUP(Table3[[#This Row],[MD5]],Input[],5,FALSE))*Distances!$AC$8))</f>
        <v>55.099999999999994</v>
      </c>
      <c r="G115" s="46">
        <f>SQRT(SUM((Table3[[#This Row],[time]]-Distances!$AD$6)^2,(Table3[[#This Row],[price]]-Distances!$AD$7)^2,(Table3[[#This Row],[energy]]-Distances!$AD$8)^2))</f>
        <v>11.197122567195793</v>
      </c>
      <c r="H115" s="46">
        <f>((Table3[[#This Row],[score-bt]]-MIN(Table3[score-bt]))*$G$6)/(MAX(Table3[score-bt])-MIN(Table3[score-bt]))</f>
        <v>9.7223252191376744E-2</v>
      </c>
      <c r="I115" s="8">
        <f>VLOOKUP(Table3[[#This Row],[MD5]],Input[],9,FALSE)+(Distances!$AA$6*(ABS(Distances!$AD$6-VLOOKUP(Table3[[#This Row],[MD5]],Input[],9,FALSE))*Distances!$AC$6))</f>
        <v>-23.065470434553578</v>
      </c>
      <c r="J115" s="7">
        <f>VLOOKUP(Table3[[#This Row],[MD5]],Input[],10,FALSE)+(Distances!$AA$7*(ABS(Distances!$AD$7-VLOOKUP(Table3[[#This Row],[MD5]],Input[],10,FALSE))*Distances!$AC$7))</f>
        <v>-15.046670075000009</v>
      </c>
      <c r="K115" s="7">
        <f>VLOOKUP(Table3[[#This Row],[MD5]],Input[],11,FALSE)+(Distances!$AA$8*(ABS(Distances!$AD$8-VLOOKUP(Table3[[#This Row],[MD5]],Input[],11,FALSE))*Distances!$AC$8))</f>
        <v>-7.0954487984027779</v>
      </c>
      <c r="L115" s="44">
        <f>SQRT(SUM((Table3[[#This Row],[time''2]]-Distances!$AD$6)^2,(Table3[[#This Row],[price''2]]-Distances!$AD$7)^2,(Table3[[#This Row],[energy''2]]-Distances!$AD$8)^2))</f>
        <v>113.26748223192548</v>
      </c>
      <c r="M115" s="44">
        <f>((Table3[[#This Row],[score-rt-partialcf]]-MIN(Table3[score-rt-partialcf]))*$G$6)/(MAX(Table3[score-rt-partialcf])-MIN(Table3[score-rt-partialcf]))</f>
        <v>0.99554886363504169</v>
      </c>
      <c r="N115" s="8">
        <f>VLOOKUP(Table3[[#This Row],[MD5]],Input[],15,FALSE)+(Distances!$AA$6*(ABS(Distances!$AD$6-VLOOKUP(Table3[[#This Row],[MD5]],Input[],15,FALSE))*Distances!$AC$6))</f>
        <v>-23.066602651964292</v>
      </c>
      <c r="O115" s="7">
        <f>VLOOKUP(Table3[[#This Row],[MD5]],Input[],16,FALSE)+(Distances!$AA$7*(ABS(Distances!$AD$7-VLOOKUP(Table3[[#This Row],[MD5]],Input[],16,FALSE))*Distances!$AC$7))</f>
        <v>55.54258847499996</v>
      </c>
      <c r="P115" s="7">
        <f>VLOOKUP(Table3[[#This Row],[MD5]],Input[],17,FALSE)+(Distances!$AA$8*(ABS(Distances!$AD$8-VLOOKUP(Table3[[#This Row],[MD5]],Input[],11,FALSE))*Distances!$AC$8))</f>
        <v>42.390251767847218</v>
      </c>
      <c r="Q115" s="47">
        <f>SQRT(SUM((Table3[[#This Row],[time''3]]-Distances!$AD$6)^2,(Table3[[#This Row],[price''3]]-Distances!$AD$7)^2,(Table3[[#This Row],[energy''3]]-Distances!$AD$8)^2))</f>
        <v>73.670597786769648</v>
      </c>
      <c r="R115" s="47">
        <f>((Table3[[#This Row],[score-rt-fullcf]]-MIN(Table3[score-rt-fullcf]))*$G$6)/(MAX(Table3[score-rt-fullcf])-MIN(Table3[score-rt-fullcf]))</f>
        <v>0.98827123809856665</v>
      </c>
      <c r="S115" s="8">
        <f>VLOOKUP(Table3[[#This Row],[MD5]],Input[],21,FALSE)+(Distances!$AI$6*(ABS(Distances!$L$3-VLOOKUP(Table3[[#This Row],[MD5]],Input[],21,FALSE))*Distances!$AC$6))</f>
        <v>379.93399166666666</v>
      </c>
      <c r="T115" s="7">
        <f>VLOOKUP(Table3[[#This Row],[MD5]],Input[],22,FALSE)+(Distances!$AI$7*(ABS(Distances!$AB$7-VLOOKUP(Table3[[#This Row],[MD5]],Input[],22,FALSE))*Distances!$AC$7))</f>
        <v>767.00456481481331</v>
      </c>
      <c r="U115" s="7">
        <f>VLOOKUP(Table3[[#This Row],[MD5]],Input[],23,FALSE)+(Distances!$AI$8*(ABS(Distances!$AD$8-VLOOKUP(Table3[[#This Row],[MD5]],Input[],23,FALSE))*Distances!$AC$8))</f>
        <v>581.30467083333338</v>
      </c>
      <c r="V115" s="43">
        <f>SQRT(SUM((Table3[[#This Row],[time''4]]-Distances!$AD$6)^2,(Table3[[#This Row],[price''4]]-Distances!$AD$7)^2,(Table3[[#This Row],[energy''4]]-Distances!$AD$8)^2))</f>
        <v>951.43924560199673</v>
      </c>
      <c r="W115" s="58">
        <f>((Table3[[#This Row],[score-rt-df]]-MIN(Table3[score-rt-df]))*$G$6)/(MAX(Table3[score-rt-df])-MIN(Table3[score-rt-df]))</f>
        <v>6.5272880027924726E-5</v>
      </c>
      <c r="AY115" t="str">
        <f>Table3[[#This Row],[QW'#]]</f>
        <v>qw141</v>
      </c>
      <c r="AZ115" t="str">
        <f>VLOOKUP(Table10[[#This Row],[QW'#]],Table3[],2,FALSE)</f>
        <v>9b038b2718575a41e3c7f1640b62c31b</v>
      </c>
      <c r="BA115" s="54">
        <f>IF(ABS(VLOOKUP(Table10[[#This Row],[QW'#]],Table3[],7,FALSE)-0)&lt;=$AZ$6,1,0)</f>
        <v>0</v>
      </c>
      <c r="BB115" s="54">
        <f>IF(ABS(VLOOKUP(Table10[[#This Row],[QW'#]],Table3[],22,FALSE)-0)&lt;=$AZ$6,1,0)</f>
        <v>1</v>
      </c>
      <c r="BC115" s="54">
        <f>IF(AND(Table10[[#This Row],[Retrieved]]=0, Table10[[#This Row],[Relevant]]=0),1,0)</f>
        <v>0</v>
      </c>
      <c r="BD115" s="54">
        <f>IF(AND(Table10[[#This Row],[Retrieved]]=0, Table10[[#This Row],[Relevant]]=1),1,0)</f>
        <v>1</v>
      </c>
      <c r="BE115" s="54">
        <f>IF(AND(Table10[[#This Row],[Retrieved]]=1, Table10[[#This Row],[Relevant]]=0),1,0)</f>
        <v>0</v>
      </c>
      <c r="BF115" s="54">
        <f>IF(AND(Table10[[#This Row],[Retrieved]]=1, Table10[[#This Row],[Relevant]]=1),1,0)</f>
        <v>0</v>
      </c>
    </row>
    <row r="116" spans="2:58">
      <c r="B116" s="76" t="s">
        <v>287</v>
      </c>
      <c r="C116" s="10" t="s">
        <v>155</v>
      </c>
      <c r="D116" s="8">
        <f>VLOOKUP(Table3[[#This Row],[MD5]],Input[],3,FALSE)+(Distances!$AA$6*(ABS(Distances!$AD$6-VLOOKUP(Table3[[#This Row],[MD5]],Input[],3,FALSE))*Distances!$AC$6))</f>
        <v>53.122142855</v>
      </c>
      <c r="E116" s="7">
        <f>VLOOKUP(Table3[[#This Row],[MD5]],Input[],4,FALSE)+(Distances!$AA$7*(ABS(Distances!$AD$7-VLOOKUP(Table3[[#This Row],[MD5]],Input[],4,FALSE))*Distances!$AC$7))</f>
        <v>59.466666666666669</v>
      </c>
      <c r="F116" s="7">
        <f>VLOOKUP(Table3[[#This Row],[MD5]],Input[],5,FALSE)+(Distances!$AA$8*(ABS(Distances!$AD$8-VLOOKUP(Table3[[#This Row],[MD5]],Input[],5,FALSE))*Distances!$AC$8))</f>
        <v>55.099999999999994</v>
      </c>
      <c r="G116" s="46">
        <f>SQRT(SUM((Table3[[#This Row],[time]]-Distances!$AD$6)^2,(Table3[[#This Row],[price]]-Distances!$AD$7)^2,(Table3[[#This Row],[energy]]-Distances!$AD$8)^2))</f>
        <v>11.197122567195793</v>
      </c>
      <c r="H116" s="46">
        <f>((Table3[[#This Row],[score-bt]]-MIN(Table3[score-bt]))*$G$6)/(MAX(Table3[score-bt])-MIN(Table3[score-bt]))</f>
        <v>9.7223252191376744E-2</v>
      </c>
      <c r="I116" s="8">
        <f>VLOOKUP(Table3[[#This Row],[MD5]],Input[],9,FALSE)+(Distances!$AA$6*(ABS(Distances!$AD$6-VLOOKUP(Table3[[#This Row],[MD5]],Input[],9,FALSE))*Distances!$AC$6))</f>
        <v>-22.91106281799108</v>
      </c>
      <c r="J116" s="7">
        <f>VLOOKUP(Table3[[#This Row],[MD5]],Input[],10,FALSE)+(Distances!$AA$7*(ABS(Distances!$AD$7-VLOOKUP(Table3[[#This Row],[MD5]],Input[],10,FALSE))*Distances!$AC$7))</f>
        <v>-14.90840379583333</v>
      </c>
      <c r="K116" s="7">
        <f>VLOOKUP(Table3[[#This Row],[MD5]],Input[],11,FALSE)+(Distances!$AA$8*(ABS(Distances!$AD$8-VLOOKUP(Table3[[#This Row],[MD5]],Input[],11,FALSE))*Distances!$AC$8))</f>
        <v>-6.9897037035763887</v>
      </c>
      <c r="L116" s="44">
        <f>SQRT(SUM((Table3[[#This Row],[time''2]]-Distances!$AD$6)^2,(Table3[[#This Row],[price''2]]-Distances!$AD$7)^2,(Table3[[#This Row],[energy''2]]-Distances!$AD$8)^2))</f>
        <v>113.03517281268437</v>
      </c>
      <c r="M116" s="44">
        <f>((Table3[[#This Row],[score-rt-partialcf]]-MIN(Table3[score-rt-partialcf]))*$G$6)/(MAX(Table3[score-rt-partialcf])-MIN(Table3[score-rt-partialcf]))</f>
        <v>0.99340370934155542</v>
      </c>
      <c r="N116" s="8">
        <f>VLOOKUP(Table3[[#This Row],[MD5]],Input[],15,FALSE)+(Distances!$AA$6*(ABS(Distances!$AD$6-VLOOKUP(Table3[[#This Row],[MD5]],Input[],15,FALSE))*Distances!$AC$6))</f>
        <v>-22.918336718437498</v>
      </c>
      <c r="O116" s="7">
        <f>VLOOKUP(Table3[[#This Row],[MD5]],Input[],16,FALSE)+(Distances!$AA$7*(ABS(Distances!$AD$7-VLOOKUP(Table3[[#This Row],[MD5]],Input[],16,FALSE))*Distances!$AC$7))</f>
        <v>55.602117414583333</v>
      </c>
      <c r="P116" s="7">
        <f>VLOOKUP(Table3[[#This Row],[MD5]],Input[],17,FALSE)+(Distances!$AA$8*(ABS(Distances!$AD$8-VLOOKUP(Table3[[#This Row],[MD5]],Input[],11,FALSE))*Distances!$AC$8))</f>
        <v>42.48351140267355</v>
      </c>
      <c r="Q116" s="47">
        <f>SQRT(SUM((Table3[[#This Row],[time''3]]-Distances!$AD$6)^2,(Table3[[#This Row],[price''3]]-Distances!$AD$7)^2,(Table3[[#This Row],[energy''3]]-Distances!$AD$8)^2))</f>
        <v>73.518468088936316</v>
      </c>
      <c r="R116" s="47">
        <f>((Table3[[#This Row],[score-rt-fullcf]]-MIN(Table3[score-rt-fullcf]))*$G$6)/(MAX(Table3[score-rt-fullcf])-MIN(Table3[score-rt-fullcf]))</f>
        <v>0.98360684845065072</v>
      </c>
      <c r="S116" s="8">
        <f>VLOOKUP(Table3[[#This Row],[MD5]],Input[],21,FALSE)+(Distances!$AI$6*(ABS(Distances!$L$3-VLOOKUP(Table3[[#This Row],[MD5]],Input[],21,FALSE))*Distances!$AC$6))</f>
        <v>2485.1178766666667</v>
      </c>
      <c r="T116" s="7">
        <f>VLOOKUP(Table3[[#This Row],[MD5]],Input[],22,FALSE)+(Distances!$AI$7*(ABS(Distances!$AB$7-VLOOKUP(Table3[[#This Row],[MD5]],Input[],22,FALSE))*Distances!$AC$7))</f>
        <v>1591.0651555555557</v>
      </c>
      <c r="U116" s="7">
        <f>VLOOKUP(Table3[[#This Row],[MD5]],Input[],23,FALSE)+(Distances!$AI$8*(ABS(Distances!$AD$8-VLOOKUP(Table3[[#This Row],[MD5]],Input[],23,FALSE))*Distances!$AC$8))</f>
        <v>1180.5753555555502</v>
      </c>
      <c r="V116" s="43">
        <f>SQRT(SUM((Table3[[#This Row],[time''4]]-Distances!$AD$6)^2,(Table3[[#This Row],[price''4]]-Distances!$AD$7)^2,(Table3[[#This Row],[energy''4]]-Distances!$AD$8)^2))</f>
        <v>3095.6229617830727</v>
      </c>
      <c r="W116" s="58">
        <f>((Table3[[#This Row],[score-rt-df]]-MIN(Table3[score-rt-df]))*$G$6)/(MAX(Table3[score-rt-df])-MIN(Table3[score-rt-df]))</f>
        <v>1.8311054583211586E-3</v>
      </c>
      <c r="AY116" t="str">
        <f>Table3[[#This Row],[QW'#]]</f>
        <v>qw109</v>
      </c>
      <c r="AZ116" t="str">
        <f>VLOOKUP(Table10[[#This Row],[QW'#]],Table3[],2,FALSE)</f>
        <v>6e6573855827d4bcfde6a70f6476fba2</v>
      </c>
      <c r="BA116" s="54">
        <f>IF(ABS(VLOOKUP(Table10[[#This Row],[QW'#]],Table3[],7,FALSE)-0)&lt;=$AZ$6,1,0)</f>
        <v>0</v>
      </c>
      <c r="BB116" s="54">
        <f>IF(ABS(VLOOKUP(Table10[[#This Row],[QW'#]],Table3[],22,FALSE)-0)&lt;=$AZ$6,1,0)</f>
        <v>1</v>
      </c>
      <c r="BC116" s="54">
        <f>IF(AND(Table10[[#This Row],[Retrieved]]=0, Table10[[#This Row],[Relevant]]=0),1,0)</f>
        <v>0</v>
      </c>
      <c r="BD116" s="54">
        <f>IF(AND(Table10[[#This Row],[Retrieved]]=0, Table10[[#This Row],[Relevant]]=1),1,0)</f>
        <v>1</v>
      </c>
      <c r="BE116" s="54">
        <f>IF(AND(Table10[[#This Row],[Retrieved]]=1, Table10[[#This Row],[Relevant]]=0),1,0)</f>
        <v>0</v>
      </c>
      <c r="BF116" s="54">
        <f>IF(AND(Table10[[#This Row],[Retrieved]]=1, Table10[[#This Row],[Relevant]]=1),1,0)</f>
        <v>0</v>
      </c>
    </row>
    <row r="117" spans="2:58">
      <c r="B117" s="76" t="s">
        <v>254</v>
      </c>
      <c r="C117" s="10" t="s">
        <v>122</v>
      </c>
      <c r="D117" s="8">
        <f>VLOOKUP(Table3[[#This Row],[MD5]],Input[],3,FALSE)+(Distances!$AA$6*(ABS(Distances!$AD$6-VLOOKUP(Table3[[#This Row],[MD5]],Input[],3,FALSE))*Distances!$AC$6))</f>
        <v>53.122142855</v>
      </c>
      <c r="E117" s="7">
        <f>VLOOKUP(Table3[[#This Row],[MD5]],Input[],4,FALSE)+(Distances!$AA$7*(ABS(Distances!$AD$7-VLOOKUP(Table3[[#This Row],[MD5]],Input[],4,FALSE))*Distances!$AC$7))</f>
        <v>59.466666666666669</v>
      </c>
      <c r="F117" s="7">
        <f>VLOOKUP(Table3[[#This Row],[MD5]],Input[],5,FALSE)+(Distances!$AA$8*(ABS(Distances!$AD$8-VLOOKUP(Table3[[#This Row],[MD5]],Input[],5,FALSE))*Distances!$AC$8))</f>
        <v>55.099999999999994</v>
      </c>
      <c r="G117" s="46">
        <f>SQRT(SUM((Table3[[#This Row],[time]]-Distances!$AD$6)^2,(Table3[[#This Row],[price]]-Distances!$AD$7)^2,(Table3[[#This Row],[energy]]-Distances!$AD$8)^2))</f>
        <v>11.197122567195793</v>
      </c>
      <c r="H117" s="46">
        <f>((Table3[[#This Row],[score-bt]]-MIN(Table3[score-bt]))*$G$6)/(MAX(Table3[score-bt])-MIN(Table3[score-bt]))</f>
        <v>9.7223252191376744E-2</v>
      </c>
      <c r="I117" s="8">
        <f>VLOOKUP(Table3[[#This Row],[MD5]],Input[],9,FALSE)+(Distances!$AA$6*(ABS(Distances!$AD$6-VLOOKUP(Table3[[#This Row],[MD5]],Input[],9,FALSE))*Distances!$AC$6))</f>
        <v>-22.858555425133932</v>
      </c>
      <c r="J117" s="7">
        <f>VLOOKUP(Table3[[#This Row],[MD5]],Input[],10,FALSE)+(Distances!$AA$7*(ABS(Distances!$AD$7-VLOOKUP(Table3[[#This Row],[MD5]],Input[],10,FALSE))*Distances!$AC$7))</f>
        <v>-14.838890462500007</v>
      </c>
      <c r="K117" s="7">
        <f>VLOOKUP(Table3[[#This Row],[MD5]],Input[],11,FALSE)+(Distances!$AA$8*(ABS(Distances!$AD$8-VLOOKUP(Table3[[#This Row],[MD5]],Input[],11,FALSE))*Distances!$AC$8))</f>
        <v>-6.9369894257986111</v>
      </c>
      <c r="L117" s="44">
        <f>SQRT(SUM((Table3[[#This Row],[time''2]]-Distances!$AD$6)^2,(Table3[[#This Row],[price''2]]-Distances!$AD$7)^2,(Table3[[#This Row],[energy''2]]-Distances!$AD$8)^2))</f>
        <v>112.93481119618916</v>
      </c>
      <c r="M117" s="44">
        <f>((Table3[[#This Row],[score-rt-partialcf]]-MIN(Table3[score-rt-partialcf]))*$G$6)/(MAX(Table3[score-rt-partialcf])-MIN(Table3[score-rt-partialcf]))</f>
        <v>0.99247696623647941</v>
      </c>
      <c r="N117" s="8">
        <f>VLOOKUP(Table3[[#This Row],[MD5]],Input[],15,FALSE)+(Distances!$AA$6*(ABS(Distances!$AD$6-VLOOKUP(Table3[[#This Row],[MD5]],Input[],15,FALSE))*Distances!$AC$6))</f>
        <v>-22.918336718437498</v>
      </c>
      <c r="O117" s="7">
        <f>VLOOKUP(Table3[[#This Row],[MD5]],Input[],16,FALSE)+(Distances!$AA$7*(ABS(Distances!$AD$7-VLOOKUP(Table3[[#This Row],[MD5]],Input[],16,FALSE))*Distances!$AC$7))</f>
        <v>55.602117414583333</v>
      </c>
      <c r="P117" s="7">
        <f>VLOOKUP(Table3[[#This Row],[MD5]],Input[],17,FALSE)+(Distances!$AA$8*(ABS(Distances!$AD$8-VLOOKUP(Table3[[#This Row],[MD5]],Input[],11,FALSE))*Distances!$AC$8))</f>
        <v>42.491042013784657</v>
      </c>
      <c r="Q117" s="47">
        <f>SQRT(SUM((Table3[[#This Row],[time''3]]-Distances!$AD$6)^2,(Table3[[#This Row],[price''3]]-Distances!$AD$7)^2,(Table3[[#This Row],[energy''3]]-Distances!$AD$8)^2))</f>
        <v>73.517698544969122</v>
      </c>
      <c r="R117" s="47">
        <f>((Table3[[#This Row],[score-rt-fullcf]]-MIN(Table3[score-rt-fullcf]))*$G$6)/(MAX(Table3[score-rt-fullcf])-MIN(Table3[score-rt-fullcf]))</f>
        <v>0.98358325376161015</v>
      </c>
      <c r="S117" s="8">
        <f>VLOOKUP(Table3[[#This Row],[MD5]],Input[],21,FALSE)+(Distances!$AI$6*(ABS(Distances!$L$3-VLOOKUP(Table3[[#This Row],[MD5]],Input[],21,FALSE))*Distances!$AC$6))</f>
        <v>2485.1178766666667</v>
      </c>
      <c r="T117" s="7">
        <f>VLOOKUP(Table3[[#This Row],[MD5]],Input[],22,FALSE)+(Distances!$AI$7*(ABS(Distances!$AB$7-VLOOKUP(Table3[[#This Row],[MD5]],Input[],22,FALSE))*Distances!$AC$7))</f>
        <v>1591.0651555555557</v>
      </c>
      <c r="U117" s="7">
        <f>VLOOKUP(Table3[[#This Row],[MD5]],Input[],23,FALSE)+(Distances!$AI$8*(ABS(Distances!$AD$8-VLOOKUP(Table3[[#This Row],[MD5]],Input[],23,FALSE))*Distances!$AC$8))</f>
        <v>1180.5753555555502</v>
      </c>
      <c r="V117" s="43">
        <f>SQRT(SUM((Table3[[#This Row],[time''4]]-Distances!$AD$6)^2,(Table3[[#This Row],[price''4]]-Distances!$AD$7)^2,(Table3[[#This Row],[energy''4]]-Distances!$AD$8)^2))</f>
        <v>3095.6229617830727</v>
      </c>
      <c r="W117" s="58">
        <f>((Table3[[#This Row],[score-rt-df]]-MIN(Table3[score-rt-df]))*$G$6)/(MAX(Table3[score-rt-df])-MIN(Table3[score-rt-df]))</f>
        <v>1.8311054583211586E-3</v>
      </c>
      <c r="AY117" t="str">
        <f>Table3[[#This Row],[QW'#]]</f>
        <v>qw76</v>
      </c>
      <c r="AZ117" t="str">
        <f>VLOOKUP(Table10[[#This Row],[QW'#]],Table3[],2,FALSE)</f>
        <v>7c475bf3cc9a9226d019b2f387b3e9b2</v>
      </c>
      <c r="BA117" s="54">
        <f>IF(ABS(VLOOKUP(Table10[[#This Row],[QW'#]],Table3[],7,FALSE)-0)&lt;=$AZ$6,1,0)</f>
        <v>0</v>
      </c>
      <c r="BB117" s="54">
        <f>IF(ABS(VLOOKUP(Table10[[#This Row],[QW'#]],Table3[],22,FALSE)-0)&lt;=$AZ$6,1,0)</f>
        <v>1</v>
      </c>
      <c r="BC117" s="54">
        <f>IF(AND(Table10[[#This Row],[Retrieved]]=0, Table10[[#This Row],[Relevant]]=0),1,0)</f>
        <v>0</v>
      </c>
      <c r="BD117" s="54">
        <f>IF(AND(Table10[[#This Row],[Retrieved]]=0, Table10[[#This Row],[Relevant]]=1),1,0)</f>
        <v>1</v>
      </c>
      <c r="BE117" s="54">
        <f>IF(AND(Table10[[#This Row],[Retrieved]]=1, Table10[[#This Row],[Relevant]]=0),1,0)</f>
        <v>0</v>
      </c>
      <c r="BF117" s="54">
        <f>IF(AND(Table10[[#This Row],[Retrieved]]=1, Table10[[#This Row],[Relevant]]=1),1,0)</f>
        <v>0</v>
      </c>
    </row>
    <row r="118" spans="2:58">
      <c r="B118" s="76" t="s">
        <v>335</v>
      </c>
      <c r="C118" s="10" t="s">
        <v>203</v>
      </c>
      <c r="D118" s="8">
        <f>VLOOKUP(Table3[[#This Row],[MD5]],Input[],3,FALSE)+(Distances!$AA$6*(ABS(Distances!$AD$6-VLOOKUP(Table3[[#This Row],[MD5]],Input[],3,FALSE))*Distances!$AC$6))</f>
        <v>53.122142855</v>
      </c>
      <c r="E118" s="7">
        <f>VLOOKUP(Table3[[#This Row],[MD5]],Input[],4,FALSE)+(Distances!$AA$7*(ABS(Distances!$AD$7-VLOOKUP(Table3[[#This Row],[MD5]],Input[],4,FALSE))*Distances!$AC$7))</f>
        <v>59.466666666666669</v>
      </c>
      <c r="F118" s="7">
        <f>VLOOKUP(Table3[[#This Row],[MD5]],Input[],5,FALSE)+(Distances!$AA$8*(ABS(Distances!$AD$8-VLOOKUP(Table3[[#This Row],[MD5]],Input[],5,FALSE))*Distances!$AC$8))</f>
        <v>55.099999999999994</v>
      </c>
      <c r="G118" s="46">
        <f>SQRT(SUM((Table3[[#This Row],[time]]-Distances!$AD$6)^2,(Table3[[#This Row],[price]]-Distances!$AD$7)^2,(Table3[[#This Row],[energy]]-Distances!$AD$8)^2))</f>
        <v>11.197122567195793</v>
      </c>
      <c r="H118" s="46">
        <f>((Table3[[#This Row],[score-bt]]-MIN(Table3[score-bt]))*$G$6)/(MAX(Table3[score-bt])-MIN(Table3[score-bt]))</f>
        <v>9.7223252191376744E-2</v>
      </c>
      <c r="I118" s="8">
        <f>VLOOKUP(Table3[[#This Row],[MD5]],Input[],9,FALSE)+(Distances!$AA$6*(ABS(Distances!$AD$6-VLOOKUP(Table3[[#This Row],[MD5]],Input[],9,FALSE))*Distances!$AC$6))</f>
        <v>-22.911948483571429</v>
      </c>
      <c r="J118" s="7">
        <f>VLOOKUP(Table3[[#This Row],[MD5]],Input[],10,FALSE)+(Distances!$AA$7*(ABS(Distances!$AD$7-VLOOKUP(Table3[[#This Row],[MD5]],Input[],10,FALSE))*Distances!$AC$7))</f>
        <v>-14.900579975000007</v>
      </c>
      <c r="K118" s="7">
        <f>VLOOKUP(Table3[[#This Row],[MD5]],Input[],11,FALSE)+(Distances!$AA$8*(ABS(Distances!$AD$8-VLOOKUP(Table3[[#This Row],[MD5]],Input[],11,FALSE))*Distances!$AC$8))</f>
        <v>-6.9838921084027774</v>
      </c>
      <c r="L118" s="44">
        <f>SQRT(SUM((Table3[[#This Row],[time''2]]-Distances!$AD$6)^2,(Table3[[#This Row],[price''2]]-Distances!$AD$7)^2,(Table3[[#This Row],[energy''2]]-Distances!$AD$8)^2))</f>
        <v>113.02832155077078</v>
      </c>
      <c r="M118" s="44">
        <f>((Table3[[#This Row],[score-rt-partialcf]]-MIN(Table3[score-rt-partialcf]))*$G$6)/(MAX(Table3[score-rt-partialcf])-MIN(Table3[score-rt-partialcf]))</f>
        <v>0.99334044452019032</v>
      </c>
      <c r="N118" s="8">
        <f>VLOOKUP(Table3[[#This Row],[MD5]],Input[],15,FALSE)+(Distances!$AA$6*(ABS(Distances!$AD$6-VLOOKUP(Table3[[#This Row],[MD5]],Input[],15,FALSE))*Distances!$AC$6))</f>
        <v>-22.938501805000001</v>
      </c>
      <c r="O118" s="7">
        <f>VLOOKUP(Table3[[#This Row],[MD5]],Input[],16,FALSE)+(Distances!$AA$7*(ABS(Distances!$AD$7-VLOOKUP(Table3[[#This Row],[MD5]],Input[],16,FALSE))*Distances!$AC$7))</f>
        <v>55.593267533333339</v>
      </c>
      <c r="P118" s="7">
        <f>VLOOKUP(Table3[[#This Row],[MD5]],Input[],17,FALSE)+(Distances!$AA$8*(ABS(Distances!$AD$8-VLOOKUP(Table3[[#This Row],[MD5]],Input[],11,FALSE))*Distances!$AC$8))</f>
        <v>42.47273266868055</v>
      </c>
      <c r="Q118" s="47">
        <f>SQRT(SUM((Table3[[#This Row],[time''3]]-Distances!$AD$6)^2,(Table3[[#This Row],[price''3]]-Distances!$AD$7)^2,(Table3[[#This Row],[energy''3]]-Distances!$AD$8)^2))</f>
        <v>73.538897467493882</v>
      </c>
      <c r="R118" s="47">
        <f>((Table3[[#This Row],[score-rt-fullcf]]-MIN(Table3[score-rt-fullcf]))*$G$6)/(MAX(Table3[score-rt-fullcf])-MIN(Table3[score-rt-fullcf]))</f>
        <v>0.98423322570120997</v>
      </c>
      <c r="S118" s="8">
        <f>VLOOKUP(Table3[[#This Row],[MD5]],Input[],21,FALSE)+(Distances!$AI$6*(ABS(Distances!$L$3-VLOOKUP(Table3[[#This Row],[MD5]],Input[],21,FALSE))*Distances!$AC$6))</f>
        <v>2494.6168533333303</v>
      </c>
      <c r="T118" s="7">
        <f>VLOOKUP(Table3[[#This Row],[MD5]],Input[],22,FALSE)+(Distances!$AI$7*(ABS(Distances!$AB$7-VLOOKUP(Table3[[#This Row],[MD5]],Input[],22,FALSE))*Distances!$AC$7))</f>
        <v>1595.6368555555555</v>
      </c>
      <c r="U118" s="7">
        <f>VLOOKUP(Table3[[#This Row],[MD5]],Input[],23,FALSE)+(Distances!$AI$8*(ABS(Distances!$AD$8-VLOOKUP(Table3[[#This Row],[MD5]],Input[],23,FALSE))*Distances!$AC$8))</f>
        <v>1183.9194694444386</v>
      </c>
      <c r="V118" s="43">
        <f>SQRT(SUM((Table3[[#This Row],[time''4]]-Distances!$AD$6)^2,(Table3[[#This Row],[price''4]]-Distances!$AD$7)^2,(Table3[[#This Row],[energy''4]]-Distances!$AD$8)^2))</f>
        <v>3106.5927013430928</v>
      </c>
      <c r="W118" s="58">
        <f>((Table3[[#This Row],[score-rt-df]]-MIN(Table3[score-rt-df]))*$G$6)/(MAX(Table3[score-rt-df])-MIN(Table3[score-rt-df]))</f>
        <v>1.8401395365786766E-3</v>
      </c>
      <c r="AY118" t="str">
        <f>Table3[[#This Row],[QW'#]]</f>
        <v>qw157</v>
      </c>
      <c r="AZ118" t="str">
        <f>VLOOKUP(Table10[[#This Row],[QW'#]],Table3[],2,FALSE)</f>
        <v>96630b95bc7aaac2359c177bb486856d</v>
      </c>
      <c r="BA118" s="54">
        <f>IF(ABS(VLOOKUP(Table10[[#This Row],[QW'#]],Table3[],7,FALSE)-0)&lt;=$AZ$6,1,0)</f>
        <v>0</v>
      </c>
      <c r="BB118" s="54">
        <f>IF(ABS(VLOOKUP(Table10[[#This Row],[QW'#]],Table3[],22,FALSE)-0)&lt;=$AZ$6,1,0)</f>
        <v>1</v>
      </c>
      <c r="BC118" s="54">
        <f>IF(AND(Table10[[#This Row],[Retrieved]]=0, Table10[[#This Row],[Relevant]]=0),1,0)</f>
        <v>0</v>
      </c>
      <c r="BD118" s="54">
        <f>IF(AND(Table10[[#This Row],[Retrieved]]=0, Table10[[#This Row],[Relevant]]=1),1,0)</f>
        <v>1</v>
      </c>
      <c r="BE118" s="54">
        <f>IF(AND(Table10[[#This Row],[Retrieved]]=1, Table10[[#This Row],[Relevant]]=0),1,0)</f>
        <v>0</v>
      </c>
      <c r="BF118" s="54">
        <f>IF(AND(Table10[[#This Row],[Retrieved]]=1, Table10[[#This Row],[Relevant]]=1),1,0)</f>
        <v>0</v>
      </c>
    </row>
    <row r="119" spans="2:58">
      <c r="B119" s="76" t="s">
        <v>45</v>
      </c>
      <c r="C119" s="10" t="s">
        <v>83</v>
      </c>
      <c r="D119" s="8">
        <f>VLOOKUP(Table3[[#This Row],[MD5]],Input[],3,FALSE)+(Distances!$AA$6*(ABS(Distances!$AD$6-VLOOKUP(Table3[[#This Row],[MD5]],Input[],3,FALSE))*Distances!$AC$6))</f>
        <v>53.122142855</v>
      </c>
      <c r="E119" s="7">
        <f>VLOOKUP(Table3[[#This Row],[MD5]],Input[],4,FALSE)+(Distances!$AA$7*(ABS(Distances!$AD$7-VLOOKUP(Table3[[#This Row],[MD5]],Input[],4,FALSE))*Distances!$AC$7))</f>
        <v>59.466666666666669</v>
      </c>
      <c r="F119" s="7">
        <f>VLOOKUP(Table3[[#This Row],[MD5]],Input[],5,FALSE)+(Distances!$AA$8*(ABS(Distances!$AD$8-VLOOKUP(Table3[[#This Row],[MD5]],Input[],5,FALSE))*Distances!$AC$8))</f>
        <v>55.099999999999994</v>
      </c>
      <c r="G119" s="46">
        <f>SQRT(SUM((Table3[[#This Row],[time]]-Distances!$AD$6)^2,(Table3[[#This Row],[price]]-Distances!$AD$7)^2,(Table3[[#This Row],[energy]]-Distances!$AD$8)^2))</f>
        <v>11.197122567195793</v>
      </c>
      <c r="H119" s="46">
        <f>((Table3[[#This Row],[score-bt]]-MIN(Table3[score-bt]))*$G$6)/(MAX(Table3[score-bt])-MIN(Table3[score-bt]))</f>
        <v>9.7223252191376744E-2</v>
      </c>
      <c r="I119" s="8">
        <f>VLOOKUP(Table3[[#This Row],[MD5]],Input[],9,FALSE)+(Distances!$AA$6*(ABS(Distances!$AD$6-VLOOKUP(Table3[[#This Row],[MD5]],Input[],9,FALSE))*Distances!$AC$6))</f>
        <v>-22.911949805446429</v>
      </c>
      <c r="J119" s="7">
        <f>VLOOKUP(Table3[[#This Row],[MD5]],Input[],10,FALSE)+(Distances!$AA$7*(ABS(Distances!$AD$7-VLOOKUP(Table3[[#This Row],[MD5]],Input[],10,FALSE))*Distances!$AC$7))</f>
        <v>-14.900581725000006</v>
      </c>
      <c r="K119" s="7">
        <f>VLOOKUP(Table3[[#This Row],[MD5]],Input[],11,FALSE)+(Distances!$AA$8*(ABS(Distances!$AD$8-VLOOKUP(Table3[[#This Row],[MD5]],Input[],11,FALSE))*Distances!$AC$8))</f>
        <v>-6.9838934354861175</v>
      </c>
      <c r="L119" s="44">
        <f>SQRT(SUM((Table3[[#This Row],[time''2]]-Distances!$AD$6)^2,(Table3[[#This Row],[price''2]]-Distances!$AD$7)^2,(Table3[[#This Row],[energy''2]]-Distances!$AD$8)^2))</f>
        <v>113.02832407738417</v>
      </c>
      <c r="M119" s="44">
        <f>((Table3[[#This Row],[score-rt-partialcf]]-MIN(Table3[score-rt-partialcf]))*$G$6)/(MAX(Table3[score-rt-partialcf])-MIN(Table3[score-rt-partialcf]))</f>
        <v>0.99334046785103747</v>
      </c>
      <c r="N119" s="8">
        <f>VLOOKUP(Table3[[#This Row],[MD5]],Input[],15,FALSE)+(Distances!$AA$6*(ABS(Distances!$AD$6-VLOOKUP(Table3[[#This Row],[MD5]],Input[],15,FALSE))*Distances!$AC$6))</f>
        <v>-22.938501805000001</v>
      </c>
      <c r="O119" s="7">
        <f>VLOOKUP(Table3[[#This Row],[MD5]],Input[],16,FALSE)+(Distances!$AA$7*(ABS(Distances!$AD$7-VLOOKUP(Table3[[#This Row],[MD5]],Input[],16,FALSE))*Distances!$AC$7))</f>
        <v>55.593267533333339</v>
      </c>
      <c r="P119" s="7">
        <f>VLOOKUP(Table3[[#This Row],[MD5]],Input[],17,FALSE)+(Distances!$AA$8*(ABS(Distances!$AD$8-VLOOKUP(Table3[[#This Row],[MD5]],Input[],11,FALSE))*Distances!$AC$8))</f>
        <v>42.472732479097218</v>
      </c>
      <c r="Q119" s="47">
        <f>SQRT(SUM((Table3[[#This Row],[time''3]]-Distances!$AD$6)^2,(Table3[[#This Row],[price''3]]-Distances!$AD$7)^2,(Table3[[#This Row],[energy''3]]-Distances!$AD$8)^2))</f>
        <v>73.538897486899188</v>
      </c>
      <c r="R119" s="47">
        <f>((Table3[[#This Row],[score-rt-fullcf]]-MIN(Table3[score-rt-fullcf]))*$G$6)/(MAX(Table3[score-rt-fullcf])-MIN(Table3[score-rt-fullcf]))</f>
        <v>0.98423322629618859</v>
      </c>
      <c r="S119" s="8">
        <f>VLOOKUP(Table3[[#This Row],[MD5]],Input[],21,FALSE)+(Distances!$AI$6*(ABS(Distances!$L$3-VLOOKUP(Table3[[#This Row],[MD5]],Input[],21,FALSE))*Distances!$AC$6))</f>
        <v>2494.6168533333303</v>
      </c>
      <c r="T119" s="7">
        <f>VLOOKUP(Table3[[#This Row],[MD5]],Input[],22,FALSE)+(Distances!$AI$7*(ABS(Distances!$AB$7-VLOOKUP(Table3[[#This Row],[MD5]],Input[],22,FALSE))*Distances!$AC$7))</f>
        <v>1595.6368555555555</v>
      </c>
      <c r="U119" s="7">
        <f>VLOOKUP(Table3[[#This Row],[MD5]],Input[],23,FALSE)+(Distances!$AI$8*(ABS(Distances!$AD$8-VLOOKUP(Table3[[#This Row],[MD5]],Input[],23,FALSE))*Distances!$AC$8))</f>
        <v>1183.9194694444386</v>
      </c>
      <c r="V119" s="43">
        <f>SQRT(SUM((Table3[[#This Row],[time''4]]-Distances!$AD$6)^2,(Table3[[#This Row],[price''4]]-Distances!$AD$7)^2,(Table3[[#This Row],[energy''4]]-Distances!$AD$8)^2))</f>
        <v>3106.5927013430928</v>
      </c>
      <c r="W119" s="58">
        <f>((Table3[[#This Row],[score-rt-df]]-MIN(Table3[score-rt-df]))*$G$6)/(MAX(Table3[score-rt-df])-MIN(Table3[score-rt-df]))</f>
        <v>1.8401395365786766E-3</v>
      </c>
      <c r="AY119" t="str">
        <f>Table3[[#This Row],[QW'#]]</f>
        <v>qw37</v>
      </c>
      <c r="AZ119" t="str">
        <f>VLOOKUP(Table10[[#This Row],[QW'#]],Table3[],2,FALSE)</f>
        <v>98cc9358ee76117871251b5c85efe0be</v>
      </c>
      <c r="BA119" s="54">
        <f>IF(ABS(VLOOKUP(Table10[[#This Row],[QW'#]],Table3[],7,FALSE)-0)&lt;=$AZ$6,1,0)</f>
        <v>0</v>
      </c>
      <c r="BB119" s="54">
        <f>IF(ABS(VLOOKUP(Table10[[#This Row],[QW'#]],Table3[],22,FALSE)-0)&lt;=$AZ$6,1,0)</f>
        <v>1</v>
      </c>
      <c r="BC119" s="54">
        <f>IF(AND(Table10[[#This Row],[Retrieved]]=0, Table10[[#This Row],[Relevant]]=0),1,0)</f>
        <v>0</v>
      </c>
      <c r="BD119" s="54">
        <f>IF(AND(Table10[[#This Row],[Retrieved]]=0, Table10[[#This Row],[Relevant]]=1),1,0)</f>
        <v>1</v>
      </c>
      <c r="BE119" s="54">
        <f>IF(AND(Table10[[#This Row],[Retrieved]]=1, Table10[[#This Row],[Relevant]]=0),1,0)</f>
        <v>0</v>
      </c>
      <c r="BF119" s="54">
        <f>IF(AND(Table10[[#This Row],[Retrieved]]=1, Table10[[#This Row],[Relevant]]=1),1,0)</f>
        <v>0</v>
      </c>
    </row>
    <row r="120" spans="2:58">
      <c r="B120" s="76" t="s">
        <v>318</v>
      </c>
      <c r="C120" s="10" t="s">
        <v>186</v>
      </c>
      <c r="D120" s="8">
        <f>VLOOKUP(Table3[[#This Row],[MD5]],Input[],3,FALSE)+(Distances!$AA$6*(ABS(Distances!$AD$6-VLOOKUP(Table3[[#This Row],[MD5]],Input[],3,FALSE))*Distances!$AC$6))</f>
        <v>53.122142855</v>
      </c>
      <c r="E120" s="7">
        <f>VLOOKUP(Table3[[#This Row],[MD5]],Input[],4,FALSE)+(Distances!$AA$7*(ABS(Distances!$AD$7-VLOOKUP(Table3[[#This Row],[MD5]],Input[],4,FALSE))*Distances!$AC$7))</f>
        <v>59.466666666666669</v>
      </c>
      <c r="F120" s="7">
        <f>VLOOKUP(Table3[[#This Row],[MD5]],Input[],5,FALSE)+(Distances!$AA$8*(ABS(Distances!$AD$8-VLOOKUP(Table3[[#This Row],[MD5]],Input[],5,FALSE))*Distances!$AC$8))</f>
        <v>55.099999999999994</v>
      </c>
      <c r="G120" s="46">
        <f>SQRT(SUM((Table3[[#This Row],[time]]-Distances!$AD$6)^2,(Table3[[#This Row],[price]]-Distances!$AD$7)^2,(Table3[[#This Row],[energy]]-Distances!$AD$8)^2))</f>
        <v>11.197122567195793</v>
      </c>
      <c r="H120" s="46">
        <f>((Table3[[#This Row],[score-bt]]-MIN(Table3[score-bt]))*$G$6)/(MAX(Table3[score-bt])-MIN(Table3[score-bt]))</f>
        <v>9.7223252191376744E-2</v>
      </c>
      <c r="I120" s="8">
        <f>VLOOKUP(Table3[[#This Row],[MD5]],Input[],9,FALSE)+(Distances!$AA$6*(ABS(Distances!$AD$6-VLOOKUP(Table3[[#This Row],[MD5]],Input[],9,FALSE))*Distances!$AC$6))</f>
        <v>-22.911934383571428</v>
      </c>
      <c r="J120" s="7">
        <f>VLOOKUP(Table3[[#This Row],[MD5]],Input[],10,FALSE)+(Distances!$AA$7*(ABS(Distances!$AD$7-VLOOKUP(Table3[[#This Row],[MD5]],Input[],10,FALSE))*Distances!$AC$7))</f>
        <v>-14.90056130833333</v>
      </c>
      <c r="K120" s="7">
        <f>VLOOKUP(Table3[[#This Row],[MD5]],Input[],11,FALSE)+(Distances!$AA$8*(ABS(Distances!$AD$8-VLOOKUP(Table3[[#This Row],[MD5]],Input[],11,FALSE))*Distances!$AC$8))</f>
        <v>-6.9838779528472212</v>
      </c>
      <c r="L120" s="44">
        <f>SQRT(SUM((Table3[[#This Row],[time''2]]-Distances!$AD$6)^2,(Table3[[#This Row],[price''2]]-Distances!$AD$7)^2,(Table3[[#This Row],[energy''2]]-Distances!$AD$8)^2))</f>
        <v>113.02829460022808</v>
      </c>
      <c r="M120" s="44">
        <f>((Table3[[#This Row],[score-rt-partialcf]]-MIN(Table3[score-rt-partialcf]))*$G$6)/(MAX(Table3[score-rt-partialcf])-MIN(Table3[score-rt-partialcf]))</f>
        <v>0.99334019565782139</v>
      </c>
      <c r="N120" s="8">
        <f>VLOOKUP(Table3[[#This Row],[MD5]],Input[],15,FALSE)+(Distances!$AA$6*(ABS(Distances!$AD$6-VLOOKUP(Table3[[#This Row],[MD5]],Input[],15,FALSE))*Distances!$AC$6))</f>
        <v>-22.938497398750009</v>
      </c>
      <c r="O120" s="7">
        <f>VLOOKUP(Table3[[#This Row],[MD5]],Input[],16,FALSE)+(Distances!$AA$7*(ABS(Distances!$AD$7-VLOOKUP(Table3[[#This Row],[MD5]],Input[],16,FALSE))*Distances!$AC$7))</f>
        <v>55.593268991666669</v>
      </c>
      <c r="P120" s="7">
        <f>VLOOKUP(Table3[[#This Row],[MD5]],Input[],17,FALSE)+(Distances!$AA$8*(ABS(Distances!$AD$8-VLOOKUP(Table3[[#This Row],[MD5]],Input[],11,FALSE))*Distances!$AC$8))</f>
        <v>42.472736586736048</v>
      </c>
      <c r="Q120" s="47">
        <f>SQRT(SUM((Table3[[#This Row],[time''3]]-Distances!$AD$6)^2,(Table3[[#This Row],[price''3]]-Distances!$AD$7)^2,(Table3[[#This Row],[energy''3]]-Distances!$AD$8)^2))</f>
        <v>73.538892807094001</v>
      </c>
      <c r="R120" s="47">
        <f>((Table3[[#This Row],[score-rt-fullcf]]-MIN(Table3[score-rt-fullcf]))*$G$6)/(MAX(Table3[score-rt-fullcf])-MIN(Table3[score-rt-fullcf]))</f>
        <v>0.98423308281049726</v>
      </c>
      <c r="S120" s="8">
        <f>VLOOKUP(Table3[[#This Row],[MD5]],Input[],21,FALSE)+(Distances!$AI$6*(ABS(Distances!$L$3-VLOOKUP(Table3[[#This Row],[MD5]],Input[],21,FALSE))*Distances!$AC$6))</f>
        <v>2495.139519999997</v>
      </c>
      <c r="T120" s="7">
        <f>VLOOKUP(Table3[[#This Row],[MD5]],Input[],22,FALSE)+(Distances!$AI$7*(ABS(Distances!$AB$7-VLOOKUP(Table3[[#This Row],[MD5]],Input[],22,FALSE))*Distances!$AC$7))</f>
        <v>1595.7613000000001</v>
      </c>
      <c r="U120" s="7">
        <f>VLOOKUP(Table3[[#This Row],[MD5]],Input[],23,FALSE)+(Distances!$AI$8*(ABS(Distances!$AD$8-VLOOKUP(Table3[[#This Row],[MD5]],Input[],23,FALSE))*Distances!$AC$8))</f>
        <v>1184.0128027777721</v>
      </c>
      <c r="V120" s="43">
        <f>SQRT(SUM((Table3[[#This Row],[time''4]]-Distances!$AD$6)^2,(Table3[[#This Row],[price''4]]-Distances!$AD$7)^2,(Table3[[#This Row],[energy''4]]-Distances!$AD$8)^2))</f>
        <v>3107.0999832170519</v>
      </c>
      <c r="W120" s="58">
        <f>((Table3[[#This Row],[score-rt-df]]-MIN(Table3[score-rt-df]))*$G$6)/(MAX(Table3[score-rt-df])-MIN(Table3[score-rt-df]))</f>
        <v>1.8405573062187754E-3</v>
      </c>
      <c r="AY120" t="str">
        <f>Table3[[#This Row],[QW'#]]</f>
        <v>qw140</v>
      </c>
      <c r="AZ120" t="str">
        <f>VLOOKUP(Table10[[#This Row],[QW'#]],Table3[],2,FALSE)</f>
        <v>60995b261771d2cd3b77ad74e64033b3</v>
      </c>
      <c r="BA120" s="54">
        <f>IF(ABS(VLOOKUP(Table10[[#This Row],[QW'#]],Table3[],7,FALSE)-0)&lt;=$AZ$6,1,0)</f>
        <v>0</v>
      </c>
      <c r="BB120" s="54">
        <f>IF(ABS(VLOOKUP(Table10[[#This Row],[QW'#]],Table3[],22,FALSE)-0)&lt;=$AZ$6,1,0)</f>
        <v>1</v>
      </c>
      <c r="BC120" s="54">
        <f>IF(AND(Table10[[#This Row],[Retrieved]]=0, Table10[[#This Row],[Relevant]]=0),1,0)</f>
        <v>0</v>
      </c>
      <c r="BD120" s="54">
        <f>IF(AND(Table10[[#This Row],[Retrieved]]=0, Table10[[#This Row],[Relevant]]=1),1,0)</f>
        <v>1</v>
      </c>
      <c r="BE120" s="54">
        <f>IF(AND(Table10[[#This Row],[Retrieved]]=1, Table10[[#This Row],[Relevant]]=0),1,0)</f>
        <v>0</v>
      </c>
      <c r="BF120" s="54">
        <f>IF(AND(Table10[[#This Row],[Retrieved]]=1, Table10[[#This Row],[Relevant]]=1),1,0)</f>
        <v>0</v>
      </c>
    </row>
    <row r="121" spans="2:58">
      <c r="B121" s="76" t="s">
        <v>27</v>
      </c>
      <c r="C121" s="10" t="s">
        <v>65</v>
      </c>
      <c r="D121" s="8">
        <f>VLOOKUP(Table3[[#This Row],[MD5]],Input[],3,FALSE)+(Distances!$AA$6*(ABS(Distances!$AD$6-VLOOKUP(Table3[[#This Row],[MD5]],Input[],3,FALSE))*Distances!$AC$6))</f>
        <v>53.122142855</v>
      </c>
      <c r="E121" s="7">
        <f>VLOOKUP(Table3[[#This Row],[MD5]],Input[],4,FALSE)+(Distances!$AA$7*(ABS(Distances!$AD$7-VLOOKUP(Table3[[#This Row],[MD5]],Input[],4,FALSE))*Distances!$AC$7))</f>
        <v>59.466666666666669</v>
      </c>
      <c r="F121" s="7">
        <f>VLOOKUP(Table3[[#This Row],[MD5]],Input[],5,FALSE)+(Distances!$AA$8*(ABS(Distances!$AD$8-VLOOKUP(Table3[[#This Row],[MD5]],Input[],5,FALSE))*Distances!$AC$8))</f>
        <v>55.099999999999994</v>
      </c>
      <c r="G121" s="46">
        <f>SQRT(SUM((Table3[[#This Row],[time]]-Distances!$AD$6)^2,(Table3[[#This Row],[price]]-Distances!$AD$7)^2,(Table3[[#This Row],[energy]]-Distances!$AD$8)^2))</f>
        <v>11.197122567195793</v>
      </c>
      <c r="H121" s="46">
        <f>((Table3[[#This Row],[score-bt]]-MIN(Table3[score-bt]))*$G$6)/(MAX(Table3[score-bt])-MIN(Table3[score-bt]))</f>
        <v>9.7223252191376744E-2</v>
      </c>
      <c r="I121" s="8">
        <f>VLOOKUP(Table3[[#This Row],[MD5]],Input[],9,FALSE)+(Distances!$AA$6*(ABS(Distances!$AD$6-VLOOKUP(Table3[[#This Row],[MD5]],Input[],9,FALSE))*Distances!$AC$6))</f>
        <v>-22.911942755446429</v>
      </c>
      <c r="J121" s="7">
        <f>VLOOKUP(Table3[[#This Row],[MD5]],Input[],10,FALSE)+(Distances!$AA$7*(ABS(Distances!$AD$7-VLOOKUP(Table3[[#This Row],[MD5]],Input[],10,FALSE))*Distances!$AC$7))</f>
        <v>-14.900572391666664</v>
      </c>
      <c r="K121" s="7">
        <f>VLOOKUP(Table3[[#This Row],[MD5]],Input[],11,FALSE)+(Distances!$AA$8*(ABS(Distances!$AD$8-VLOOKUP(Table3[[#This Row],[MD5]],Input[],11,FALSE))*Distances!$AC$8))</f>
        <v>-6.9838863577083332</v>
      </c>
      <c r="L121" s="44">
        <f>SQRT(SUM((Table3[[#This Row],[time''2]]-Distances!$AD$6)^2,(Table3[[#This Row],[price''2]]-Distances!$AD$7)^2,(Table3[[#This Row],[energy''2]]-Distances!$AD$8)^2))</f>
        <v>113.02831060211278</v>
      </c>
      <c r="M121" s="44">
        <f>((Table3[[#This Row],[score-rt-partialcf]]-MIN(Table3[score-rt-partialcf]))*$G$6)/(MAX(Table3[score-rt-partialcf])-MIN(Table3[score-rt-partialcf]))</f>
        <v>0.99334034341985267</v>
      </c>
      <c r="N121" s="8">
        <f>VLOOKUP(Table3[[#This Row],[MD5]],Input[],15,FALSE)+(Distances!$AA$6*(ABS(Distances!$AD$6-VLOOKUP(Table3[[#This Row],[MD5]],Input[],15,FALSE))*Distances!$AC$6))</f>
        <v>-22.938497398750009</v>
      </c>
      <c r="O121" s="7">
        <f>VLOOKUP(Table3[[#This Row],[MD5]],Input[],16,FALSE)+(Distances!$AA$7*(ABS(Distances!$AD$7-VLOOKUP(Table3[[#This Row],[MD5]],Input[],16,FALSE))*Distances!$AC$7))</f>
        <v>55.593268991666669</v>
      </c>
      <c r="P121" s="7">
        <f>VLOOKUP(Table3[[#This Row],[MD5]],Input[],17,FALSE)+(Distances!$AA$8*(ABS(Distances!$AD$8-VLOOKUP(Table3[[#This Row],[MD5]],Input[],11,FALSE))*Distances!$AC$8))</f>
        <v>42.472735386041599</v>
      </c>
      <c r="Q121" s="47">
        <f>SQRT(SUM((Table3[[#This Row],[time''3]]-Distances!$AD$6)^2,(Table3[[#This Row],[price''3]]-Distances!$AD$7)^2,(Table3[[#This Row],[energy''3]]-Distances!$AD$8)^2))</f>
        <v>73.538892929994205</v>
      </c>
      <c r="R121" s="47">
        <f>((Table3[[#This Row],[score-rt-fullcf]]-MIN(Table3[score-rt-fullcf]))*$G$6)/(MAX(Table3[score-rt-fullcf])-MIN(Table3[score-rt-fullcf]))</f>
        <v>0.98423308657869268</v>
      </c>
      <c r="S121" s="8">
        <f>VLOOKUP(Table3[[#This Row],[MD5]],Input[],21,FALSE)+(Distances!$AI$6*(ABS(Distances!$L$3-VLOOKUP(Table3[[#This Row],[MD5]],Input[],21,FALSE))*Distances!$AC$6))</f>
        <v>2495.139519999997</v>
      </c>
      <c r="T121" s="7">
        <f>VLOOKUP(Table3[[#This Row],[MD5]],Input[],22,FALSE)+(Distances!$AI$7*(ABS(Distances!$AB$7-VLOOKUP(Table3[[#This Row],[MD5]],Input[],22,FALSE))*Distances!$AC$7))</f>
        <v>1595.7613000000001</v>
      </c>
      <c r="U121" s="7">
        <f>VLOOKUP(Table3[[#This Row],[MD5]],Input[],23,FALSE)+(Distances!$AI$8*(ABS(Distances!$AD$8-VLOOKUP(Table3[[#This Row],[MD5]],Input[],23,FALSE))*Distances!$AC$8))</f>
        <v>1184.0128027777721</v>
      </c>
      <c r="V121" s="43">
        <f>SQRT(SUM((Table3[[#This Row],[time''4]]-Distances!$AD$6)^2,(Table3[[#This Row],[price''4]]-Distances!$AD$7)^2,(Table3[[#This Row],[energy''4]]-Distances!$AD$8)^2))</f>
        <v>3107.0999832170519</v>
      </c>
      <c r="W121" s="58">
        <f>((Table3[[#This Row],[score-rt-df]]-MIN(Table3[score-rt-df]))*$G$6)/(MAX(Table3[score-rt-df])-MIN(Table3[score-rt-df]))</f>
        <v>1.8405573062187754E-3</v>
      </c>
      <c r="AY121" t="str">
        <f>Table3[[#This Row],[QW'#]]</f>
        <v>qw19</v>
      </c>
      <c r="AZ121" t="str">
        <f>VLOOKUP(Table10[[#This Row],[QW'#]],Table3[],2,FALSE)</f>
        <v>d8da303d1685bf1a6bc98025de81c0c0</v>
      </c>
      <c r="BA121" s="54">
        <f>IF(ABS(VLOOKUP(Table10[[#This Row],[QW'#]],Table3[],7,FALSE)-0)&lt;=$AZ$6,1,0)</f>
        <v>0</v>
      </c>
      <c r="BB121" s="54">
        <f>IF(ABS(VLOOKUP(Table10[[#This Row],[QW'#]],Table3[],22,FALSE)-0)&lt;=$AZ$6,1,0)</f>
        <v>1</v>
      </c>
      <c r="BC121" s="54">
        <f>IF(AND(Table10[[#This Row],[Retrieved]]=0, Table10[[#This Row],[Relevant]]=0),1,0)</f>
        <v>0</v>
      </c>
      <c r="BD121" s="54">
        <f>IF(AND(Table10[[#This Row],[Retrieved]]=0, Table10[[#This Row],[Relevant]]=1),1,0)</f>
        <v>1</v>
      </c>
      <c r="BE121" s="54">
        <f>IF(AND(Table10[[#This Row],[Retrieved]]=1, Table10[[#This Row],[Relevant]]=0),1,0)</f>
        <v>0</v>
      </c>
      <c r="BF121" s="54">
        <f>IF(AND(Table10[[#This Row],[Retrieved]]=1, Table10[[#This Row],[Relevant]]=1),1,0)</f>
        <v>0</v>
      </c>
    </row>
    <row r="122" spans="2:58">
      <c r="B122" s="76" t="s">
        <v>220</v>
      </c>
      <c r="C122" s="10" t="s">
        <v>88</v>
      </c>
      <c r="D122" s="8">
        <f>VLOOKUP(Table3[[#This Row],[MD5]],Input[],3,FALSE)+(Distances!$AA$6*(ABS(Distances!$AD$6-VLOOKUP(Table3[[#This Row],[MD5]],Input[],3,FALSE))*Distances!$AC$6))</f>
        <v>53.122142855</v>
      </c>
      <c r="E122" s="7">
        <f>VLOOKUP(Table3[[#This Row],[MD5]],Input[],4,FALSE)+(Distances!$AA$7*(ABS(Distances!$AD$7-VLOOKUP(Table3[[#This Row],[MD5]],Input[],4,FALSE))*Distances!$AC$7))</f>
        <v>59.466666666666669</v>
      </c>
      <c r="F122" s="7">
        <f>VLOOKUP(Table3[[#This Row],[MD5]],Input[],5,FALSE)+(Distances!$AA$8*(ABS(Distances!$AD$8-VLOOKUP(Table3[[#This Row],[MD5]],Input[],5,FALSE))*Distances!$AC$8))</f>
        <v>55.099999999999994</v>
      </c>
      <c r="G122" s="46">
        <f>SQRT(SUM((Table3[[#This Row],[time]]-Distances!$AD$6)^2,(Table3[[#This Row],[price]]-Distances!$AD$7)^2,(Table3[[#This Row],[energy]]-Distances!$AD$8)^2))</f>
        <v>11.197122567195793</v>
      </c>
      <c r="H122" s="46">
        <f>((Table3[[#This Row],[score-bt]]-MIN(Table3[score-bt]))*$G$6)/(MAX(Table3[score-bt])-MIN(Table3[score-bt]))</f>
        <v>9.7223252191376744E-2</v>
      </c>
      <c r="I122" s="8">
        <f>VLOOKUP(Table3[[#This Row],[MD5]],Input[],9,FALSE)+(Distances!$AA$6*(ABS(Distances!$AD$6-VLOOKUP(Table3[[#This Row],[MD5]],Input[],9,FALSE))*Distances!$AC$6))</f>
        <v>-22.911940111696431</v>
      </c>
      <c r="J122" s="7">
        <f>VLOOKUP(Table3[[#This Row],[MD5]],Input[],10,FALSE)+(Distances!$AA$7*(ABS(Distances!$AD$7-VLOOKUP(Table3[[#This Row],[MD5]],Input[],10,FALSE))*Distances!$AC$7))</f>
        <v>-14.900568891666673</v>
      </c>
      <c r="K122" s="7">
        <f>VLOOKUP(Table3[[#This Row],[MD5]],Input[],11,FALSE)+(Distances!$AA$8*(ABS(Distances!$AD$8-VLOOKUP(Table3[[#This Row],[MD5]],Input[],11,FALSE))*Distances!$AC$8))</f>
        <v>-6.9838837035416663</v>
      </c>
      <c r="L122" s="44">
        <f>SQRT(SUM((Table3[[#This Row],[time''2]]-Distances!$AD$6)^2,(Table3[[#This Row],[price''2]]-Distances!$AD$7)^2,(Table3[[#This Row],[energy''2]]-Distances!$AD$8)^2))</f>
        <v>113.02830554888602</v>
      </c>
      <c r="M122" s="44">
        <f>((Table3[[#This Row],[score-rt-partialcf]]-MIN(Table3[score-rt-partialcf]))*$G$6)/(MAX(Table3[score-rt-partialcf])-MIN(Table3[score-rt-partialcf]))</f>
        <v>0.99334029675815849</v>
      </c>
      <c r="N122" s="8">
        <f>VLOOKUP(Table3[[#This Row],[MD5]],Input[],15,FALSE)+(Distances!$AA$6*(ABS(Distances!$AD$6-VLOOKUP(Table3[[#This Row],[MD5]],Input[],15,FALSE))*Distances!$AC$6))</f>
        <v>-22.938492992500002</v>
      </c>
      <c r="O122" s="7">
        <f>VLOOKUP(Table3[[#This Row],[MD5]],Input[],16,FALSE)+(Distances!$AA$7*(ABS(Distances!$AD$7-VLOOKUP(Table3[[#This Row],[MD5]],Input[],16,FALSE))*Distances!$AC$7))</f>
        <v>55.593270449999999</v>
      </c>
      <c r="P122" s="7">
        <f>VLOOKUP(Table3[[#This Row],[MD5]],Input[],17,FALSE)+(Distances!$AA$8*(ABS(Distances!$AD$8-VLOOKUP(Table3[[#This Row],[MD5]],Input[],11,FALSE))*Distances!$AC$8))</f>
        <v>42.472737661041663</v>
      </c>
      <c r="Q122" s="47">
        <f>SQRT(SUM((Table3[[#This Row],[time''3]]-Distances!$AD$6)^2,(Table3[[#This Row],[price''3]]-Distances!$AD$7)^2,(Table3[[#This Row],[energy''3]]-Distances!$AD$8)^2))</f>
        <v>73.538888437773622</v>
      </c>
      <c r="R122" s="47">
        <f>((Table3[[#This Row],[score-rt-fullcf]]-MIN(Table3[score-rt-fullcf]))*$G$6)/(MAX(Table3[score-rt-fullcf])-MIN(Table3[score-rt-fullcf]))</f>
        <v>0.98423294884446011</v>
      </c>
      <c r="S122" s="8">
        <f>VLOOKUP(Table3[[#This Row],[MD5]],Input[],21,FALSE)+(Distances!$AI$6*(ABS(Distances!$L$3-VLOOKUP(Table3[[#This Row],[MD5]],Input[],21,FALSE))*Distances!$AC$6))</f>
        <v>2495.9608533333303</v>
      </c>
      <c r="T122" s="7">
        <f>VLOOKUP(Table3[[#This Row],[MD5]],Input[],22,FALSE)+(Distances!$AI$7*(ABS(Distances!$AB$7-VLOOKUP(Table3[[#This Row],[MD5]],Input[],22,FALSE))*Distances!$AC$7))</f>
        <v>1595.9568555555556</v>
      </c>
      <c r="U122" s="7">
        <f>VLOOKUP(Table3[[#This Row],[MD5]],Input[],23,FALSE)+(Distances!$AI$8*(ABS(Distances!$AD$8-VLOOKUP(Table3[[#This Row],[MD5]],Input[],23,FALSE))*Distances!$AC$8))</f>
        <v>1184.1594694444389</v>
      </c>
      <c r="V122" s="43">
        <f>SQRT(SUM((Table3[[#This Row],[time''4]]-Distances!$AD$6)^2,(Table3[[#This Row],[price''4]]-Distances!$AD$7)^2,(Table3[[#This Row],[energy''4]]-Distances!$AD$8)^2))</f>
        <v>3107.8971664791011</v>
      </c>
      <c r="W122" s="58">
        <f>((Table3[[#This Row],[score-rt-df]]-MIN(Table3[score-rt-df]))*$G$6)/(MAX(Table3[score-rt-df])-MIN(Table3[score-rt-df]))</f>
        <v>1.841213822805658E-3</v>
      </c>
      <c r="AY122" t="str">
        <f>Table3[[#This Row],[QW'#]]</f>
        <v>qw42</v>
      </c>
      <c r="AZ122" t="str">
        <f>VLOOKUP(Table10[[#This Row],[QW'#]],Table3[],2,FALSE)</f>
        <v>206051490d53e58236d46c20bd9f4f5c</v>
      </c>
      <c r="BA122" s="54">
        <f>IF(ABS(VLOOKUP(Table10[[#This Row],[QW'#]],Table3[],7,FALSE)-0)&lt;=$AZ$6,1,0)</f>
        <v>0</v>
      </c>
      <c r="BB122" s="54">
        <f>IF(ABS(VLOOKUP(Table10[[#This Row],[QW'#]],Table3[],22,FALSE)-0)&lt;=$AZ$6,1,0)</f>
        <v>1</v>
      </c>
      <c r="BC122" s="54">
        <f>IF(AND(Table10[[#This Row],[Retrieved]]=0, Table10[[#This Row],[Relevant]]=0),1,0)</f>
        <v>0</v>
      </c>
      <c r="BD122" s="54">
        <f>IF(AND(Table10[[#This Row],[Retrieved]]=0, Table10[[#This Row],[Relevant]]=1),1,0)</f>
        <v>1</v>
      </c>
      <c r="BE122" s="54">
        <f>IF(AND(Table10[[#This Row],[Retrieved]]=1, Table10[[#This Row],[Relevant]]=0),1,0)</f>
        <v>0</v>
      </c>
      <c r="BF122" s="54">
        <f>IF(AND(Table10[[#This Row],[Retrieved]]=1, Table10[[#This Row],[Relevant]]=1),1,0)</f>
        <v>0</v>
      </c>
    </row>
    <row r="123" spans="2:58">
      <c r="B123" s="76" t="s">
        <v>256</v>
      </c>
      <c r="C123" s="10" t="s">
        <v>124</v>
      </c>
      <c r="D123" s="8">
        <f>VLOOKUP(Table3[[#This Row],[MD5]],Input[],3,FALSE)+(Distances!$AA$6*(ABS(Distances!$AD$6-VLOOKUP(Table3[[#This Row],[MD5]],Input[],3,FALSE))*Distances!$AC$6))</f>
        <v>53.122142855</v>
      </c>
      <c r="E123" s="7">
        <f>VLOOKUP(Table3[[#This Row],[MD5]],Input[],4,FALSE)+(Distances!$AA$7*(ABS(Distances!$AD$7-VLOOKUP(Table3[[#This Row],[MD5]],Input[],4,FALSE))*Distances!$AC$7))</f>
        <v>59.466666666666669</v>
      </c>
      <c r="F123" s="7">
        <f>VLOOKUP(Table3[[#This Row],[MD5]],Input[],5,FALSE)+(Distances!$AA$8*(ABS(Distances!$AD$8-VLOOKUP(Table3[[#This Row],[MD5]],Input[],5,FALSE))*Distances!$AC$8))</f>
        <v>55.099999999999994</v>
      </c>
      <c r="G123" s="46">
        <f>SQRT(SUM((Table3[[#This Row],[time]]-Distances!$AD$6)^2,(Table3[[#This Row],[price]]-Distances!$AD$7)^2,(Table3[[#This Row],[energy]]-Distances!$AD$8)^2))</f>
        <v>11.197122567195793</v>
      </c>
      <c r="H123" s="46">
        <f>((Table3[[#This Row],[score-bt]]-MIN(Table3[score-bt]))*$G$6)/(MAX(Table3[score-bt])-MIN(Table3[score-bt]))</f>
        <v>9.7223252191376744E-2</v>
      </c>
      <c r="I123" s="8">
        <f>VLOOKUP(Table3[[#This Row],[MD5]],Input[],9,FALSE)+(Distances!$AA$6*(ABS(Distances!$AD$6-VLOOKUP(Table3[[#This Row],[MD5]],Input[],9,FALSE))*Distances!$AC$6))</f>
        <v>-22.911933061696431</v>
      </c>
      <c r="J123" s="7">
        <f>VLOOKUP(Table3[[#This Row],[MD5]],Input[],10,FALSE)+(Distances!$AA$7*(ABS(Distances!$AD$7-VLOOKUP(Table3[[#This Row],[MD5]],Input[],10,FALSE))*Distances!$AC$7))</f>
        <v>-14.900559558333342</v>
      </c>
      <c r="K123" s="7">
        <f>VLOOKUP(Table3[[#This Row],[MD5]],Input[],11,FALSE)+(Distances!$AA$8*(ABS(Distances!$AD$8-VLOOKUP(Table3[[#This Row],[MD5]],Input[],11,FALSE))*Distances!$AC$8))</f>
        <v>-6.9838766257638891</v>
      </c>
      <c r="L123" s="44">
        <f>SQRT(SUM((Table3[[#This Row],[time''2]]-Distances!$AD$6)^2,(Table3[[#This Row],[price''2]]-Distances!$AD$7)^2,(Table3[[#This Row],[energy''2]]-Distances!$AD$8)^2))</f>
        <v>113.02829207361472</v>
      </c>
      <c r="M123" s="44">
        <f>((Table3[[#This Row],[score-rt-partialcf]]-MIN(Table3[score-rt-partialcf]))*$G$6)/(MAX(Table3[score-rt-partialcf])-MIN(Table3[score-rt-partialcf]))</f>
        <v>0.99334017232697458</v>
      </c>
      <c r="N123" s="8">
        <f>VLOOKUP(Table3[[#This Row],[MD5]],Input[],15,FALSE)+(Distances!$AA$6*(ABS(Distances!$AD$6-VLOOKUP(Table3[[#This Row],[MD5]],Input[],15,FALSE))*Distances!$AC$6))</f>
        <v>-22.938492992500002</v>
      </c>
      <c r="O123" s="7">
        <f>VLOOKUP(Table3[[#This Row],[MD5]],Input[],16,FALSE)+(Distances!$AA$7*(ABS(Distances!$AD$7-VLOOKUP(Table3[[#This Row],[MD5]],Input[],16,FALSE))*Distances!$AC$7))</f>
        <v>55.593270449999999</v>
      </c>
      <c r="P123" s="7">
        <f>VLOOKUP(Table3[[#This Row],[MD5]],Input[],17,FALSE)+(Distances!$AA$8*(ABS(Distances!$AD$8-VLOOKUP(Table3[[#This Row],[MD5]],Input[],11,FALSE))*Distances!$AC$8))</f>
        <v>42.472738672152779</v>
      </c>
      <c r="Q123" s="47">
        <f>SQRT(SUM((Table3[[#This Row],[time''3]]-Distances!$AD$6)^2,(Table3[[#This Row],[price''3]]-Distances!$AD$7)^2,(Table3[[#This Row],[energy''3]]-Distances!$AD$8)^2))</f>
        <v>73.538888334278752</v>
      </c>
      <c r="R123" s="47">
        <f>((Table3[[#This Row],[score-rt-fullcf]]-MIN(Table3[score-rt-fullcf]))*$G$6)/(MAX(Table3[score-rt-fullcf])-MIN(Table3[score-rt-fullcf]))</f>
        <v>0.98423294567124409</v>
      </c>
      <c r="S123" s="8">
        <f>VLOOKUP(Table3[[#This Row],[MD5]],Input[],21,FALSE)+(Distances!$AI$6*(ABS(Distances!$L$3-VLOOKUP(Table3[[#This Row],[MD5]],Input[],21,FALSE))*Distances!$AC$6))</f>
        <v>2495.9608533333303</v>
      </c>
      <c r="T123" s="7">
        <f>VLOOKUP(Table3[[#This Row],[MD5]],Input[],22,FALSE)+(Distances!$AI$7*(ABS(Distances!$AB$7-VLOOKUP(Table3[[#This Row],[MD5]],Input[],22,FALSE))*Distances!$AC$7))</f>
        <v>1595.9568555555556</v>
      </c>
      <c r="U123" s="7">
        <f>VLOOKUP(Table3[[#This Row],[MD5]],Input[],23,FALSE)+(Distances!$AI$8*(ABS(Distances!$AD$8-VLOOKUP(Table3[[#This Row],[MD5]],Input[],23,FALSE))*Distances!$AC$8))</f>
        <v>1184.1594694444389</v>
      </c>
      <c r="V123" s="43">
        <f>SQRT(SUM((Table3[[#This Row],[time''4]]-Distances!$AD$6)^2,(Table3[[#This Row],[price''4]]-Distances!$AD$7)^2,(Table3[[#This Row],[energy''4]]-Distances!$AD$8)^2))</f>
        <v>3107.8971664791011</v>
      </c>
      <c r="W123" s="58">
        <f>((Table3[[#This Row],[score-rt-df]]-MIN(Table3[score-rt-df]))*$G$6)/(MAX(Table3[score-rt-df])-MIN(Table3[score-rt-df]))</f>
        <v>1.841213822805658E-3</v>
      </c>
      <c r="AY123" t="str">
        <f>Table3[[#This Row],[QW'#]]</f>
        <v>qw78</v>
      </c>
      <c r="AZ123" t="str">
        <f>VLOOKUP(Table10[[#This Row],[QW'#]],Table3[],2,FALSE)</f>
        <v>348961373ddba57393e722ae8b491a02</v>
      </c>
      <c r="BA123" s="54">
        <f>IF(ABS(VLOOKUP(Table10[[#This Row],[QW'#]],Table3[],7,FALSE)-0)&lt;=$AZ$6,1,0)</f>
        <v>0</v>
      </c>
      <c r="BB123" s="54">
        <f>IF(ABS(VLOOKUP(Table10[[#This Row],[QW'#]],Table3[],22,FALSE)-0)&lt;=$AZ$6,1,0)</f>
        <v>1</v>
      </c>
      <c r="BC123" s="54">
        <f>IF(AND(Table10[[#This Row],[Retrieved]]=0, Table10[[#This Row],[Relevant]]=0),1,0)</f>
        <v>0</v>
      </c>
      <c r="BD123" s="54">
        <f>IF(AND(Table10[[#This Row],[Retrieved]]=0, Table10[[#This Row],[Relevant]]=1),1,0)</f>
        <v>1</v>
      </c>
      <c r="BE123" s="54">
        <f>IF(AND(Table10[[#This Row],[Retrieved]]=1, Table10[[#This Row],[Relevant]]=0),1,0)</f>
        <v>0</v>
      </c>
      <c r="BF123" s="54">
        <f>IF(AND(Table10[[#This Row],[Retrieved]]=1, Table10[[#This Row],[Relevant]]=1),1,0)</f>
        <v>0</v>
      </c>
    </row>
    <row r="124" spans="2:58">
      <c r="B124" s="76" t="s">
        <v>300</v>
      </c>
      <c r="C124" s="10" t="s">
        <v>168</v>
      </c>
      <c r="D124" s="8">
        <f>VLOOKUP(Table3[[#This Row],[MD5]],Input[],3,FALSE)+(Distances!$AA$6*(ABS(Distances!$AD$6-VLOOKUP(Table3[[#This Row],[MD5]],Input[],3,FALSE))*Distances!$AC$6))</f>
        <v>53.122142855</v>
      </c>
      <c r="E124" s="7">
        <f>VLOOKUP(Table3[[#This Row],[MD5]],Input[],4,FALSE)+(Distances!$AA$7*(ABS(Distances!$AD$7-VLOOKUP(Table3[[#This Row],[MD5]],Input[],4,FALSE))*Distances!$AC$7))</f>
        <v>59.466666666666669</v>
      </c>
      <c r="F124" s="7">
        <f>VLOOKUP(Table3[[#This Row],[MD5]],Input[],5,FALSE)+(Distances!$AA$8*(ABS(Distances!$AD$8-VLOOKUP(Table3[[#This Row],[MD5]],Input[],5,FALSE))*Distances!$AC$8))</f>
        <v>55.099999999999994</v>
      </c>
      <c r="G124" s="46">
        <f>SQRT(SUM((Table3[[#This Row],[time]]-Distances!$AD$6)^2,(Table3[[#This Row],[price]]-Distances!$AD$7)^2,(Table3[[#This Row],[energy]]-Distances!$AD$8)^2))</f>
        <v>11.197122567195793</v>
      </c>
      <c r="H124" s="46">
        <f>((Table3[[#This Row],[score-bt]]-MIN(Table3[score-bt]))*$G$6)/(MAX(Table3[score-bt])-MIN(Table3[score-bt]))</f>
        <v>9.7223252191376744E-2</v>
      </c>
      <c r="I124" s="8">
        <f>VLOOKUP(Table3[[#This Row],[MD5]],Input[],9,FALSE)+(Distances!$AA$6*(ABS(Distances!$AD$6-VLOOKUP(Table3[[#This Row],[MD5]],Input[],9,FALSE))*Distances!$AC$6))</f>
        <v>-22.815809335446431</v>
      </c>
      <c r="J124" s="7">
        <f>VLOOKUP(Table3[[#This Row],[MD5]],Input[],10,FALSE)+(Distances!$AA$7*(ABS(Distances!$AD$7-VLOOKUP(Table3[[#This Row],[MD5]],Input[],10,FALSE))*Distances!$AC$7))</f>
        <v>-14.791651575000007</v>
      </c>
      <c r="K124" s="7">
        <f>VLOOKUP(Table3[[#This Row],[MD5]],Input[],11,FALSE)+(Distances!$AA$8*(ABS(Distances!$AD$8-VLOOKUP(Table3[[#This Row],[MD5]],Input[],11,FALSE))*Distances!$AC$8))</f>
        <v>-6.9010403359027839</v>
      </c>
      <c r="L124" s="44">
        <f>SQRT(SUM((Table3[[#This Row],[time''2]]-Distances!$AD$6)^2,(Table3[[#This Row],[price''2]]-Distances!$AD$7)^2,(Table3[[#This Row],[energy''2]]-Distances!$AD$8)^2))</f>
        <v>112.86198914736671</v>
      </c>
      <c r="M124" s="44">
        <f>((Table3[[#This Row],[score-rt-partialcf]]-MIN(Table3[score-rt-partialcf]))*$G$6)/(MAX(Table3[score-rt-partialcf])-MIN(Table3[score-rt-partialcf]))</f>
        <v>0.99180452457999291</v>
      </c>
      <c r="N124" s="8">
        <f>VLOOKUP(Table3[[#This Row],[MD5]],Input[],15,FALSE)+(Distances!$AA$6*(ABS(Distances!$AD$6-VLOOKUP(Table3[[#This Row],[MD5]],Input[],15,FALSE))*Distances!$AC$6))</f>
        <v>-22.897366316250011</v>
      </c>
      <c r="O124" s="7">
        <f>VLOOKUP(Table3[[#This Row],[MD5]],Input[],16,FALSE)+(Distances!$AA$7*(ABS(Distances!$AD$7-VLOOKUP(Table3[[#This Row],[MD5]],Input[],16,FALSE))*Distances!$AC$7))</f>
        <v>55.615043774999997</v>
      </c>
      <c r="P124" s="7">
        <f>VLOOKUP(Table3[[#This Row],[MD5]],Input[],17,FALSE)+(Distances!$AA$8*(ABS(Distances!$AD$8-VLOOKUP(Table3[[#This Row],[MD5]],Input[],11,FALSE))*Distances!$AC$8))</f>
        <v>42.513090095347152</v>
      </c>
      <c r="Q124" s="47">
        <f>SQRT(SUM((Table3[[#This Row],[time''3]]-Distances!$AD$6)^2,(Table3[[#This Row],[price''3]]-Distances!$AD$7)^2,(Table3[[#This Row],[energy''3]]-Distances!$AD$8)^2))</f>
        <v>73.495636281082</v>
      </c>
      <c r="R124" s="47">
        <f>((Table3[[#This Row],[score-rt-fullcf]]-MIN(Table3[score-rt-fullcf]))*$G$6)/(MAX(Table3[score-rt-fullcf])-MIN(Table3[score-rt-fullcf]))</f>
        <v>0.98290681124742452</v>
      </c>
      <c r="S124" s="8">
        <f>VLOOKUP(Table3[[#This Row],[MD5]],Input[],21,FALSE)+(Distances!$AI$6*(ABS(Distances!$L$3-VLOOKUP(Table3[[#This Row],[MD5]],Input[],21,FALSE))*Distances!$AC$6))</f>
        <v>2809.8721433333299</v>
      </c>
      <c r="T124" s="7">
        <f>VLOOKUP(Table3[[#This Row],[MD5]],Input[],22,FALSE)+(Distances!$AI$7*(ABS(Distances!$AB$7-VLOOKUP(Table3[[#This Row],[MD5]],Input[],22,FALSE))*Distances!$AC$7))</f>
        <v>1877.1438222222223</v>
      </c>
      <c r="U124" s="7">
        <f>VLOOKUP(Table3[[#This Row],[MD5]],Input[],23,FALSE)+(Distances!$AI$8*(ABS(Distances!$AD$8-VLOOKUP(Table3[[#This Row],[MD5]],Input[],23,FALSE))*Distances!$AC$8))</f>
        <v>1392.2519111111055</v>
      </c>
      <c r="V124" s="43">
        <f>SQRT(SUM((Table3[[#This Row],[time''4]]-Distances!$AD$6)^2,(Table3[[#This Row],[price''4]]-Distances!$AD$7)^2,(Table3[[#This Row],[energy''4]]-Distances!$AD$8)^2))</f>
        <v>3571.692734196708</v>
      </c>
      <c r="W124" s="58">
        <f>((Table3[[#This Row],[score-rt-df]]-MIN(Table3[score-rt-df]))*$G$6)/(MAX(Table3[score-rt-df])-MIN(Table3[score-rt-df]))</f>
        <v>2.223170516610991E-3</v>
      </c>
      <c r="AY124" t="str">
        <f>Table3[[#This Row],[QW'#]]</f>
        <v>qw122</v>
      </c>
      <c r="AZ124" t="str">
        <f>VLOOKUP(Table10[[#This Row],[QW'#]],Table3[],2,FALSE)</f>
        <v>6a7fb6d5f9a8d03a3b08e03891981d3a</v>
      </c>
      <c r="BA124" s="54">
        <f>IF(ABS(VLOOKUP(Table10[[#This Row],[QW'#]],Table3[],7,FALSE)-0)&lt;=$AZ$6,1,0)</f>
        <v>0</v>
      </c>
      <c r="BB124" s="54">
        <f>IF(ABS(VLOOKUP(Table10[[#This Row],[QW'#]],Table3[],22,FALSE)-0)&lt;=$AZ$6,1,0)</f>
        <v>1</v>
      </c>
      <c r="BC124" s="54">
        <f>IF(AND(Table10[[#This Row],[Retrieved]]=0, Table10[[#This Row],[Relevant]]=0),1,0)</f>
        <v>0</v>
      </c>
      <c r="BD124" s="54">
        <f>IF(AND(Table10[[#This Row],[Retrieved]]=0, Table10[[#This Row],[Relevant]]=1),1,0)</f>
        <v>1</v>
      </c>
      <c r="BE124" s="54">
        <f>IF(AND(Table10[[#This Row],[Retrieved]]=1, Table10[[#This Row],[Relevant]]=0),1,0)</f>
        <v>0</v>
      </c>
      <c r="BF124" s="54">
        <f>IF(AND(Table10[[#This Row],[Retrieved]]=1, Table10[[#This Row],[Relevant]]=1),1,0)</f>
        <v>0</v>
      </c>
    </row>
    <row r="125" spans="2:58">
      <c r="B125" s="76" t="s">
        <v>225</v>
      </c>
      <c r="C125" s="10" t="s">
        <v>93</v>
      </c>
      <c r="D125" s="8">
        <f>VLOOKUP(Table3[[#This Row],[MD5]],Input[],3,FALSE)+(Distances!$AA$6*(ABS(Distances!$AD$6-VLOOKUP(Table3[[#This Row],[MD5]],Input[],3,FALSE))*Distances!$AC$6))</f>
        <v>53.122142855</v>
      </c>
      <c r="E125" s="7">
        <f>VLOOKUP(Table3[[#This Row],[MD5]],Input[],4,FALSE)+(Distances!$AA$7*(ABS(Distances!$AD$7-VLOOKUP(Table3[[#This Row],[MD5]],Input[],4,FALSE))*Distances!$AC$7))</f>
        <v>59.466666666666669</v>
      </c>
      <c r="F125" s="7">
        <f>VLOOKUP(Table3[[#This Row],[MD5]],Input[],5,FALSE)+(Distances!$AA$8*(ABS(Distances!$AD$8-VLOOKUP(Table3[[#This Row],[MD5]],Input[],5,FALSE))*Distances!$AC$8))</f>
        <v>55.099999999999994</v>
      </c>
      <c r="G125" s="46">
        <f>SQRT(SUM((Table3[[#This Row],[time]]-Distances!$AD$6)^2,(Table3[[#This Row],[price]]-Distances!$AD$7)^2,(Table3[[#This Row],[energy]]-Distances!$AD$8)^2))</f>
        <v>11.197122567195793</v>
      </c>
      <c r="H125" s="46">
        <f>((Table3[[#This Row],[score-bt]]-MIN(Table3[score-bt]))*$G$6)/(MAX(Table3[score-bt])-MIN(Table3[score-bt]))</f>
        <v>9.7223252191376744E-2</v>
      </c>
      <c r="I125" s="8">
        <f>VLOOKUP(Table3[[#This Row],[MD5]],Input[],9,FALSE)+(Distances!$AA$6*(ABS(Distances!$AD$6-VLOOKUP(Table3[[#This Row],[MD5]],Input[],9,FALSE))*Distances!$AC$6))</f>
        <v>-22.80694647830358</v>
      </c>
      <c r="J125" s="7">
        <f>VLOOKUP(Table3[[#This Row],[MD5]],Input[],10,FALSE)+(Distances!$AA$7*(ABS(Distances!$AD$7-VLOOKUP(Table3[[#This Row],[MD5]],Input[],10,FALSE))*Distances!$AC$7))</f>
        <v>-14.779918241666676</v>
      </c>
      <c r="K125" s="7">
        <f>VLOOKUP(Table3[[#This Row],[MD5]],Input[],11,FALSE)+(Distances!$AA$8*(ABS(Distances!$AD$8-VLOOKUP(Table3[[#This Row],[MD5]],Input[],11,FALSE))*Distances!$AC$8))</f>
        <v>-6.8921425581249984</v>
      </c>
      <c r="L125" s="44">
        <f>SQRT(SUM((Table3[[#This Row],[time''2]]-Distances!$AD$6)^2,(Table3[[#This Row],[price''2]]-Distances!$AD$7)^2,(Table3[[#This Row],[energy''2]]-Distances!$AD$8)^2))</f>
        <v>112.84504928327871</v>
      </c>
      <c r="M125" s="44">
        <f>((Table3[[#This Row],[score-rt-partialcf]]-MIN(Table3[score-rt-partialcf]))*$G$6)/(MAX(Table3[score-rt-partialcf])-MIN(Table3[score-rt-partialcf]))</f>
        <v>0.99164810121025537</v>
      </c>
      <c r="N125" s="8">
        <f>VLOOKUP(Table3[[#This Row],[MD5]],Input[],15,FALSE)+(Distances!$AA$6*(ABS(Distances!$AD$6-VLOOKUP(Table3[[#This Row],[MD5]],Input[],15,FALSE))*Distances!$AC$6))</f>
        <v>-22.897366316250011</v>
      </c>
      <c r="O125" s="7">
        <f>VLOOKUP(Table3[[#This Row],[MD5]],Input[],16,FALSE)+(Distances!$AA$7*(ABS(Distances!$AD$7-VLOOKUP(Table3[[#This Row],[MD5]],Input[],16,FALSE))*Distances!$AC$7))</f>
        <v>55.615043774999997</v>
      </c>
      <c r="P125" s="7">
        <f>VLOOKUP(Table3[[#This Row],[MD5]],Input[],17,FALSE)+(Distances!$AA$8*(ABS(Distances!$AD$8-VLOOKUP(Table3[[#This Row],[MD5]],Input[],11,FALSE))*Distances!$AC$8))</f>
        <v>42.514361206458268</v>
      </c>
      <c r="Q125" s="47">
        <f>SQRT(SUM((Table3[[#This Row],[time''3]]-Distances!$AD$6)^2,(Table3[[#This Row],[price''3]]-Distances!$AD$7)^2,(Table3[[#This Row],[energy''3]]-Distances!$AD$8)^2))</f>
        <v>73.49550680543733</v>
      </c>
      <c r="R125" s="47">
        <f>((Table3[[#This Row],[score-rt-fullcf]]-MIN(Table3[score-rt-fullcf]))*$G$6)/(MAX(Table3[score-rt-fullcf])-MIN(Table3[score-rt-fullcf]))</f>
        <v>0.98290284144491225</v>
      </c>
      <c r="S125" s="8">
        <f>VLOOKUP(Table3[[#This Row],[MD5]],Input[],21,FALSE)+(Distances!$AI$6*(ABS(Distances!$L$3-VLOOKUP(Table3[[#This Row],[MD5]],Input[],21,FALSE))*Distances!$AC$6))</f>
        <v>2809.8721433333299</v>
      </c>
      <c r="T125" s="7">
        <f>VLOOKUP(Table3[[#This Row],[MD5]],Input[],22,FALSE)+(Distances!$AI$7*(ABS(Distances!$AB$7-VLOOKUP(Table3[[#This Row],[MD5]],Input[],22,FALSE))*Distances!$AC$7))</f>
        <v>1877.1438222222223</v>
      </c>
      <c r="U125" s="7">
        <f>VLOOKUP(Table3[[#This Row],[MD5]],Input[],23,FALSE)+(Distances!$AI$8*(ABS(Distances!$AD$8-VLOOKUP(Table3[[#This Row],[MD5]],Input[],23,FALSE))*Distances!$AC$8))</f>
        <v>1392.2519111111055</v>
      </c>
      <c r="V125" s="43">
        <f>SQRT(SUM((Table3[[#This Row],[time''4]]-Distances!$AD$6)^2,(Table3[[#This Row],[price''4]]-Distances!$AD$7)^2,(Table3[[#This Row],[energy''4]]-Distances!$AD$8)^2))</f>
        <v>3571.692734196708</v>
      </c>
      <c r="W125" s="58">
        <f>((Table3[[#This Row],[score-rt-df]]-MIN(Table3[score-rt-df]))*$G$6)/(MAX(Table3[score-rt-df])-MIN(Table3[score-rt-df]))</f>
        <v>2.223170516610991E-3</v>
      </c>
      <c r="AY125" t="str">
        <f>Table3[[#This Row],[QW'#]]</f>
        <v>qw47</v>
      </c>
      <c r="AZ125" t="str">
        <f>VLOOKUP(Table10[[#This Row],[QW'#]],Table3[],2,FALSE)</f>
        <v>334a98cdddf1e03e9cfa8fbd90aa9950</v>
      </c>
      <c r="BA125" s="54">
        <f>IF(ABS(VLOOKUP(Table10[[#This Row],[QW'#]],Table3[],7,FALSE)-0)&lt;=$AZ$6,1,0)</f>
        <v>0</v>
      </c>
      <c r="BB125" s="54">
        <f>IF(ABS(VLOOKUP(Table10[[#This Row],[QW'#]],Table3[],22,FALSE)-0)&lt;=$AZ$6,1,0)</f>
        <v>1</v>
      </c>
      <c r="BC125" s="54">
        <f>IF(AND(Table10[[#This Row],[Retrieved]]=0, Table10[[#This Row],[Relevant]]=0),1,0)</f>
        <v>0</v>
      </c>
      <c r="BD125" s="54">
        <f>IF(AND(Table10[[#This Row],[Retrieved]]=0, Table10[[#This Row],[Relevant]]=1),1,0)</f>
        <v>1</v>
      </c>
      <c r="BE125" s="54">
        <f>IF(AND(Table10[[#This Row],[Retrieved]]=1, Table10[[#This Row],[Relevant]]=0),1,0)</f>
        <v>0</v>
      </c>
      <c r="BF125" s="54">
        <f>IF(AND(Table10[[#This Row],[Retrieved]]=1, Table10[[#This Row],[Relevant]]=1),1,0)</f>
        <v>0</v>
      </c>
    </row>
    <row r="126" spans="2:58">
      <c r="B126" s="76" t="s">
        <v>253</v>
      </c>
      <c r="C126" s="10" t="s">
        <v>121</v>
      </c>
      <c r="D126" s="8">
        <f>VLOOKUP(Table3[[#This Row],[MD5]],Input[],3,FALSE)+(Distances!$AA$6*(ABS(Distances!$AD$6-VLOOKUP(Table3[[#This Row],[MD5]],Input[],3,FALSE))*Distances!$AC$6))</f>
        <v>53.122142855</v>
      </c>
      <c r="E126" s="7">
        <f>VLOOKUP(Table3[[#This Row],[MD5]],Input[],4,FALSE)+(Distances!$AA$7*(ABS(Distances!$AD$7-VLOOKUP(Table3[[#This Row],[MD5]],Input[],4,FALSE))*Distances!$AC$7))</f>
        <v>59.466666666666669</v>
      </c>
      <c r="F126" s="7">
        <f>VLOOKUP(Table3[[#This Row],[MD5]],Input[],5,FALSE)+(Distances!$AA$8*(ABS(Distances!$AD$8-VLOOKUP(Table3[[#This Row],[MD5]],Input[],5,FALSE))*Distances!$AC$8))</f>
        <v>55.099999999999994</v>
      </c>
      <c r="G126" s="46">
        <f>SQRT(SUM((Table3[[#This Row],[time]]-Distances!$AD$6)^2,(Table3[[#This Row],[price]]-Distances!$AD$7)^2,(Table3[[#This Row],[energy]]-Distances!$AD$8)^2))</f>
        <v>11.197122567195793</v>
      </c>
      <c r="H126" s="46">
        <f>((Table3[[#This Row],[score-bt]]-MIN(Table3[score-bt]))*$G$6)/(MAX(Table3[score-bt])-MIN(Table3[score-bt]))</f>
        <v>9.7223252191376744E-2</v>
      </c>
      <c r="I126" s="8">
        <f>VLOOKUP(Table3[[#This Row],[MD5]],Input[],9,FALSE)+(Distances!$AA$6*(ABS(Distances!$AD$6-VLOOKUP(Table3[[#This Row],[MD5]],Input[],9,FALSE))*Distances!$AC$6))</f>
        <v>-22.868316728303579</v>
      </c>
      <c r="J126" s="7">
        <f>VLOOKUP(Table3[[#This Row],[MD5]],Input[],10,FALSE)+(Distances!$AA$7*(ABS(Distances!$AD$7-VLOOKUP(Table3[[#This Row],[MD5]],Input[],10,FALSE))*Distances!$AC$7))</f>
        <v>-14.861164908333341</v>
      </c>
      <c r="K126" s="7">
        <f>VLOOKUP(Table3[[#This Row],[MD5]],Input[],11,FALSE)+(Distances!$AA$8*(ABS(Distances!$AD$8-VLOOKUP(Table3[[#This Row],[MD5]],Input[],11,FALSE))*Distances!$AC$8))</f>
        <v>-6.9537546136805553</v>
      </c>
      <c r="L126" s="44">
        <f>SQRT(SUM((Table3[[#This Row],[time''2]]-Distances!$AD$6)^2,(Table3[[#This Row],[price''2]]-Distances!$AD$7)^2,(Table3[[#This Row],[energy''2]]-Distances!$AD$8)^2))</f>
        <v>112.96234974839058</v>
      </c>
      <c r="M126" s="44">
        <f>((Table3[[#This Row],[score-rt-partialcf]]-MIN(Table3[score-rt-partialcf]))*$G$6)/(MAX(Table3[score-rt-partialcf])-MIN(Table3[score-rt-partialcf]))</f>
        <v>0.99273125830816666</v>
      </c>
      <c r="N126" s="8">
        <f>VLOOKUP(Table3[[#This Row],[MD5]],Input[],15,FALSE)+(Distances!$AA$6*(ABS(Distances!$AD$6-VLOOKUP(Table3[[#This Row],[MD5]],Input[],15,FALSE))*Distances!$AC$6))</f>
        <v>-22.897366316250011</v>
      </c>
      <c r="O126" s="7">
        <f>VLOOKUP(Table3[[#This Row],[MD5]],Input[],16,FALSE)+(Distances!$AA$7*(ABS(Distances!$AD$7-VLOOKUP(Table3[[#This Row],[MD5]],Input[],16,FALSE))*Distances!$AC$7))</f>
        <v>55.615043774999997</v>
      </c>
      <c r="P126" s="7">
        <f>VLOOKUP(Table3[[#This Row],[MD5]],Input[],17,FALSE)+(Distances!$AA$8*(ABS(Distances!$AD$8-VLOOKUP(Table3[[#This Row],[MD5]],Input[],11,FALSE))*Distances!$AC$8))</f>
        <v>42.505559484236045</v>
      </c>
      <c r="Q126" s="47">
        <f>SQRT(SUM((Table3[[#This Row],[time''3]]-Distances!$AD$6)^2,(Table3[[#This Row],[price''3]]-Distances!$AD$7)^2,(Table3[[#This Row],[energy''3]]-Distances!$AD$8)^2))</f>
        <v>73.496403796954795</v>
      </c>
      <c r="R126" s="47">
        <f>((Table3[[#This Row],[score-rt-fullcf]]-MIN(Table3[score-rt-fullcf]))*$G$6)/(MAX(Table3[score-rt-fullcf])-MIN(Table3[score-rt-fullcf]))</f>
        <v>0.98293034375384936</v>
      </c>
      <c r="S126" s="8">
        <f>VLOOKUP(Table3[[#This Row],[MD5]],Input[],21,FALSE)+(Distances!$AI$6*(ABS(Distances!$L$3-VLOOKUP(Table3[[#This Row],[MD5]],Input[],21,FALSE))*Distances!$AC$6))</f>
        <v>2809.8721433333299</v>
      </c>
      <c r="T126" s="7">
        <f>VLOOKUP(Table3[[#This Row],[MD5]],Input[],22,FALSE)+(Distances!$AI$7*(ABS(Distances!$AB$7-VLOOKUP(Table3[[#This Row],[MD5]],Input[],22,FALSE))*Distances!$AC$7))</f>
        <v>1877.1438222222223</v>
      </c>
      <c r="U126" s="7">
        <f>VLOOKUP(Table3[[#This Row],[MD5]],Input[],23,FALSE)+(Distances!$AI$8*(ABS(Distances!$AD$8-VLOOKUP(Table3[[#This Row],[MD5]],Input[],23,FALSE))*Distances!$AC$8))</f>
        <v>1392.2519111111055</v>
      </c>
      <c r="V126" s="43">
        <f>SQRT(SUM((Table3[[#This Row],[time''4]]-Distances!$AD$6)^2,(Table3[[#This Row],[price''4]]-Distances!$AD$7)^2,(Table3[[#This Row],[energy''4]]-Distances!$AD$8)^2))</f>
        <v>3571.692734196708</v>
      </c>
      <c r="W126" s="58">
        <f>((Table3[[#This Row],[score-rt-df]]-MIN(Table3[score-rt-df]))*$G$6)/(MAX(Table3[score-rt-df])-MIN(Table3[score-rt-df]))</f>
        <v>2.223170516610991E-3</v>
      </c>
      <c r="AY126" t="str">
        <f>Table3[[#This Row],[QW'#]]</f>
        <v>qw75</v>
      </c>
      <c r="AZ126" t="str">
        <f>VLOOKUP(Table10[[#This Row],[QW'#]],Table3[],2,FALSE)</f>
        <v>15025148fdb7dd00728fcf147cac5553</v>
      </c>
      <c r="BA126" s="54">
        <f>IF(ABS(VLOOKUP(Table10[[#This Row],[QW'#]],Table3[],7,FALSE)-0)&lt;=$AZ$6,1,0)</f>
        <v>0</v>
      </c>
      <c r="BB126" s="54">
        <f>IF(ABS(VLOOKUP(Table10[[#This Row],[QW'#]],Table3[],22,FALSE)-0)&lt;=$AZ$6,1,0)</f>
        <v>1</v>
      </c>
      <c r="BC126" s="54">
        <f>IF(AND(Table10[[#This Row],[Retrieved]]=0, Table10[[#This Row],[Relevant]]=0),1,0)</f>
        <v>0</v>
      </c>
      <c r="BD126" s="54">
        <f>IF(AND(Table10[[#This Row],[Retrieved]]=0, Table10[[#This Row],[Relevant]]=1),1,0)</f>
        <v>1</v>
      </c>
      <c r="BE126" s="54">
        <f>IF(AND(Table10[[#This Row],[Retrieved]]=1, Table10[[#This Row],[Relevant]]=0),1,0)</f>
        <v>0</v>
      </c>
      <c r="BF126" s="54">
        <f>IF(AND(Table10[[#This Row],[Retrieved]]=1, Table10[[#This Row],[Relevant]]=1),1,0)</f>
        <v>0</v>
      </c>
    </row>
    <row r="127" spans="2:58">
      <c r="B127" s="76" t="s">
        <v>226</v>
      </c>
      <c r="C127" s="10" t="s">
        <v>94</v>
      </c>
      <c r="D127" s="8">
        <f>VLOOKUP(Table3[[#This Row],[MD5]],Input[],3,FALSE)+(Distances!$AA$6*(ABS(Distances!$AD$6-VLOOKUP(Table3[[#This Row],[MD5]],Input[],3,FALSE))*Distances!$AC$6))</f>
        <v>53.122142855</v>
      </c>
      <c r="E127" s="7">
        <f>VLOOKUP(Table3[[#This Row],[MD5]],Input[],4,FALSE)+(Distances!$AA$7*(ABS(Distances!$AD$7-VLOOKUP(Table3[[#This Row],[MD5]],Input[],4,FALSE))*Distances!$AC$7))</f>
        <v>59.466666666666669</v>
      </c>
      <c r="F127" s="7">
        <f>VLOOKUP(Table3[[#This Row],[MD5]],Input[],5,FALSE)+(Distances!$AA$8*(ABS(Distances!$AD$8-VLOOKUP(Table3[[#This Row],[MD5]],Input[],5,FALSE))*Distances!$AC$8))</f>
        <v>55.099999999999994</v>
      </c>
      <c r="G127" s="46">
        <f>SQRT(SUM((Table3[[#This Row],[time]]-Distances!$AD$6)^2,(Table3[[#This Row],[price]]-Distances!$AD$7)^2,(Table3[[#This Row],[energy]]-Distances!$AD$8)^2))</f>
        <v>11.197122567195793</v>
      </c>
      <c r="H127" s="46">
        <f>((Table3[[#This Row],[score-bt]]-MIN(Table3[score-bt]))*$G$6)/(MAX(Table3[score-bt])-MIN(Table3[score-bt]))</f>
        <v>9.7223252191376744E-2</v>
      </c>
      <c r="I127" s="8">
        <f>VLOOKUP(Table3[[#This Row],[MD5]],Input[],9,FALSE)+(Distances!$AA$6*(ABS(Distances!$AD$6-VLOOKUP(Table3[[#This Row],[MD5]],Input[],9,FALSE))*Distances!$AC$6))</f>
        <v>-22.84908905861608</v>
      </c>
      <c r="J127" s="7">
        <f>VLOOKUP(Table3[[#This Row],[MD5]],Input[],10,FALSE)+(Distances!$AA$7*(ABS(Distances!$AD$7-VLOOKUP(Table3[[#This Row],[MD5]],Input[],10,FALSE))*Distances!$AC$7))</f>
        <v>-14.826713504166673</v>
      </c>
      <c r="K127" s="7">
        <f>VLOOKUP(Table3[[#This Row],[MD5]],Input[],11,FALSE)+(Distances!$AA$8*(ABS(Distances!$AD$8-VLOOKUP(Table3[[#This Row],[MD5]],Input[],11,FALSE))*Distances!$AC$8))</f>
        <v>-6.927750434479174</v>
      </c>
      <c r="L127" s="44">
        <f>SQRT(SUM((Table3[[#This Row],[time''2]]-Distances!$AD$6)^2,(Table3[[#This Row],[price''2]]-Distances!$AD$7)^2,(Table3[[#This Row],[energy''2]]-Distances!$AD$8)^2))</f>
        <v>112.91705508890951</v>
      </c>
      <c r="M127" s="44">
        <f>((Table3[[#This Row],[score-rt-partialcf]]-MIN(Table3[score-rt-partialcf]))*$G$6)/(MAX(Table3[score-rt-partialcf])-MIN(Table3[score-rt-partialcf]))</f>
        <v>0.99231300564507952</v>
      </c>
      <c r="N127" s="8">
        <f>VLOOKUP(Table3[[#This Row],[MD5]],Input[],15,FALSE)+(Distances!$AA$6*(ABS(Distances!$AD$6-VLOOKUP(Table3[[#This Row],[MD5]],Input[],15,FALSE))*Distances!$AC$6))</f>
        <v>-22.9175358090625</v>
      </c>
      <c r="O127" s="7">
        <f>VLOOKUP(Table3[[#This Row],[MD5]],Input[],16,FALSE)+(Distances!$AA$7*(ABS(Distances!$AD$7-VLOOKUP(Table3[[#This Row],[MD5]],Input[],16,FALSE))*Distances!$AC$7))</f>
        <v>55.606192435416666</v>
      </c>
      <c r="P127" s="7">
        <f>VLOOKUP(Table3[[#This Row],[MD5]],Input[],17,FALSE)+(Distances!$AA$8*(ABS(Distances!$AD$8-VLOOKUP(Table3[[#This Row],[MD5]],Input[],11,FALSE))*Distances!$AC$8))</f>
        <v>42.497663509270772</v>
      </c>
      <c r="Q127" s="47">
        <f>SQRT(SUM((Table3[[#This Row],[time''3]]-Distances!$AD$6)^2,(Table3[[#This Row],[price''3]]-Distances!$AD$7)^2,(Table3[[#This Row],[energy''3]]-Distances!$AD$8)^2))</f>
        <v>73.516538784881348</v>
      </c>
      <c r="R127" s="47">
        <f>((Table3[[#This Row],[score-rt-fullcf]]-MIN(Table3[score-rt-fullcf]))*$G$6)/(MAX(Table3[score-rt-fullcf])-MIN(Table3[score-rt-fullcf]))</f>
        <v>0.9835476948074775</v>
      </c>
      <c r="S127" s="8">
        <f>VLOOKUP(Table3[[#This Row],[MD5]],Input[],21,FALSE)+(Distances!$AI$6*(ABS(Distances!$L$3-VLOOKUP(Table3[[#This Row],[MD5]],Input[],21,FALSE))*Distances!$AC$6))</f>
        <v>2818.5497866666633</v>
      </c>
      <c r="T127" s="7">
        <f>VLOOKUP(Table3[[#This Row],[MD5]],Input[],22,FALSE)+(Distances!$AI$7*(ABS(Distances!$AB$7-VLOOKUP(Table3[[#This Row],[MD5]],Input[],22,FALSE))*Distances!$AC$7))</f>
        <v>1881.5199666666667</v>
      </c>
      <c r="U127" s="7">
        <f>VLOOKUP(Table3[[#This Row],[MD5]],Input[],23,FALSE)+(Distances!$AI$8*(ABS(Distances!$AD$8-VLOOKUP(Table3[[#This Row],[MD5]],Input[],23,FALSE))*Distances!$AC$8))</f>
        <v>1395.4493583333278</v>
      </c>
      <c r="V127" s="43">
        <f>SQRT(SUM((Table3[[#This Row],[time''4]]-Distances!$AD$6)^2,(Table3[[#This Row],[price''4]]-Distances!$AD$7)^2,(Table3[[#This Row],[energy''4]]-Distances!$AD$8)^2))</f>
        <v>3581.8385342433094</v>
      </c>
      <c r="W127" s="58">
        <f>((Table3[[#This Row],[score-rt-df]]-MIN(Table3[score-rt-df]))*$G$6)/(MAX(Table3[score-rt-df])-MIN(Table3[score-rt-df]))</f>
        <v>2.2315260432946124E-3</v>
      </c>
      <c r="AY127" t="str">
        <f>Table3[[#This Row],[QW'#]]</f>
        <v>qw48</v>
      </c>
      <c r="AZ127" t="str">
        <f>VLOOKUP(Table10[[#This Row],[QW'#]],Table3[],2,FALSE)</f>
        <v>03cbe50868934440f858261672b98856</v>
      </c>
      <c r="BA127" s="54">
        <f>IF(ABS(VLOOKUP(Table10[[#This Row],[QW'#]],Table3[],7,FALSE)-0)&lt;=$AZ$6,1,0)</f>
        <v>0</v>
      </c>
      <c r="BB127" s="54">
        <f>IF(ABS(VLOOKUP(Table10[[#This Row],[QW'#]],Table3[],22,FALSE)-0)&lt;=$AZ$6,1,0)</f>
        <v>1</v>
      </c>
      <c r="BC127" s="54">
        <f>IF(AND(Table10[[#This Row],[Retrieved]]=0, Table10[[#This Row],[Relevant]]=0),1,0)</f>
        <v>0</v>
      </c>
      <c r="BD127" s="54">
        <f>IF(AND(Table10[[#This Row],[Retrieved]]=0, Table10[[#This Row],[Relevant]]=1),1,0)</f>
        <v>1</v>
      </c>
      <c r="BE127" s="54">
        <f>IF(AND(Table10[[#This Row],[Retrieved]]=1, Table10[[#This Row],[Relevant]]=0),1,0)</f>
        <v>0</v>
      </c>
      <c r="BF127" s="54">
        <f>IF(AND(Table10[[#This Row],[Retrieved]]=1, Table10[[#This Row],[Relevant]]=1),1,0)</f>
        <v>0</v>
      </c>
    </row>
    <row r="128" spans="2:58">
      <c r="B128" s="76" t="s">
        <v>24</v>
      </c>
      <c r="C128" s="10" t="s">
        <v>62</v>
      </c>
      <c r="D128" s="8">
        <f>VLOOKUP(Table3[[#This Row],[MD5]],Input[],3,FALSE)+(Distances!$AA$6*(ABS(Distances!$AD$6-VLOOKUP(Table3[[#This Row],[MD5]],Input[],3,FALSE))*Distances!$AC$6))</f>
        <v>53.122142855</v>
      </c>
      <c r="E128" s="7">
        <f>VLOOKUP(Table3[[#This Row],[MD5]],Input[],4,FALSE)+(Distances!$AA$7*(ABS(Distances!$AD$7-VLOOKUP(Table3[[#This Row],[MD5]],Input[],4,FALSE))*Distances!$AC$7))</f>
        <v>59.466666666666669</v>
      </c>
      <c r="F128" s="7">
        <f>VLOOKUP(Table3[[#This Row],[MD5]],Input[],5,FALSE)+(Distances!$AA$8*(ABS(Distances!$AD$8-VLOOKUP(Table3[[#This Row],[MD5]],Input[],5,FALSE))*Distances!$AC$8))</f>
        <v>55.099999999999994</v>
      </c>
      <c r="G128" s="46">
        <f>SQRT(SUM((Table3[[#This Row],[time]]-Distances!$AD$6)^2,(Table3[[#This Row],[price]]-Distances!$AD$7)^2,(Table3[[#This Row],[energy]]-Distances!$AD$8)^2))</f>
        <v>11.197122567195793</v>
      </c>
      <c r="H128" s="46">
        <f>((Table3[[#This Row],[score-bt]]-MIN(Table3[score-bt]))*$G$6)/(MAX(Table3[score-bt])-MIN(Table3[score-bt]))</f>
        <v>9.7223252191376744E-2</v>
      </c>
      <c r="I128" s="8">
        <f>VLOOKUP(Table3[[#This Row],[MD5]],Input[],9,FALSE)+(Distances!$AA$6*(ABS(Distances!$AD$6-VLOOKUP(Table3[[#This Row],[MD5]],Input[],9,FALSE))*Distances!$AC$6))</f>
        <v>-22.84908773674108</v>
      </c>
      <c r="J128" s="7">
        <f>VLOOKUP(Table3[[#This Row],[MD5]],Input[],10,FALSE)+(Distances!$AA$7*(ABS(Distances!$AD$7-VLOOKUP(Table3[[#This Row],[MD5]],Input[],10,FALSE))*Distances!$AC$7))</f>
        <v>-14.826711754166666</v>
      </c>
      <c r="K128" s="7">
        <f>VLOOKUP(Table3[[#This Row],[MD5]],Input[],11,FALSE)+(Distances!$AA$8*(ABS(Distances!$AD$8-VLOOKUP(Table3[[#This Row],[MD5]],Input[],11,FALSE))*Distances!$AC$8))</f>
        <v>-6.9277491073958322</v>
      </c>
      <c r="L128" s="44">
        <f>SQRT(SUM((Table3[[#This Row],[time''2]]-Distances!$AD$6)^2,(Table3[[#This Row],[price''2]]-Distances!$AD$7)^2,(Table3[[#This Row],[energy''2]]-Distances!$AD$8)^2))</f>
        <v>112.91705256234692</v>
      </c>
      <c r="M128" s="44">
        <f>((Table3[[#This Row],[score-rt-partialcf]]-MIN(Table3[score-rt-partialcf]))*$G$6)/(MAX(Table3[score-rt-partialcf])-MIN(Table3[score-rt-partialcf]))</f>
        <v>0.99231298231470155</v>
      </c>
      <c r="N128" s="8">
        <f>VLOOKUP(Table3[[#This Row],[MD5]],Input[],15,FALSE)+(Distances!$AA$6*(ABS(Distances!$AD$6-VLOOKUP(Table3[[#This Row],[MD5]],Input[],15,FALSE))*Distances!$AC$6))</f>
        <v>-22.917531402812507</v>
      </c>
      <c r="O128" s="7">
        <f>VLOOKUP(Table3[[#This Row],[MD5]],Input[],16,FALSE)+(Distances!$AA$7*(ABS(Distances!$AD$7-VLOOKUP(Table3[[#This Row],[MD5]],Input[],16,FALSE))*Distances!$AC$7))</f>
        <v>55.606193893750003</v>
      </c>
      <c r="P128" s="7">
        <f>VLOOKUP(Table3[[#This Row],[MD5]],Input[],17,FALSE)+(Distances!$AA$8*(ABS(Distances!$AD$8-VLOOKUP(Table3[[#This Row],[MD5]],Input[],11,FALSE))*Distances!$AC$8))</f>
        <v>42.497665594687504</v>
      </c>
      <c r="Q128" s="47">
        <f>SQRT(SUM((Table3[[#This Row],[time''3]]-Distances!$AD$6)^2,(Table3[[#This Row],[price''3]]-Distances!$AD$7)^2,(Table3[[#This Row],[energy''3]]-Distances!$AD$8)^2))</f>
        <v>73.516534312925842</v>
      </c>
      <c r="R128" s="47">
        <f>((Table3[[#This Row],[score-rt-fullcf]]-MIN(Table3[score-rt-fullcf]))*$G$6)/(MAX(Table3[score-rt-fullcf])-MIN(Table3[score-rt-fullcf]))</f>
        <v>0.98354755769458457</v>
      </c>
      <c r="S128" s="8">
        <f>VLOOKUP(Table3[[#This Row],[MD5]],Input[],21,FALSE)+(Distances!$AI$6*(ABS(Distances!$L$3-VLOOKUP(Table3[[#This Row],[MD5]],Input[],21,FALSE))*Distances!$AC$6))</f>
        <v>2819.3711199999966</v>
      </c>
      <c r="T128" s="7">
        <f>VLOOKUP(Table3[[#This Row],[MD5]],Input[],22,FALSE)+(Distances!$AI$7*(ABS(Distances!$AB$7-VLOOKUP(Table3[[#This Row],[MD5]],Input[],22,FALSE))*Distances!$AC$7))</f>
        <v>1881.7155222222223</v>
      </c>
      <c r="U128" s="7">
        <f>VLOOKUP(Table3[[#This Row],[MD5]],Input[],23,FALSE)+(Distances!$AI$8*(ABS(Distances!$AD$8-VLOOKUP(Table3[[#This Row],[MD5]],Input[],23,FALSE))*Distances!$AC$8))</f>
        <v>1395.5960249999944</v>
      </c>
      <c r="V128" s="43">
        <f>SQRT(SUM((Table3[[#This Row],[time''4]]-Distances!$AD$6)^2,(Table3[[#This Row],[price''4]]-Distances!$AD$7)^2,(Table3[[#This Row],[energy''4]]-Distances!$AD$8)^2))</f>
        <v>3582.6284788037469</v>
      </c>
      <c r="W128" s="58">
        <f>((Table3[[#This Row],[score-rt-df]]-MIN(Table3[score-rt-df]))*$G$6)/(MAX(Table3[score-rt-df])-MIN(Table3[score-rt-df]))</f>
        <v>2.2321765984822765E-3</v>
      </c>
      <c r="AY128" t="str">
        <f>Table3[[#This Row],[QW'#]]</f>
        <v>qw16</v>
      </c>
      <c r="AZ128" t="str">
        <f>VLOOKUP(Table10[[#This Row],[QW'#]],Table3[],2,FALSE)</f>
        <v>3c58f373c2d735cd90fc1f8f417eeade</v>
      </c>
      <c r="BA128" s="54">
        <f>IF(ABS(VLOOKUP(Table10[[#This Row],[QW'#]],Table3[],7,FALSE)-0)&lt;=$AZ$6,1,0)</f>
        <v>0</v>
      </c>
      <c r="BB128" s="54">
        <f>IF(ABS(VLOOKUP(Table10[[#This Row],[QW'#]],Table3[],22,FALSE)-0)&lt;=$AZ$6,1,0)</f>
        <v>1</v>
      </c>
      <c r="BC128" s="54">
        <f>IF(AND(Table10[[#This Row],[Retrieved]]=0, Table10[[#This Row],[Relevant]]=0),1,0)</f>
        <v>0</v>
      </c>
      <c r="BD128" s="54">
        <f>IF(AND(Table10[[#This Row],[Retrieved]]=0, Table10[[#This Row],[Relevant]]=1),1,0)</f>
        <v>1</v>
      </c>
      <c r="BE128" s="54">
        <f>IF(AND(Table10[[#This Row],[Retrieved]]=1, Table10[[#This Row],[Relevant]]=0),1,0)</f>
        <v>0</v>
      </c>
      <c r="BF128" s="54">
        <f>IF(AND(Table10[[#This Row],[Retrieved]]=1, Table10[[#This Row],[Relevant]]=1),1,0)</f>
        <v>0</v>
      </c>
    </row>
    <row r="129" spans="2:58">
      <c r="B129" s="76" t="s">
        <v>324</v>
      </c>
      <c r="C129" s="10" t="s">
        <v>192</v>
      </c>
      <c r="D129" s="8">
        <f>VLOOKUP(Table3[[#This Row],[MD5]],Input[],3,FALSE)+(Distances!$AA$6*(ABS(Distances!$AD$6-VLOOKUP(Table3[[#This Row],[MD5]],Input[],3,FALSE))*Distances!$AC$6))</f>
        <v>53.122142855</v>
      </c>
      <c r="E129" s="7">
        <f>VLOOKUP(Table3[[#This Row],[MD5]],Input[],4,FALSE)+(Distances!$AA$7*(ABS(Distances!$AD$7-VLOOKUP(Table3[[#This Row],[MD5]],Input[],4,FALSE))*Distances!$AC$7))</f>
        <v>59.466666666666669</v>
      </c>
      <c r="F129" s="7">
        <f>VLOOKUP(Table3[[#This Row],[MD5]],Input[],5,FALSE)+(Distances!$AA$8*(ABS(Distances!$AD$8-VLOOKUP(Table3[[#This Row],[MD5]],Input[],5,FALSE))*Distances!$AC$8))</f>
        <v>55.099999999999994</v>
      </c>
      <c r="G129" s="46">
        <f>SQRT(SUM((Table3[[#This Row],[time]]-Distances!$AD$6)^2,(Table3[[#This Row],[price]]-Distances!$AD$7)^2,(Table3[[#This Row],[energy]]-Distances!$AD$8)^2))</f>
        <v>11.197122567195793</v>
      </c>
      <c r="H129" s="46">
        <f>((Table3[[#This Row],[score-bt]]-MIN(Table3[score-bt]))*$G$6)/(MAX(Table3[score-bt])-MIN(Table3[score-bt]))</f>
        <v>9.7223252191376744E-2</v>
      </c>
      <c r="I129" s="8">
        <f>VLOOKUP(Table3[[#This Row],[MD5]],Input[],9,FALSE)+(Distances!$AA$6*(ABS(Distances!$AD$6-VLOOKUP(Table3[[#This Row],[MD5]],Input[],9,FALSE))*Distances!$AC$6))</f>
        <v>50.556416349508901</v>
      </c>
      <c r="J129" s="7">
        <f>VLOOKUP(Table3[[#This Row],[MD5]],Input[],10,FALSE)+(Distances!$AA$7*(ABS(Distances!$AD$7-VLOOKUP(Table3[[#This Row],[MD5]],Input[],10,FALSE))*Distances!$AC$7))</f>
        <v>50.87850024791662</v>
      </c>
      <c r="K129" s="7">
        <f>VLOOKUP(Table3[[#This Row],[MD5]],Input[],11,FALSE)+(Distances!$AA$8*(ABS(Distances!$AD$8-VLOOKUP(Table3[[#This Row],[MD5]],Input[],11,FALSE))*Distances!$AC$8))</f>
        <v>43.923696248854085</v>
      </c>
      <c r="L129" s="44">
        <f>SQRT(SUM((Table3[[#This Row],[time''2]]-Distances!$AD$6)^2,(Table3[[#This Row],[price''2]]-Distances!$AD$7)^2,(Table3[[#This Row],[energy''2]]-Distances!$AD$8)^2))</f>
        <v>6.1646434702892821</v>
      </c>
      <c r="M129" s="44">
        <f>((Table3[[#This Row],[score-rt-partialcf]]-MIN(Table3[score-rt-partialcf]))*$G$6)/(MAX(Table3[score-rt-partialcf])-MIN(Table3[score-rt-partialcf]))</f>
        <v>6.5570476139071819E-3</v>
      </c>
      <c r="N129" s="8">
        <f>VLOOKUP(Table3[[#This Row],[MD5]],Input[],15,FALSE)+(Distances!$AA$6*(ABS(Distances!$AD$6-VLOOKUP(Table3[[#This Row],[MD5]],Input[],15,FALSE))*Distances!$AC$6))</f>
        <v>38.393145976651709</v>
      </c>
      <c r="O129" s="7">
        <f>VLOOKUP(Table3[[#This Row],[MD5]],Input[],16,FALSE)+(Distances!$AA$7*(ABS(Distances!$AD$7-VLOOKUP(Table3[[#This Row],[MD5]],Input[],16,FALSE))*Distances!$AC$7))</f>
        <v>81.623584435416447</v>
      </c>
      <c r="P129" s="7">
        <f>VLOOKUP(Table3[[#This Row],[MD5]],Input[],17,FALSE)+(Distances!$AA$8*(ABS(Distances!$AD$8-VLOOKUP(Table3[[#This Row],[MD5]],Input[],11,FALSE))*Distances!$AC$8))</f>
        <v>83.892305692603827</v>
      </c>
      <c r="Q129" s="47">
        <f>SQRT(SUM((Table3[[#This Row],[time''3]]-Distances!$AD$6)^2,(Table3[[#This Row],[price''3]]-Distances!$AD$7)^2,(Table3[[#This Row],[energy''3]]-Distances!$AD$8)^2))</f>
        <v>47.785547376002036</v>
      </c>
      <c r="R129" s="47">
        <f>((Table3[[#This Row],[score-rt-fullcf]]-MIN(Table3[score-rt-fullcf]))*$G$6)/(MAX(Table3[score-rt-fullcf])-MIN(Table3[score-rt-fullcf]))</f>
        <v>0.1946197493271585</v>
      </c>
      <c r="S129" s="8">
        <f>VLOOKUP(Table3[[#This Row],[MD5]],Input[],21,FALSE)+(Distances!$AI$6*(ABS(Distances!$L$3-VLOOKUP(Table3[[#This Row],[MD5]],Input[],21,FALSE))*Distances!$AC$6))</f>
        <v>538424.37080000003</v>
      </c>
      <c r="T129" s="7">
        <f>VLOOKUP(Table3[[#This Row],[MD5]],Input[],22,FALSE)+(Distances!$AI$7*(ABS(Distances!$AB$7-VLOOKUP(Table3[[#This Row],[MD5]],Input[],22,FALSE))*Distances!$AC$7))</f>
        <v>236247.78201111112</v>
      </c>
      <c r="U129" s="7">
        <f>VLOOKUP(Table3[[#This Row],[MD5]],Input[],23,FALSE)+(Distances!$AI$8*(ABS(Distances!$AD$8-VLOOKUP(Table3[[#This Row],[MD5]],Input[],23,FALSE))*Distances!$AC$8))</f>
        <v>172830.52704722167</v>
      </c>
      <c r="V129" s="43">
        <f>SQRT(SUM((Table3[[#This Row],[time''4]]-Distances!$AD$6)^2,(Table3[[#This Row],[price''4]]-Distances!$AD$7)^2,(Table3[[#This Row],[energy''4]]-Distances!$AD$8)^2))</f>
        <v>612771.95259572705</v>
      </c>
      <c r="W129" s="58">
        <f>((Table3[[#This Row],[score-rt-df]]-MIN(Table3[score-rt-df]))*$G$6)/(MAX(Table3[score-rt-df])-MIN(Table3[score-rt-df]))</f>
        <v>0.50392722574755167</v>
      </c>
      <c r="AY129" t="str">
        <f>Table3[[#This Row],[QW'#]]</f>
        <v>qw146</v>
      </c>
      <c r="AZ129" t="str">
        <f>VLOOKUP(Table10[[#This Row],[QW'#]],Table3[],2,FALSE)</f>
        <v>9c6368b5a97410dd4c2297539895b763</v>
      </c>
      <c r="BA129" s="54">
        <f>IF(ABS(VLOOKUP(Table10[[#This Row],[QW'#]],Table3[],7,FALSE)-0)&lt;=$AZ$6,1,0)</f>
        <v>0</v>
      </c>
      <c r="BB129" s="54">
        <f>IF(ABS(VLOOKUP(Table10[[#This Row],[QW'#]],Table3[],22,FALSE)-0)&lt;=$AZ$6,1,0)</f>
        <v>0</v>
      </c>
      <c r="BC129" s="54">
        <f>IF(AND(Table10[[#This Row],[Retrieved]]=0, Table10[[#This Row],[Relevant]]=0),1,0)</f>
        <v>1</v>
      </c>
      <c r="BD129" s="54">
        <f>IF(AND(Table10[[#This Row],[Retrieved]]=0, Table10[[#This Row],[Relevant]]=1),1,0)</f>
        <v>0</v>
      </c>
      <c r="BE129" s="54">
        <f>IF(AND(Table10[[#This Row],[Retrieved]]=1, Table10[[#This Row],[Relevant]]=0),1,0)</f>
        <v>0</v>
      </c>
      <c r="BF129" s="54">
        <f>IF(AND(Table10[[#This Row],[Retrieved]]=1, Table10[[#This Row],[Relevant]]=1),1,0)</f>
        <v>0</v>
      </c>
    </row>
    <row r="130" spans="2:58">
      <c r="B130" s="76" t="s">
        <v>31</v>
      </c>
      <c r="C130" s="10" t="s">
        <v>69</v>
      </c>
      <c r="D130" s="8">
        <f>VLOOKUP(Table3[[#This Row],[MD5]],Input[],3,FALSE)+(Distances!$AA$6*(ABS(Distances!$AD$6-VLOOKUP(Table3[[#This Row],[MD5]],Input[],3,FALSE))*Distances!$AC$6))</f>
        <v>53.122142855</v>
      </c>
      <c r="E130" s="7">
        <f>VLOOKUP(Table3[[#This Row],[MD5]],Input[],4,FALSE)+(Distances!$AA$7*(ABS(Distances!$AD$7-VLOOKUP(Table3[[#This Row],[MD5]],Input[],4,FALSE))*Distances!$AC$7))</f>
        <v>59.466666666666669</v>
      </c>
      <c r="F130" s="7">
        <f>VLOOKUP(Table3[[#This Row],[MD5]],Input[],5,FALSE)+(Distances!$AA$8*(ABS(Distances!$AD$8-VLOOKUP(Table3[[#This Row],[MD5]],Input[],5,FALSE))*Distances!$AC$8))</f>
        <v>55.099999999999994</v>
      </c>
      <c r="G130" s="46">
        <f>SQRT(SUM((Table3[[#This Row],[time]]-Distances!$AD$6)^2,(Table3[[#This Row],[price]]-Distances!$AD$7)^2,(Table3[[#This Row],[energy]]-Distances!$AD$8)^2))</f>
        <v>11.197122567195793</v>
      </c>
      <c r="H130" s="46">
        <f>((Table3[[#This Row],[score-bt]]-MIN(Table3[score-bt]))*$G$6)/(MAX(Table3[score-bt])-MIN(Table3[score-bt]))</f>
        <v>9.7223252191376744E-2</v>
      </c>
      <c r="I130" s="8">
        <f>VLOOKUP(Table3[[#This Row],[MD5]],Input[],9,FALSE)+(Distances!$AA$6*(ABS(Distances!$AD$6-VLOOKUP(Table3[[#This Row],[MD5]],Input[],9,FALSE))*Distances!$AC$6))</f>
        <v>50.556416790133902</v>
      </c>
      <c r="J130" s="7">
        <f>VLOOKUP(Table3[[#This Row],[MD5]],Input[],10,FALSE)+(Distances!$AA$7*(ABS(Distances!$AD$7-VLOOKUP(Table3[[#This Row],[MD5]],Input[],10,FALSE))*Distances!$AC$7))</f>
        <v>50.878501122916624</v>
      </c>
      <c r="K130" s="7">
        <f>VLOOKUP(Table3[[#This Row],[MD5]],Input[],11,FALSE)+(Distances!$AA$8*(ABS(Distances!$AD$8-VLOOKUP(Table3[[#This Row],[MD5]],Input[],11,FALSE))*Distances!$AC$8))</f>
        <v>43.923697575937425</v>
      </c>
      <c r="L130" s="44">
        <f>SQRT(SUM((Table3[[#This Row],[time''2]]-Distances!$AD$6)^2,(Table3[[#This Row],[price''2]]-Distances!$AD$7)^2,(Table3[[#This Row],[energy''2]]-Distances!$AD$8)^2))</f>
        <v>6.1646423266867165</v>
      </c>
      <c r="M130" s="44">
        <f>((Table3[[#This Row],[score-rt-partialcf]]-MIN(Table3[score-rt-partialcf]))*$G$6)/(MAX(Table3[score-rt-partialcf])-MIN(Table3[score-rt-partialcf]))</f>
        <v>6.5570370538362149E-3</v>
      </c>
      <c r="N130" s="8">
        <f>VLOOKUP(Table3[[#This Row],[MD5]],Input[],15,FALSE)+(Distances!$AA$6*(ABS(Distances!$AD$6-VLOOKUP(Table3[[#This Row],[MD5]],Input[],15,FALSE))*Distances!$AC$6))</f>
        <v>38.393150382901709</v>
      </c>
      <c r="O130" s="7">
        <f>VLOOKUP(Table3[[#This Row],[MD5]],Input[],16,FALSE)+(Distances!$AA$7*(ABS(Distances!$AD$7-VLOOKUP(Table3[[#This Row],[MD5]],Input[],16,FALSE))*Distances!$AC$7))</f>
        <v>81.623585893749777</v>
      </c>
      <c r="P130" s="7">
        <f>VLOOKUP(Table3[[#This Row],[MD5]],Input[],17,FALSE)+(Distances!$AA$8*(ABS(Distances!$AD$8-VLOOKUP(Table3[[#This Row],[MD5]],Input[],11,FALSE))*Distances!$AC$8))</f>
        <v>83.892307778020495</v>
      </c>
      <c r="Q130" s="47">
        <f>SQRT(SUM((Table3[[#This Row],[time''3]]-Distances!$AD$6)^2,(Table3[[#This Row],[price''3]]-Distances!$AD$7)^2,(Table3[[#This Row],[energy''3]]-Distances!$AD$8)^2))</f>
        <v>47.785548749945029</v>
      </c>
      <c r="R130" s="47">
        <f>((Table3[[#This Row],[score-rt-fullcf]]-MIN(Table3[score-rt-fullcf]))*$G$6)/(MAX(Table3[score-rt-fullcf])-MIN(Table3[score-rt-fullcf]))</f>
        <v>0.19461979145309161</v>
      </c>
      <c r="S130" s="8">
        <f>VLOOKUP(Table3[[#This Row],[MD5]],Input[],21,FALSE)+(Distances!$AI$6*(ABS(Distances!$L$3-VLOOKUP(Table3[[#This Row],[MD5]],Input[],21,FALSE))*Distances!$AC$6))</f>
        <v>538425.1921333333</v>
      </c>
      <c r="T130" s="7">
        <f>VLOOKUP(Table3[[#This Row],[MD5]],Input[],22,FALSE)+(Distances!$AI$7*(ABS(Distances!$AB$7-VLOOKUP(Table3[[#This Row],[MD5]],Input[],22,FALSE))*Distances!$AC$7))</f>
        <v>236247.97756666667</v>
      </c>
      <c r="U130" s="7">
        <f>VLOOKUP(Table3[[#This Row],[MD5]],Input[],23,FALSE)+(Distances!$AI$8*(ABS(Distances!$AD$8-VLOOKUP(Table3[[#This Row],[MD5]],Input[],23,FALSE))*Distances!$AC$8))</f>
        <v>172830.67371388833</v>
      </c>
      <c r="V130" s="43">
        <f>SQRT(SUM((Table3[[#This Row],[time''4]]-Distances!$AD$6)^2,(Table3[[#This Row],[price''4]]-Distances!$AD$7)^2,(Table3[[#This Row],[energy''4]]-Distances!$AD$8)^2))</f>
        <v>612772.79094311316</v>
      </c>
      <c r="W130" s="58">
        <f>((Table3[[#This Row],[score-rt-df]]-MIN(Table3[score-rt-df]))*$G$6)/(MAX(Table3[score-rt-df])-MIN(Table3[score-rt-df]))</f>
        <v>0.50392791616466248</v>
      </c>
      <c r="AY130" t="str">
        <f>Table3[[#This Row],[QW'#]]</f>
        <v>qw23</v>
      </c>
      <c r="AZ130" t="str">
        <f>VLOOKUP(Table10[[#This Row],[QW'#]],Table3[],2,FALSE)</f>
        <v>f682a180263fc4f6a519635222201b9e</v>
      </c>
      <c r="BA130" s="54">
        <f>IF(ABS(VLOOKUP(Table10[[#This Row],[QW'#]],Table3[],7,FALSE)-0)&lt;=$AZ$6,1,0)</f>
        <v>0</v>
      </c>
      <c r="BB130" s="54">
        <f>IF(ABS(VLOOKUP(Table10[[#This Row],[QW'#]],Table3[],22,FALSE)-0)&lt;=$AZ$6,1,0)</f>
        <v>0</v>
      </c>
      <c r="BC130" s="54">
        <f>IF(AND(Table10[[#This Row],[Retrieved]]=0, Table10[[#This Row],[Relevant]]=0),1,0)</f>
        <v>1</v>
      </c>
      <c r="BD130" s="54">
        <f>IF(AND(Table10[[#This Row],[Retrieved]]=0, Table10[[#This Row],[Relevant]]=1),1,0)</f>
        <v>0</v>
      </c>
      <c r="BE130" s="54">
        <f>IF(AND(Table10[[#This Row],[Retrieved]]=1, Table10[[#This Row],[Relevant]]=0),1,0)</f>
        <v>0</v>
      </c>
      <c r="BF130" s="54">
        <f>IF(AND(Table10[[#This Row],[Retrieved]]=1, Table10[[#This Row],[Relevant]]=1),1,0)</f>
        <v>0</v>
      </c>
    </row>
    <row r="131" spans="2:58">
      <c r="B131" s="76" t="s">
        <v>41</v>
      </c>
      <c r="C131" s="10" t="s">
        <v>79</v>
      </c>
      <c r="D131" s="8">
        <f>VLOOKUP(Table3[[#This Row],[MD5]],Input[],3,FALSE)+(Distances!$AA$6*(ABS(Distances!$AD$6-VLOOKUP(Table3[[#This Row],[MD5]],Input[],3,FALSE))*Distances!$AC$6))</f>
        <v>53.122142855</v>
      </c>
      <c r="E131" s="7">
        <f>VLOOKUP(Table3[[#This Row],[MD5]],Input[],4,FALSE)+(Distances!$AA$7*(ABS(Distances!$AD$7-VLOOKUP(Table3[[#This Row],[MD5]],Input[],4,FALSE))*Distances!$AC$7))</f>
        <v>59.466666666666669</v>
      </c>
      <c r="F131" s="7">
        <f>VLOOKUP(Table3[[#This Row],[MD5]],Input[],5,FALSE)+(Distances!$AA$8*(ABS(Distances!$AD$8-VLOOKUP(Table3[[#This Row],[MD5]],Input[],5,FALSE))*Distances!$AC$8))</f>
        <v>55.099999999999994</v>
      </c>
      <c r="G131" s="46">
        <f>SQRT(SUM((Table3[[#This Row],[time]]-Distances!$AD$6)^2,(Table3[[#This Row],[price]]-Distances!$AD$7)^2,(Table3[[#This Row],[energy]]-Distances!$AD$8)^2))</f>
        <v>11.197122567195793</v>
      </c>
      <c r="H131" s="46">
        <f>((Table3[[#This Row],[score-bt]]-MIN(Table3[score-bt]))*$G$6)/(MAX(Table3[score-bt])-MIN(Table3[score-bt]))</f>
        <v>9.7223252191376744E-2</v>
      </c>
      <c r="I131" s="8">
        <f>VLOOKUP(Table3[[#This Row],[MD5]],Input[],9,FALSE)+(Distances!$AA$6*(ABS(Distances!$AD$6-VLOOKUP(Table3[[#This Row],[MD5]],Input[],9,FALSE))*Distances!$AC$6))</f>
        <v>41.160030283839191</v>
      </c>
      <c r="J131" s="7">
        <f>VLOOKUP(Table3[[#This Row],[MD5]],Input[],10,FALSE)+(Distances!$AA$7*(ABS(Distances!$AD$7-VLOOKUP(Table3[[#This Row],[MD5]],Input[],10,FALSE))*Distances!$AC$7))</f>
        <v>38.622377274999913</v>
      </c>
      <c r="K131" s="7">
        <f>VLOOKUP(Table3[[#This Row],[MD5]],Input[],11,FALSE)+(Distances!$AA$8*(ABS(Distances!$AD$8-VLOOKUP(Table3[[#This Row],[MD5]],Input[],11,FALSE))*Distances!$AC$8))</f>
        <v>33.91264062284715</v>
      </c>
      <c r="L131" s="44">
        <f>SQRT(SUM((Table3[[#This Row],[time''2]]-Distances!$AD$6)^2,(Table3[[#This Row],[price''2]]-Distances!$AD$7)^2,(Table3[[#This Row],[energy''2]]-Distances!$AD$8)^2))</f>
        <v>21.596261139020022</v>
      </c>
      <c r="M131" s="44">
        <f>((Table3[[#This Row],[score-rt-partialcf]]-MIN(Table3[score-rt-partialcf]))*$G$6)/(MAX(Table3[score-rt-partialcf])-MIN(Table3[score-rt-partialcf]))</f>
        <v>0.14905321072969321</v>
      </c>
      <c r="N131" s="8">
        <f>VLOOKUP(Table3[[#This Row],[MD5]],Input[],15,FALSE)+(Distances!$AA$6*(ABS(Distances!$AD$6-VLOOKUP(Table3[[#This Row],[MD5]],Input[],15,FALSE))*Distances!$AC$6))</f>
        <v>41.126544105714196</v>
      </c>
      <c r="O131" s="7">
        <f>VLOOKUP(Table3[[#This Row],[MD5]],Input[],16,FALSE)+(Distances!$AA$7*(ABS(Distances!$AD$7-VLOOKUP(Table3[[#This Row],[MD5]],Input[],16,FALSE))*Distances!$AC$7))</f>
        <v>80.127948700000005</v>
      </c>
      <c r="P131" s="7">
        <f>VLOOKUP(Table3[[#This Row],[MD5]],Input[],17,FALSE)+(Distances!$AA$8*(ABS(Distances!$AD$8-VLOOKUP(Table3[[#This Row],[MD5]],Input[],11,FALSE))*Distances!$AC$8))</f>
        <v>80.474428704096539</v>
      </c>
      <c r="Q131" s="47">
        <f>SQRT(SUM((Table3[[#This Row],[time''3]]-Distances!$AD$6)^2,(Table3[[#This Row],[price''3]]-Distances!$AD$7)^2,(Table3[[#This Row],[energy''3]]-Distances!$AD$8)^2))</f>
        <v>43.762110520617384</v>
      </c>
      <c r="R131" s="47">
        <f>((Table3[[#This Row],[score-rt-fullcf]]-MIN(Table3[score-rt-fullcf]))*$G$6)/(MAX(Table3[score-rt-fullcf])-MIN(Table3[score-rt-fullcf]))</f>
        <v>7.1258712760450552E-2</v>
      </c>
      <c r="S131" s="8">
        <f>VLOOKUP(Table3[[#This Row],[MD5]],Input[],21,FALSE)+(Distances!$AI$6*(ABS(Distances!$L$3-VLOOKUP(Table3[[#This Row],[MD5]],Input[],21,FALSE))*Distances!$AC$6))</f>
        <v>741104.96586666664</v>
      </c>
      <c r="T131" s="7">
        <f>VLOOKUP(Table3[[#This Row],[MD5]],Input[],22,FALSE)+(Distances!$AI$7*(ABS(Distances!$AB$7-VLOOKUP(Table3[[#This Row],[MD5]],Input[],22,FALSE))*Distances!$AC$7))</f>
        <v>242404.72556666666</v>
      </c>
      <c r="U131" s="7">
        <f>VLOOKUP(Table3[[#This Row],[MD5]],Input[],23,FALSE)+(Distances!$AI$8*(ABS(Distances!$AD$8-VLOOKUP(Table3[[#This Row],[MD5]],Input[],23,FALSE))*Distances!$AC$8))</f>
        <v>178029.54382499945</v>
      </c>
      <c r="V131" s="43">
        <f>SQRT(SUM((Table3[[#This Row],[time''4]]-Distances!$AD$6)^2,(Table3[[#This Row],[price''4]]-Distances!$AD$7)^2,(Table3[[#This Row],[energy''4]]-Distances!$AD$8)^2))</f>
        <v>799734.32679877861</v>
      </c>
      <c r="W131" s="58">
        <f>((Table3[[#This Row],[score-rt-df]]-MIN(Table3[score-rt-df]))*$G$6)/(MAX(Table3[score-rt-df])-MIN(Table3[score-rt-df]))</f>
        <v>0.65789922394498523</v>
      </c>
      <c r="AY131" t="str">
        <f>Table3[[#This Row],[QW'#]]</f>
        <v>qw33</v>
      </c>
      <c r="AZ131" t="str">
        <f>VLOOKUP(Table10[[#This Row],[QW'#]],Table3[],2,FALSE)</f>
        <v>0caee4bd87fccc93bd0c3db3891b708b</v>
      </c>
      <c r="BA131" s="54">
        <f>IF(ABS(VLOOKUP(Table10[[#This Row],[QW'#]],Table3[],7,FALSE)-0)&lt;=$AZ$6,1,0)</f>
        <v>0</v>
      </c>
      <c r="BB131" s="54">
        <f>IF(ABS(VLOOKUP(Table10[[#This Row],[QW'#]],Table3[],22,FALSE)-0)&lt;=$AZ$6,1,0)</f>
        <v>0</v>
      </c>
      <c r="BC131" s="54">
        <f>IF(AND(Table10[[#This Row],[Retrieved]]=0, Table10[[#This Row],[Relevant]]=0),1,0)</f>
        <v>1</v>
      </c>
      <c r="BD131" s="54">
        <f>IF(AND(Table10[[#This Row],[Retrieved]]=0, Table10[[#This Row],[Relevant]]=1),1,0)</f>
        <v>0</v>
      </c>
      <c r="BE131" s="54">
        <f>IF(AND(Table10[[#This Row],[Retrieved]]=1, Table10[[#This Row],[Relevant]]=0),1,0)</f>
        <v>0</v>
      </c>
      <c r="BF131" s="54">
        <f>IF(AND(Table10[[#This Row],[Retrieved]]=1, Table10[[#This Row],[Relevant]]=1),1,0)</f>
        <v>0</v>
      </c>
    </row>
    <row r="132" spans="2:58">
      <c r="B132" s="76" t="s">
        <v>245</v>
      </c>
      <c r="C132" s="10" t="s">
        <v>113</v>
      </c>
      <c r="D132" s="8">
        <f>VLOOKUP(Table3[[#This Row],[MD5]],Input[],3,FALSE)+(Distances!$AA$6*(ABS(Distances!$AD$6-VLOOKUP(Table3[[#This Row],[MD5]],Input[],3,FALSE))*Distances!$AC$6))</f>
        <v>53.122142855</v>
      </c>
      <c r="E132" s="7">
        <f>VLOOKUP(Table3[[#This Row],[MD5]],Input[],4,FALSE)+(Distances!$AA$7*(ABS(Distances!$AD$7-VLOOKUP(Table3[[#This Row],[MD5]],Input[],4,FALSE))*Distances!$AC$7))</f>
        <v>59.466666666666669</v>
      </c>
      <c r="F132" s="7">
        <f>VLOOKUP(Table3[[#This Row],[MD5]],Input[],5,FALSE)+(Distances!$AA$8*(ABS(Distances!$AD$8-VLOOKUP(Table3[[#This Row],[MD5]],Input[],5,FALSE))*Distances!$AC$8))</f>
        <v>55.099999999999994</v>
      </c>
      <c r="G132" s="46">
        <f>SQRT(SUM((Table3[[#This Row],[time]]-Distances!$AD$6)^2,(Table3[[#This Row],[price]]-Distances!$AD$7)^2,(Table3[[#This Row],[energy]]-Distances!$AD$8)^2))</f>
        <v>11.197122567195793</v>
      </c>
      <c r="H132" s="46">
        <f>((Table3[[#This Row],[score-bt]]-MIN(Table3[score-bt]))*$G$6)/(MAX(Table3[score-bt])-MIN(Table3[score-bt]))</f>
        <v>9.7223252191376744E-2</v>
      </c>
      <c r="I132" s="8">
        <f>VLOOKUP(Table3[[#This Row],[MD5]],Input[],9,FALSE)+(Distances!$AA$6*(ABS(Distances!$AD$6-VLOOKUP(Table3[[#This Row],[MD5]],Input[],9,FALSE))*Distances!$AC$6))</f>
        <v>41.160031605714195</v>
      </c>
      <c r="J132" s="7">
        <f>VLOOKUP(Table3[[#This Row],[MD5]],Input[],10,FALSE)+(Distances!$AA$7*(ABS(Distances!$AD$7-VLOOKUP(Table3[[#This Row],[MD5]],Input[],10,FALSE))*Distances!$AC$7))</f>
        <v>38.622379024999908</v>
      </c>
      <c r="K132" s="7">
        <f>VLOOKUP(Table3[[#This Row],[MD5]],Input[],11,FALSE)+(Distances!$AA$8*(ABS(Distances!$AD$8-VLOOKUP(Table3[[#This Row],[MD5]],Input[],11,FALSE))*Distances!$AC$8))</f>
        <v>33.912641949930482</v>
      </c>
      <c r="L132" s="44">
        <f>SQRT(SUM((Table3[[#This Row],[time''2]]-Distances!$AD$6)^2,(Table3[[#This Row],[price''2]]-Distances!$AD$7)^2,(Table3[[#This Row],[energy''2]]-Distances!$AD$8)^2))</f>
        <v>21.596258687417841</v>
      </c>
      <c r="M132" s="44">
        <f>((Table3[[#This Row],[score-rt-partialcf]]-MIN(Table3[score-rt-partialcf]))*$G$6)/(MAX(Table3[score-rt-partialcf])-MIN(Table3[score-rt-partialcf]))</f>
        <v>0.14905318809150245</v>
      </c>
      <c r="N132" s="8">
        <f>VLOOKUP(Table3[[#This Row],[MD5]],Input[],15,FALSE)+(Distances!$AA$6*(ABS(Distances!$AD$6-VLOOKUP(Table3[[#This Row],[MD5]],Input[],15,FALSE))*Distances!$AC$6))</f>
        <v>41.126544105714196</v>
      </c>
      <c r="O132" s="7">
        <f>VLOOKUP(Table3[[#This Row],[MD5]],Input[],16,FALSE)+(Distances!$AA$7*(ABS(Distances!$AD$7-VLOOKUP(Table3[[#This Row],[MD5]],Input[],16,FALSE))*Distances!$AC$7))</f>
        <v>80.127948700000005</v>
      </c>
      <c r="P132" s="7">
        <f>VLOOKUP(Table3[[#This Row],[MD5]],Input[],17,FALSE)+(Distances!$AA$8*(ABS(Distances!$AD$8-VLOOKUP(Table3[[#This Row],[MD5]],Input[],11,FALSE))*Distances!$AC$8))</f>
        <v>80.474428893679871</v>
      </c>
      <c r="Q132" s="47">
        <f>SQRT(SUM((Table3[[#This Row],[time''3]]-Distances!$AD$6)^2,(Table3[[#This Row],[price''3]]-Distances!$AD$7)^2,(Table3[[#This Row],[energy''3]]-Distances!$AD$8)^2))</f>
        <v>43.762110652636693</v>
      </c>
      <c r="R132" s="47">
        <f>((Table3[[#This Row],[score-rt-fullcf]]-MIN(Table3[score-rt-fullcf]))*$G$6)/(MAX(Table3[score-rt-fullcf])-MIN(Table3[score-rt-fullcf]))</f>
        <v>7.1258716808243375E-2</v>
      </c>
      <c r="S132" s="8">
        <f>VLOOKUP(Table3[[#This Row],[MD5]],Input[],21,FALSE)+(Distances!$AI$6*(ABS(Distances!$L$3-VLOOKUP(Table3[[#This Row],[MD5]],Input[],21,FALSE))*Distances!$AC$6))</f>
        <v>741104.96586666664</v>
      </c>
      <c r="T132" s="7">
        <f>VLOOKUP(Table3[[#This Row],[MD5]],Input[],22,FALSE)+(Distances!$AI$7*(ABS(Distances!$AB$7-VLOOKUP(Table3[[#This Row],[MD5]],Input[],22,FALSE))*Distances!$AC$7))</f>
        <v>242404.72556666666</v>
      </c>
      <c r="U132" s="7">
        <f>VLOOKUP(Table3[[#This Row],[MD5]],Input[],23,FALSE)+(Distances!$AI$8*(ABS(Distances!$AD$8-VLOOKUP(Table3[[#This Row],[MD5]],Input[],23,FALSE))*Distances!$AC$8))</f>
        <v>178029.54382499945</v>
      </c>
      <c r="V132" s="43">
        <f>SQRT(SUM((Table3[[#This Row],[time''4]]-Distances!$AD$6)^2,(Table3[[#This Row],[price''4]]-Distances!$AD$7)^2,(Table3[[#This Row],[energy''4]]-Distances!$AD$8)^2))</f>
        <v>799734.32679877861</v>
      </c>
      <c r="W132" s="58">
        <f>((Table3[[#This Row],[score-rt-df]]-MIN(Table3[score-rt-df]))*$G$6)/(MAX(Table3[score-rt-df])-MIN(Table3[score-rt-df]))</f>
        <v>0.65789922394498523</v>
      </c>
      <c r="AY132" t="str">
        <f>Table3[[#This Row],[QW'#]]</f>
        <v>qw67</v>
      </c>
      <c r="AZ132" t="str">
        <f>VLOOKUP(Table10[[#This Row],[QW'#]],Table3[],2,FALSE)</f>
        <v>fa8ee8fe1df07150b82926b3d085e5e8</v>
      </c>
      <c r="BA132" s="54">
        <f>IF(ABS(VLOOKUP(Table10[[#This Row],[QW'#]],Table3[],7,FALSE)-0)&lt;=$AZ$6,1,0)</f>
        <v>0</v>
      </c>
      <c r="BB132" s="54">
        <f>IF(ABS(VLOOKUP(Table10[[#This Row],[QW'#]],Table3[],22,FALSE)-0)&lt;=$AZ$6,1,0)</f>
        <v>0</v>
      </c>
      <c r="BC132" s="54">
        <f>IF(AND(Table10[[#This Row],[Retrieved]]=0, Table10[[#This Row],[Relevant]]=0),1,0)</f>
        <v>1</v>
      </c>
      <c r="BD132" s="54">
        <f>IF(AND(Table10[[#This Row],[Retrieved]]=0, Table10[[#This Row],[Relevant]]=1),1,0)</f>
        <v>0</v>
      </c>
      <c r="BE132" s="54">
        <f>IF(AND(Table10[[#This Row],[Retrieved]]=1, Table10[[#This Row],[Relevant]]=0),1,0)</f>
        <v>0</v>
      </c>
      <c r="BF132" s="54">
        <f>IF(AND(Table10[[#This Row],[Retrieved]]=1, Table10[[#This Row],[Relevant]]=1),1,0)</f>
        <v>0</v>
      </c>
    </row>
    <row r="133" spans="2:58">
      <c r="B133" s="76" t="s">
        <v>306</v>
      </c>
      <c r="C133" s="10" t="s">
        <v>174</v>
      </c>
      <c r="D133" s="8">
        <f>VLOOKUP(Table3[[#This Row],[MD5]],Input[],3,FALSE)+(Distances!$AA$6*(ABS(Distances!$AD$6-VLOOKUP(Table3[[#This Row],[MD5]],Input[],3,FALSE))*Distances!$AC$6))</f>
        <v>53.122142855</v>
      </c>
      <c r="E133" s="7">
        <f>VLOOKUP(Table3[[#This Row],[MD5]],Input[],4,FALSE)+(Distances!$AA$7*(ABS(Distances!$AD$7-VLOOKUP(Table3[[#This Row],[MD5]],Input[],4,FALSE))*Distances!$AC$7))</f>
        <v>59.466666666666669</v>
      </c>
      <c r="F133" s="7">
        <f>VLOOKUP(Table3[[#This Row],[MD5]],Input[],5,FALSE)+(Distances!$AA$8*(ABS(Distances!$AD$8-VLOOKUP(Table3[[#This Row],[MD5]],Input[],5,FALSE))*Distances!$AC$8))</f>
        <v>55.099999999999994</v>
      </c>
      <c r="G133" s="46">
        <f>SQRT(SUM((Table3[[#This Row],[time]]-Distances!$AD$6)^2,(Table3[[#This Row],[price]]-Distances!$AD$7)^2,(Table3[[#This Row],[energy]]-Distances!$AD$8)^2))</f>
        <v>11.197122567195793</v>
      </c>
      <c r="H133" s="46">
        <f>((Table3[[#This Row],[score-bt]]-MIN(Table3[score-bt]))*$G$6)/(MAX(Table3[score-bt])-MIN(Table3[score-bt]))</f>
        <v>9.7223252191376744E-2</v>
      </c>
      <c r="I133" s="8">
        <f>VLOOKUP(Table3[[#This Row],[MD5]],Input[],9,FALSE)+(Distances!$AA$6*(ABS(Distances!$AD$6-VLOOKUP(Table3[[#This Row],[MD5]],Input[],9,FALSE))*Distances!$AC$6))</f>
        <v>41.160037333839199</v>
      </c>
      <c r="J133" s="7">
        <f>VLOOKUP(Table3[[#This Row],[MD5]],Input[],10,FALSE)+(Distances!$AA$7*(ABS(Distances!$AD$7-VLOOKUP(Table3[[#This Row],[MD5]],Input[],10,FALSE))*Distances!$AC$7))</f>
        <v>38.622386608333244</v>
      </c>
      <c r="K133" s="7">
        <f>VLOOKUP(Table3[[#This Row],[MD5]],Input[],11,FALSE)+(Distances!$AA$8*(ABS(Distances!$AD$8-VLOOKUP(Table3[[#This Row],[MD5]],Input[],11,FALSE))*Distances!$AC$8))</f>
        <v>33.912647700624923</v>
      </c>
      <c r="L133" s="44">
        <f>SQRT(SUM((Table3[[#This Row],[time''2]]-Distances!$AD$6)^2,(Table3[[#This Row],[price''2]]-Distances!$AD$7)^2,(Table3[[#This Row],[energy''2]]-Distances!$AD$8)^2))</f>
        <v>21.596248063808677</v>
      </c>
      <c r="M133" s="44">
        <f>((Table3[[#This Row],[score-rt-partialcf]]-MIN(Table3[score-rt-partialcf]))*$G$6)/(MAX(Table3[score-rt-partialcf])-MIN(Table3[score-rt-partialcf]))</f>
        <v>0.14905308999267855</v>
      </c>
      <c r="N133" s="8">
        <f>VLOOKUP(Table3[[#This Row],[MD5]],Input[],15,FALSE)+(Distances!$AA$6*(ABS(Distances!$AD$6-VLOOKUP(Table3[[#This Row],[MD5]],Input[],15,FALSE))*Distances!$AC$6))</f>
        <v>41.126548511964195</v>
      </c>
      <c r="O133" s="7">
        <f>VLOOKUP(Table3[[#This Row],[MD5]],Input[],16,FALSE)+(Distances!$AA$7*(ABS(Distances!$AD$7-VLOOKUP(Table3[[#This Row],[MD5]],Input[],16,FALSE))*Distances!$AC$7))</f>
        <v>80.127950158333334</v>
      </c>
      <c r="P133" s="7">
        <f>VLOOKUP(Table3[[#This Row],[MD5]],Input[],17,FALSE)+(Distances!$AA$8*(ABS(Distances!$AD$8-VLOOKUP(Table3[[#This Row],[MD5]],Input[],11,FALSE))*Distances!$AC$8))</f>
        <v>80.474431611041666</v>
      </c>
      <c r="Q133" s="47">
        <f>SQRT(SUM((Table3[[#This Row],[time''3]]-Distances!$AD$6)^2,(Table3[[#This Row],[price''3]]-Distances!$AD$7)^2,(Table3[[#This Row],[energy''3]]-Distances!$AD$8)^2))</f>
        <v>43.762112655464868</v>
      </c>
      <c r="R133" s="47">
        <f>((Table3[[#This Row],[score-rt-fullcf]]-MIN(Table3[score-rt-fullcf]))*$G$6)/(MAX(Table3[score-rt-fullcf])-MIN(Table3[score-rt-fullcf]))</f>
        <v>7.1258778216181082E-2</v>
      </c>
      <c r="S133" s="8">
        <f>VLOOKUP(Table3[[#This Row],[MD5]],Input[],21,FALSE)+(Distances!$AI$6*(ABS(Distances!$L$3-VLOOKUP(Table3[[#This Row],[MD5]],Input[],21,FALSE))*Distances!$AC$6))</f>
        <v>741105.48853333329</v>
      </c>
      <c r="T133" s="7">
        <f>VLOOKUP(Table3[[#This Row],[MD5]],Input[],22,FALSE)+(Distances!$AI$7*(ABS(Distances!$AB$7-VLOOKUP(Table3[[#This Row],[MD5]],Input[],22,FALSE))*Distances!$AC$7))</f>
        <v>242404.85001111112</v>
      </c>
      <c r="U133" s="7">
        <f>VLOOKUP(Table3[[#This Row],[MD5]],Input[],23,FALSE)+(Distances!$AI$8*(ABS(Distances!$AD$8-VLOOKUP(Table3[[#This Row],[MD5]],Input[],23,FALSE))*Distances!$AC$8))</f>
        <v>178029.63715833277</v>
      </c>
      <c r="V133" s="43">
        <f>SQRT(SUM((Table3[[#This Row],[time''4]]-Distances!$AD$6)^2,(Table3[[#This Row],[price''4]]-Distances!$AD$7)^2,(Table3[[#This Row],[energy''4]]-Distances!$AD$8)^2))</f>
        <v>799734.8695988548</v>
      </c>
      <c r="W133" s="58">
        <f>((Table3[[#This Row],[score-rt-df]]-MIN(Table3[score-rt-df]))*$G$6)/(MAX(Table3[score-rt-df])-MIN(Table3[score-rt-df]))</f>
        <v>0.65789967096547641</v>
      </c>
      <c r="AY133" t="str">
        <f>Table3[[#This Row],[QW'#]]</f>
        <v>qw128</v>
      </c>
      <c r="AZ133" t="str">
        <f>VLOOKUP(Table10[[#This Row],[QW'#]],Table3[],2,FALSE)</f>
        <v>99f8ef21f20d006bd37d703d00ce1c90</v>
      </c>
      <c r="BA133" s="54">
        <f>IF(ABS(VLOOKUP(Table10[[#This Row],[QW'#]],Table3[],7,FALSE)-0)&lt;=$AZ$6,1,0)</f>
        <v>0</v>
      </c>
      <c r="BB133" s="54">
        <f>IF(ABS(VLOOKUP(Table10[[#This Row],[QW'#]],Table3[],22,FALSE)-0)&lt;=$AZ$6,1,0)</f>
        <v>0</v>
      </c>
      <c r="BC133" s="54">
        <f>IF(AND(Table10[[#This Row],[Retrieved]]=0, Table10[[#This Row],[Relevant]]=0),1,0)</f>
        <v>1</v>
      </c>
      <c r="BD133" s="54">
        <f>IF(AND(Table10[[#This Row],[Retrieved]]=0, Table10[[#This Row],[Relevant]]=1),1,0)</f>
        <v>0</v>
      </c>
      <c r="BE133" s="54">
        <f>IF(AND(Table10[[#This Row],[Retrieved]]=1, Table10[[#This Row],[Relevant]]=0),1,0)</f>
        <v>0</v>
      </c>
      <c r="BF133" s="54">
        <f>IF(AND(Table10[[#This Row],[Retrieved]]=1, Table10[[#This Row],[Relevant]]=1),1,0)</f>
        <v>0</v>
      </c>
    </row>
    <row r="134" spans="2:58">
      <c r="B134" s="76" t="s">
        <v>30</v>
      </c>
      <c r="C134" s="10" t="s">
        <v>68</v>
      </c>
      <c r="D134" s="8">
        <f>VLOOKUP(Table3[[#This Row],[MD5]],Input[],3,FALSE)+(Distances!$AA$6*(ABS(Distances!$AD$6-VLOOKUP(Table3[[#This Row],[MD5]],Input[],3,FALSE))*Distances!$AC$6))</f>
        <v>53.122142855</v>
      </c>
      <c r="E134" s="7">
        <f>VLOOKUP(Table3[[#This Row],[MD5]],Input[],4,FALSE)+(Distances!$AA$7*(ABS(Distances!$AD$7-VLOOKUP(Table3[[#This Row],[MD5]],Input[],4,FALSE))*Distances!$AC$7))</f>
        <v>59.466666666666669</v>
      </c>
      <c r="F134" s="7">
        <f>VLOOKUP(Table3[[#This Row],[MD5]],Input[],5,FALSE)+(Distances!$AA$8*(ABS(Distances!$AD$8-VLOOKUP(Table3[[#This Row],[MD5]],Input[],5,FALSE))*Distances!$AC$8))</f>
        <v>55.099999999999994</v>
      </c>
      <c r="G134" s="46">
        <f>SQRT(SUM((Table3[[#This Row],[time]]-Distances!$AD$6)^2,(Table3[[#This Row],[price]]-Distances!$AD$7)^2,(Table3[[#This Row],[energy]]-Distances!$AD$8)^2))</f>
        <v>11.197122567195793</v>
      </c>
      <c r="H134" s="46">
        <f>((Table3[[#This Row],[score-bt]]-MIN(Table3[score-bt]))*$G$6)/(MAX(Table3[score-bt])-MIN(Table3[score-bt]))</f>
        <v>9.7223252191376744E-2</v>
      </c>
      <c r="I134" s="8">
        <f>VLOOKUP(Table3[[#This Row],[MD5]],Input[],9,FALSE)+(Distances!$AA$6*(ABS(Distances!$AD$6-VLOOKUP(Table3[[#This Row],[MD5]],Input[],9,FALSE))*Distances!$AC$6))</f>
        <v>41.160045705714204</v>
      </c>
      <c r="J134" s="7">
        <f>VLOOKUP(Table3[[#This Row],[MD5]],Input[],10,FALSE)+(Distances!$AA$7*(ABS(Distances!$AD$7-VLOOKUP(Table3[[#This Row],[MD5]],Input[],10,FALSE))*Distances!$AC$7))</f>
        <v>38.622397691666571</v>
      </c>
      <c r="K134" s="7">
        <f>VLOOKUP(Table3[[#This Row],[MD5]],Input[],11,FALSE)+(Distances!$AA$8*(ABS(Distances!$AD$8-VLOOKUP(Table3[[#This Row],[MD5]],Input[],11,FALSE))*Distances!$AC$8))</f>
        <v>33.912656105486114</v>
      </c>
      <c r="L134" s="44">
        <f>SQRT(SUM((Table3[[#This Row],[time''2]]-Distances!$AD$6)^2,(Table3[[#This Row],[price''2]]-Distances!$AD$7)^2,(Table3[[#This Row],[energy''2]]-Distances!$AD$8)^2))</f>
        <v>21.596232536996105</v>
      </c>
      <c r="M134" s="44">
        <f>((Table3[[#This Row],[score-rt-partialcf]]-MIN(Table3[score-rt-partialcf]))*$G$6)/(MAX(Table3[score-rt-partialcf])-MIN(Table3[score-rt-partialcf]))</f>
        <v>0.14905294661748197</v>
      </c>
      <c r="N134" s="8">
        <f>VLOOKUP(Table3[[#This Row],[MD5]],Input[],15,FALSE)+(Distances!$AA$6*(ABS(Distances!$AD$6-VLOOKUP(Table3[[#This Row],[MD5]],Input[],15,FALSE))*Distances!$AC$6))</f>
        <v>41.126548511964195</v>
      </c>
      <c r="O134" s="7">
        <f>VLOOKUP(Table3[[#This Row],[MD5]],Input[],16,FALSE)+(Distances!$AA$7*(ABS(Distances!$AD$7-VLOOKUP(Table3[[#This Row],[MD5]],Input[],16,FALSE))*Distances!$AC$7))</f>
        <v>80.127950158333334</v>
      </c>
      <c r="P134" s="7">
        <f>VLOOKUP(Table3[[#This Row],[MD5]],Input[],17,FALSE)+(Distances!$AA$8*(ABS(Distances!$AD$8-VLOOKUP(Table3[[#This Row],[MD5]],Input[],11,FALSE))*Distances!$AC$8))</f>
        <v>80.474432811736122</v>
      </c>
      <c r="Q134" s="47">
        <f>SQRT(SUM((Table3[[#This Row],[time''3]]-Distances!$AD$6)^2,(Table3[[#This Row],[price''3]]-Distances!$AD$7)^2,(Table3[[#This Row],[energy''3]]-Distances!$AD$8)^2))</f>
        <v>43.762113491587236</v>
      </c>
      <c r="R134" s="47">
        <f>((Table3[[#This Row],[score-rt-fullcf]]-MIN(Table3[score-rt-fullcf]))*$G$6)/(MAX(Table3[score-rt-fullcf])-MIN(Table3[score-rt-fullcf]))</f>
        <v>7.1258803852204636E-2</v>
      </c>
      <c r="S134" s="8">
        <f>VLOOKUP(Table3[[#This Row],[MD5]],Input[],21,FALSE)+(Distances!$AI$6*(ABS(Distances!$L$3-VLOOKUP(Table3[[#This Row],[MD5]],Input[],21,FALSE))*Distances!$AC$6))</f>
        <v>741105.48853333329</v>
      </c>
      <c r="T134" s="7">
        <f>VLOOKUP(Table3[[#This Row],[MD5]],Input[],22,FALSE)+(Distances!$AI$7*(ABS(Distances!$AB$7-VLOOKUP(Table3[[#This Row],[MD5]],Input[],22,FALSE))*Distances!$AC$7))</f>
        <v>242404.85001111112</v>
      </c>
      <c r="U134" s="7">
        <f>VLOOKUP(Table3[[#This Row],[MD5]],Input[],23,FALSE)+(Distances!$AI$8*(ABS(Distances!$AD$8-VLOOKUP(Table3[[#This Row],[MD5]],Input[],23,FALSE))*Distances!$AC$8))</f>
        <v>178029.63715833277</v>
      </c>
      <c r="V134" s="43">
        <f>SQRT(SUM((Table3[[#This Row],[time''4]]-Distances!$AD$6)^2,(Table3[[#This Row],[price''4]]-Distances!$AD$7)^2,(Table3[[#This Row],[energy''4]]-Distances!$AD$8)^2))</f>
        <v>799734.8695988548</v>
      </c>
      <c r="W134" s="58">
        <f>((Table3[[#This Row],[score-rt-df]]-MIN(Table3[score-rt-df]))*$G$6)/(MAX(Table3[score-rt-df])-MIN(Table3[score-rt-df]))</f>
        <v>0.65789967096547641</v>
      </c>
      <c r="AY134" t="str">
        <f>Table3[[#This Row],[QW'#]]</f>
        <v>qw22</v>
      </c>
      <c r="AZ134" t="str">
        <f>VLOOKUP(Table10[[#This Row],[QW'#]],Table3[],2,FALSE)</f>
        <v>3f5c6842bebd6fe1148d51a4c4145f72</v>
      </c>
      <c r="BA134" s="54">
        <f>IF(ABS(VLOOKUP(Table10[[#This Row],[QW'#]],Table3[],7,FALSE)-0)&lt;=$AZ$6,1,0)</f>
        <v>0</v>
      </c>
      <c r="BB134" s="54">
        <f>IF(ABS(VLOOKUP(Table10[[#This Row],[QW'#]],Table3[],22,FALSE)-0)&lt;=$AZ$6,1,0)</f>
        <v>0</v>
      </c>
      <c r="BC134" s="54">
        <f>IF(AND(Table10[[#This Row],[Retrieved]]=0, Table10[[#This Row],[Relevant]]=0),1,0)</f>
        <v>1</v>
      </c>
      <c r="BD134" s="54">
        <f>IF(AND(Table10[[#This Row],[Retrieved]]=0, Table10[[#This Row],[Relevant]]=1),1,0)</f>
        <v>0</v>
      </c>
      <c r="BE134" s="54">
        <f>IF(AND(Table10[[#This Row],[Retrieved]]=1, Table10[[#This Row],[Relevant]]=0),1,0)</f>
        <v>0</v>
      </c>
      <c r="BF134" s="54">
        <f>IF(AND(Table10[[#This Row],[Retrieved]]=1, Table10[[#This Row],[Relevant]]=1),1,0)</f>
        <v>0</v>
      </c>
    </row>
    <row r="135" spans="2:58">
      <c r="B135" s="76" t="s">
        <v>10</v>
      </c>
      <c r="C135" s="10" t="s">
        <v>48</v>
      </c>
      <c r="D135" s="8">
        <f>VLOOKUP(Table3[[#This Row],[MD5]],Input[],3,FALSE)+(Distances!$AA$6*(ABS(Distances!$AD$6-VLOOKUP(Table3[[#This Row],[MD5]],Input[],3,FALSE))*Distances!$AC$6))</f>
        <v>53.122142855</v>
      </c>
      <c r="E135" s="7">
        <f>VLOOKUP(Table3[[#This Row],[MD5]],Input[],4,FALSE)+(Distances!$AA$7*(ABS(Distances!$AD$7-VLOOKUP(Table3[[#This Row],[MD5]],Input[],4,FALSE))*Distances!$AC$7))</f>
        <v>59.466666666666669</v>
      </c>
      <c r="F135" s="7">
        <f>VLOOKUP(Table3[[#This Row],[MD5]],Input[],5,FALSE)+(Distances!$AA$8*(ABS(Distances!$AD$8-VLOOKUP(Table3[[#This Row],[MD5]],Input[],5,FALSE))*Distances!$AC$8))</f>
        <v>55.099999999999994</v>
      </c>
      <c r="G135" s="46">
        <f>SQRT(SUM((Table3[[#This Row],[time]]-Distances!$AD$6)^2,(Table3[[#This Row],[price]]-Distances!$AD$7)^2,(Table3[[#This Row],[energy]]-Distances!$AD$8)^2))</f>
        <v>11.197122567195793</v>
      </c>
      <c r="H135" s="46">
        <f>((Table3[[#This Row],[score-bt]]-MIN(Table3[score-bt]))*$G$6)/(MAX(Table3[score-bt])-MIN(Table3[score-bt]))</f>
        <v>9.7223252191376744E-2</v>
      </c>
      <c r="I135" s="8">
        <f>VLOOKUP(Table3[[#This Row],[MD5]],Input[],9,FALSE)+(Distances!$AA$6*(ABS(Distances!$AD$6-VLOOKUP(Table3[[#This Row],[MD5]],Input[],9,FALSE))*Distances!$AC$6))</f>
        <v>41.1600399775892</v>
      </c>
      <c r="J135" s="7">
        <f>VLOOKUP(Table3[[#This Row],[MD5]],Input[],10,FALSE)+(Distances!$AA$7*(ABS(Distances!$AD$7-VLOOKUP(Table3[[#This Row],[MD5]],Input[],10,FALSE))*Distances!$AC$7))</f>
        <v>38.622390108333242</v>
      </c>
      <c r="K135" s="7">
        <f>VLOOKUP(Table3[[#This Row],[MD5]],Input[],11,FALSE)+(Distances!$AA$8*(ABS(Distances!$AD$8-VLOOKUP(Table3[[#This Row],[MD5]],Input[],11,FALSE))*Distances!$AC$8))</f>
        <v>33.912650354791595</v>
      </c>
      <c r="L135" s="44">
        <f>SQRT(SUM((Table3[[#This Row],[time''2]]-Distances!$AD$6)^2,(Table3[[#This Row],[price''2]]-Distances!$AD$7)^2,(Table3[[#This Row],[energy''2]]-Distances!$AD$8)^2))</f>
        <v>21.596243160604612</v>
      </c>
      <c r="M135" s="44">
        <f>((Table3[[#This Row],[score-rt-partialcf]]-MIN(Table3[score-rt-partialcf]))*$G$6)/(MAX(Table3[score-rt-partialcf])-MIN(Table3[score-rt-partialcf]))</f>
        <v>0.14905304471629979</v>
      </c>
      <c r="N135" s="8">
        <f>VLOOKUP(Table3[[#This Row],[MD5]],Input[],15,FALSE)+(Distances!$AA$6*(ABS(Distances!$AD$6-VLOOKUP(Table3[[#This Row],[MD5]],Input[],15,FALSE))*Distances!$AC$6))</f>
        <v>41.126552918214195</v>
      </c>
      <c r="O135" s="7">
        <f>VLOOKUP(Table3[[#This Row],[MD5]],Input[],16,FALSE)+(Distances!$AA$7*(ABS(Distances!$AD$7-VLOOKUP(Table3[[#This Row],[MD5]],Input[],16,FALSE))*Distances!$AC$7))</f>
        <v>80.127951616666209</v>
      </c>
      <c r="P135" s="7">
        <f>VLOOKUP(Table3[[#This Row],[MD5]],Input[],17,FALSE)+(Distances!$AA$8*(ABS(Distances!$AD$8-VLOOKUP(Table3[[#This Row],[MD5]],Input[],11,FALSE))*Distances!$AC$8))</f>
        <v>80.474433886040984</v>
      </c>
      <c r="Q135" s="47">
        <f>SQRT(SUM((Table3[[#This Row],[time''3]]-Distances!$AD$6)^2,(Table3[[#This Row],[price''3]]-Distances!$AD$7)^2,(Table3[[#This Row],[energy''3]]-Distances!$AD$8)^2))</f>
        <v>43.762114350247252</v>
      </c>
      <c r="R135" s="47">
        <f>((Table3[[#This Row],[score-rt-fullcf]]-MIN(Table3[score-rt-fullcf]))*$G$6)/(MAX(Table3[score-rt-fullcf])-MIN(Table3[score-rt-fullcf]))</f>
        <v>7.1258830179246266E-2</v>
      </c>
      <c r="S135" s="8">
        <f>VLOOKUP(Table3[[#This Row],[MD5]],Input[],21,FALSE)+(Distances!$AI$6*(ABS(Distances!$L$3-VLOOKUP(Table3[[#This Row],[MD5]],Input[],21,FALSE))*Distances!$AC$6))</f>
        <v>741106.30986666668</v>
      </c>
      <c r="T135" s="7">
        <f>VLOOKUP(Table3[[#This Row],[MD5]],Input[],22,FALSE)+(Distances!$AI$7*(ABS(Distances!$AB$7-VLOOKUP(Table3[[#This Row],[MD5]],Input[],22,FALSE))*Distances!$AC$7))</f>
        <v>242405.0455666667</v>
      </c>
      <c r="U135" s="7">
        <f>VLOOKUP(Table3[[#This Row],[MD5]],Input[],23,FALSE)+(Distances!$AI$8*(ABS(Distances!$AD$8-VLOOKUP(Table3[[#This Row],[MD5]],Input[],23,FALSE))*Distances!$AC$8))</f>
        <v>178029.78382499944</v>
      </c>
      <c r="V135" s="43">
        <f>SQRT(SUM((Table3[[#This Row],[time''4]]-Distances!$AD$6)^2,(Table3[[#This Row],[price''4]]-Distances!$AD$7)^2,(Table3[[#This Row],[energy''4]]-Distances!$AD$8)^2))</f>
        <v>799735.72257041</v>
      </c>
      <c r="W135" s="58">
        <f>((Table3[[#This Row],[score-rt-df]]-MIN(Table3[score-rt-df]))*$G$6)/(MAX(Table3[score-rt-df])-MIN(Table3[score-rt-df]))</f>
        <v>0.65790037342625396</v>
      </c>
      <c r="AY135" t="str">
        <f>Table3[[#This Row],[QW'#]]</f>
        <v>qw2</v>
      </c>
      <c r="AZ135" t="str">
        <f>VLOOKUP(Table10[[#This Row],[QW'#]],Table3[],2,FALSE)</f>
        <v>882aabd4e81c2ce4a70825d9a9ea72a2</v>
      </c>
      <c r="BA135" s="54">
        <f>IF(ABS(VLOOKUP(Table10[[#This Row],[QW'#]],Table3[],7,FALSE)-0)&lt;=$AZ$6,1,0)</f>
        <v>0</v>
      </c>
      <c r="BB135" s="54">
        <f>IF(ABS(VLOOKUP(Table10[[#This Row],[QW'#]],Table3[],22,FALSE)-0)&lt;=$AZ$6,1,0)</f>
        <v>0</v>
      </c>
      <c r="BC135" s="54">
        <f>IF(AND(Table10[[#This Row],[Retrieved]]=0, Table10[[#This Row],[Relevant]]=0),1,0)</f>
        <v>1</v>
      </c>
      <c r="BD135" s="54">
        <f>IF(AND(Table10[[#This Row],[Retrieved]]=0, Table10[[#This Row],[Relevant]]=1),1,0)</f>
        <v>0</v>
      </c>
      <c r="BE135" s="54">
        <f>IF(AND(Table10[[#This Row],[Retrieved]]=1, Table10[[#This Row],[Relevant]]=0),1,0)</f>
        <v>0</v>
      </c>
      <c r="BF135" s="54">
        <f>IF(AND(Table10[[#This Row],[Retrieved]]=1, Table10[[#This Row],[Relevant]]=1),1,0)</f>
        <v>0</v>
      </c>
    </row>
    <row r="136" spans="2:58">
      <c r="B136" s="76" t="s">
        <v>258</v>
      </c>
      <c r="C136" s="10" t="s">
        <v>126</v>
      </c>
      <c r="D136" s="8">
        <f>VLOOKUP(Table3[[#This Row],[MD5]],Input[],3,FALSE)+(Distances!$AA$6*(ABS(Distances!$AD$6-VLOOKUP(Table3[[#This Row],[MD5]],Input[],3,FALSE))*Distances!$AC$6))</f>
        <v>53.122142855</v>
      </c>
      <c r="E136" s="7">
        <f>VLOOKUP(Table3[[#This Row],[MD5]],Input[],4,FALSE)+(Distances!$AA$7*(ABS(Distances!$AD$7-VLOOKUP(Table3[[#This Row],[MD5]],Input[],4,FALSE))*Distances!$AC$7))</f>
        <v>59.466666666666669</v>
      </c>
      <c r="F136" s="7">
        <f>VLOOKUP(Table3[[#This Row],[MD5]],Input[],5,FALSE)+(Distances!$AA$8*(ABS(Distances!$AD$8-VLOOKUP(Table3[[#This Row],[MD5]],Input[],5,FALSE))*Distances!$AC$8))</f>
        <v>55.099999999999994</v>
      </c>
      <c r="G136" s="46">
        <f>SQRT(SUM((Table3[[#This Row],[time]]-Distances!$AD$6)^2,(Table3[[#This Row],[price]]-Distances!$AD$7)^2,(Table3[[#This Row],[energy]]-Distances!$AD$8)^2))</f>
        <v>11.197122567195793</v>
      </c>
      <c r="H136" s="46">
        <f>((Table3[[#This Row],[score-bt]]-MIN(Table3[score-bt]))*$G$6)/(MAX(Table3[score-bt])-MIN(Table3[score-bt]))</f>
        <v>9.7223252191376744E-2</v>
      </c>
      <c r="I136" s="8">
        <f>VLOOKUP(Table3[[#This Row],[MD5]],Input[],9,FALSE)+(Distances!$AA$6*(ABS(Distances!$AD$6-VLOOKUP(Table3[[#This Row],[MD5]],Input[],9,FALSE))*Distances!$AC$6))</f>
        <v>41.160047027589201</v>
      </c>
      <c r="J136" s="7">
        <f>VLOOKUP(Table3[[#This Row],[MD5]],Input[],10,FALSE)+(Distances!$AA$7*(ABS(Distances!$AD$7-VLOOKUP(Table3[[#This Row],[MD5]],Input[],10,FALSE))*Distances!$AC$7))</f>
        <v>38.62239944166658</v>
      </c>
      <c r="K136" s="7">
        <f>VLOOKUP(Table3[[#This Row],[MD5]],Input[],11,FALSE)+(Distances!$AA$8*(ABS(Distances!$AD$8-VLOOKUP(Table3[[#This Row],[MD5]],Input[],11,FALSE))*Distances!$AC$8))</f>
        <v>33.912657432569446</v>
      </c>
      <c r="L136" s="44">
        <f>SQRT(SUM((Table3[[#This Row],[time''2]]-Distances!$AD$6)^2,(Table3[[#This Row],[price''2]]-Distances!$AD$7)^2,(Table3[[#This Row],[energy''2]]-Distances!$AD$8)^2))</f>
        <v>21.596230085394222</v>
      </c>
      <c r="M136" s="44">
        <f>((Table3[[#This Row],[score-rt-partialcf]]-MIN(Table3[score-rt-partialcf]))*$G$6)/(MAX(Table3[score-rt-partialcf])-MIN(Table3[score-rt-partialcf]))</f>
        <v>0.14905292397929398</v>
      </c>
      <c r="N136" s="8">
        <f>VLOOKUP(Table3[[#This Row],[MD5]],Input[],15,FALSE)+(Distances!$AA$6*(ABS(Distances!$AD$6-VLOOKUP(Table3[[#This Row],[MD5]],Input[],15,FALSE))*Distances!$AC$6))</f>
        <v>41.126552918214195</v>
      </c>
      <c r="O136" s="7">
        <f>VLOOKUP(Table3[[#This Row],[MD5]],Input[],16,FALSE)+(Distances!$AA$7*(ABS(Distances!$AD$7-VLOOKUP(Table3[[#This Row],[MD5]],Input[],16,FALSE))*Distances!$AC$7))</f>
        <v>80.127951616666209</v>
      </c>
      <c r="P136" s="7">
        <f>VLOOKUP(Table3[[#This Row],[MD5]],Input[],17,FALSE)+(Distances!$AA$8*(ABS(Distances!$AD$8-VLOOKUP(Table3[[#This Row],[MD5]],Input[],11,FALSE))*Distances!$AC$8))</f>
        <v>80.474434897152108</v>
      </c>
      <c r="Q136" s="47">
        <f>SQRT(SUM((Table3[[#This Row],[time''3]]-Distances!$AD$6)^2,(Table3[[#This Row],[price''3]]-Distances!$AD$7)^2,(Table3[[#This Row],[energy''3]]-Distances!$AD$8)^2))</f>
        <v>43.762115054350325</v>
      </c>
      <c r="R136" s="47">
        <f>((Table3[[#This Row],[score-rt-fullcf]]-MIN(Table3[score-rt-fullcf]))*$G$6)/(MAX(Table3[score-rt-fullcf])-MIN(Table3[score-rt-fullcf]))</f>
        <v>7.1258851767477427E-2</v>
      </c>
      <c r="S136" s="8">
        <f>VLOOKUP(Table3[[#This Row],[MD5]],Input[],21,FALSE)+(Distances!$AI$6*(ABS(Distances!$L$3-VLOOKUP(Table3[[#This Row],[MD5]],Input[],21,FALSE))*Distances!$AC$6))</f>
        <v>741106.30986666668</v>
      </c>
      <c r="T136" s="7">
        <f>VLOOKUP(Table3[[#This Row],[MD5]],Input[],22,FALSE)+(Distances!$AI$7*(ABS(Distances!$AB$7-VLOOKUP(Table3[[#This Row],[MD5]],Input[],22,FALSE))*Distances!$AC$7))</f>
        <v>242405.0455666667</v>
      </c>
      <c r="U136" s="7">
        <f>VLOOKUP(Table3[[#This Row],[MD5]],Input[],23,FALSE)+(Distances!$AI$8*(ABS(Distances!$AD$8-VLOOKUP(Table3[[#This Row],[MD5]],Input[],23,FALSE))*Distances!$AC$8))</f>
        <v>178029.78382499944</v>
      </c>
      <c r="V136" s="43">
        <f>SQRT(SUM((Table3[[#This Row],[time''4]]-Distances!$AD$6)^2,(Table3[[#This Row],[price''4]]-Distances!$AD$7)^2,(Table3[[#This Row],[energy''4]]-Distances!$AD$8)^2))</f>
        <v>799735.72257041</v>
      </c>
      <c r="W136" s="58">
        <f>((Table3[[#This Row],[score-rt-df]]-MIN(Table3[score-rt-df]))*$G$6)/(MAX(Table3[score-rt-df])-MIN(Table3[score-rt-df]))</f>
        <v>0.65790037342625396</v>
      </c>
      <c r="AY136" t="str">
        <f>Table3[[#This Row],[QW'#]]</f>
        <v>qw80</v>
      </c>
      <c r="AZ136" t="str">
        <f>VLOOKUP(Table10[[#This Row],[QW'#]],Table3[],2,FALSE)</f>
        <v>295607dce0fb888a4d8742be79b47e14</v>
      </c>
      <c r="BA136" s="54">
        <f>IF(ABS(VLOOKUP(Table10[[#This Row],[QW'#]],Table3[],7,FALSE)-0)&lt;=$AZ$6,1,0)</f>
        <v>0</v>
      </c>
      <c r="BB136" s="54">
        <f>IF(ABS(VLOOKUP(Table10[[#This Row],[QW'#]],Table3[],22,FALSE)-0)&lt;=$AZ$6,1,0)</f>
        <v>0</v>
      </c>
      <c r="BC136" s="54">
        <f>IF(AND(Table10[[#This Row],[Retrieved]]=0, Table10[[#This Row],[Relevant]]=0),1,0)</f>
        <v>1</v>
      </c>
      <c r="BD136" s="54">
        <f>IF(AND(Table10[[#This Row],[Retrieved]]=0, Table10[[#This Row],[Relevant]]=1),1,0)</f>
        <v>0</v>
      </c>
      <c r="BE136" s="54">
        <f>IF(AND(Table10[[#This Row],[Retrieved]]=1, Table10[[#This Row],[Relevant]]=0),1,0)</f>
        <v>0</v>
      </c>
      <c r="BF136" s="54">
        <f>IF(AND(Table10[[#This Row],[Retrieved]]=1, Table10[[#This Row],[Relevant]]=1),1,0)</f>
        <v>0</v>
      </c>
    </row>
    <row r="137" spans="2:58">
      <c r="B137" s="76" t="s">
        <v>317</v>
      </c>
      <c r="C137" s="11" t="s">
        <v>185</v>
      </c>
      <c r="D137" s="8">
        <f>VLOOKUP(Table3[[#This Row],[MD5]],Input[],3,FALSE)+(Distances!$AA$6*(ABS(Distances!$AD$6-VLOOKUP(Table3[[#This Row],[MD5]],Input[],3,FALSE))*Distances!$AC$6))</f>
        <v>53.122142855</v>
      </c>
      <c r="E137" s="7">
        <f>VLOOKUP(Table3[[#This Row],[MD5]],Input[],4,FALSE)+(Distances!$AA$7*(ABS(Distances!$AD$7-VLOOKUP(Table3[[#This Row],[MD5]],Input[],4,FALSE))*Distances!$AC$7))</f>
        <v>59.466666666666669</v>
      </c>
      <c r="F137" s="7">
        <f>VLOOKUP(Table3[[#This Row],[MD5]],Input[],5,FALSE)+(Distances!$AA$8*(ABS(Distances!$AD$8-VLOOKUP(Table3[[#This Row],[MD5]],Input[],5,FALSE))*Distances!$AC$8))</f>
        <v>55.099999999999994</v>
      </c>
      <c r="G137" s="46">
        <f>SQRT(SUM((Table3[[#This Row],[time]]-Distances!$AD$6)^2,(Table3[[#This Row],[price]]-Distances!$AD$7)^2,(Table3[[#This Row],[energy]]-Distances!$AD$8)^2))</f>
        <v>11.197122567195793</v>
      </c>
      <c r="H137" s="46">
        <f>((Table3[[#This Row],[score-bt]]-MIN(Table3[score-bt]))*$G$6)/(MAX(Table3[score-bt])-MIN(Table3[score-bt]))</f>
        <v>9.7223252191376744E-2</v>
      </c>
      <c r="I137" s="8">
        <f>VLOOKUP(Table3[[#This Row],[MD5]],Input[],9,FALSE)+(Distances!$AA$6*(ABS(Distances!$AD$6-VLOOKUP(Table3[[#This Row],[MD5]],Input[],9,FALSE))*Distances!$AC$6))</f>
        <v>41.222891030669594</v>
      </c>
      <c r="J137" s="7">
        <f>VLOOKUP(Table3[[#This Row],[MD5]],Input[],10,FALSE)+(Distances!$AA$7*(ABS(Distances!$AD$7-VLOOKUP(Table3[[#This Row],[MD5]],Input[],10,FALSE))*Distances!$AC$7))</f>
        <v>38.696245495833246</v>
      </c>
      <c r="K137" s="7">
        <f>VLOOKUP(Table3[[#This Row],[MD5]],Input[],11,FALSE)+(Distances!$AA$8*(ABS(Distances!$AD$8-VLOOKUP(Table3[[#This Row],[MD5]],Input[],11,FALSE))*Distances!$AC$8))</f>
        <v>33.968783623854094</v>
      </c>
      <c r="L137" s="44">
        <f>SQRT(SUM((Table3[[#This Row],[time''2]]-Distances!$AD$6)^2,(Table3[[#This Row],[price''2]]-Distances!$AD$7)^2,(Table3[[#This Row],[energy''2]]-Distances!$AD$8)^2))</f>
        <v>21.489820991548047</v>
      </c>
      <c r="M137" s="44">
        <f>((Table3[[#This Row],[score-rt-partialcf]]-MIN(Table3[score-rt-partialcf]))*$G$6)/(MAX(Table3[score-rt-partialcf])-MIN(Table3[score-rt-partialcf]))</f>
        <v>0.14807033823104593</v>
      </c>
      <c r="N137" s="8">
        <f>VLOOKUP(Table3[[#This Row],[MD5]],Input[],15,FALSE)+(Distances!$AA$6*(ABS(Distances!$AD$6-VLOOKUP(Table3[[#This Row],[MD5]],Input[],15,FALSE))*Distances!$AC$6))</f>
        <v>41.147510101651704</v>
      </c>
      <c r="O137" s="7">
        <f>VLOOKUP(Table3[[#This Row],[MD5]],Input[],16,FALSE)+(Distances!$AA$7*(ABS(Distances!$AD$7-VLOOKUP(Table3[[#This Row],[MD5]],Input[],16,FALSE))*Distances!$AC$7))</f>
        <v>80.140873602083104</v>
      </c>
      <c r="P137" s="7">
        <f>VLOOKUP(Table3[[#This Row],[MD5]],Input[],17,FALSE)+(Distances!$AA$8*(ABS(Distances!$AD$8-VLOOKUP(Table3[[#This Row],[MD5]],Input[],11,FALSE))*Distances!$AC$8))</f>
        <v>80.499359734270485</v>
      </c>
      <c r="Q137" s="47">
        <f>SQRT(SUM((Table3[[#This Row],[time''3]]-Distances!$AD$6)^2,(Table3[[#This Row],[price''3]]-Distances!$AD$7)^2,(Table3[[#This Row],[energy''3]]-Distances!$AD$8)^2))</f>
        <v>43.784127067894687</v>
      </c>
      <c r="R137" s="47">
        <f>((Table3[[#This Row],[score-rt-fullcf]]-MIN(Table3[score-rt-fullcf]))*$G$6)/(MAX(Table3[score-rt-fullcf])-MIN(Table3[score-rt-fullcf]))</f>
        <v>7.1933753575397899E-2</v>
      </c>
      <c r="S137" s="8">
        <f>VLOOKUP(Table3[[#This Row],[MD5]],Input[],21,FALSE)+(Distances!$AI$6*(ABS(Distances!$L$3-VLOOKUP(Table3[[#This Row],[MD5]],Input[],21,FALSE))*Distances!$AC$6))</f>
        <v>741428.89879999997</v>
      </c>
      <c r="T137" s="7">
        <f>VLOOKUP(Table3[[#This Row],[MD5]],Input[],22,FALSE)+(Distances!$AI$7*(ABS(Distances!$AB$7-VLOOKUP(Table3[[#This Row],[MD5]],Input[],22,FALSE))*Distances!$AC$7))</f>
        <v>242690.60867777778</v>
      </c>
      <c r="U137" s="7">
        <f>VLOOKUP(Table3[[#This Row],[MD5]],Input[],23,FALSE)+(Distances!$AI$8*(ABS(Distances!$AD$8-VLOOKUP(Table3[[#This Row],[MD5]],Input[],23,FALSE))*Distances!$AC$8))</f>
        <v>178241.07371388833</v>
      </c>
      <c r="V137" s="43">
        <f>SQRT(SUM((Table3[[#This Row],[time''4]]-Distances!$AD$6)^2,(Table3[[#This Row],[price''4]]-Distances!$AD$7)^2,(Table3[[#This Row],[energy''4]]-Distances!$AD$8)^2))</f>
        <v>800168.2293847535</v>
      </c>
      <c r="W137" s="58">
        <f>((Table3[[#This Row],[score-rt-df]]-MIN(Table3[score-rt-df]))*$G$6)/(MAX(Table3[score-rt-df])-MIN(Table3[score-rt-df]))</f>
        <v>0.6582565624119916</v>
      </c>
      <c r="AY137" t="str">
        <f>Table3[[#This Row],[QW'#]]</f>
        <v>qw139</v>
      </c>
      <c r="AZ137" t="str">
        <f>VLOOKUP(Table10[[#This Row],[QW'#]],Table3[],2,FALSE)</f>
        <v>67e471a4941cd5711dd249eb36c218c3</v>
      </c>
      <c r="BA137" s="54">
        <f>IF(ABS(VLOOKUP(Table10[[#This Row],[QW'#]],Table3[],7,FALSE)-0)&lt;=$AZ$6,1,0)</f>
        <v>0</v>
      </c>
      <c r="BB137" s="54">
        <f>IF(ABS(VLOOKUP(Table10[[#This Row],[QW'#]],Table3[],22,FALSE)-0)&lt;=$AZ$6,1,0)</f>
        <v>0</v>
      </c>
      <c r="BC137" s="54">
        <f>IF(AND(Table10[[#This Row],[Retrieved]]=0, Table10[[#This Row],[Relevant]]=0),1,0)</f>
        <v>1</v>
      </c>
      <c r="BD137" s="54">
        <f>IF(AND(Table10[[#This Row],[Retrieved]]=0, Table10[[#This Row],[Relevant]]=1),1,0)</f>
        <v>0</v>
      </c>
      <c r="BE137" s="54">
        <f>IF(AND(Table10[[#This Row],[Retrieved]]=1, Table10[[#This Row],[Relevant]]=0),1,0)</f>
        <v>0</v>
      </c>
      <c r="BF137" s="54">
        <f>IF(AND(Table10[[#This Row],[Retrieved]]=1, Table10[[#This Row],[Relevant]]=1),1,0)</f>
        <v>0</v>
      </c>
    </row>
    <row r="138" spans="2:58">
      <c r="B138" s="76" t="s">
        <v>260</v>
      </c>
      <c r="C138" s="11" t="s">
        <v>128</v>
      </c>
      <c r="D138" s="8">
        <f>VLOOKUP(Table3[[#This Row],[MD5]],Input[],3,FALSE)+(Distances!$AA$6*(ABS(Distances!$AD$6-VLOOKUP(Table3[[#This Row],[MD5]],Input[],3,FALSE))*Distances!$AC$6))</f>
        <v>53.122142855</v>
      </c>
      <c r="E138" s="7">
        <f>VLOOKUP(Table3[[#This Row],[MD5]],Input[],4,FALSE)+(Distances!$AA$7*(ABS(Distances!$AD$7-VLOOKUP(Table3[[#This Row],[MD5]],Input[],4,FALSE))*Distances!$AC$7))</f>
        <v>59.466666666666669</v>
      </c>
      <c r="F138" s="7">
        <f>VLOOKUP(Table3[[#This Row],[MD5]],Input[],5,FALSE)+(Distances!$AA$8*(ABS(Distances!$AD$8-VLOOKUP(Table3[[#This Row],[MD5]],Input[],5,FALSE))*Distances!$AC$8))</f>
        <v>55.099999999999994</v>
      </c>
      <c r="G138" s="46">
        <f>SQRT(SUM((Table3[[#This Row],[time]]-Distances!$AD$6)^2,(Table3[[#This Row],[price]]-Distances!$AD$7)^2,(Table3[[#This Row],[energy]]-Distances!$AD$8)^2))</f>
        <v>11.197122567195793</v>
      </c>
      <c r="H138" s="46">
        <f>((Table3[[#This Row],[score-bt]]-MIN(Table3[score-bt]))*$G$6)/(MAX(Table3[score-bt])-MIN(Table3[score-bt]))</f>
        <v>9.7223252191376744E-2</v>
      </c>
      <c r="I138" s="8">
        <f>VLOOKUP(Table3[[#This Row],[MD5]],Input[],9,FALSE)+(Distances!$AA$6*(ABS(Distances!$AD$6-VLOOKUP(Table3[[#This Row],[MD5]],Input[],9,FALSE))*Distances!$AC$6))</f>
        <v>41.222892352544598</v>
      </c>
      <c r="J138" s="7">
        <f>VLOOKUP(Table3[[#This Row],[MD5]],Input[],10,FALSE)+(Distances!$AA$7*(ABS(Distances!$AD$7-VLOOKUP(Table3[[#This Row],[MD5]],Input[],10,FALSE))*Distances!$AC$7))</f>
        <v>38.696247245833241</v>
      </c>
      <c r="K138" s="7">
        <f>VLOOKUP(Table3[[#This Row],[MD5]],Input[],11,FALSE)+(Distances!$AA$8*(ABS(Distances!$AD$8-VLOOKUP(Table3[[#This Row],[MD5]],Input[],11,FALSE))*Distances!$AC$8))</f>
        <v>33.968784950937426</v>
      </c>
      <c r="L138" s="44">
        <f>SQRT(SUM((Table3[[#This Row],[time''2]]-Distances!$AD$6)^2,(Table3[[#This Row],[price''2]]-Distances!$AD$7)^2,(Table3[[#This Row],[energy''2]]-Distances!$AD$8)^2))</f>
        <v>21.489818541152065</v>
      </c>
      <c r="M138" s="44">
        <f>((Table3[[#This Row],[score-rt-partialcf]]-MIN(Table3[score-rt-partialcf]))*$G$6)/(MAX(Table3[score-rt-partialcf])-MIN(Table3[score-rt-partialcf]))</f>
        <v>0.14807031560399328</v>
      </c>
      <c r="N138" s="8">
        <f>VLOOKUP(Table3[[#This Row],[MD5]],Input[],15,FALSE)+(Distances!$AA$6*(ABS(Distances!$AD$6-VLOOKUP(Table3[[#This Row],[MD5]],Input[],15,FALSE))*Distances!$AC$6))</f>
        <v>41.147514507901704</v>
      </c>
      <c r="O138" s="7">
        <f>VLOOKUP(Table3[[#This Row],[MD5]],Input[],16,FALSE)+(Distances!$AA$7*(ABS(Distances!$AD$7-VLOOKUP(Table3[[#This Row],[MD5]],Input[],16,FALSE))*Distances!$AC$7))</f>
        <v>80.140875060416448</v>
      </c>
      <c r="P138" s="7">
        <f>VLOOKUP(Table3[[#This Row],[MD5]],Input[],17,FALSE)+(Distances!$AA$8*(ABS(Distances!$AD$8-VLOOKUP(Table3[[#This Row],[MD5]],Input[],11,FALSE))*Distances!$AC$8))</f>
        <v>80.499361819687152</v>
      </c>
      <c r="Q138" s="47">
        <f>SQRT(SUM((Table3[[#This Row],[time''3]]-Distances!$AD$6)^2,(Table3[[#This Row],[price''3]]-Distances!$AD$7)^2,(Table3[[#This Row],[energy''3]]-Distances!$AD$8)^2))</f>
        <v>43.784128633600048</v>
      </c>
      <c r="R138" s="47">
        <f>((Table3[[#This Row],[score-rt-fullcf]]-MIN(Table3[score-rt-fullcf]))*$G$6)/(MAX(Table3[score-rt-fullcf])-MIN(Table3[score-rt-fullcf]))</f>
        <v>7.193380158088257E-2</v>
      </c>
      <c r="S138" s="8">
        <f>VLOOKUP(Table3[[#This Row],[MD5]],Input[],21,FALSE)+(Distances!$AI$6*(ABS(Distances!$L$3-VLOOKUP(Table3[[#This Row],[MD5]],Input[],21,FALSE))*Distances!$AC$6))</f>
        <v>741429.72013333335</v>
      </c>
      <c r="T138" s="7">
        <f>VLOOKUP(Table3[[#This Row],[MD5]],Input[],22,FALSE)+(Distances!$AI$7*(ABS(Distances!$AB$7-VLOOKUP(Table3[[#This Row],[MD5]],Input[],22,FALSE))*Distances!$AC$7))</f>
        <v>242690.80423333333</v>
      </c>
      <c r="U138" s="7">
        <f>VLOOKUP(Table3[[#This Row],[MD5]],Input[],23,FALSE)+(Distances!$AI$8*(ABS(Distances!$AD$8-VLOOKUP(Table3[[#This Row],[MD5]],Input[],23,FALSE))*Distances!$AC$8))</f>
        <v>178241.22038055499</v>
      </c>
      <c r="V138" s="43">
        <f>SQRT(SUM((Table3[[#This Row],[time''4]]-Distances!$AD$6)^2,(Table3[[#This Row],[price''4]]-Distances!$AD$7)^2,(Table3[[#This Row],[energy''4]]-Distances!$AD$8)^2))</f>
        <v>800169.08233490877</v>
      </c>
      <c r="W138" s="58">
        <f>((Table3[[#This Row],[score-rt-df]]-MIN(Table3[score-rt-df]))*$G$6)/(MAX(Table3[score-rt-df])-MIN(Table3[score-rt-df]))</f>
        <v>0.65825726485514535</v>
      </c>
      <c r="AY138" t="str">
        <f>Table3[[#This Row],[QW'#]]</f>
        <v>qw82</v>
      </c>
      <c r="AZ138" t="str">
        <f>VLOOKUP(Table10[[#This Row],[QW'#]],Table3[],2,FALSE)</f>
        <v>8e387595963ff12b0a7e621cd89073b7</v>
      </c>
      <c r="BA138" s="54">
        <f>IF(ABS(VLOOKUP(Table10[[#This Row],[QW'#]],Table3[],7,FALSE)-0)&lt;=$AZ$6,1,0)</f>
        <v>0</v>
      </c>
      <c r="BB138" s="54">
        <f>IF(ABS(VLOOKUP(Table10[[#This Row],[QW'#]],Table3[],22,FALSE)-0)&lt;=$AZ$6,1,0)</f>
        <v>0</v>
      </c>
      <c r="BC138" s="54">
        <f>IF(AND(Table10[[#This Row],[Retrieved]]=0, Table10[[#This Row],[Relevant]]=0),1,0)</f>
        <v>1</v>
      </c>
      <c r="BD138" s="54">
        <f>IF(AND(Table10[[#This Row],[Retrieved]]=0, Table10[[#This Row],[Relevant]]=1),1,0)</f>
        <v>0</v>
      </c>
      <c r="BE138" s="54">
        <f>IF(AND(Table10[[#This Row],[Retrieved]]=1, Table10[[#This Row],[Relevant]]=0),1,0)</f>
        <v>0</v>
      </c>
      <c r="BF138" s="54">
        <f>IF(AND(Table10[[#This Row],[Retrieved]]=1, Table10[[#This Row],[Relevant]]=1),1,0)</f>
        <v>0</v>
      </c>
    </row>
    <row r="139" spans="2:58">
      <c r="B139" s="76" t="s">
        <v>339</v>
      </c>
      <c r="C139" s="10" t="s">
        <v>207</v>
      </c>
      <c r="D139" s="8">
        <f>VLOOKUP(Table3[[#This Row],[MD5]],Input[],3,FALSE)+(Distances!$AA$6*(ABS(Distances!$AD$6-VLOOKUP(Table3[[#This Row],[MD5]],Input[],3,FALSE))*Distances!$AC$6))</f>
        <v>50.255714284999996</v>
      </c>
      <c r="E139" s="7">
        <f>VLOOKUP(Table3[[#This Row],[MD5]],Input[],4,FALSE)+(Distances!$AA$7*(ABS(Distances!$AD$7-VLOOKUP(Table3[[#This Row],[MD5]],Input[],4,FALSE))*Distances!$AC$7))</f>
        <v>60.466666666666669</v>
      </c>
      <c r="F139" s="7">
        <f>VLOOKUP(Table3[[#This Row],[MD5]],Input[],5,FALSE)+(Distances!$AA$8*(ABS(Distances!$AD$8-VLOOKUP(Table3[[#This Row],[MD5]],Input[],5,FALSE))*Distances!$AC$8))</f>
        <v>56.183333333333337</v>
      </c>
      <c r="G139" s="46">
        <f>SQRT(SUM((Table3[[#This Row],[time]]-Distances!$AD$6)^2,(Table3[[#This Row],[price]]-Distances!$AD$7)^2,(Table3[[#This Row],[energy]]-Distances!$AD$8)^2))</f>
        <v>12.159363141948486</v>
      </c>
      <c r="H139" s="46">
        <f>((Table3[[#This Row],[score-bt]]-MIN(Table3[score-bt]))*$G$6)/(MAX(Table3[score-bt])-MIN(Table3[score-bt]))</f>
        <v>0.17609026488618373</v>
      </c>
      <c r="I139" s="8">
        <f>VLOOKUP(Table3[[#This Row],[MD5]],Input[],9,FALSE)+(Distances!$AA$6*(ABS(Distances!$AD$6-VLOOKUP(Table3[[#This Row],[MD5]],Input[],9,FALSE))*Distances!$AC$6))</f>
        <v>-23.065463079241081</v>
      </c>
      <c r="J139" s="7">
        <f>VLOOKUP(Table3[[#This Row],[MD5]],Input[],10,FALSE)+(Distances!$AA$7*(ABS(Distances!$AD$7-VLOOKUP(Table3[[#This Row],[MD5]],Input[],10,FALSE))*Distances!$AC$7))</f>
        <v>-15.046660741666674</v>
      </c>
      <c r="K139" s="7">
        <f>VLOOKUP(Table3[[#This Row],[MD5]],Input[],11,FALSE)+(Distances!$AA$8*(ABS(Distances!$AD$8-VLOOKUP(Table3[[#This Row],[MD5]],Input[],11,FALSE))*Distances!$AC$8))</f>
        <v>-7.0954417206249989</v>
      </c>
      <c r="L139" s="44">
        <f>SQRT(SUM((Table3[[#This Row],[time''2]]-Distances!$AD$6)^2,(Table3[[#This Row],[price''2]]-Distances!$AD$7)^2,(Table3[[#This Row],[energy''2]]-Distances!$AD$8)^2))</f>
        <v>113.26746855959441</v>
      </c>
      <c r="M139" s="44">
        <f>((Table3[[#This Row],[score-rt-partialcf]]-MIN(Table3[score-rt-partialcf]))*$G$6)/(MAX(Table3[score-rt-partialcf])-MIN(Table3[score-rt-partialcf]))</f>
        <v>0.99554873738420002</v>
      </c>
      <c r="N139" s="8">
        <f>VLOOKUP(Table3[[#This Row],[MD5]],Input[],15,FALSE)+(Distances!$AA$6*(ABS(Distances!$AD$6-VLOOKUP(Table3[[#This Row],[MD5]],Input[],15,FALSE))*Distances!$AC$6))</f>
        <v>-23.066620852901789</v>
      </c>
      <c r="O139" s="7">
        <f>VLOOKUP(Table3[[#This Row],[MD5]],Input[],16,FALSE)+(Distances!$AA$7*(ABS(Distances!$AD$7-VLOOKUP(Table3[[#This Row],[MD5]],Input[],16,FALSE))*Distances!$AC$7))</f>
        <v>55.542587016666623</v>
      </c>
      <c r="P139" s="7">
        <f>VLOOKUP(Table3[[#This Row],[MD5]],Input[],17,FALSE)+(Distances!$AA$8*(ABS(Distances!$AD$8-VLOOKUP(Table3[[#This Row],[MD5]],Input[],11,FALSE))*Distances!$AC$8))</f>
        <v>42.390250883124935</v>
      </c>
      <c r="Q139" s="47">
        <f>SQRT(SUM((Table3[[#This Row],[time''3]]-Distances!$AD$6)^2,(Table3[[#This Row],[price''3]]-Distances!$AD$7)^2,(Table3[[#This Row],[energy''3]]-Distances!$AD$8)^2))</f>
        <v>73.670615820154538</v>
      </c>
      <c r="R139" s="47">
        <f>((Table3[[#This Row],[score-rt-fullcf]]-MIN(Table3[score-rt-fullcf]))*$G$6)/(MAX(Table3[score-rt-fullcf])-MIN(Table3[score-rt-fullcf]))</f>
        <v>0.98827179101318485</v>
      </c>
      <c r="S139" s="8">
        <f>VLOOKUP(Table3[[#This Row],[MD5]],Input[],21,FALSE)+(Distances!$AI$6*(ABS(Distances!$L$3-VLOOKUP(Table3[[#This Row],[MD5]],Input[],21,FALSE))*Distances!$AC$6))</f>
        <v>379.17945833333334</v>
      </c>
      <c r="T139" s="7">
        <f>VLOOKUP(Table3[[#This Row],[MD5]],Input[],22,FALSE)+(Distances!$AI$7*(ABS(Distances!$AB$7-VLOOKUP(Table3[[#This Row],[MD5]],Input[],22,FALSE))*Distances!$AC$7))</f>
        <v>766.88012037036879</v>
      </c>
      <c r="U139" s="7">
        <f>VLOOKUP(Table3[[#This Row],[MD5]],Input[],23,FALSE)+(Distances!$AI$8*(ABS(Distances!$AD$8-VLOOKUP(Table3[[#This Row],[MD5]],Input[],23,FALSE))*Distances!$AC$8))</f>
        <v>581.2113374999999</v>
      </c>
      <c r="V139" s="43">
        <f>SQRT(SUM((Table3[[#This Row],[time''4]]-Distances!$AD$6)^2,(Table3[[#This Row],[price''4]]-Distances!$AD$7)^2,(Table3[[#This Row],[energy''4]]-Distances!$AD$8)^2))</f>
        <v>951.03191737154646</v>
      </c>
      <c r="W139" s="58">
        <f>((Table3[[#This Row],[score-rt-df]]-MIN(Table3[score-rt-df]))*$G$6)/(MAX(Table3[score-rt-df])-MIN(Table3[score-rt-df]))</f>
        <v>6.4937426748450751E-5</v>
      </c>
      <c r="AY139" t="str">
        <f>Table3[[#This Row],[QW'#]]</f>
        <v>qw161</v>
      </c>
      <c r="AZ139" t="str">
        <f>VLOOKUP(Table10[[#This Row],[QW'#]],Table3[],2,FALSE)</f>
        <v>a7a5f571bf953b66bf57ff5a74f89872</v>
      </c>
      <c r="BA139" s="54">
        <f>IF(ABS(VLOOKUP(Table10[[#This Row],[QW'#]],Table3[],7,FALSE)-0)&lt;=$AZ$6,1,0)</f>
        <v>0</v>
      </c>
      <c r="BB139" s="54">
        <f>IF(ABS(VLOOKUP(Table10[[#This Row],[QW'#]],Table3[],22,FALSE)-0)&lt;=$AZ$6,1,0)</f>
        <v>1</v>
      </c>
      <c r="BC139" s="54">
        <f>IF(AND(Table10[[#This Row],[Retrieved]]=0, Table10[[#This Row],[Relevant]]=0),1,0)</f>
        <v>0</v>
      </c>
      <c r="BD139" s="54">
        <f>IF(AND(Table10[[#This Row],[Retrieved]]=0, Table10[[#This Row],[Relevant]]=1),1,0)</f>
        <v>1</v>
      </c>
      <c r="BE139" s="54">
        <f>IF(AND(Table10[[#This Row],[Retrieved]]=1, Table10[[#This Row],[Relevant]]=0),1,0)</f>
        <v>0</v>
      </c>
      <c r="BF139" s="54">
        <f>IF(AND(Table10[[#This Row],[Retrieved]]=1, Table10[[#This Row],[Relevant]]=1),1,0)</f>
        <v>0</v>
      </c>
    </row>
    <row r="140" spans="2:58">
      <c r="B140" s="76" t="s">
        <v>219</v>
      </c>
      <c r="C140" s="10" t="s">
        <v>87</v>
      </c>
      <c r="D140" s="8">
        <f>VLOOKUP(Table3[[#This Row],[MD5]],Input[],3,FALSE)+(Distances!$AA$6*(ABS(Distances!$AD$6-VLOOKUP(Table3[[#This Row],[MD5]],Input[],3,FALSE))*Distances!$AC$6))</f>
        <v>50.255714284999996</v>
      </c>
      <c r="E140" s="7">
        <f>VLOOKUP(Table3[[#This Row],[MD5]],Input[],4,FALSE)+(Distances!$AA$7*(ABS(Distances!$AD$7-VLOOKUP(Table3[[#This Row],[MD5]],Input[],4,FALSE))*Distances!$AC$7))</f>
        <v>60.466666666666669</v>
      </c>
      <c r="F140" s="7">
        <f>VLOOKUP(Table3[[#This Row],[MD5]],Input[],5,FALSE)+(Distances!$AA$8*(ABS(Distances!$AD$8-VLOOKUP(Table3[[#This Row],[MD5]],Input[],5,FALSE))*Distances!$AC$8))</f>
        <v>56.183333333333337</v>
      </c>
      <c r="G140" s="46">
        <f>SQRT(SUM((Table3[[#This Row],[time]]-Distances!$AD$6)^2,(Table3[[#This Row],[price]]-Distances!$AD$7)^2,(Table3[[#This Row],[energy]]-Distances!$AD$8)^2))</f>
        <v>12.159363141948486</v>
      </c>
      <c r="H140" s="46">
        <f>((Table3[[#This Row],[score-bt]]-MIN(Table3[score-bt]))*$G$6)/(MAX(Table3[score-bt])-MIN(Table3[score-bt]))</f>
        <v>0.17609026488618373</v>
      </c>
      <c r="I140" s="8">
        <f>VLOOKUP(Table3[[#This Row],[MD5]],Input[],9,FALSE)+(Distances!$AA$6*(ABS(Distances!$AD$6-VLOOKUP(Table3[[#This Row],[MD5]],Input[],9,FALSE))*Distances!$AC$6))</f>
        <v>-22.911904318883931</v>
      </c>
      <c r="J140" s="7">
        <f>VLOOKUP(Table3[[#This Row],[MD5]],Input[],10,FALSE)+(Distances!$AA$7*(ABS(Distances!$AD$7-VLOOKUP(Table3[[#This Row],[MD5]],Input[],10,FALSE))*Distances!$AC$7))</f>
        <v>-14.900529516666673</v>
      </c>
      <c r="K140" s="7">
        <f>VLOOKUP(Table3[[#This Row],[MD5]],Input[],11,FALSE)+(Distances!$AA$8*(ABS(Distances!$AD$8-VLOOKUP(Table3[[#This Row],[MD5]],Input[],11,FALSE))*Distances!$AC$8))</f>
        <v>-6.9838538441666653</v>
      </c>
      <c r="L140" s="44">
        <f>SQRT(SUM((Table3[[#This Row],[time''2]]-Distances!$AD$6)^2,(Table3[[#This Row],[price''2]]-Distances!$AD$7)^2,(Table3[[#This Row],[energy''2]]-Distances!$AD$8)^2))</f>
        <v>113.02824479696726</v>
      </c>
      <c r="M140" s="44">
        <f>((Table3[[#This Row],[score-rt-partialcf]]-MIN(Table3[score-rt-partialcf]))*$G$6)/(MAX(Table3[score-rt-partialcf])-MIN(Table3[score-rt-partialcf]))</f>
        <v>0.99333973577255663</v>
      </c>
      <c r="N140" s="8">
        <f>VLOOKUP(Table3[[#This Row],[MD5]],Input[],15,FALSE)+(Distances!$AA$6*(ABS(Distances!$AD$6-VLOOKUP(Table3[[#This Row],[MD5]],Input[],15,FALSE))*Distances!$AC$6))</f>
        <v>-22.938451471562498</v>
      </c>
      <c r="O140" s="7">
        <f>VLOOKUP(Table3[[#This Row],[MD5]],Input[],16,FALSE)+(Distances!$AA$7*(ABS(Distances!$AD$7-VLOOKUP(Table3[[#This Row],[MD5]],Input[],16,FALSE))*Distances!$AC$7))</f>
        <v>55.593292908333332</v>
      </c>
      <c r="P140" s="7">
        <f>VLOOKUP(Table3[[#This Row],[MD5]],Input[],17,FALSE)+(Distances!$AA$8*(ABS(Distances!$AD$8-VLOOKUP(Table3[[#This Row],[MD5]],Input[],11,FALSE))*Distances!$AC$8))</f>
        <v>42.472771122499992</v>
      </c>
      <c r="Q140" s="47">
        <f>SQRT(SUM((Table3[[#This Row],[time''3]]-Distances!$AD$6)^2,(Table3[[#This Row],[price''3]]-Distances!$AD$7)^2,(Table3[[#This Row],[energy''3]]-Distances!$AD$8)^2))</f>
        <v>73.538845538954178</v>
      </c>
      <c r="R140" s="47">
        <f>((Table3[[#This Row],[score-rt-fullcf]]-MIN(Table3[score-rt-fullcf]))*$G$6)/(MAX(Table3[score-rt-fullcf])-MIN(Table3[score-rt-fullcf]))</f>
        <v>0.98423163354039933</v>
      </c>
      <c r="S140" s="8">
        <f>VLOOKUP(Table3[[#This Row],[MD5]],Input[],21,FALSE)+(Distances!$AI$6*(ABS(Distances!$L$3-VLOOKUP(Table3[[#This Row],[MD5]],Input[],21,FALSE))*Distances!$AC$6))</f>
        <v>2506.31725333333</v>
      </c>
      <c r="T140" s="7">
        <f>VLOOKUP(Table3[[#This Row],[MD5]],Input[],22,FALSE)+(Distances!$AI$7*(ABS(Distances!$AB$7-VLOOKUP(Table3[[#This Row],[MD5]],Input[],22,FALSE))*Distances!$AC$7))</f>
        <v>1598.5435222222222</v>
      </c>
      <c r="U140" s="7">
        <f>VLOOKUP(Table3[[#This Row],[MD5]],Input[],23,FALSE)+(Distances!$AI$8*(ABS(Distances!$AD$8-VLOOKUP(Table3[[#This Row],[MD5]],Input[],23,FALSE))*Distances!$AC$8))</f>
        <v>1186.0994694444389</v>
      </c>
      <c r="V140" s="43">
        <f>SQRT(SUM((Table3[[#This Row],[time''4]]-Distances!$AD$6)^2,(Table3[[#This Row],[price''4]]-Distances!$AD$7)^2,(Table3[[#This Row],[energy''4]]-Distances!$AD$8)^2))</f>
        <v>3118.0448190671241</v>
      </c>
      <c r="W140" s="58">
        <f>((Table3[[#This Row],[score-rt-df]]-MIN(Table3[score-rt-df]))*$G$6)/(MAX(Table3[score-rt-df])-MIN(Table3[score-rt-df]))</f>
        <v>1.8495708751411957E-3</v>
      </c>
      <c r="AY140" t="str">
        <f>Table3[[#This Row],[QW'#]]</f>
        <v>qw41</v>
      </c>
      <c r="AZ140" t="str">
        <f>VLOOKUP(Table10[[#This Row],[QW'#]],Table3[],2,FALSE)</f>
        <v>5ab1255f2dbe87ecb288d8b4e1b6b373</v>
      </c>
      <c r="BA140" s="54">
        <f>IF(ABS(VLOOKUP(Table10[[#This Row],[QW'#]],Table3[],7,FALSE)-0)&lt;=$AZ$6,1,0)</f>
        <v>0</v>
      </c>
      <c r="BB140" s="54">
        <f>IF(ABS(VLOOKUP(Table10[[#This Row],[QW'#]],Table3[],22,FALSE)-0)&lt;=$AZ$6,1,0)</f>
        <v>1</v>
      </c>
      <c r="BC140" s="54">
        <f>IF(AND(Table10[[#This Row],[Retrieved]]=0, Table10[[#This Row],[Relevant]]=0),1,0)</f>
        <v>0</v>
      </c>
      <c r="BD140" s="54">
        <f>IF(AND(Table10[[#This Row],[Retrieved]]=0, Table10[[#This Row],[Relevant]]=1),1,0)</f>
        <v>1</v>
      </c>
      <c r="BE140" s="54">
        <f>IF(AND(Table10[[#This Row],[Retrieved]]=1, Table10[[#This Row],[Relevant]]=0),1,0)</f>
        <v>0</v>
      </c>
      <c r="BF140" s="54">
        <f>IF(AND(Table10[[#This Row],[Retrieved]]=1, Table10[[#This Row],[Relevant]]=1),1,0)</f>
        <v>0</v>
      </c>
    </row>
    <row r="141" spans="2:58">
      <c r="B141" s="76" t="s">
        <v>320</v>
      </c>
      <c r="C141" s="10" t="s">
        <v>188</v>
      </c>
      <c r="D141" s="8">
        <f>VLOOKUP(Table3[[#This Row],[MD5]],Input[],3,FALSE)+(Distances!$AA$6*(ABS(Distances!$AD$6-VLOOKUP(Table3[[#This Row],[MD5]],Input[],3,FALSE))*Distances!$AC$6))</f>
        <v>50.255714284999996</v>
      </c>
      <c r="E141" s="7">
        <f>VLOOKUP(Table3[[#This Row],[MD5]],Input[],4,FALSE)+(Distances!$AA$7*(ABS(Distances!$AD$7-VLOOKUP(Table3[[#This Row],[MD5]],Input[],4,FALSE))*Distances!$AC$7))</f>
        <v>60.466666666666669</v>
      </c>
      <c r="F141" s="7">
        <f>VLOOKUP(Table3[[#This Row],[MD5]],Input[],5,FALSE)+(Distances!$AA$8*(ABS(Distances!$AD$8-VLOOKUP(Table3[[#This Row],[MD5]],Input[],5,FALSE))*Distances!$AC$8))</f>
        <v>56.183333333333337</v>
      </c>
      <c r="G141" s="46">
        <f>SQRT(SUM((Table3[[#This Row],[time]]-Distances!$AD$6)^2,(Table3[[#This Row],[price]]-Distances!$AD$7)^2,(Table3[[#This Row],[energy]]-Distances!$AD$8)^2))</f>
        <v>12.159363141948486</v>
      </c>
      <c r="H141" s="46">
        <f>((Table3[[#This Row],[score-bt]]-MIN(Table3[score-bt]))*$G$6)/(MAX(Table3[score-bt])-MIN(Table3[score-bt]))</f>
        <v>0.17609026488618373</v>
      </c>
      <c r="I141" s="8">
        <f>VLOOKUP(Table3[[#This Row],[MD5]],Input[],9,FALSE)+(Distances!$AA$6*(ABS(Distances!$AD$6-VLOOKUP(Table3[[#This Row],[MD5]],Input[],9,FALSE))*Distances!$AC$6))</f>
        <v>41.160039198526704</v>
      </c>
      <c r="J141" s="7">
        <f>VLOOKUP(Table3[[#This Row],[MD5]],Input[],10,FALSE)+(Distances!$AA$7*(ABS(Distances!$AD$7-VLOOKUP(Table3[[#This Row],[MD5]],Input[],10,FALSE))*Distances!$AC$7))</f>
        <v>38.622405274999913</v>
      </c>
      <c r="K141" s="7">
        <f>VLOOKUP(Table3[[#This Row],[MD5]],Input[],11,FALSE)+(Distances!$AA$8*(ABS(Distances!$AD$8-VLOOKUP(Table3[[#This Row],[MD5]],Input[],11,FALSE))*Distances!$AC$8))</f>
        <v>33.912661856180556</v>
      </c>
      <c r="L141" s="44">
        <f>SQRT(SUM((Table3[[#This Row],[time''2]]-Distances!$AD$6)^2,(Table3[[#This Row],[price''2]]-Distances!$AD$7)^2,(Table3[[#This Row],[energy''2]]-Distances!$AD$8)^2))</f>
        <v>21.596226921652825</v>
      </c>
      <c r="M141" s="44">
        <f>((Table3[[#This Row],[score-rt-partialcf]]-MIN(Table3[score-rt-partialcf]))*$G$6)/(MAX(Table3[score-rt-partialcf])-MIN(Table3[score-rt-partialcf]))</f>
        <v>0.14905289476518177</v>
      </c>
      <c r="N141" s="8">
        <f>VLOOKUP(Table3[[#This Row],[MD5]],Input[],15,FALSE)+(Distances!$AA$6*(ABS(Distances!$AD$6-VLOOKUP(Table3[[#This Row],[MD5]],Input[],15,FALSE))*Distances!$AC$6))</f>
        <v>41.126513364151705</v>
      </c>
      <c r="O141" s="7">
        <f>VLOOKUP(Table3[[#This Row],[MD5]],Input[],16,FALSE)+(Distances!$AA$7*(ABS(Distances!$AD$7-VLOOKUP(Table3[[#This Row],[MD5]],Input[],16,FALSE))*Distances!$AC$7))</f>
        <v>80.127947241666661</v>
      </c>
      <c r="P141" s="7">
        <f>VLOOKUP(Table3[[#This Row],[MD5]],Input[],17,FALSE)+(Distances!$AA$8*(ABS(Distances!$AD$8-VLOOKUP(Table3[[#This Row],[MD5]],Input[],11,FALSE))*Distances!$AC$8))</f>
        <v>80.474429841597228</v>
      </c>
      <c r="Q141" s="47">
        <f>SQRT(SUM((Table3[[#This Row],[time''3]]-Distances!$AD$6)^2,(Table3[[#This Row],[price''3]]-Distances!$AD$7)^2,(Table3[[#This Row],[energy''3]]-Distances!$AD$8)^2))</f>
        <v>43.762116542092201</v>
      </c>
      <c r="R141" s="47">
        <f>((Table3[[#This Row],[score-rt-fullcf]]-MIN(Table3[score-rt-fullcf]))*$G$6)/(MAX(Table3[score-rt-fullcf])-MIN(Table3[score-rt-fullcf]))</f>
        <v>7.1258897382553948E-2</v>
      </c>
      <c r="S141" s="8">
        <f>VLOOKUP(Table3[[#This Row],[MD5]],Input[],21,FALSE)+(Distances!$AI$6*(ABS(Distances!$L$3-VLOOKUP(Table3[[#This Row],[MD5]],Input[],21,FALSE))*Distances!$AC$6))</f>
        <v>741103.63693333336</v>
      </c>
      <c r="T141" s="7">
        <f>VLOOKUP(Table3[[#This Row],[MD5]],Input[],22,FALSE)+(Distances!$AI$7*(ABS(Distances!$AB$7-VLOOKUP(Table3[[#This Row],[MD5]],Input[],22,FALSE))*Distances!$AC$7))</f>
        <v>242404.53001111111</v>
      </c>
      <c r="U141" s="7">
        <f>VLOOKUP(Table3[[#This Row],[MD5]],Input[],23,FALSE)+(Distances!$AI$8*(ABS(Distances!$AD$8-VLOOKUP(Table3[[#This Row],[MD5]],Input[],23,FALSE))*Distances!$AC$8))</f>
        <v>178029.39715833278</v>
      </c>
      <c r="V141" s="43">
        <f>SQRT(SUM((Table3[[#This Row],[time''4]]-Distances!$AD$6)^2,(Table3[[#This Row],[price''4]]-Distances!$AD$7)^2,(Table3[[#This Row],[energy''4]]-Distances!$AD$8)^2))</f>
        <v>799733.00347170292</v>
      </c>
      <c r="W141" s="58">
        <f>((Table3[[#This Row],[score-rt-df]]-MIN(Table3[score-rt-df]))*$G$6)/(MAX(Table3[score-rt-df])-MIN(Table3[score-rt-df]))</f>
        <v>0.65789813412509501</v>
      </c>
      <c r="AY141" t="str">
        <f>Table3[[#This Row],[QW'#]]</f>
        <v>qw142</v>
      </c>
      <c r="AZ141" t="str">
        <f>VLOOKUP(Table10[[#This Row],[QW'#]],Table3[],2,FALSE)</f>
        <v>1605d3a6a955f9c6e3ab24a8344a51f9</v>
      </c>
      <c r="BA141" s="54">
        <f>IF(ABS(VLOOKUP(Table10[[#This Row],[QW'#]],Table3[],7,FALSE)-0)&lt;=$AZ$6,1,0)</f>
        <v>0</v>
      </c>
      <c r="BB141" s="54">
        <f>IF(ABS(VLOOKUP(Table10[[#This Row],[QW'#]],Table3[],22,FALSE)-0)&lt;=$AZ$6,1,0)</f>
        <v>0</v>
      </c>
      <c r="BC141" s="54">
        <f>IF(AND(Table10[[#This Row],[Retrieved]]=0, Table10[[#This Row],[Relevant]]=0),1,0)</f>
        <v>1</v>
      </c>
      <c r="BD141" s="54">
        <f>IF(AND(Table10[[#This Row],[Retrieved]]=0, Table10[[#This Row],[Relevant]]=1),1,0)</f>
        <v>0</v>
      </c>
      <c r="BE141" s="54">
        <f>IF(AND(Table10[[#This Row],[Retrieved]]=1, Table10[[#This Row],[Relevant]]=0),1,0)</f>
        <v>0</v>
      </c>
      <c r="BF141" s="54">
        <f>IF(AND(Table10[[#This Row],[Retrieved]]=1, Table10[[#This Row],[Relevant]]=1),1,0)</f>
        <v>0</v>
      </c>
    </row>
    <row r="142" spans="2:58">
      <c r="B142" s="76" t="s">
        <v>249</v>
      </c>
      <c r="C142" s="10" t="s">
        <v>117</v>
      </c>
      <c r="D142" s="8">
        <f>VLOOKUP(Table3[[#This Row],[MD5]],Input[],3,FALSE)+(Distances!$AA$6*(ABS(Distances!$AD$6-VLOOKUP(Table3[[#This Row],[MD5]],Input[],3,FALSE))*Distances!$AC$6))</f>
        <v>50.255714284999996</v>
      </c>
      <c r="E142" s="7">
        <f>VLOOKUP(Table3[[#This Row],[MD5]],Input[],4,FALSE)+(Distances!$AA$7*(ABS(Distances!$AD$7-VLOOKUP(Table3[[#This Row],[MD5]],Input[],4,FALSE))*Distances!$AC$7))</f>
        <v>60.466666666666669</v>
      </c>
      <c r="F142" s="7">
        <f>VLOOKUP(Table3[[#This Row],[MD5]],Input[],5,FALSE)+(Distances!$AA$8*(ABS(Distances!$AD$8-VLOOKUP(Table3[[#This Row],[MD5]],Input[],5,FALSE))*Distances!$AC$8))</f>
        <v>56.183333333333337</v>
      </c>
      <c r="G142" s="46">
        <f>SQRT(SUM((Table3[[#This Row],[time]]-Distances!$AD$6)^2,(Table3[[#This Row],[price]]-Distances!$AD$7)^2,(Table3[[#This Row],[energy]]-Distances!$AD$8)^2))</f>
        <v>12.159363141948486</v>
      </c>
      <c r="H142" s="46">
        <f>((Table3[[#This Row],[score-bt]]-MIN(Table3[score-bt]))*$G$6)/(MAX(Table3[score-bt])-MIN(Table3[score-bt]))</f>
        <v>0.17609026488618373</v>
      </c>
      <c r="I142" s="8">
        <f>VLOOKUP(Table3[[#This Row],[MD5]],Input[],9,FALSE)+(Distances!$AA$6*(ABS(Distances!$AD$6-VLOOKUP(Table3[[#This Row],[MD5]],Input[],9,FALSE))*Distances!$AC$6))</f>
        <v>41.160039198526704</v>
      </c>
      <c r="J142" s="7">
        <f>VLOOKUP(Table3[[#This Row],[MD5]],Input[],10,FALSE)+(Distances!$AA$7*(ABS(Distances!$AD$7-VLOOKUP(Table3[[#This Row],[MD5]],Input[],10,FALSE))*Distances!$AC$7))</f>
        <v>38.622405274999913</v>
      </c>
      <c r="K142" s="7">
        <f>VLOOKUP(Table3[[#This Row],[MD5]],Input[],11,FALSE)+(Distances!$AA$8*(ABS(Distances!$AD$8-VLOOKUP(Table3[[#This Row],[MD5]],Input[],11,FALSE))*Distances!$AC$8))</f>
        <v>33.912661856180556</v>
      </c>
      <c r="L142" s="44">
        <f>SQRT(SUM((Table3[[#This Row],[time''2]]-Distances!$AD$6)^2,(Table3[[#This Row],[price''2]]-Distances!$AD$7)^2,(Table3[[#This Row],[energy''2]]-Distances!$AD$8)^2))</f>
        <v>21.596226921652825</v>
      </c>
      <c r="M142" s="44">
        <f>((Table3[[#This Row],[score-rt-partialcf]]-MIN(Table3[score-rt-partialcf]))*$G$6)/(MAX(Table3[score-rt-partialcf])-MIN(Table3[score-rt-partialcf]))</f>
        <v>0.14905289476518177</v>
      </c>
      <c r="N142" s="8">
        <f>VLOOKUP(Table3[[#This Row],[MD5]],Input[],15,FALSE)+(Distances!$AA$6*(ABS(Distances!$AD$6-VLOOKUP(Table3[[#This Row],[MD5]],Input[],15,FALSE))*Distances!$AC$6))</f>
        <v>41.126513364151705</v>
      </c>
      <c r="O142" s="7">
        <f>VLOOKUP(Table3[[#This Row],[MD5]],Input[],16,FALSE)+(Distances!$AA$7*(ABS(Distances!$AD$7-VLOOKUP(Table3[[#This Row],[MD5]],Input[],16,FALSE))*Distances!$AC$7))</f>
        <v>80.127947241666661</v>
      </c>
      <c r="P142" s="7">
        <f>VLOOKUP(Table3[[#This Row],[MD5]],Input[],17,FALSE)+(Distances!$AA$8*(ABS(Distances!$AD$8-VLOOKUP(Table3[[#This Row],[MD5]],Input[],11,FALSE))*Distances!$AC$8))</f>
        <v>80.474429841597228</v>
      </c>
      <c r="Q142" s="47">
        <f>SQRT(SUM((Table3[[#This Row],[time''3]]-Distances!$AD$6)^2,(Table3[[#This Row],[price''3]]-Distances!$AD$7)^2,(Table3[[#This Row],[energy''3]]-Distances!$AD$8)^2))</f>
        <v>43.762116542092201</v>
      </c>
      <c r="R142" s="47">
        <f>((Table3[[#This Row],[score-rt-fullcf]]-MIN(Table3[score-rt-fullcf]))*$G$6)/(MAX(Table3[score-rt-fullcf])-MIN(Table3[score-rt-fullcf]))</f>
        <v>7.1258897382553948E-2</v>
      </c>
      <c r="S142" s="8">
        <f>VLOOKUP(Table3[[#This Row],[MD5]],Input[],21,FALSE)+(Distances!$AI$6*(ABS(Distances!$L$3-VLOOKUP(Table3[[#This Row],[MD5]],Input[],21,FALSE))*Distances!$AC$6))</f>
        <v>741103.63693333336</v>
      </c>
      <c r="T142" s="7">
        <f>VLOOKUP(Table3[[#This Row],[MD5]],Input[],22,FALSE)+(Distances!$AI$7*(ABS(Distances!$AB$7-VLOOKUP(Table3[[#This Row],[MD5]],Input[],22,FALSE))*Distances!$AC$7))</f>
        <v>242404.53001111111</v>
      </c>
      <c r="U142" s="7">
        <f>VLOOKUP(Table3[[#This Row],[MD5]],Input[],23,FALSE)+(Distances!$AI$8*(ABS(Distances!$AD$8-VLOOKUP(Table3[[#This Row],[MD5]],Input[],23,FALSE))*Distances!$AC$8))</f>
        <v>178029.39715833278</v>
      </c>
      <c r="V142" s="43">
        <f>SQRT(SUM((Table3[[#This Row],[time''4]]-Distances!$AD$6)^2,(Table3[[#This Row],[price''4]]-Distances!$AD$7)^2,(Table3[[#This Row],[energy''4]]-Distances!$AD$8)^2))</f>
        <v>799733.00347170292</v>
      </c>
      <c r="W142" s="58">
        <f>((Table3[[#This Row],[score-rt-df]]-MIN(Table3[score-rt-df]))*$G$6)/(MAX(Table3[score-rt-df])-MIN(Table3[score-rt-df]))</f>
        <v>0.65789813412509501</v>
      </c>
      <c r="AY142" t="str">
        <f>Table3[[#This Row],[QW'#]]</f>
        <v>qw71</v>
      </c>
      <c r="AZ142" t="str">
        <f>VLOOKUP(Table10[[#This Row],[QW'#]],Table3[],2,FALSE)</f>
        <v>47de40075d8963b6845508ed320d1693</v>
      </c>
      <c r="BA142" s="54">
        <f>IF(ABS(VLOOKUP(Table10[[#This Row],[QW'#]],Table3[],7,FALSE)-0)&lt;=$AZ$6,1,0)</f>
        <v>0</v>
      </c>
      <c r="BB142" s="54">
        <f>IF(ABS(VLOOKUP(Table10[[#This Row],[QW'#]],Table3[],22,FALSE)-0)&lt;=$AZ$6,1,0)</f>
        <v>0</v>
      </c>
      <c r="BC142" s="54">
        <f>IF(AND(Table10[[#This Row],[Retrieved]]=0, Table10[[#This Row],[Relevant]]=0),1,0)</f>
        <v>1</v>
      </c>
      <c r="BD142" s="54">
        <f>IF(AND(Table10[[#This Row],[Retrieved]]=0, Table10[[#This Row],[Relevant]]=1),1,0)</f>
        <v>0</v>
      </c>
      <c r="BE142" s="54">
        <f>IF(AND(Table10[[#This Row],[Retrieved]]=1, Table10[[#This Row],[Relevant]]=0),1,0)</f>
        <v>0</v>
      </c>
      <c r="BF142" s="54">
        <f>IF(AND(Table10[[#This Row],[Retrieved]]=1, Table10[[#This Row],[Relevant]]=1),1,0)</f>
        <v>0</v>
      </c>
    </row>
    <row r="143" spans="2:58">
      <c r="B143" s="76" t="s">
        <v>265</v>
      </c>
      <c r="C143" s="10" t="s">
        <v>133</v>
      </c>
      <c r="D143" s="8">
        <f>VLOOKUP(Table3[[#This Row],[MD5]],Input[],3,FALSE)+(Distances!$AA$6*(ABS(Distances!$AD$6-VLOOKUP(Table3[[#This Row],[MD5]],Input[],3,FALSE))*Distances!$AC$6))</f>
        <v>50.255714284999996</v>
      </c>
      <c r="E143" s="7">
        <f>VLOOKUP(Table3[[#This Row],[MD5]],Input[],4,FALSE)+(Distances!$AA$7*(ABS(Distances!$AD$7-VLOOKUP(Table3[[#This Row],[MD5]],Input[],4,FALSE))*Distances!$AC$7))</f>
        <v>60.466666666666669</v>
      </c>
      <c r="F143" s="7">
        <f>VLOOKUP(Table3[[#This Row],[MD5]],Input[],5,FALSE)+(Distances!$AA$8*(ABS(Distances!$AD$8-VLOOKUP(Table3[[#This Row],[MD5]],Input[],5,FALSE))*Distances!$AC$8))</f>
        <v>56.183333333333337</v>
      </c>
      <c r="G143" s="46">
        <f>SQRT(SUM((Table3[[#This Row],[time]]-Distances!$AD$6)^2,(Table3[[#This Row],[price]]-Distances!$AD$7)^2,(Table3[[#This Row],[energy]]-Distances!$AD$8)^2))</f>
        <v>12.159363141948486</v>
      </c>
      <c r="H143" s="46">
        <f>((Table3[[#This Row],[score-bt]]-MIN(Table3[score-bt]))*$G$6)/(MAX(Table3[score-bt])-MIN(Table3[score-bt]))</f>
        <v>0.17609026488618373</v>
      </c>
      <c r="I143" s="8">
        <f>VLOOKUP(Table3[[#This Row],[MD5]],Input[],9,FALSE)+(Distances!$AA$6*(ABS(Distances!$AD$6-VLOOKUP(Table3[[#This Row],[MD5]],Input[],9,FALSE))*Distances!$AC$6))</f>
        <v>41.160054382901691</v>
      </c>
      <c r="J143" s="7">
        <f>VLOOKUP(Table3[[#This Row],[MD5]],Input[],10,FALSE)+(Distances!$AA$7*(ABS(Distances!$AD$7-VLOOKUP(Table3[[#This Row],[MD5]],Input[],10,FALSE))*Distances!$AC$7))</f>
        <v>38.622408774999911</v>
      </c>
      <c r="K143" s="7">
        <f>VLOOKUP(Table3[[#This Row],[MD5]],Input[],11,FALSE)+(Distances!$AA$8*(ABS(Distances!$AD$8-VLOOKUP(Table3[[#This Row],[MD5]],Input[],11,FALSE))*Distances!$AC$8))</f>
        <v>33.912664510347142</v>
      </c>
      <c r="L143" s="44">
        <f>SQRT(SUM((Table3[[#This Row],[time''2]]-Distances!$AD$6)^2,(Table3[[#This Row],[price''2]]-Distances!$AD$7)^2,(Table3[[#This Row],[energy''2]]-Distances!$AD$8)^2))</f>
        <v>21.596216885211607</v>
      </c>
      <c r="M143" s="44">
        <f>((Table3[[#This Row],[score-rt-partialcf]]-MIN(Table3[score-rt-partialcf]))*$G$6)/(MAX(Table3[score-rt-partialcf])-MIN(Table3[score-rt-partialcf]))</f>
        <v>0.14905280208828972</v>
      </c>
      <c r="N143" s="8">
        <f>VLOOKUP(Table3[[#This Row],[MD5]],Input[],15,FALSE)+(Distances!$AA$6*(ABS(Distances!$AD$6-VLOOKUP(Table3[[#This Row],[MD5]],Input[],15,FALSE))*Distances!$AC$6))</f>
        <v>41.126534717276698</v>
      </c>
      <c r="O143" s="7">
        <f>VLOOKUP(Table3[[#This Row],[MD5]],Input[],16,FALSE)+(Distances!$AA$7*(ABS(Distances!$AD$7-VLOOKUP(Table3[[#This Row],[MD5]],Input[],16,FALSE))*Distances!$AC$7))</f>
        <v>80.127950158333334</v>
      </c>
      <c r="P143" s="7">
        <f>VLOOKUP(Table3[[#This Row],[MD5]],Input[],17,FALSE)+(Distances!$AA$8*(ABS(Distances!$AD$8-VLOOKUP(Table3[[#This Row],[MD5]],Input[],11,FALSE))*Distances!$AC$8))</f>
        <v>80.47443401243055</v>
      </c>
      <c r="Q143" s="47">
        <f>SQRT(SUM((Table3[[#This Row],[time''3]]-Distances!$AD$6)^2,(Table3[[#This Row],[price''3]]-Distances!$AD$7)^2,(Table3[[#This Row],[energy''3]]-Distances!$AD$8)^2))</f>
        <v>43.762117124799815</v>
      </c>
      <c r="R143" s="47">
        <f>((Table3[[#This Row],[score-rt-fullcf]]-MIN(Table3[score-rt-fullcf]))*$G$6)/(MAX(Table3[score-rt-fullcf])-MIN(Table3[score-rt-fullcf]))</f>
        <v>7.1258915248726032E-2</v>
      </c>
      <c r="S143" s="8">
        <f>VLOOKUP(Table3[[#This Row],[MD5]],Input[],21,FALSE)+(Distances!$AI$6*(ABS(Distances!$L$3-VLOOKUP(Table3[[#This Row],[MD5]],Input[],21,FALSE))*Distances!$AC$6))</f>
        <v>741105.55533333332</v>
      </c>
      <c r="T143" s="7">
        <f>VLOOKUP(Table3[[#This Row],[MD5]],Input[],22,FALSE)+(Distances!$AI$7*(ABS(Distances!$AB$7-VLOOKUP(Table3[[#This Row],[MD5]],Input[],22,FALSE))*Distances!$AC$7))</f>
        <v>242404.92112222221</v>
      </c>
      <c r="U143" s="7">
        <f>VLOOKUP(Table3[[#This Row],[MD5]],Input[],23,FALSE)+(Distances!$AI$8*(ABS(Distances!$AD$8-VLOOKUP(Table3[[#This Row],[MD5]],Input[],23,FALSE))*Distances!$AC$8))</f>
        <v>178029.69049166612</v>
      </c>
      <c r="V143" s="43">
        <f>SQRT(SUM((Table3[[#This Row],[time''4]]-Distances!$AD$6)^2,(Table3[[#This Row],[price''4]]-Distances!$AD$7)^2,(Table3[[#This Row],[energy''4]]-Distances!$AD$8)^2))</f>
        <v>799734.96491654217</v>
      </c>
      <c r="W143" s="58">
        <f>((Table3[[#This Row],[score-rt-df]]-MIN(Table3[score-rt-df]))*$G$6)/(MAX(Table3[score-rt-df])-MIN(Table3[score-rt-df]))</f>
        <v>0.65789974946391683</v>
      </c>
      <c r="AY143" t="str">
        <f>Table3[[#This Row],[QW'#]]</f>
        <v>qw87</v>
      </c>
      <c r="AZ143" t="str">
        <f>VLOOKUP(Table10[[#This Row],[QW'#]],Table3[],2,FALSE)</f>
        <v>68cebd0deb9e0dbeafdc45d4347352fd</v>
      </c>
      <c r="BA143" s="54">
        <f>IF(ABS(VLOOKUP(Table10[[#This Row],[QW'#]],Table3[],7,FALSE)-0)&lt;=$AZ$6,1,0)</f>
        <v>0</v>
      </c>
      <c r="BB143" s="54">
        <f>IF(ABS(VLOOKUP(Table10[[#This Row],[QW'#]],Table3[],22,FALSE)-0)&lt;=$AZ$6,1,0)</f>
        <v>0</v>
      </c>
      <c r="BC143" s="54">
        <f>IF(AND(Table10[[#This Row],[Retrieved]]=0, Table10[[#This Row],[Relevant]]=0),1,0)</f>
        <v>1</v>
      </c>
      <c r="BD143" s="54">
        <f>IF(AND(Table10[[#This Row],[Retrieved]]=0, Table10[[#This Row],[Relevant]]=1),1,0)</f>
        <v>0</v>
      </c>
      <c r="BE143" s="54">
        <f>IF(AND(Table10[[#This Row],[Retrieved]]=1, Table10[[#This Row],[Relevant]]=0),1,0)</f>
        <v>0</v>
      </c>
      <c r="BF143" s="54">
        <f>IF(AND(Table10[[#This Row],[Retrieved]]=1, Table10[[#This Row],[Relevant]]=1),1,0)</f>
        <v>0</v>
      </c>
    </row>
    <row r="144" spans="2:58">
      <c r="B144" s="76" t="s">
        <v>316</v>
      </c>
      <c r="C144" s="10" t="s">
        <v>184</v>
      </c>
      <c r="D144" s="8">
        <f>VLOOKUP(Table3[[#This Row],[MD5]],Input[],3,FALSE)+(Distances!$AA$6*(ABS(Distances!$AD$6-VLOOKUP(Table3[[#This Row],[MD5]],Input[],3,FALSE))*Distances!$AC$6))</f>
        <v>50.255714284999996</v>
      </c>
      <c r="E144" s="7">
        <f>VLOOKUP(Table3[[#This Row],[MD5]],Input[],4,FALSE)+(Distances!$AA$7*(ABS(Distances!$AD$7-VLOOKUP(Table3[[#This Row],[MD5]],Input[],4,FALSE))*Distances!$AC$7))</f>
        <v>60.466666666666669</v>
      </c>
      <c r="F144" s="7">
        <f>VLOOKUP(Table3[[#This Row],[MD5]],Input[],5,FALSE)+(Distances!$AA$8*(ABS(Distances!$AD$8-VLOOKUP(Table3[[#This Row],[MD5]],Input[],5,FALSE))*Distances!$AC$8))</f>
        <v>56.183333333333337</v>
      </c>
      <c r="G144" s="46">
        <f>SQRT(SUM((Table3[[#This Row],[time]]-Distances!$AD$6)^2,(Table3[[#This Row],[price]]-Distances!$AD$7)^2,(Table3[[#This Row],[energy]]-Distances!$AD$8)^2))</f>
        <v>12.159363141948486</v>
      </c>
      <c r="H144" s="46">
        <f>((Table3[[#This Row],[score-bt]]-MIN(Table3[score-bt]))*$G$6)/(MAX(Table3[score-bt])-MIN(Table3[score-bt]))</f>
        <v>0.17609026488618373</v>
      </c>
      <c r="I144" s="8">
        <f>VLOOKUP(Table3[[#This Row],[MD5]],Input[],9,FALSE)+(Distances!$AA$6*(ABS(Distances!$AD$6-VLOOKUP(Table3[[#This Row],[MD5]],Input[],9,FALSE))*Distances!$AC$6))</f>
        <v>41.1600684829017</v>
      </c>
      <c r="J144" s="7">
        <f>VLOOKUP(Table3[[#This Row],[MD5]],Input[],10,FALSE)+(Distances!$AA$7*(ABS(Distances!$AD$7-VLOOKUP(Table3[[#This Row],[MD5]],Input[],10,FALSE))*Distances!$AC$7))</f>
        <v>38.622421899999914</v>
      </c>
      <c r="K144" s="7">
        <f>VLOOKUP(Table3[[#This Row],[MD5]],Input[],11,FALSE)+(Distances!$AA$8*(ABS(Distances!$AD$8-VLOOKUP(Table3[[#This Row],[MD5]],Input[],11,FALSE))*Distances!$AC$8))</f>
        <v>33.91267446347215</v>
      </c>
      <c r="L144" s="44">
        <f>SQRT(SUM((Table3[[#This Row],[time''2]]-Distances!$AD$6)^2,(Table3[[#This Row],[price''2]]-Distances!$AD$7)^2,(Table3[[#This Row],[energy''2]]-Distances!$AD$8)^2))</f>
        <v>21.596196784776954</v>
      </c>
      <c r="M144" s="44">
        <f>((Table3[[#This Row],[score-rt-partialcf]]-MIN(Table3[score-rt-partialcf]))*$G$6)/(MAX(Table3[score-rt-partialcf])-MIN(Table3[score-rt-partialcf]))</f>
        <v>0.14905261648008736</v>
      </c>
      <c r="N144" s="8">
        <f>VLOOKUP(Table3[[#This Row],[MD5]],Input[],15,FALSE)+(Distances!$AA$6*(ABS(Distances!$AD$6-VLOOKUP(Table3[[#This Row],[MD5]],Input[],15,FALSE))*Distances!$AC$6))</f>
        <v>41.126543529776697</v>
      </c>
      <c r="O144" s="7">
        <f>VLOOKUP(Table3[[#This Row],[MD5]],Input[],16,FALSE)+(Distances!$AA$7*(ABS(Distances!$AD$7-VLOOKUP(Table3[[#This Row],[MD5]],Input[],16,FALSE))*Distances!$AC$7))</f>
        <v>80.127953075000008</v>
      </c>
      <c r="P144" s="7">
        <f>VLOOKUP(Table3[[#This Row],[MD5]],Input[],17,FALSE)+(Distances!$AA$8*(ABS(Distances!$AD$8-VLOOKUP(Table3[[#This Row],[MD5]],Input[],11,FALSE))*Distances!$AC$8))</f>
        <v>80.474439225972219</v>
      </c>
      <c r="Q144" s="47">
        <f>SQRT(SUM((Table3[[#This Row],[time''3]]-Distances!$AD$6)^2,(Table3[[#This Row],[price''3]]-Distances!$AD$7)^2,(Table3[[#This Row],[energy''3]]-Distances!$AD$8)^2))</f>
        <v>43.762120976431483</v>
      </c>
      <c r="R144" s="47">
        <f>((Table3[[#This Row],[score-rt-fullcf]]-MIN(Table3[score-rt-fullcf]))*$G$6)/(MAX(Table3[score-rt-fullcf])-MIN(Table3[score-rt-fullcf]))</f>
        <v>7.1259033342110395E-2</v>
      </c>
      <c r="S144" s="8">
        <f>VLOOKUP(Table3[[#This Row],[MD5]],Input[],21,FALSE)+(Distances!$AI$6*(ABS(Distances!$L$3-VLOOKUP(Table3[[#This Row],[MD5]],Input[],21,FALSE))*Distances!$AC$6))</f>
        <v>741106.60066666664</v>
      </c>
      <c r="T144" s="7">
        <f>VLOOKUP(Table3[[#This Row],[MD5]],Input[],22,FALSE)+(Distances!$AI$7*(ABS(Distances!$AB$7-VLOOKUP(Table3[[#This Row],[MD5]],Input[],22,FALSE))*Distances!$AC$7))</f>
        <v>242405.17001111113</v>
      </c>
      <c r="U144" s="7">
        <f>VLOOKUP(Table3[[#This Row],[MD5]],Input[],23,FALSE)+(Distances!$AI$8*(ABS(Distances!$AD$8-VLOOKUP(Table3[[#This Row],[MD5]],Input[],23,FALSE))*Distances!$AC$8))</f>
        <v>178029.87715833279</v>
      </c>
      <c r="V144" s="43">
        <f>SQRT(SUM((Table3[[#This Row],[time''4]]-Distances!$AD$6)^2,(Table3[[#This Row],[price''4]]-Distances!$AD$7)^2,(Table3[[#This Row],[energy''4]]-Distances!$AD$8)^2))</f>
        <v>799736.05051669723</v>
      </c>
      <c r="W144" s="58">
        <f>((Table3[[#This Row],[score-rt-df]]-MIN(Table3[score-rt-df]))*$G$6)/(MAX(Table3[score-rt-df])-MIN(Table3[score-rt-df]))</f>
        <v>0.65790064350490141</v>
      </c>
      <c r="AY144" t="str">
        <f>Table3[[#This Row],[QW'#]]</f>
        <v>qw138</v>
      </c>
      <c r="AZ144" t="str">
        <f>VLOOKUP(Table10[[#This Row],[QW'#]],Table3[],2,FALSE)</f>
        <v>83b90543212a7b8678d59fde9c012d3b</v>
      </c>
      <c r="BA144" s="54">
        <f>IF(ABS(VLOOKUP(Table10[[#This Row],[QW'#]],Table3[],7,FALSE)-0)&lt;=$AZ$6,1,0)</f>
        <v>0</v>
      </c>
      <c r="BB144" s="54">
        <f>IF(ABS(VLOOKUP(Table10[[#This Row],[QW'#]],Table3[],22,FALSE)-0)&lt;=$AZ$6,1,0)</f>
        <v>0</v>
      </c>
      <c r="BC144" s="54">
        <f>IF(AND(Table10[[#This Row],[Retrieved]]=0, Table10[[#This Row],[Relevant]]=0),1,0)</f>
        <v>1</v>
      </c>
      <c r="BD144" s="54">
        <f>IF(AND(Table10[[#This Row],[Retrieved]]=0, Table10[[#This Row],[Relevant]]=1),1,0)</f>
        <v>0</v>
      </c>
      <c r="BE144" s="54">
        <f>IF(AND(Table10[[#This Row],[Retrieved]]=1, Table10[[#This Row],[Relevant]]=0),1,0)</f>
        <v>0</v>
      </c>
      <c r="BF144" s="54">
        <f>IF(AND(Table10[[#This Row],[Retrieved]]=1, Table10[[#This Row],[Relevant]]=1),1,0)</f>
        <v>0</v>
      </c>
    </row>
    <row r="145" spans="2:58">
      <c r="B145" s="76" t="s">
        <v>330</v>
      </c>
      <c r="C145" s="10" t="s">
        <v>198</v>
      </c>
      <c r="D145" s="8">
        <f>VLOOKUP(Table3[[#This Row],[MD5]],Input[],3,FALSE)+(Distances!$AA$6*(ABS(Distances!$AD$6-VLOOKUP(Table3[[#This Row],[MD5]],Input[],3,FALSE))*Distances!$AC$6))</f>
        <v>50.255714284999996</v>
      </c>
      <c r="E145" s="7">
        <f>VLOOKUP(Table3[[#This Row],[MD5]],Input[],4,FALSE)+(Distances!$AA$7*(ABS(Distances!$AD$7-VLOOKUP(Table3[[#This Row],[MD5]],Input[],4,FALSE))*Distances!$AC$7))</f>
        <v>60.466666666666669</v>
      </c>
      <c r="F145" s="7">
        <f>VLOOKUP(Table3[[#This Row],[MD5]],Input[],5,FALSE)+(Distances!$AA$8*(ABS(Distances!$AD$8-VLOOKUP(Table3[[#This Row],[MD5]],Input[],5,FALSE))*Distances!$AC$8))</f>
        <v>56.183333333333337</v>
      </c>
      <c r="G145" s="46">
        <f>SQRT(SUM((Table3[[#This Row],[time]]-Distances!$AD$6)^2,(Table3[[#This Row],[price]]-Distances!$AD$7)^2,(Table3[[#This Row],[energy]]-Distances!$AD$8)^2))</f>
        <v>12.159363141948486</v>
      </c>
      <c r="H145" s="46">
        <f>((Table3[[#This Row],[score-bt]]-MIN(Table3[score-bt]))*$G$6)/(MAX(Table3[score-bt])-MIN(Table3[score-bt]))</f>
        <v>0.17609026488618373</v>
      </c>
      <c r="I145" s="8">
        <f>VLOOKUP(Table3[[#This Row],[MD5]],Input[],9,FALSE)+(Distances!$AA$6*(ABS(Distances!$AD$6-VLOOKUP(Table3[[#This Row],[MD5]],Input[],9,FALSE))*Distances!$AC$6))</f>
        <v>41.160035029776694</v>
      </c>
      <c r="J145" s="7">
        <f>VLOOKUP(Table3[[#This Row],[MD5]],Input[],10,FALSE)+(Distances!$AA$7*(ABS(Distances!$AD$7-VLOOKUP(Table3[[#This Row],[MD5]],Input[],10,FALSE))*Distances!$AC$7))</f>
        <v>38.622416358333247</v>
      </c>
      <c r="K145" s="7">
        <f>VLOOKUP(Table3[[#This Row],[MD5]],Input[],11,FALSE)+(Distances!$AA$8*(ABS(Distances!$AD$8-VLOOKUP(Table3[[#This Row],[MD5]],Input[],11,FALSE))*Distances!$AC$8))</f>
        <v>33.91267026104159</v>
      </c>
      <c r="L145" s="44">
        <f>SQRT(SUM((Table3[[#This Row],[time''2]]-Distances!$AD$6)^2,(Table3[[#This Row],[price''2]]-Distances!$AD$7)^2,(Table3[[#This Row],[energy''2]]-Distances!$AD$8)^2))</f>
        <v>21.596216528083655</v>
      </c>
      <c r="M145" s="44">
        <f>((Table3[[#This Row],[score-rt-partialcf]]-MIN(Table3[score-rt-partialcf]))*$G$6)/(MAX(Table3[score-rt-partialcf])-MIN(Table3[score-rt-partialcf]))</f>
        <v>0.14905279879055619</v>
      </c>
      <c r="N145" s="8">
        <f>VLOOKUP(Table3[[#This Row],[MD5]],Input[],15,FALSE)+(Distances!$AA$6*(ABS(Distances!$AD$6-VLOOKUP(Table3[[#This Row],[MD5]],Input[],15,FALSE))*Distances!$AC$6))</f>
        <v>41.126581898526695</v>
      </c>
      <c r="O145" s="7">
        <f>VLOOKUP(Table3[[#This Row],[MD5]],Input[],16,FALSE)+(Distances!$AA$7*(ABS(Distances!$AD$7-VLOOKUP(Table3[[#This Row],[MD5]],Input[],16,FALSE))*Distances!$AC$7))</f>
        <v>80.127974074999997</v>
      </c>
      <c r="P145" s="7">
        <f>VLOOKUP(Table3[[#This Row],[MD5]],Input[],17,FALSE)+(Distances!$AA$8*(ABS(Distances!$AD$8-VLOOKUP(Table3[[#This Row],[MD5]],Input[],11,FALSE))*Distances!$AC$8))</f>
        <v>80.474465925624315</v>
      </c>
      <c r="Q145" s="47">
        <f>SQRT(SUM((Table3[[#This Row],[time''3]]-Distances!$AD$6)^2,(Table3[[#This Row],[price''3]]-Distances!$AD$7)^2,(Table3[[#This Row],[energy''3]]-Distances!$AD$8)^2))</f>
        <v>43.762146246721763</v>
      </c>
      <c r="R145" s="47">
        <f>((Table3[[#This Row],[score-rt-fullcf]]-MIN(Table3[score-rt-fullcf]))*$G$6)/(MAX(Table3[score-rt-fullcf])-MIN(Table3[score-rt-fullcf]))</f>
        <v>7.1259808144677292E-2</v>
      </c>
      <c r="S145" s="8">
        <f>VLOOKUP(Table3[[#This Row],[MD5]],Input[],21,FALSE)+(Distances!$AI$6*(ABS(Distances!$L$3-VLOOKUP(Table3[[#This Row],[MD5]],Input[],21,FALSE))*Distances!$AC$6))</f>
        <v>741116.49080000003</v>
      </c>
      <c r="T145" s="7">
        <f>VLOOKUP(Table3[[#This Row],[MD5]],Input[],22,FALSE)+(Distances!$AI$7*(ABS(Distances!$AB$7-VLOOKUP(Table3[[#This Row],[MD5]],Input[],22,FALSE))*Distances!$AC$7))</f>
        <v>242407.63223333337</v>
      </c>
      <c r="U145" s="7">
        <f>VLOOKUP(Table3[[#This Row],[MD5]],Input[],23,FALSE)+(Distances!$AI$8*(ABS(Distances!$AD$8-VLOOKUP(Table3[[#This Row],[MD5]],Input[],23,FALSE))*Distances!$AC$8))</f>
        <v>178031.72382499947</v>
      </c>
      <c r="V145" s="43">
        <f>SQRT(SUM((Table3[[#This Row],[time''4]]-Distances!$AD$6)^2,(Table3[[#This Row],[price''4]]-Distances!$AD$7)^2,(Table3[[#This Row],[energy''4]]-Distances!$AD$8)^2))</f>
        <v>799746.37211061642</v>
      </c>
      <c r="W145" s="58">
        <f>((Table3[[#This Row],[score-rt-df]]-MIN(Table3[score-rt-df]))*$G$6)/(MAX(Table3[score-rt-df])-MIN(Table3[score-rt-df]))</f>
        <v>0.65790914380581544</v>
      </c>
      <c r="AY145" t="str">
        <f>Table3[[#This Row],[QW'#]]</f>
        <v>qw152</v>
      </c>
      <c r="AZ145" t="str">
        <f>VLOOKUP(Table10[[#This Row],[QW'#]],Table3[],2,FALSE)</f>
        <v>bc2e62f2925e0129579a91e0189e005e</v>
      </c>
      <c r="BA145" s="54">
        <f>IF(ABS(VLOOKUP(Table10[[#This Row],[QW'#]],Table3[],7,FALSE)-0)&lt;=$AZ$6,1,0)</f>
        <v>0</v>
      </c>
      <c r="BB145" s="54">
        <f>IF(ABS(VLOOKUP(Table10[[#This Row],[QW'#]],Table3[],22,FALSE)-0)&lt;=$AZ$6,1,0)</f>
        <v>0</v>
      </c>
      <c r="BC145" s="54">
        <f>IF(AND(Table10[[#This Row],[Retrieved]]=0, Table10[[#This Row],[Relevant]]=0),1,0)</f>
        <v>1</v>
      </c>
      <c r="BD145" s="54">
        <f>IF(AND(Table10[[#This Row],[Retrieved]]=0, Table10[[#This Row],[Relevant]]=1),1,0)</f>
        <v>0</v>
      </c>
      <c r="BE145" s="54">
        <f>IF(AND(Table10[[#This Row],[Retrieved]]=1, Table10[[#This Row],[Relevant]]=0),1,0)</f>
        <v>0</v>
      </c>
      <c r="BF145" s="54">
        <f>IF(AND(Table10[[#This Row],[Retrieved]]=1, Table10[[#This Row],[Relevant]]=1),1,0)</f>
        <v>0</v>
      </c>
    </row>
    <row r="146" spans="2:58">
      <c r="B146" s="76" t="str">
        <f>VLOOKUP($C146,Data!$A$5:$W$171,2,FALSE)</f>
        <v>qw1</v>
      </c>
      <c r="C146" s="10" t="s">
        <v>47</v>
      </c>
      <c r="D146" s="8">
        <f>VLOOKUP(Table3[[#This Row],[MD5]],Input[],3,FALSE)+(Distances!$AA$6*(ABS(Distances!$AD$6-VLOOKUP(Table3[[#This Row],[MD5]],Input[],3,FALSE))*Distances!$AC$6))</f>
        <v>50.255714284999996</v>
      </c>
      <c r="E146" s="7">
        <f>VLOOKUP(Table3[[#This Row],[MD5]],Input[],4,FALSE)+(Distances!$AA$7*(ABS(Distances!$AD$7-VLOOKUP(Table3[[#This Row],[MD5]],Input[],4,FALSE))*Distances!$AC$7))</f>
        <v>60.466666666666669</v>
      </c>
      <c r="F146" s="7">
        <f>VLOOKUP(Table3[[#This Row],[MD5]],Input[],5,FALSE)+(Distances!$AA$8*(ABS(Distances!$AD$8-VLOOKUP(Table3[[#This Row],[MD5]],Input[],5,FALSE))*Distances!$AC$8))</f>
        <v>56.183333333333337</v>
      </c>
      <c r="G146" s="46">
        <f>SQRT(SUM((Table3[[#This Row],[time]]-Distances!$AD$6)^2,(Table3[[#This Row],[price]]-Distances!$AD$7)^2,(Table3[[#This Row],[energy]]-Distances!$AD$8)^2))</f>
        <v>12.159363141948486</v>
      </c>
      <c r="H146" s="46">
        <f>((Table3[[#This Row],[score-bt]]-MIN(Table3[score-bt]))*$G$6)/(MAX(Table3[score-bt])-MIN(Table3[score-bt]))</f>
        <v>0.17609026488618373</v>
      </c>
      <c r="I146" s="8">
        <f>VLOOKUP(Table3[[#This Row],[MD5]],Input[],9,FALSE)+(Distances!$AA$6*(ABS(Distances!$AD$6-VLOOKUP(Table3[[#This Row],[MD5]],Input[],9,FALSE))*Distances!$AC$6))</f>
        <v>41.160075770401704</v>
      </c>
      <c r="J146" s="7">
        <f>VLOOKUP(Table3[[#This Row],[MD5]],Input[],10,FALSE)+(Distances!$AA$7*(ABS(Distances!$AD$7-VLOOKUP(Table3[[#This Row],[MD5]],Input[],10,FALSE))*Distances!$AC$7))</f>
        <v>38.622429483333242</v>
      </c>
      <c r="K146" s="7">
        <f>VLOOKUP(Table3[[#This Row],[MD5]],Input[],11,FALSE)+(Distances!$AA$8*(ABS(Distances!$AD$8-VLOOKUP(Table3[[#This Row],[MD5]],Input[],11,FALSE))*Distances!$AC$8))</f>
        <v>33.912680214166592</v>
      </c>
      <c r="L146" s="44">
        <f>SQRT(SUM((Table3[[#This Row],[time''2]]-Distances!$AD$6)^2,(Table3[[#This Row],[price''2]]-Distances!$AD$7)^2,(Table3[[#This Row],[energy''2]]-Distances!$AD$8)^2))</f>
        <v>21.596185522874883</v>
      </c>
      <c r="M146" s="44">
        <f>((Table3[[#This Row],[score-rt-partialcf]]-MIN(Table3[score-rt-partialcf]))*$G$6)/(MAX(Table3[score-rt-partialcf])-MIN(Table3[score-rt-partialcf]))</f>
        <v>0.14905251248724169</v>
      </c>
      <c r="N146" s="8">
        <f>VLOOKUP(Table3[[#This Row],[MD5]],Input[],15,FALSE)+(Distances!$AA$6*(ABS(Distances!$AD$6-VLOOKUP(Table3[[#This Row],[MD5]],Input[],15,FALSE))*Distances!$AC$6))</f>
        <v>41.126594439151702</v>
      </c>
      <c r="O146" s="7">
        <f>VLOOKUP(Table3[[#This Row],[MD5]],Input[],16,FALSE)+(Distances!$AA$7*(ABS(Distances!$AD$7-VLOOKUP(Table3[[#This Row],[MD5]],Input[],16,FALSE))*Distances!$AC$7))</f>
        <v>80.127974074999997</v>
      </c>
      <c r="P146" s="7">
        <f>VLOOKUP(Table3[[#This Row],[MD5]],Input[],17,FALSE)+(Distances!$AA$8*(ABS(Distances!$AD$8-VLOOKUP(Table3[[#This Row],[MD5]],Input[],11,FALSE))*Distances!$AC$8))</f>
        <v>80.474467347499314</v>
      </c>
      <c r="Q146" s="47">
        <f>SQRT(SUM((Table3[[#This Row],[time''3]]-Distances!$AD$6)^2,(Table3[[#This Row],[price''3]]-Distances!$AD$7)^2,(Table3[[#This Row],[energy''3]]-Distances!$AD$8)^2))</f>
        <v>43.762144694072838</v>
      </c>
      <c r="R146" s="47">
        <f>((Table3[[#This Row],[score-rt-fullcf]]-MIN(Table3[score-rt-fullcf]))*$G$6)/(MAX(Table3[score-rt-fullcf])-MIN(Table3[score-rt-fullcf]))</f>
        <v>7.1259760539510927E-2</v>
      </c>
      <c r="S146" s="8">
        <f>VLOOKUP(Table3[[#This Row],[MD5]],Input[],21,FALSE)+(Distances!$AI$6*(ABS(Distances!$L$3-VLOOKUP(Table3[[#This Row],[MD5]],Input[],21,FALSE))*Distances!$AC$6))</f>
        <v>741116.66626666661</v>
      </c>
      <c r="T146" s="7">
        <f>VLOOKUP(Table3[[#This Row],[MD5]],Input[],22,FALSE)+(Distances!$AI$7*(ABS(Distances!$AB$7-VLOOKUP(Table3[[#This Row],[MD5]],Input[],22,FALSE))*Distances!$AC$7))</f>
        <v>242407.63223333337</v>
      </c>
      <c r="U146" s="7">
        <f>VLOOKUP(Table3[[#This Row],[MD5]],Input[],23,FALSE)+(Distances!$AI$8*(ABS(Distances!$AD$8-VLOOKUP(Table3[[#This Row],[MD5]],Input[],23,FALSE))*Distances!$AC$8))</f>
        <v>178031.72382499947</v>
      </c>
      <c r="V146" s="43">
        <f>SQRT(SUM((Table3[[#This Row],[time''4]]-Distances!$AD$6)^2,(Table3[[#This Row],[price''4]]-Distances!$AD$7)^2,(Table3[[#This Row],[energy''4]]-Distances!$AD$8)^2))</f>
        <v>799746.53470275004</v>
      </c>
      <c r="W146" s="58">
        <f>((Table3[[#This Row],[score-rt-df]]-MIN(Table3[score-rt-df]))*$G$6)/(MAX(Table3[score-rt-df])-MIN(Table3[score-rt-df]))</f>
        <v>0.65790927770781471</v>
      </c>
      <c r="AY146" t="str">
        <f>Table3[[#This Row],[QW'#]]</f>
        <v>qw1</v>
      </c>
      <c r="AZ146" t="str">
        <f>VLOOKUP(Table10[[#This Row],[QW'#]],Table3[],2,FALSE)</f>
        <v>5733f04cda6896e9f2ddeda526fe0da9</v>
      </c>
      <c r="BA146" s="54">
        <f>IF(ABS(VLOOKUP(Table10[[#This Row],[QW'#]],Table3[],7,FALSE)-0)&lt;=$AZ$6,1,0)</f>
        <v>0</v>
      </c>
      <c r="BB146" s="54">
        <f>IF(ABS(VLOOKUP(Table10[[#This Row],[QW'#]],Table3[],22,FALSE)-0)&lt;=$AZ$6,1,0)</f>
        <v>0</v>
      </c>
      <c r="BC146" s="54">
        <f>IF(AND(Table10[[#This Row],[Retrieved]]=0, Table10[[#This Row],[Relevant]]=0),1,0)</f>
        <v>1</v>
      </c>
      <c r="BD146" s="54">
        <f>IF(AND(Table10[[#This Row],[Retrieved]]=0, Table10[[#This Row],[Relevant]]=1),1,0)</f>
        <v>0</v>
      </c>
      <c r="BE146" s="54">
        <f>IF(AND(Table10[[#This Row],[Retrieved]]=1, Table10[[#This Row],[Relevant]]=0),1,0)</f>
        <v>0</v>
      </c>
      <c r="BF146" s="54">
        <f>IF(AND(Table10[[#This Row],[Retrieved]]=1, Table10[[#This Row],[Relevant]]=1),1,0)</f>
        <v>0</v>
      </c>
    </row>
    <row r="147" spans="2:58">
      <c r="B147" s="76" t="s">
        <v>257</v>
      </c>
      <c r="C147" s="10" t="s">
        <v>125</v>
      </c>
      <c r="D147" s="8">
        <f>VLOOKUP(Table3[[#This Row],[MD5]],Input[],3,FALSE)+(Distances!$AA$6*(ABS(Distances!$AD$6-VLOOKUP(Table3[[#This Row],[MD5]],Input[],3,FALSE))*Distances!$AC$6))</f>
        <v>50.255714284999996</v>
      </c>
      <c r="E147" s="7">
        <f>VLOOKUP(Table3[[#This Row],[MD5]],Input[],4,FALSE)+(Distances!$AA$7*(ABS(Distances!$AD$7-VLOOKUP(Table3[[#This Row],[MD5]],Input[],4,FALSE))*Distances!$AC$7))</f>
        <v>60.466666666666669</v>
      </c>
      <c r="F147" s="7">
        <f>VLOOKUP(Table3[[#This Row],[MD5]],Input[],5,FALSE)+(Distances!$AA$8*(ABS(Distances!$AD$8-VLOOKUP(Table3[[#This Row],[MD5]],Input[],5,FALSE))*Distances!$AC$8))</f>
        <v>56.183333333333337</v>
      </c>
      <c r="G147" s="46">
        <f>SQRT(SUM((Table3[[#This Row],[time]]-Distances!$AD$6)^2,(Table3[[#This Row],[price]]-Distances!$AD$7)^2,(Table3[[#This Row],[energy]]-Distances!$AD$8)^2))</f>
        <v>12.159363141948486</v>
      </c>
      <c r="H147" s="46">
        <f>((Table3[[#This Row],[score-bt]]-MIN(Table3[score-bt]))*$G$6)/(MAX(Table3[score-bt])-MIN(Table3[score-bt]))</f>
        <v>0.17609026488618373</v>
      </c>
      <c r="I147" s="8">
        <f>VLOOKUP(Table3[[#This Row],[MD5]],Input[],9,FALSE)+(Distances!$AA$6*(ABS(Distances!$AD$6-VLOOKUP(Table3[[#This Row],[MD5]],Input[],9,FALSE))*Distances!$AC$6))</f>
        <v>41.160075770401704</v>
      </c>
      <c r="J147" s="7">
        <f>VLOOKUP(Table3[[#This Row],[MD5]],Input[],10,FALSE)+(Distances!$AA$7*(ABS(Distances!$AD$7-VLOOKUP(Table3[[#This Row],[MD5]],Input[],10,FALSE))*Distances!$AC$7))</f>
        <v>38.622429483333242</v>
      </c>
      <c r="K147" s="7">
        <f>VLOOKUP(Table3[[#This Row],[MD5]],Input[],11,FALSE)+(Distances!$AA$8*(ABS(Distances!$AD$8-VLOOKUP(Table3[[#This Row],[MD5]],Input[],11,FALSE))*Distances!$AC$8))</f>
        <v>33.912680214166592</v>
      </c>
      <c r="L147" s="44">
        <f>SQRT(SUM((Table3[[#This Row],[time''2]]-Distances!$AD$6)^2,(Table3[[#This Row],[price''2]]-Distances!$AD$7)^2,(Table3[[#This Row],[energy''2]]-Distances!$AD$8)^2))</f>
        <v>21.596185522874883</v>
      </c>
      <c r="M147" s="44">
        <f>((Table3[[#This Row],[score-rt-partialcf]]-MIN(Table3[score-rt-partialcf]))*$G$6)/(MAX(Table3[score-rt-partialcf])-MIN(Table3[score-rt-partialcf]))</f>
        <v>0.14905251248724169</v>
      </c>
      <c r="N147" s="8">
        <f>VLOOKUP(Table3[[#This Row],[MD5]],Input[],15,FALSE)+(Distances!$AA$6*(ABS(Distances!$AD$6-VLOOKUP(Table3[[#This Row],[MD5]],Input[],15,FALSE))*Distances!$AC$6))</f>
        <v>41.126594439151702</v>
      </c>
      <c r="O147" s="7">
        <f>VLOOKUP(Table3[[#This Row],[MD5]],Input[],16,FALSE)+(Distances!$AA$7*(ABS(Distances!$AD$7-VLOOKUP(Table3[[#This Row],[MD5]],Input[],16,FALSE))*Distances!$AC$7))</f>
        <v>80.127974074999997</v>
      </c>
      <c r="P147" s="7">
        <f>VLOOKUP(Table3[[#This Row],[MD5]],Input[],17,FALSE)+(Distances!$AA$8*(ABS(Distances!$AD$8-VLOOKUP(Table3[[#This Row],[MD5]],Input[],11,FALSE))*Distances!$AC$8))</f>
        <v>80.474467347499314</v>
      </c>
      <c r="Q147" s="47">
        <f>SQRT(SUM((Table3[[#This Row],[time''3]]-Distances!$AD$6)^2,(Table3[[#This Row],[price''3]]-Distances!$AD$7)^2,(Table3[[#This Row],[energy''3]]-Distances!$AD$8)^2))</f>
        <v>43.762144694072838</v>
      </c>
      <c r="R147" s="47">
        <f>((Table3[[#This Row],[score-rt-fullcf]]-MIN(Table3[score-rt-fullcf]))*$G$6)/(MAX(Table3[score-rt-fullcf])-MIN(Table3[score-rt-fullcf]))</f>
        <v>7.1259760539510927E-2</v>
      </c>
      <c r="S147" s="8">
        <f>VLOOKUP(Table3[[#This Row],[MD5]],Input[],21,FALSE)+(Distances!$AI$6*(ABS(Distances!$L$3-VLOOKUP(Table3[[#This Row],[MD5]],Input[],21,FALSE))*Distances!$AC$6))</f>
        <v>741116.66626666661</v>
      </c>
      <c r="T147" s="7">
        <f>VLOOKUP(Table3[[#This Row],[MD5]],Input[],22,FALSE)+(Distances!$AI$7*(ABS(Distances!$AB$7-VLOOKUP(Table3[[#This Row],[MD5]],Input[],22,FALSE))*Distances!$AC$7))</f>
        <v>242407.63223333337</v>
      </c>
      <c r="U147" s="7">
        <f>VLOOKUP(Table3[[#This Row],[MD5]],Input[],23,FALSE)+(Distances!$AI$8*(ABS(Distances!$AD$8-VLOOKUP(Table3[[#This Row],[MD5]],Input[],23,FALSE))*Distances!$AC$8))</f>
        <v>178031.72382499947</v>
      </c>
      <c r="V147" s="43">
        <f>SQRT(SUM((Table3[[#This Row],[time''4]]-Distances!$AD$6)^2,(Table3[[#This Row],[price''4]]-Distances!$AD$7)^2,(Table3[[#This Row],[energy''4]]-Distances!$AD$8)^2))</f>
        <v>799746.53470275004</v>
      </c>
      <c r="W147" s="58">
        <f>((Table3[[#This Row],[score-rt-df]]-MIN(Table3[score-rt-df]))*$G$6)/(MAX(Table3[score-rt-df])-MIN(Table3[score-rt-df]))</f>
        <v>0.65790927770781471</v>
      </c>
      <c r="AY147" t="str">
        <f>Table3[[#This Row],[QW'#]]</f>
        <v>qw79</v>
      </c>
      <c r="AZ147" t="str">
        <f>VLOOKUP(Table10[[#This Row],[QW'#]],Table3[],2,FALSE)</f>
        <v>17997a8fccf2149f3821243cc22e9c46</v>
      </c>
      <c r="BA147" s="54">
        <f>IF(ABS(VLOOKUP(Table10[[#This Row],[QW'#]],Table3[],7,FALSE)-0)&lt;=$AZ$6,1,0)</f>
        <v>0</v>
      </c>
      <c r="BB147" s="54">
        <f>IF(ABS(VLOOKUP(Table10[[#This Row],[QW'#]],Table3[],22,FALSE)-0)&lt;=$AZ$6,1,0)</f>
        <v>0</v>
      </c>
      <c r="BC147" s="54">
        <f>IF(AND(Table10[[#This Row],[Retrieved]]=0, Table10[[#This Row],[Relevant]]=0),1,0)</f>
        <v>1</v>
      </c>
      <c r="BD147" s="54">
        <f>IF(AND(Table10[[#This Row],[Retrieved]]=0, Table10[[#This Row],[Relevant]]=1),1,0)</f>
        <v>0</v>
      </c>
      <c r="BE147" s="54">
        <f>IF(AND(Table10[[#This Row],[Retrieved]]=1, Table10[[#This Row],[Relevant]]=0),1,0)</f>
        <v>0</v>
      </c>
      <c r="BF147" s="54">
        <f>IF(AND(Table10[[#This Row],[Retrieved]]=1, Table10[[#This Row],[Relevant]]=1),1,0)</f>
        <v>0</v>
      </c>
    </row>
    <row r="148" spans="2:58">
      <c r="B148" s="76" t="s">
        <v>240</v>
      </c>
      <c r="C148" s="10" t="s">
        <v>108</v>
      </c>
      <c r="D148" s="8">
        <f>VLOOKUP(Table3[[#This Row],[MD5]],Input[],3,FALSE)+(Distances!$AA$6*(ABS(Distances!$AD$6-VLOOKUP(Table3[[#This Row],[MD5]],Input[],3,FALSE))*Distances!$AC$6))</f>
        <v>50.255714284999996</v>
      </c>
      <c r="E148" s="7">
        <f>VLOOKUP(Table3[[#This Row],[MD5]],Input[],4,FALSE)+(Distances!$AA$7*(ABS(Distances!$AD$7-VLOOKUP(Table3[[#This Row],[MD5]],Input[],4,FALSE))*Distances!$AC$7))</f>
        <v>60.466666666666669</v>
      </c>
      <c r="F148" s="7">
        <f>VLOOKUP(Table3[[#This Row],[MD5]],Input[],5,FALSE)+(Distances!$AA$8*(ABS(Distances!$AD$8-VLOOKUP(Table3[[#This Row],[MD5]],Input[],5,FALSE))*Distances!$AC$8))</f>
        <v>56.183333333333337</v>
      </c>
      <c r="G148" s="46">
        <f>SQRT(SUM((Table3[[#This Row],[time]]-Distances!$AD$6)^2,(Table3[[#This Row],[price]]-Distances!$AD$7)^2,(Table3[[#This Row],[energy]]-Distances!$AD$8)^2))</f>
        <v>12.159363141948486</v>
      </c>
      <c r="H148" s="46">
        <f>((Table3[[#This Row],[score-bt]]-MIN(Table3[score-bt]))*$G$6)/(MAX(Table3[score-bt])-MIN(Table3[score-bt]))</f>
        <v>0.17609026488618373</v>
      </c>
      <c r="I148" s="8">
        <f>VLOOKUP(Table3[[#This Row],[MD5]],Input[],9,FALSE)+(Distances!$AA$6*(ABS(Distances!$AD$6-VLOOKUP(Table3[[#This Row],[MD5]],Input[],9,FALSE))*Distances!$AC$6))</f>
        <v>41.160036351651698</v>
      </c>
      <c r="J148" s="7">
        <f>VLOOKUP(Table3[[#This Row],[MD5]],Input[],10,FALSE)+(Distances!$AA$7*(ABS(Distances!$AD$7-VLOOKUP(Table3[[#This Row],[MD5]],Input[],10,FALSE))*Distances!$AC$7))</f>
        <v>38.622418108333243</v>
      </c>
      <c r="K148" s="7">
        <f>VLOOKUP(Table3[[#This Row],[MD5]],Input[],11,FALSE)+(Distances!$AA$8*(ABS(Distances!$AD$8-VLOOKUP(Table3[[#This Row],[MD5]],Input[],11,FALSE))*Distances!$AC$8))</f>
        <v>33.912671588124923</v>
      </c>
      <c r="L148" s="44">
        <f>SQRT(SUM((Table3[[#This Row],[time''2]]-Distances!$AD$6)^2,(Table3[[#This Row],[price''2]]-Distances!$AD$7)^2,(Table3[[#This Row],[energy''2]]-Distances!$AD$8)^2))</f>
        <v>21.59621407648169</v>
      </c>
      <c r="M148" s="44">
        <f>((Table3[[#This Row],[score-rt-partialcf]]-MIN(Table3[score-rt-partialcf]))*$G$6)/(MAX(Table3[score-rt-partialcf])-MIN(Table3[score-rt-partialcf]))</f>
        <v>0.14905277615236745</v>
      </c>
      <c r="N148" s="8">
        <f>VLOOKUP(Table3[[#This Row],[MD5]],Input[],15,FALSE)+(Distances!$AA$6*(ABS(Distances!$AD$6-VLOOKUP(Table3[[#This Row],[MD5]],Input[],15,FALSE))*Distances!$AC$6))</f>
        <v>41.126586304776701</v>
      </c>
      <c r="O148" s="7">
        <f>VLOOKUP(Table3[[#This Row],[MD5]],Input[],16,FALSE)+(Distances!$AA$7*(ABS(Distances!$AD$7-VLOOKUP(Table3[[#This Row],[MD5]],Input[],16,FALSE))*Distances!$AC$7))</f>
        <v>80.127975533333341</v>
      </c>
      <c r="P148" s="7">
        <f>VLOOKUP(Table3[[#This Row],[MD5]],Input[],17,FALSE)+(Distances!$AA$8*(ABS(Distances!$AD$8-VLOOKUP(Table3[[#This Row],[MD5]],Input[],11,FALSE))*Distances!$AC$8))</f>
        <v>80.474468011041651</v>
      </c>
      <c r="Q148" s="47">
        <f>SQRT(SUM((Table3[[#This Row],[time''3]]-Distances!$AD$6)^2,(Table3[[#This Row],[price''3]]-Distances!$AD$7)^2,(Table3[[#This Row],[energy''3]]-Distances!$AD$8)^2))</f>
        <v>43.762147809490678</v>
      </c>
      <c r="R148" s="47">
        <f>((Table3[[#This Row],[score-rt-fullcf]]-MIN(Table3[score-rt-fullcf]))*$G$6)/(MAX(Table3[score-rt-fullcf])-MIN(Table3[score-rt-fullcf]))</f>
        <v>7.1259856060128732E-2</v>
      </c>
      <c r="S148" s="8">
        <f>VLOOKUP(Table3[[#This Row],[MD5]],Input[],21,FALSE)+(Distances!$AI$6*(ABS(Distances!$L$3-VLOOKUP(Table3[[#This Row],[MD5]],Input[],21,FALSE))*Distances!$AC$6))</f>
        <v>741117.3121333333</v>
      </c>
      <c r="T148" s="7">
        <f>VLOOKUP(Table3[[#This Row],[MD5]],Input[],22,FALSE)+(Distances!$AI$7*(ABS(Distances!$AB$7-VLOOKUP(Table3[[#This Row],[MD5]],Input[],22,FALSE))*Distances!$AC$7))</f>
        <v>242407.82778888891</v>
      </c>
      <c r="U148" s="7">
        <f>VLOOKUP(Table3[[#This Row],[MD5]],Input[],23,FALSE)+(Distances!$AI$8*(ABS(Distances!$AD$8-VLOOKUP(Table3[[#This Row],[MD5]],Input[],23,FALSE))*Distances!$AC$8))</f>
        <v>178031.87049166611</v>
      </c>
      <c r="V148" s="43">
        <f>SQRT(SUM((Table3[[#This Row],[time''4]]-Distances!$AD$6)^2,(Table3[[#This Row],[price''4]]-Distances!$AD$7)^2,(Table3[[#This Row],[energy''4]]-Distances!$AD$8)^2))</f>
        <v>799747.22508226568</v>
      </c>
      <c r="W148" s="58">
        <f>((Table3[[#This Row],[score-rt-df]]-MIN(Table3[score-rt-df]))*$G$6)/(MAX(Table3[score-rt-df])-MIN(Table3[score-rt-df]))</f>
        <v>0.65790984626667048</v>
      </c>
      <c r="AY148" t="str">
        <f>Table3[[#This Row],[QW'#]]</f>
        <v>qw62</v>
      </c>
      <c r="AZ148" t="str">
        <f>VLOOKUP(Table10[[#This Row],[QW'#]],Table3[],2,FALSE)</f>
        <v>1c9b6f3930dc25a9c49f9163948b8f25</v>
      </c>
      <c r="BA148" s="54">
        <f>IF(ABS(VLOOKUP(Table10[[#This Row],[QW'#]],Table3[],7,FALSE)-0)&lt;=$AZ$6,1,0)</f>
        <v>0</v>
      </c>
      <c r="BB148" s="54">
        <f>IF(ABS(VLOOKUP(Table10[[#This Row],[QW'#]],Table3[],22,FALSE)-0)&lt;=$AZ$6,1,0)</f>
        <v>0</v>
      </c>
      <c r="BC148" s="54">
        <f>IF(AND(Table10[[#This Row],[Retrieved]]=0, Table10[[#This Row],[Relevant]]=0),1,0)</f>
        <v>1</v>
      </c>
      <c r="BD148" s="54">
        <f>IF(AND(Table10[[#This Row],[Retrieved]]=0, Table10[[#This Row],[Relevant]]=1),1,0)</f>
        <v>0</v>
      </c>
      <c r="BE148" s="54">
        <f>IF(AND(Table10[[#This Row],[Retrieved]]=1, Table10[[#This Row],[Relevant]]=0),1,0)</f>
        <v>0</v>
      </c>
      <c r="BF148" s="54">
        <f>IF(AND(Table10[[#This Row],[Retrieved]]=1, Table10[[#This Row],[Relevant]]=1),1,0)</f>
        <v>0</v>
      </c>
    </row>
    <row r="149" spans="2:58">
      <c r="B149" s="76" t="s">
        <v>295</v>
      </c>
      <c r="C149" s="10" t="s">
        <v>163</v>
      </c>
      <c r="D149" s="8">
        <f>VLOOKUP(Table3[[#This Row],[MD5]],Input[],3,FALSE)+(Distances!$AA$6*(ABS(Distances!$AD$6-VLOOKUP(Table3[[#This Row],[MD5]],Input[],3,FALSE))*Distances!$AC$6))</f>
        <v>50.255714284999996</v>
      </c>
      <c r="E149" s="7">
        <f>VLOOKUP(Table3[[#This Row],[MD5]],Input[],4,FALSE)+(Distances!$AA$7*(ABS(Distances!$AD$7-VLOOKUP(Table3[[#This Row],[MD5]],Input[],4,FALSE))*Distances!$AC$7))</f>
        <v>60.466666666666669</v>
      </c>
      <c r="F149" s="7">
        <f>VLOOKUP(Table3[[#This Row],[MD5]],Input[],5,FALSE)+(Distances!$AA$8*(ABS(Distances!$AD$8-VLOOKUP(Table3[[#This Row],[MD5]],Input[],5,FALSE))*Distances!$AC$8))</f>
        <v>56.183333333333337</v>
      </c>
      <c r="G149" s="46">
        <f>SQRT(SUM((Table3[[#This Row],[time]]-Distances!$AD$6)^2,(Table3[[#This Row],[price]]-Distances!$AD$7)^2,(Table3[[#This Row],[energy]]-Distances!$AD$8)^2))</f>
        <v>12.159363141948486</v>
      </c>
      <c r="H149" s="46">
        <f>((Table3[[#This Row],[score-bt]]-MIN(Table3[score-bt]))*$G$6)/(MAX(Table3[score-bt])-MIN(Table3[score-bt]))</f>
        <v>0.17609026488618373</v>
      </c>
      <c r="I149" s="8">
        <f>VLOOKUP(Table3[[#This Row],[MD5]],Input[],9,FALSE)+(Distances!$AA$6*(ABS(Distances!$AD$6-VLOOKUP(Table3[[#This Row],[MD5]],Input[],9,FALSE))*Distances!$AC$6))</f>
        <v>41.160053061026687</v>
      </c>
      <c r="J149" s="7">
        <f>VLOOKUP(Table3[[#This Row],[MD5]],Input[],10,FALSE)+(Distances!$AA$7*(ABS(Distances!$AD$7-VLOOKUP(Table3[[#This Row],[MD5]],Input[],10,FALSE))*Distances!$AC$7))</f>
        <v>38.622401483333249</v>
      </c>
      <c r="K149" s="7">
        <f>VLOOKUP(Table3[[#This Row],[MD5]],Input[],11,FALSE)+(Distances!$AA$8*(ABS(Distances!$AD$8-VLOOKUP(Table3[[#This Row],[MD5]],Input[],11,FALSE))*Distances!$AC$8))</f>
        <v>33.912658980833257</v>
      </c>
      <c r="L149" s="44">
        <f>SQRT(SUM((Table3[[#This Row],[time''2]]-Distances!$AD$6)^2,(Table3[[#This Row],[price''2]]-Distances!$AD$7)^2,(Table3[[#This Row],[energy''2]]-Distances!$AD$8)^2))</f>
        <v>21.596225386795858</v>
      </c>
      <c r="M149" s="44">
        <f>((Table3[[#This Row],[score-rt-partialcf]]-MIN(Table3[score-rt-partialcf]))*$G$6)/(MAX(Table3[score-rt-partialcf])-MIN(Table3[score-rt-partialcf]))</f>
        <v>0.1490528805922523</v>
      </c>
      <c r="N149" s="8">
        <f>VLOOKUP(Table3[[#This Row],[MD5]],Input[],15,FALSE)+(Distances!$AA$6*(ABS(Distances!$AD$6-VLOOKUP(Table3[[#This Row],[MD5]],Input[],15,FALSE))*Distances!$AC$6))</f>
        <v>41.126611386026696</v>
      </c>
      <c r="O149" s="7">
        <f>VLOOKUP(Table3[[#This Row],[MD5]],Input[],16,FALSE)+(Distances!$AA$7*(ABS(Distances!$AD$7-VLOOKUP(Table3[[#This Row],[MD5]],Input[],16,FALSE))*Distances!$AC$7))</f>
        <v>80.127975533333341</v>
      </c>
      <c r="P149" s="7">
        <f>VLOOKUP(Table3[[#This Row],[MD5]],Input[],17,FALSE)+(Distances!$AA$8*(ABS(Distances!$AD$8-VLOOKUP(Table3[[#This Row],[MD5]],Input[],11,FALSE))*Distances!$AC$8))</f>
        <v>80.474466209999989</v>
      </c>
      <c r="Q149" s="47">
        <f>SQRT(SUM((Table3[[#This Row],[time''3]]-Distances!$AD$6)^2,(Table3[[#This Row],[price''3]]-Distances!$AD$7)^2,(Table3[[#This Row],[energy''3]]-Distances!$AD$8)^2))</f>
        <v>43.762141469724199</v>
      </c>
      <c r="R149" s="47">
        <f>((Table3[[#This Row],[score-rt-fullcf]]-MIN(Table3[score-rt-fullcf]))*$G$6)/(MAX(Table3[score-rt-fullcf])-MIN(Table3[score-rt-fullcf]))</f>
        <v>7.1259661679008171E-2</v>
      </c>
      <c r="S149" s="8">
        <f>VLOOKUP(Table3[[#This Row],[MD5]],Input[],21,FALSE)+(Distances!$AI$6*(ABS(Distances!$L$3-VLOOKUP(Table3[[#This Row],[MD5]],Input[],21,FALSE))*Distances!$AC$6))</f>
        <v>741117.76333333331</v>
      </c>
      <c r="T149" s="7">
        <f>VLOOKUP(Table3[[#This Row],[MD5]],Input[],22,FALSE)+(Distances!$AI$7*(ABS(Distances!$AB$7-VLOOKUP(Table3[[#This Row],[MD5]],Input[],22,FALSE))*Distances!$AC$7))</f>
        <v>242407.82778888891</v>
      </c>
      <c r="U149" s="7">
        <f>VLOOKUP(Table3[[#This Row],[MD5]],Input[],23,FALSE)+(Distances!$AI$8*(ABS(Distances!$AD$8-VLOOKUP(Table3[[#This Row],[MD5]],Input[],23,FALSE))*Distances!$AC$8))</f>
        <v>178031.87049166611</v>
      </c>
      <c r="V149" s="43">
        <f>SQRT(SUM((Table3[[#This Row],[time''4]]-Distances!$AD$6)^2,(Table3[[#This Row],[price''4]]-Distances!$AD$7)^2,(Table3[[#This Row],[energy''4]]-Distances!$AD$8)^2))</f>
        <v>799747.64317635237</v>
      </c>
      <c r="W149" s="58">
        <f>((Table3[[#This Row],[score-rt-df]]-MIN(Table3[score-rt-df]))*$G$6)/(MAX(Table3[score-rt-df])-MIN(Table3[score-rt-df]))</f>
        <v>0.65791019058612099</v>
      </c>
      <c r="AY149" t="str">
        <f>Table3[[#This Row],[QW'#]]</f>
        <v>qw117</v>
      </c>
      <c r="AZ149" t="str">
        <f>VLOOKUP(Table10[[#This Row],[QW'#]],Table3[],2,FALSE)</f>
        <v>9774b74dd12e12ab48d0c9a438ab58cb</v>
      </c>
      <c r="BA149" s="54">
        <f>IF(ABS(VLOOKUP(Table10[[#This Row],[QW'#]],Table3[],7,FALSE)-0)&lt;=$AZ$6,1,0)</f>
        <v>0</v>
      </c>
      <c r="BB149" s="54">
        <f>IF(ABS(VLOOKUP(Table10[[#This Row],[QW'#]],Table3[],22,FALSE)-0)&lt;=$AZ$6,1,0)</f>
        <v>0</v>
      </c>
      <c r="BC149" s="54">
        <f>IF(AND(Table10[[#This Row],[Retrieved]]=0, Table10[[#This Row],[Relevant]]=0),1,0)</f>
        <v>1</v>
      </c>
      <c r="BD149" s="54">
        <f>IF(AND(Table10[[#This Row],[Retrieved]]=0, Table10[[#This Row],[Relevant]]=1),1,0)</f>
        <v>0</v>
      </c>
      <c r="BE149" s="54">
        <f>IF(AND(Table10[[#This Row],[Retrieved]]=1, Table10[[#This Row],[Relevant]]=0),1,0)</f>
        <v>0</v>
      </c>
      <c r="BF149" s="54">
        <f>IF(AND(Table10[[#This Row],[Retrieved]]=1, Table10[[#This Row],[Relevant]]=1),1,0)</f>
        <v>0</v>
      </c>
    </row>
    <row r="150" spans="2:58">
      <c r="B150" s="76" t="s">
        <v>296</v>
      </c>
      <c r="C150" s="10" t="s">
        <v>164</v>
      </c>
      <c r="D150" s="8">
        <f>VLOOKUP(Table3[[#This Row],[MD5]],Input[],3,FALSE)+(Distances!$AA$6*(ABS(Distances!$AD$6-VLOOKUP(Table3[[#This Row],[MD5]],Input[],3,FALSE))*Distances!$AC$6))</f>
        <v>50.255714284999996</v>
      </c>
      <c r="E150" s="7">
        <f>VLOOKUP(Table3[[#This Row],[MD5]],Input[],4,FALSE)+(Distances!$AA$7*(ABS(Distances!$AD$7-VLOOKUP(Table3[[#This Row],[MD5]],Input[],4,FALSE))*Distances!$AC$7))</f>
        <v>60.466666666666669</v>
      </c>
      <c r="F150" s="7">
        <f>VLOOKUP(Table3[[#This Row],[MD5]],Input[],5,FALSE)+(Distances!$AA$8*(ABS(Distances!$AD$8-VLOOKUP(Table3[[#This Row],[MD5]],Input[],5,FALSE))*Distances!$AC$8))</f>
        <v>56.183333333333337</v>
      </c>
      <c r="G150" s="46">
        <f>SQRT(SUM((Table3[[#This Row],[time]]-Distances!$AD$6)^2,(Table3[[#This Row],[price]]-Distances!$AD$7)^2,(Table3[[#This Row],[energy]]-Distances!$AD$8)^2))</f>
        <v>12.159363141948486</v>
      </c>
      <c r="H150" s="46">
        <f>((Table3[[#This Row],[score-bt]]-MIN(Table3[score-bt]))*$G$6)/(MAX(Table3[score-bt])-MIN(Table3[score-bt]))</f>
        <v>0.17609026488618373</v>
      </c>
      <c r="I150" s="8">
        <f>VLOOKUP(Table3[[#This Row],[MD5]],Input[],9,FALSE)+(Distances!$AA$6*(ABS(Distances!$AD$6-VLOOKUP(Table3[[#This Row],[MD5]],Input[],9,FALSE))*Distances!$AC$6))</f>
        <v>41.160053061026687</v>
      </c>
      <c r="J150" s="7">
        <f>VLOOKUP(Table3[[#This Row],[MD5]],Input[],10,FALSE)+(Distances!$AA$7*(ABS(Distances!$AD$7-VLOOKUP(Table3[[#This Row],[MD5]],Input[],10,FALSE))*Distances!$AC$7))</f>
        <v>38.622401483333249</v>
      </c>
      <c r="K150" s="7">
        <f>VLOOKUP(Table3[[#This Row],[MD5]],Input[],11,FALSE)+(Distances!$AA$8*(ABS(Distances!$AD$8-VLOOKUP(Table3[[#This Row],[MD5]],Input[],11,FALSE))*Distances!$AC$8))</f>
        <v>33.912658980833257</v>
      </c>
      <c r="L150" s="44">
        <f>SQRT(SUM((Table3[[#This Row],[time''2]]-Distances!$AD$6)^2,(Table3[[#This Row],[price''2]]-Distances!$AD$7)^2,(Table3[[#This Row],[energy''2]]-Distances!$AD$8)^2))</f>
        <v>21.596225386795858</v>
      </c>
      <c r="M150" s="44">
        <f>((Table3[[#This Row],[score-rt-partialcf]]-MIN(Table3[score-rt-partialcf]))*$G$6)/(MAX(Table3[score-rt-partialcf])-MIN(Table3[score-rt-partialcf]))</f>
        <v>0.1490528805922523</v>
      </c>
      <c r="N150" s="8">
        <f>VLOOKUP(Table3[[#This Row],[MD5]],Input[],15,FALSE)+(Distances!$AA$6*(ABS(Distances!$AD$6-VLOOKUP(Table3[[#This Row],[MD5]],Input[],15,FALSE))*Distances!$AC$6))</f>
        <v>41.126611386026696</v>
      </c>
      <c r="O150" s="7">
        <f>VLOOKUP(Table3[[#This Row],[MD5]],Input[],16,FALSE)+(Distances!$AA$7*(ABS(Distances!$AD$7-VLOOKUP(Table3[[#This Row],[MD5]],Input[],16,FALSE))*Distances!$AC$7))</f>
        <v>80.127975533333341</v>
      </c>
      <c r="P150" s="7">
        <f>VLOOKUP(Table3[[#This Row],[MD5]],Input[],17,FALSE)+(Distances!$AA$8*(ABS(Distances!$AD$8-VLOOKUP(Table3[[#This Row],[MD5]],Input[],11,FALSE))*Distances!$AC$8))</f>
        <v>80.474466209999989</v>
      </c>
      <c r="Q150" s="47">
        <f>SQRT(SUM((Table3[[#This Row],[time''3]]-Distances!$AD$6)^2,(Table3[[#This Row],[price''3]]-Distances!$AD$7)^2,(Table3[[#This Row],[energy''3]]-Distances!$AD$8)^2))</f>
        <v>43.762141469724199</v>
      </c>
      <c r="R150" s="47">
        <f>((Table3[[#This Row],[score-rt-fullcf]]-MIN(Table3[score-rt-fullcf]))*$G$6)/(MAX(Table3[score-rt-fullcf])-MIN(Table3[score-rt-fullcf]))</f>
        <v>7.1259661679008171E-2</v>
      </c>
      <c r="S150" s="8">
        <f>VLOOKUP(Table3[[#This Row],[MD5]],Input[],21,FALSE)+(Distances!$AI$6*(ABS(Distances!$L$3-VLOOKUP(Table3[[#This Row],[MD5]],Input[],21,FALSE))*Distances!$AC$6))</f>
        <v>741117.76333333331</v>
      </c>
      <c r="T150" s="7">
        <f>VLOOKUP(Table3[[#This Row],[MD5]],Input[],22,FALSE)+(Distances!$AI$7*(ABS(Distances!$AB$7-VLOOKUP(Table3[[#This Row],[MD5]],Input[],22,FALSE))*Distances!$AC$7))</f>
        <v>242407.82778888891</v>
      </c>
      <c r="U150" s="7">
        <f>VLOOKUP(Table3[[#This Row],[MD5]],Input[],23,FALSE)+(Distances!$AI$8*(ABS(Distances!$AD$8-VLOOKUP(Table3[[#This Row],[MD5]],Input[],23,FALSE))*Distances!$AC$8))</f>
        <v>178031.87049166611</v>
      </c>
      <c r="V150" s="43">
        <f>SQRT(SUM((Table3[[#This Row],[time''4]]-Distances!$AD$6)^2,(Table3[[#This Row],[price''4]]-Distances!$AD$7)^2,(Table3[[#This Row],[energy''4]]-Distances!$AD$8)^2))</f>
        <v>799747.64317635237</v>
      </c>
      <c r="W150" s="58">
        <f>((Table3[[#This Row],[score-rt-df]]-MIN(Table3[score-rt-df]))*$G$6)/(MAX(Table3[score-rt-df])-MIN(Table3[score-rt-df]))</f>
        <v>0.65791019058612099</v>
      </c>
      <c r="AY150" t="str">
        <f>Table3[[#This Row],[QW'#]]</f>
        <v>qw118</v>
      </c>
      <c r="AZ150" t="str">
        <f>VLOOKUP(Table10[[#This Row],[QW'#]],Table3[],2,FALSE)</f>
        <v>bde7fe152f6fb4301f81b37713a43708</v>
      </c>
      <c r="BA150" s="54">
        <f>IF(ABS(VLOOKUP(Table10[[#This Row],[QW'#]],Table3[],7,FALSE)-0)&lt;=$AZ$6,1,0)</f>
        <v>0</v>
      </c>
      <c r="BB150" s="54">
        <f>IF(ABS(VLOOKUP(Table10[[#This Row],[QW'#]],Table3[],22,FALSE)-0)&lt;=$AZ$6,1,0)</f>
        <v>0</v>
      </c>
      <c r="BC150" s="54">
        <f>IF(AND(Table10[[#This Row],[Retrieved]]=0, Table10[[#This Row],[Relevant]]=0),1,0)</f>
        <v>1</v>
      </c>
      <c r="BD150" s="54">
        <f>IF(AND(Table10[[#This Row],[Retrieved]]=0, Table10[[#This Row],[Relevant]]=1),1,0)</f>
        <v>0</v>
      </c>
      <c r="BE150" s="54">
        <f>IF(AND(Table10[[#This Row],[Retrieved]]=1, Table10[[#This Row],[Relevant]]=0),1,0)</f>
        <v>0</v>
      </c>
      <c r="BF150" s="54">
        <f>IF(AND(Table10[[#This Row],[Retrieved]]=1, Table10[[#This Row],[Relevant]]=1),1,0)</f>
        <v>0</v>
      </c>
    </row>
    <row r="151" spans="2:58">
      <c r="B151" s="76" t="s">
        <v>22</v>
      </c>
      <c r="C151" s="10" t="s">
        <v>60</v>
      </c>
      <c r="D151" s="8">
        <f>VLOOKUP(Table3[[#This Row],[MD5]],Input[],3,FALSE)+(Distances!$AA$6*(ABS(Distances!$AD$6-VLOOKUP(Table3[[#This Row],[MD5]],Input[],3,FALSE))*Distances!$AC$6))</f>
        <v>50.255714284999996</v>
      </c>
      <c r="E151" s="7">
        <f>VLOOKUP(Table3[[#This Row],[MD5]],Input[],4,FALSE)+(Distances!$AA$7*(ABS(Distances!$AD$7-VLOOKUP(Table3[[#This Row],[MD5]],Input[],4,FALSE))*Distances!$AC$7))</f>
        <v>60.466666666666669</v>
      </c>
      <c r="F151" s="7">
        <f>VLOOKUP(Table3[[#This Row],[MD5]],Input[],5,FALSE)+(Distances!$AA$8*(ABS(Distances!$AD$8-VLOOKUP(Table3[[#This Row],[MD5]],Input[],5,FALSE))*Distances!$AC$8))</f>
        <v>56.183333333333337</v>
      </c>
      <c r="G151" s="46">
        <f>SQRT(SUM((Table3[[#This Row],[time]]-Distances!$AD$6)^2,(Table3[[#This Row],[price]]-Distances!$AD$7)^2,(Table3[[#This Row],[energy]]-Distances!$AD$8)^2))</f>
        <v>12.159363141948486</v>
      </c>
      <c r="H151" s="46">
        <f>((Table3[[#This Row],[score-bt]]-MIN(Table3[score-bt]))*$G$6)/(MAX(Table3[score-bt])-MIN(Table3[score-bt]))</f>
        <v>0.17609026488618373</v>
      </c>
      <c r="I151" s="8">
        <f>VLOOKUP(Table3[[#This Row],[MD5]],Input[],9,FALSE)+(Distances!$AA$6*(ABS(Distances!$AD$6-VLOOKUP(Table3[[#This Row],[MD5]],Input[],9,FALSE))*Distances!$AC$6))</f>
        <v>41.160084142276702</v>
      </c>
      <c r="J151" s="7">
        <f>VLOOKUP(Table3[[#This Row],[MD5]],Input[],10,FALSE)+(Distances!$AA$7*(ABS(Distances!$AD$7-VLOOKUP(Table3[[#This Row],[MD5]],Input[],10,FALSE))*Distances!$AC$7))</f>
        <v>38.622440566666576</v>
      </c>
      <c r="K151" s="7">
        <f>VLOOKUP(Table3[[#This Row],[MD5]],Input[],11,FALSE)+(Distances!$AA$8*(ABS(Distances!$AD$8-VLOOKUP(Table3[[#This Row],[MD5]],Input[],11,FALSE))*Distances!$AC$8))</f>
        <v>33.912688619027776</v>
      </c>
      <c r="L151" s="44">
        <f>SQRT(SUM((Table3[[#This Row],[time''2]]-Distances!$AD$6)^2,(Table3[[#This Row],[price''2]]-Distances!$AD$7)^2,(Table3[[#This Row],[energy''2]]-Distances!$AD$8)^2))</f>
        <v>21.596169996066912</v>
      </c>
      <c r="M151" s="44">
        <f>((Table3[[#This Row],[score-rt-partialcf]]-MIN(Table3[score-rt-partialcf]))*$G$6)/(MAX(Table3[score-rt-partialcf])-MIN(Table3[score-rt-partialcf]))</f>
        <v>0.14905236911208758</v>
      </c>
      <c r="N151" s="8">
        <f>VLOOKUP(Table3[[#This Row],[MD5]],Input[],15,FALSE)+(Distances!$AA$6*(ABS(Distances!$AD$6-VLOOKUP(Table3[[#This Row],[MD5]],Input[],15,FALSE))*Distances!$AC$6))</f>
        <v>41.126603251651701</v>
      </c>
      <c r="O151" s="7">
        <f>VLOOKUP(Table3[[#This Row],[MD5]],Input[],16,FALSE)+(Distances!$AA$7*(ABS(Distances!$AD$7-VLOOKUP(Table3[[#This Row],[MD5]],Input[],16,FALSE))*Distances!$AC$7))</f>
        <v>80.127976991666671</v>
      </c>
      <c r="P151" s="7">
        <f>VLOOKUP(Table3[[#This Row],[MD5]],Input[],17,FALSE)+(Distances!$AA$8*(ABS(Distances!$AD$8-VLOOKUP(Table3[[#This Row],[MD5]],Input[],11,FALSE))*Distances!$AC$8))</f>
        <v>80.474472339860426</v>
      </c>
      <c r="Q151" s="47">
        <f>SQRT(SUM((Table3[[#This Row],[time''3]]-Distances!$AD$6)^2,(Table3[[#This Row],[price''3]]-Distances!$AD$7)^2,(Table3[[#This Row],[energy''3]]-Distances!$AD$8)^2))</f>
        <v>43.762148391697046</v>
      </c>
      <c r="R151" s="47">
        <f>((Table3[[#This Row],[score-rt-fullcf]]-MIN(Table3[score-rt-fullcf]))*$G$6)/(MAX(Table3[score-rt-fullcf])-MIN(Table3[score-rt-fullcf]))</f>
        <v>7.1259873910932331E-2</v>
      </c>
      <c r="S151" s="8">
        <f>VLOOKUP(Table3[[#This Row],[MD5]],Input[],21,FALSE)+(Distances!$AI$6*(ABS(Distances!$L$3-VLOOKUP(Table3[[#This Row],[MD5]],Input[],21,FALSE))*Distances!$AC$6))</f>
        <v>741118.01026666665</v>
      </c>
      <c r="T151" s="7">
        <f>VLOOKUP(Table3[[#This Row],[MD5]],Input[],22,FALSE)+(Distances!$AI$7*(ABS(Distances!$AB$7-VLOOKUP(Table3[[#This Row],[MD5]],Input[],22,FALSE))*Distances!$AC$7))</f>
        <v>242407.95223333334</v>
      </c>
      <c r="U151" s="7">
        <f>VLOOKUP(Table3[[#This Row],[MD5]],Input[],23,FALSE)+(Distances!$AI$8*(ABS(Distances!$AD$8-VLOOKUP(Table3[[#This Row],[MD5]],Input[],23,FALSE))*Distances!$AC$8))</f>
        <v>178031.96382499943</v>
      </c>
      <c r="V151" s="43">
        <f>SQRT(SUM((Table3[[#This Row],[time''4]]-Distances!$AD$6)^2,(Table3[[#This Row],[price''4]]-Distances!$AD$7)^2,(Table3[[#This Row],[energy''4]]-Distances!$AD$8)^2))</f>
        <v>799747.93047455547</v>
      </c>
      <c r="W151" s="58">
        <f>((Table3[[#This Row],[score-rt-df]]-MIN(Table3[score-rt-df]))*$G$6)/(MAX(Table3[score-rt-df])-MIN(Table3[score-rt-df]))</f>
        <v>0.65791042718922688</v>
      </c>
      <c r="AY151" t="str">
        <f>Table3[[#This Row],[QW'#]]</f>
        <v>qw14</v>
      </c>
      <c r="AZ151" t="str">
        <f>VLOOKUP(Table10[[#This Row],[QW'#]],Table3[],2,FALSE)</f>
        <v>050b32c27623321ce94db146bb7df854</v>
      </c>
      <c r="BA151" s="54">
        <f>IF(ABS(VLOOKUP(Table10[[#This Row],[QW'#]],Table3[],7,FALSE)-0)&lt;=$AZ$6,1,0)</f>
        <v>0</v>
      </c>
      <c r="BB151" s="54">
        <f>IF(ABS(VLOOKUP(Table10[[#This Row],[QW'#]],Table3[],22,FALSE)-0)&lt;=$AZ$6,1,0)</f>
        <v>0</v>
      </c>
      <c r="BC151" s="54">
        <f>IF(AND(Table10[[#This Row],[Retrieved]]=0, Table10[[#This Row],[Relevant]]=0),1,0)</f>
        <v>1</v>
      </c>
      <c r="BD151" s="54">
        <f>IF(AND(Table10[[#This Row],[Retrieved]]=0, Table10[[#This Row],[Relevant]]=1),1,0)</f>
        <v>0</v>
      </c>
      <c r="BE151" s="54">
        <f>IF(AND(Table10[[#This Row],[Retrieved]]=1, Table10[[#This Row],[Relevant]]=0),1,0)</f>
        <v>0</v>
      </c>
      <c r="BF151" s="54">
        <f>IF(AND(Table10[[#This Row],[Retrieved]]=1, Table10[[#This Row],[Relevant]]=1),1,0)</f>
        <v>0</v>
      </c>
    </row>
    <row r="152" spans="2:58">
      <c r="B152" s="76" t="s">
        <v>23</v>
      </c>
      <c r="C152" s="10" t="s">
        <v>61</v>
      </c>
      <c r="D152" s="8">
        <f>VLOOKUP(Table3[[#This Row],[MD5]],Input[],3,FALSE)+(Distances!$AA$6*(ABS(Distances!$AD$6-VLOOKUP(Table3[[#This Row],[MD5]],Input[],3,FALSE))*Distances!$AC$6))</f>
        <v>50.255714284999996</v>
      </c>
      <c r="E152" s="7">
        <f>VLOOKUP(Table3[[#This Row],[MD5]],Input[],4,FALSE)+(Distances!$AA$7*(ABS(Distances!$AD$7-VLOOKUP(Table3[[#This Row],[MD5]],Input[],4,FALSE))*Distances!$AC$7))</f>
        <v>60.466666666666669</v>
      </c>
      <c r="F152" s="7">
        <f>VLOOKUP(Table3[[#This Row],[MD5]],Input[],5,FALSE)+(Distances!$AA$8*(ABS(Distances!$AD$8-VLOOKUP(Table3[[#This Row],[MD5]],Input[],5,FALSE))*Distances!$AC$8))</f>
        <v>56.183333333333337</v>
      </c>
      <c r="G152" s="46">
        <f>SQRT(SUM((Table3[[#This Row],[time]]-Distances!$AD$6)^2,(Table3[[#This Row],[price]]-Distances!$AD$7)^2,(Table3[[#This Row],[energy]]-Distances!$AD$8)^2))</f>
        <v>12.159363141948486</v>
      </c>
      <c r="H152" s="46">
        <f>((Table3[[#This Row],[score-bt]]-MIN(Table3[score-bt]))*$G$6)/(MAX(Table3[score-bt])-MIN(Table3[score-bt]))</f>
        <v>0.17609026488618373</v>
      </c>
      <c r="I152" s="8">
        <f>VLOOKUP(Table3[[#This Row],[MD5]],Input[],9,FALSE)+(Distances!$AA$6*(ABS(Distances!$AD$6-VLOOKUP(Table3[[#This Row],[MD5]],Input[],9,FALSE))*Distances!$AC$6))</f>
        <v>41.160096682901695</v>
      </c>
      <c r="J152" s="7">
        <f>VLOOKUP(Table3[[#This Row],[MD5]],Input[],10,FALSE)+(Distances!$AA$7*(ABS(Distances!$AD$7-VLOOKUP(Table3[[#This Row],[MD5]],Input[],10,FALSE))*Distances!$AC$7))</f>
        <v>38.622441441666574</v>
      </c>
      <c r="K152" s="7">
        <f>VLOOKUP(Table3[[#This Row],[MD5]],Input[],11,FALSE)+(Distances!$AA$8*(ABS(Distances!$AD$8-VLOOKUP(Table3[[#This Row],[MD5]],Input[],11,FALSE))*Distances!$AC$8))</f>
        <v>33.912689282569374</v>
      </c>
      <c r="L152" s="44">
        <f>SQRT(SUM((Table3[[#This Row],[time''2]]-Distances!$AD$6)^2,(Table3[[#This Row],[price''2]]-Distances!$AD$7)^2,(Table3[[#This Row],[energy''2]]-Distances!$AD$8)^2))</f>
        <v>21.596163907581136</v>
      </c>
      <c r="M152" s="44">
        <f>((Table3[[#This Row],[score-rt-partialcf]]-MIN(Table3[score-rt-partialcf]))*$G$6)/(MAX(Table3[score-rt-partialcf])-MIN(Table3[score-rt-partialcf]))</f>
        <v>0.149052312890771</v>
      </c>
      <c r="N152" s="8">
        <f>VLOOKUP(Table3[[#This Row],[MD5]],Input[],15,FALSE)+(Distances!$AA$6*(ABS(Distances!$AD$6-VLOOKUP(Table3[[#This Row],[MD5]],Input[],15,FALSE))*Distances!$AC$6))</f>
        <v>41.126615792276695</v>
      </c>
      <c r="O152" s="7">
        <f>VLOOKUP(Table3[[#This Row],[MD5]],Input[],16,FALSE)+(Distances!$AA$7*(ABS(Distances!$AD$7-VLOOKUP(Table3[[#This Row],[MD5]],Input[],16,FALSE))*Distances!$AC$7))</f>
        <v>80.127976991666671</v>
      </c>
      <c r="P152" s="7">
        <f>VLOOKUP(Table3[[#This Row],[MD5]],Input[],17,FALSE)+(Distances!$AA$8*(ABS(Distances!$AD$8-VLOOKUP(Table3[[#This Row],[MD5]],Input[],11,FALSE))*Distances!$AC$8))</f>
        <v>80.474472434652085</v>
      </c>
      <c r="Q152" s="47">
        <f>SQRT(SUM((Table3[[#This Row],[time''3]]-Distances!$AD$6)^2,(Table3[[#This Row],[price''3]]-Distances!$AD$7)^2,(Table3[[#This Row],[energy''3]]-Distances!$AD$8)^2))</f>
        <v>43.762145914918747</v>
      </c>
      <c r="R152" s="47">
        <f>((Table3[[#This Row],[score-rt-fullcf]]-MIN(Table3[score-rt-fullcf]))*$G$6)/(MAX(Table3[score-rt-fullcf])-MIN(Table3[score-rt-fullcf]))</f>
        <v>7.1259797971393757E-2</v>
      </c>
      <c r="S152" s="8">
        <f>VLOOKUP(Table3[[#This Row],[MD5]],Input[],21,FALSE)+(Distances!$AI$6*(ABS(Distances!$L$3-VLOOKUP(Table3[[#This Row],[MD5]],Input[],21,FALSE))*Distances!$AC$6))</f>
        <v>741118.28599999996</v>
      </c>
      <c r="T152" s="7">
        <f>VLOOKUP(Table3[[#This Row],[MD5]],Input[],22,FALSE)+(Distances!$AI$7*(ABS(Distances!$AB$7-VLOOKUP(Table3[[#This Row],[MD5]],Input[],22,FALSE))*Distances!$AC$7))</f>
        <v>242407.95223333334</v>
      </c>
      <c r="U152" s="7">
        <f>VLOOKUP(Table3[[#This Row],[MD5]],Input[],23,FALSE)+(Distances!$AI$8*(ABS(Distances!$AD$8-VLOOKUP(Table3[[#This Row],[MD5]],Input[],23,FALSE))*Distances!$AC$8))</f>
        <v>178031.96382499943</v>
      </c>
      <c r="V152" s="43">
        <f>SQRT(SUM((Table3[[#This Row],[time''4]]-Distances!$AD$6)^2,(Table3[[#This Row],[price''4]]-Distances!$AD$7)^2,(Table3[[#This Row],[energy''4]]-Distances!$AD$8)^2))</f>
        <v>799748.18597650842</v>
      </c>
      <c r="W152" s="58">
        <f>((Table3[[#This Row],[score-rt-df]]-MIN(Table3[score-rt-df]))*$G$6)/(MAX(Table3[score-rt-df])-MIN(Table3[score-rt-df]))</f>
        <v>0.65791063760667801</v>
      </c>
      <c r="AY152" t="str">
        <f>Table3[[#This Row],[QW'#]]</f>
        <v>qw15</v>
      </c>
      <c r="AZ152" t="str">
        <f>VLOOKUP(Table10[[#This Row],[QW'#]],Table3[],2,FALSE)</f>
        <v>4e103c2b842424a5b4e9f13f457407fa</v>
      </c>
      <c r="BA152" s="54">
        <f>IF(ABS(VLOOKUP(Table10[[#This Row],[QW'#]],Table3[],7,FALSE)-0)&lt;=$AZ$6,1,0)</f>
        <v>0</v>
      </c>
      <c r="BB152" s="54">
        <f>IF(ABS(VLOOKUP(Table10[[#This Row],[QW'#]],Table3[],22,FALSE)-0)&lt;=$AZ$6,1,0)</f>
        <v>0</v>
      </c>
      <c r="BC152" s="54">
        <f>IF(AND(Table10[[#This Row],[Retrieved]]=0, Table10[[#This Row],[Relevant]]=0),1,0)</f>
        <v>1</v>
      </c>
      <c r="BD152" s="54">
        <f>IF(AND(Table10[[#This Row],[Retrieved]]=0, Table10[[#This Row],[Relevant]]=1),1,0)</f>
        <v>0</v>
      </c>
      <c r="BE152" s="54">
        <f>IF(AND(Table10[[#This Row],[Retrieved]]=1, Table10[[#This Row],[Relevant]]=0),1,0)</f>
        <v>0</v>
      </c>
      <c r="BF152" s="54">
        <f>IF(AND(Table10[[#This Row],[Retrieved]]=1, Table10[[#This Row],[Relevant]]=1),1,0)</f>
        <v>0</v>
      </c>
    </row>
    <row r="153" spans="2:58">
      <c r="B153" s="76" t="s">
        <v>303</v>
      </c>
      <c r="C153" s="10" t="s">
        <v>171</v>
      </c>
      <c r="D153" s="8">
        <f>VLOOKUP(Table3[[#This Row],[MD5]],Input[],3,FALSE)+(Distances!$AA$6*(ABS(Distances!$AD$6-VLOOKUP(Table3[[#This Row],[MD5]],Input[],3,FALSE))*Distances!$AC$6))</f>
        <v>50.255714284999996</v>
      </c>
      <c r="E153" s="7">
        <f>VLOOKUP(Table3[[#This Row],[MD5]],Input[],4,FALSE)+(Distances!$AA$7*(ABS(Distances!$AD$7-VLOOKUP(Table3[[#This Row],[MD5]],Input[],4,FALSE))*Distances!$AC$7))</f>
        <v>60.466666666666669</v>
      </c>
      <c r="F153" s="7">
        <f>VLOOKUP(Table3[[#This Row],[MD5]],Input[],5,FALSE)+(Distances!$AA$8*(ABS(Distances!$AD$8-VLOOKUP(Table3[[#This Row],[MD5]],Input[],5,FALSE))*Distances!$AC$8))</f>
        <v>56.183333333333337</v>
      </c>
      <c r="G153" s="46">
        <f>SQRT(SUM((Table3[[#This Row],[time]]-Distances!$AD$6)^2,(Table3[[#This Row],[price]]-Distances!$AD$7)^2,(Table3[[#This Row],[energy]]-Distances!$AD$8)^2))</f>
        <v>12.159363141948486</v>
      </c>
      <c r="H153" s="46">
        <f>((Table3[[#This Row],[score-bt]]-MIN(Table3[score-bt]))*$G$6)/(MAX(Table3[score-bt])-MIN(Table3[score-bt]))</f>
        <v>0.17609026488618373</v>
      </c>
      <c r="I153" s="8">
        <f>VLOOKUP(Table3[[#This Row],[MD5]],Input[],9,FALSE)+(Distances!$AA$6*(ABS(Distances!$AD$6-VLOOKUP(Table3[[#This Row],[MD5]],Input[],9,FALSE))*Distances!$AC$6))</f>
        <v>41.22291380785709</v>
      </c>
      <c r="J153" s="7">
        <f>VLOOKUP(Table3[[#This Row],[MD5]],Input[],10,FALSE)+(Distances!$AA$7*(ABS(Distances!$AD$7-VLOOKUP(Table3[[#This Row],[MD5]],Input[],10,FALSE))*Distances!$AC$7))</f>
        <v>38.696269704166582</v>
      </c>
      <c r="K153" s="7">
        <f>VLOOKUP(Table3[[#This Row],[MD5]],Input[],11,FALSE)+(Distances!$AA$8*(ABS(Distances!$AD$8-VLOOKUP(Table3[[#This Row],[MD5]],Input[],11,FALSE))*Distances!$AC$8))</f>
        <v>33.968801981840194</v>
      </c>
      <c r="L153" s="44">
        <f>SQRT(SUM((Table3[[#This Row],[time''2]]-Distances!$AD$6)^2,(Table3[[#This Row],[price''2]]-Distances!$AD$7)^2,(Table3[[#This Row],[energy''2]]-Distances!$AD$8)^2))</f>
        <v>21.489785260041543</v>
      </c>
      <c r="M153" s="44">
        <f>((Table3[[#This Row],[score-rt-partialcf]]-MIN(Table3[score-rt-partialcf]))*$G$6)/(MAX(Table3[score-rt-partialcf])-MIN(Table3[score-rt-partialcf]))</f>
        <v>0.14807000828491271</v>
      </c>
      <c r="N153" s="8">
        <f>VLOOKUP(Table3[[#This Row],[MD5]],Input[],15,FALSE)+(Distances!$AA$6*(ABS(Distances!$AD$6-VLOOKUP(Table3[[#This Row],[MD5]],Input[],15,FALSE))*Distances!$AC$6))</f>
        <v>41.147577381964197</v>
      </c>
      <c r="O153" s="7">
        <f>VLOOKUP(Table3[[#This Row],[MD5]],Input[],16,FALSE)+(Distances!$AA$7*(ABS(Distances!$AD$7-VLOOKUP(Table3[[#This Row],[MD5]],Input[],16,FALSE))*Distances!$AC$7))</f>
        <v>80.140900435416441</v>
      </c>
      <c r="P153" s="7">
        <f>VLOOKUP(Table3[[#This Row],[MD5]],Input[],17,FALSE)+(Distances!$AA$8*(ABS(Distances!$AD$8-VLOOKUP(Table3[[#This Row],[MD5]],Input[],11,FALSE))*Distances!$AC$8))</f>
        <v>80.499397240173266</v>
      </c>
      <c r="Q153" s="47">
        <f>SQRT(SUM((Table3[[#This Row],[time''3]]-Distances!$AD$6)^2,(Table3[[#This Row],[price''3]]-Distances!$AD$7)^2,(Table3[[#This Row],[energy''3]]-Distances!$AD$8)^2))</f>
        <v>43.784158062932846</v>
      </c>
      <c r="R153" s="47">
        <f>((Table3[[#This Row],[score-rt-fullcf]]-MIN(Table3[score-rt-fullcf]))*$G$6)/(MAX(Table3[score-rt-fullcf])-MIN(Table3[score-rt-fullcf]))</f>
        <v>7.1934703902238648E-2</v>
      </c>
      <c r="S153" s="8">
        <f>VLOOKUP(Table3[[#This Row],[MD5]],Input[],21,FALSE)+(Distances!$AI$6*(ABS(Distances!$L$3-VLOOKUP(Table3[[#This Row],[MD5]],Input[],21,FALSE))*Distances!$AC$6))</f>
        <v>741441.69626666664</v>
      </c>
      <c r="T153" s="7">
        <f>VLOOKUP(Table3[[#This Row],[MD5]],Input[],22,FALSE)+(Distances!$AI$7*(ABS(Distances!$AB$7-VLOOKUP(Table3[[#This Row],[MD5]],Input[],22,FALSE))*Distances!$AC$7))</f>
        <v>242693.71090000001</v>
      </c>
      <c r="U153" s="7">
        <f>VLOOKUP(Table3[[#This Row],[MD5]],Input[],23,FALSE)+(Distances!$AI$8*(ABS(Distances!$AD$8-VLOOKUP(Table3[[#This Row],[MD5]],Input[],23,FALSE))*Distances!$AC$8))</f>
        <v>178243.40038055499</v>
      </c>
      <c r="V153" s="43">
        <f>SQRT(SUM((Table3[[#This Row],[time''4]]-Distances!$AD$6)^2,(Table3[[#This Row],[price''4]]-Distances!$AD$7)^2,(Table3[[#This Row],[energy''4]]-Distances!$AD$8)^2))</f>
        <v>800181.54544557747</v>
      </c>
      <c r="W153" s="58">
        <f>((Table3[[#This Row],[score-rt-df]]-MIN(Table3[score-rt-df]))*$G$6)/(MAX(Table3[score-rt-df])-MIN(Table3[score-rt-df]))</f>
        <v>0.65826752879226957</v>
      </c>
      <c r="AY153" t="str">
        <f>Table3[[#This Row],[QW'#]]</f>
        <v>qw125</v>
      </c>
      <c r="AZ153" t="str">
        <f>VLOOKUP(Table10[[#This Row],[QW'#]],Table3[],2,FALSE)</f>
        <v>c977ffe1c79aa42e8144cfe9d926d9a4</v>
      </c>
      <c r="BA153" s="54">
        <f>IF(ABS(VLOOKUP(Table10[[#This Row],[QW'#]],Table3[],7,FALSE)-0)&lt;=$AZ$6,1,0)</f>
        <v>0</v>
      </c>
      <c r="BB153" s="54">
        <f>IF(ABS(VLOOKUP(Table10[[#This Row],[QW'#]],Table3[],22,FALSE)-0)&lt;=$AZ$6,1,0)</f>
        <v>0</v>
      </c>
      <c r="BC153" s="54">
        <f>IF(AND(Table10[[#This Row],[Retrieved]]=0, Table10[[#This Row],[Relevant]]=0),1,0)</f>
        <v>1</v>
      </c>
      <c r="BD153" s="54">
        <f>IF(AND(Table10[[#This Row],[Retrieved]]=0, Table10[[#This Row],[Relevant]]=1),1,0)</f>
        <v>0</v>
      </c>
      <c r="BE153" s="54">
        <f>IF(AND(Table10[[#This Row],[Retrieved]]=1, Table10[[#This Row],[Relevant]]=0),1,0)</f>
        <v>0</v>
      </c>
      <c r="BF153" s="54">
        <f>IF(AND(Table10[[#This Row],[Retrieved]]=1, Table10[[#This Row],[Relevant]]=1),1,0)</f>
        <v>0</v>
      </c>
    </row>
    <row r="154" spans="2:58">
      <c r="B154" s="76" t="s">
        <v>250</v>
      </c>
      <c r="C154" s="10" t="s">
        <v>118</v>
      </c>
      <c r="D154" s="8">
        <f>VLOOKUP(Table3[[#This Row],[MD5]],Input[],3,FALSE)+(Distances!$AA$6*(ABS(Distances!$AD$6-VLOOKUP(Table3[[#This Row],[MD5]],Input[],3,FALSE))*Distances!$AC$6))</f>
        <v>50.255714284999996</v>
      </c>
      <c r="E154" s="7">
        <f>VLOOKUP(Table3[[#This Row],[MD5]],Input[],4,FALSE)+(Distances!$AA$7*(ABS(Distances!$AD$7-VLOOKUP(Table3[[#This Row],[MD5]],Input[],4,FALSE))*Distances!$AC$7))</f>
        <v>60.466666666666669</v>
      </c>
      <c r="F154" s="7">
        <f>VLOOKUP(Table3[[#This Row],[MD5]],Input[],5,FALSE)+(Distances!$AA$8*(ABS(Distances!$AD$8-VLOOKUP(Table3[[#This Row],[MD5]],Input[],5,FALSE))*Distances!$AC$8))</f>
        <v>56.183333333333337</v>
      </c>
      <c r="G154" s="46">
        <f>SQRT(SUM((Table3[[#This Row],[time]]-Distances!$AD$6)^2,(Table3[[#This Row],[price]]-Distances!$AD$7)^2,(Table3[[#This Row],[energy]]-Distances!$AD$8)^2))</f>
        <v>12.159363141948486</v>
      </c>
      <c r="H154" s="46">
        <f>((Table3[[#This Row],[score-bt]]-MIN(Table3[score-bt]))*$G$6)/(MAX(Table3[score-bt])-MIN(Table3[score-bt]))</f>
        <v>0.17609026488618373</v>
      </c>
      <c r="I154" s="8">
        <f>VLOOKUP(Table3[[#This Row],[MD5]],Input[],9,FALSE)+(Distances!$AA$6*(ABS(Distances!$AD$6-VLOOKUP(Table3[[#This Row],[MD5]],Input[],9,FALSE))*Distances!$AC$6))</f>
        <v>41.22291380785709</v>
      </c>
      <c r="J154" s="7">
        <f>VLOOKUP(Table3[[#This Row],[MD5]],Input[],10,FALSE)+(Distances!$AA$7*(ABS(Distances!$AD$7-VLOOKUP(Table3[[#This Row],[MD5]],Input[],10,FALSE))*Distances!$AC$7))</f>
        <v>38.696269704166582</v>
      </c>
      <c r="K154" s="7">
        <f>VLOOKUP(Table3[[#This Row],[MD5]],Input[],11,FALSE)+(Distances!$AA$8*(ABS(Distances!$AD$8-VLOOKUP(Table3[[#This Row],[MD5]],Input[],11,FALSE))*Distances!$AC$8))</f>
        <v>33.968801981840194</v>
      </c>
      <c r="L154" s="44">
        <f>SQRT(SUM((Table3[[#This Row],[time''2]]-Distances!$AD$6)^2,(Table3[[#This Row],[price''2]]-Distances!$AD$7)^2,(Table3[[#This Row],[energy''2]]-Distances!$AD$8)^2))</f>
        <v>21.489785260041543</v>
      </c>
      <c r="M154" s="44">
        <f>((Table3[[#This Row],[score-rt-partialcf]]-MIN(Table3[score-rt-partialcf]))*$G$6)/(MAX(Table3[score-rt-partialcf])-MIN(Table3[score-rt-partialcf]))</f>
        <v>0.14807000828491271</v>
      </c>
      <c r="N154" s="8">
        <f>VLOOKUP(Table3[[#This Row],[MD5]],Input[],15,FALSE)+(Distances!$AA$6*(ABS(Distances!$AD$6-VLOOKUP(Table3[[#This Row],[MD5]],Input[],15,FALSE))*Distances!$AC$6))</f>
        <v>41.147577381964197</v>
      </c>
      <c r="O154" s="7">
        <f>VLOOKUP(Table3[[#This Row],[MD5]],Input[],16,FALSE)+(Distances!$AA$7*(ABS(Distances!$AD$7-VLOOKUP(Table3[[#This Row],[MD5]],Input[],16,FALSE))*Distances!$AC$7))</f>
        <v>80.140900435416441</v>
      </c>
      <c r="P154" s="7">
        <f>VLOOKUP(Table3[[#This Row],[MD5]],Input[],17,FALSE)+(Distances!$AA$8*(ABS(Distances!$AD$8-VLOOKUP(Table3[[#This Row],[MD5]],Input[],11,FALSE))*Distances!$AC$8))</f>
        <v>80.499397240173266</v>
      </c>
      <c r="Q154" s="47">
        <f>SQRT(SUM((Table3[[#This Row],[time''3]]-Distances!$AD$6)^2,(Table3[[#This Row],[price''3]]-Distances!$AD$7)^2,(Table3[[#This Row],[energy''3]]-Distances!$AD$8)^2))</f>
        <v>43.784158062932846</v>
      </c>
      <c r="R154" s="47">
        <f>((Table3[[#This Row],[score-rt-fullcf]]-MIN(Table3[score-rt-fullcf]))*$G$6)/(MAX(Table3[score-rt-fullcf])-MIN(Table3[score-rt-fullcf]))</f>
        <v>7.1934703902238648E-2</v>
      </c>
      <c r="S154" s="8">
        <f>VLOOKUP(Table3[[#This Row],[MD5]],Input[],21,FALSE)+(Distances!$AI$6*(ABS(Distances!$L$3-VLOOKUP(Table3[[#This Row],[MD5]],Input[],21,FALSE))*Distances!$AC$6))</f>
        <v>741441.69626666664</v>
      </c>
      <c r="T154" s="7">
        <f>VLOOKUP(Table3[[#This Row],[MD5]],Input[],22,FALSE)+(Distances!$AI$7*(ABS(Distances!$AB$7-VLOOKUP(Table3[[#This Row],[MD5]],Input[],22,FALSE))*Distances!$AC$7))</f>
        <v>242693.71090000001</v>
      </c>
      <c r="U154" s="7">
        <f>VLOOKUP(Table3[[#This Row],[MD5]],Input[],23,FALSE)+(Distances!$AI$8*(ABS(Distances!$AD$8-VLOOKUP(Table3[[#This Row],[MD5]],Input[],23,FALSE))*Distances!$AC$8))</f>
        <v>178243.40038055499</v>
      </c>
      <c r="V154" s="43">
        <f>SQRT(SUM((Table3[[#This Row],[time''4]]-Distances!$AD$6)^2,(Table3[[#This Row],[price''4]]-Distances!$AD$7)^2,(Table3[[#This Row],[energy''4]]-Distances!$AD$8)^2))</f>
        <v>800181.54544557747</v>
      </c>
      <c r="W154" s="58">
        <f>((Table3[[#This Row],[score-rt-df]]-MIN(Table3[score-rt-df]))*$G$6)/(MAX(Table3[score-rt-df])-MIN(Table3[score-rt-df]))</f>
        <v>0.65826752879226957</v>
      </c>
      <c r="AY154" t="str">
        <f>Table3[[#This Row],[QW'#]]</f>
        <v>qw72</v>
      </c>
      <c r="AZ154" t="str">
        <f>VLOOKUP(Table10[[#This Row],[QW'#]],Table3[],2,FALSE)</f>
        <v>977cd6b658527083513dd290e42f8c83</v>
      </c>
      <c r="BA154" s="54">
        <f>IF(ABS(VLOOKUP(Table10[[#This Row],[QW'#]],Table3[],7,FALSE)-0)&lt;=$AZ$6,1,0)</f>
        <v>0</v>
      </c>
      <c r="BB154" s="54">
        <f>IF(ABS(VLOOKUP(Table10[[#This Row],[QW'#]],Table3[],22,FALSE)-0)&lt;=$AZ$6,1,0)</f>
        <v>0</v>
      </c>
      <c r="BC154" s="54">
        <f>IF(AND(Table10[[#This Row],[Retrieved]]=0, Table10[[#This Row],[Relevant]]=0),1,0)</f>
        <v>1</v>
      </c>
      <c r="BD154" s="54">
        <f>IF(AND(Table10[[#This Row],[Retrieved]]=0, Table10[[#This Row],[Relevant]]=1),1,0)</f>
        <v>0</v>
      </c>
      <c r="BE154" s="54">
        <f>IF(AND(Table10[[#This Row],[Retrieved]]=1, Table10[[#This Row],[Relevant]]=0),1,0)</f>
        <v>0</v>
      </c>
      <c r="BF154" s="54">
        <f>IF(AND(Table10[[#This Row],[Retrieved]]=1, Table10[[#This Row],[Relevant]]=1),1,0)</f>
        <v>0</v>
      </c>
    </row>
    <row r="155" spans="2:58">
      <c r="B155" s="76" t="s">
        <v>302</v>
      </c>
      <c r="C155" s="10" t="s">
        <v>170</v>
      </c>
      <c r="D155" s="8">
        <f>VLOOKUP(Table3[[#This Row],[MD5]],Input[],3,FALSE)+(Distances!$AA$6*(ABS(Distances!$AD$6-VLOOKUP(Table3[[#This Row],[MD5]],Input[],3,FALSE))*Distances!$AC$6))</f>
        <v>50.255714284999996</v>
      </c>
      <c r="E155" s="7">
        <f>VLOOKUP(Table3[[#This Row],[MD5]],Input[],4,FALSE)+(Distances!$AA$7*(ABS(Distances!$AD$7-VLOOKUP(Table3[[#This Row],[MD5]],Input[],4,FALSE))*Distances!$AC$7))</f>
        <v>60.466666666666669</v>
      </c>
      <c r="F155" s="7">
        <f>VLOOKUP(Table3[[#This Row],[MD5]],Input[],5,FALSE)+(Distances!$AA$8*(ABS(Distances!$AD$8-VLOOKUP(Table3[[#This Row],[MD5]],Input[],5,FALSE))*Distances!$AC$8))</f>
        <v>56.183333333333337</v>
      </c>
      <c r="G155" s="46">
        <f>SQRT(SUM((Table3[[#This Row],[time]]-Distances!$AD$6)^2,(Table3[[#This Row],[price]]-Distances!$AD$7)^2,(Table3[[#This Row],[energy]]-Distances!$AD$8)^2))</f>
        <v>12.159363141948486</v>
      </c>
      <c r="H155" s="46">
        <f>((Table3[[#This Row],[score-bt]]-MIN(Table3[score-bt]))*$G$6)/(MAX(Table3[score-bt])-MIN(Table3[score-bt]))</f>
        <v>0.17609026488618373</v>
      </c>
      <c r="I155" s="8">
        <f>VLOOKUP(Table3[[#This Row],[MD5]],Input[],9,FALSE)+(Distances!$AA$6*(ABS(Distances!$AD$6-VLOOKUP(Table3[[#This Row],[MD5]],Input[],9,FALSE))*Distances!$AC$6))</f>
        <v>53.524320952380933</v>
      </c>
      <c r="J155" s="7">
        <f>VLOOKUP(Table3[[#This Row],[MD5]],Input[],10,FALSE)+(Distances!$AA$7*(ABS(Distances!$AD$7-VLOOKUP(Table3[[#This Row],[MD5]],Input[],10,FALSE))*Distances!$AC$7))</f>
        <v>53.865166914583334</v>
      </c>
      <c r="K155" s="7">
        <f>VLOOKUP(Table3[[#This Row],[MD5]],Input[],11,FALSE)+(Distances!$AA$8*(ABS(Distances!$AD$8-VLOOKUP(Table3[[#This Row],[MD5]],Input[],11,FALSE))*Distances!$AC$8))</f>
        <v>48.453474026631866</v>
      </c>
      <c r="L155" s="44">
        <f>SQRT(SUM((Table3[[#This Row],[time''2]]-Distances!$AD$6)^2,(Table3[[#This Row],[price''2]]-Distances!$AD$7)^2,(Table3[[#This Row],[energy''2]]-Distances!$AD$8)^2))</f>
        <v>5.4545481975396592</v>
      </c>
      <c r="M155" s="44">
        <f>((Table3[[#This Row],[score-rt-partialcf]]-MIN(Table3[score-rt-partialcf]))*$G$6)/(MAX(Table3[score-rt-partialcf])-MIN(Table3[score-rt-partialcf]))</f>
        <v>0</v>
      </c>
      <c r="N155" s="8">
        <f>VLOOKUP(Table3[[#This Row],[MD5]],Input[],15,FALSE)+(Distances!$AA$6*(ABS(Distances!$AD$6-VLOOKUP(Table3[[#This Row],[MD5]],Input[],15,FALSE))*Distances!$AC$6))</f>
        <v>53.524320952380933</v>
      </c>
      <c r="O155" s="7">
        <f>VLOOKUP(Table3[[#This Row],[MD5]],Input[],16,FALSE)+(Distances!$AA$7*(ABS(Distances!$AD$7-VLOOKUP(Table3[[#This Row],[MD5]],Input[],16,FALSE))*Distances!$AC$7))</f>
        <v>88.996917768749782</v>
      </c>
      <c r="P155" s="7">
        <f>VLOOKUP(Table3[[#This Row],[MD5]],Input[],17,FALSE)+(Distances!$AA$8*(ABS(Distances!$AD$8-VLOOKUP(Table3[[#This Row],[MD5]],Input[],11,FALSE))*Distances!$AC$8))</f>
        <v>94.124750137048267</v>
      </c>
      <c r="Q155" s="47">
        <f>SQRT(SUM((Table3[[#This Row],[time''3]]-Distances!$AD$6)^2,(Table3[[#This Row],[price''3]]-Distances!$AD$7)^2,(Table3[[#This Row],[energy''3]]-Distances!$AD$8)^2))</f>
        <v>58.992999655001142</v>
      </c>
      <c r="R155" s="47">
        <f>((Table3[[#This Row],[score-rt-fullcf]]-MIN(Table3[score-rt-fullcf]))*$G$6)/(MAX(Table3[score-rt-fullcf])-MIN(Table3[score-rt-fullcf]))</f>
        <v>0.53824709582296082</v>
      </c>
      <c r="S155" s="8">
        <f>VLOOKUP(Table3[[#This Row],[MD5]],Input[],21,FALSE)+(Distances!$AI$6*(ABS(Distances!$L$3-VLOOKUP(Table3[[#This Row],[MD5]],Input[],21,FALSE))*Distances!$AC$6))</f>
        <v>1073159.4306666667</v>
      </c>
      <c r="T155" s="7">
        <f>VLOOKUP(Table3[[#This Row],[MD5]],Input[],22,FALSE)+(Distances!$AI$7*(ABS(Distances!$AB$7-VLOOKUP(Table3[[#This Row],[MD5]],Input[],22,FALSE))*Distances!$AC$7))</f>
        <v>363821.11534444446</v>
      </c>
      <c r="U155" s="7">
        <f>VLOOKUP(Table3[[#This Row],[MD5]],Input[],23,FALSE)+(Distances!$AI$8*(ABS(Distances!$AD$8-VLOOKUP(Table3[[#This Row],[MD5]],Input[],23,FALSE))*Distances!$AC$8))</f>
        <v>268510.52704722225</v>
      </c>
      <c r="V155" s="43">
        <f>SQRT(SUM((Table3[[#This Row],[time''4]]-Distances!$AD$6)^2,(Table3[[#This Row],[price''4]]-Distances!$AD$7)^2,(Table3[[#This Row],[energy''4]]-Distances!$AD$8)^2))</f>
        <v>1164458.8138389229</v>
      </c>
      <c r="W155" s="58">
        <f>((Table3[[#This Row],[score-rt-df]]-MIN(Table3[score-rt-df]))*$G$6)/(MAX(Table3[score-rt-df])-MIN(Table3[score-rt-df]))</f>
        <v>0.9582663876616534</v>
      </c>
      <c r="AY155" t="str">
        <f>Table3[[#This Row],[QW'#]]</f>
        <v>qw124</v>
      </c>
      <c r="AZ155" t="str">
        <f>VLOOKUP(Table10[[#This Row],[QW'#]],Table3[],2,FALSE)</f>
        <v>86a9245cc29fd18af855199c6dc11cc1</v>
      </c>
      <c r="BA155" s="54">
        <f>IF(ABS(VLOOKUP(Table10[[#This Row],[QW'#]],Table3[],7,FALSE)-0)&lt;=$AZ$6,1,0)</f>
        <v>0</v>
      </c>
      <c r="BB155" s="54">
        <f>IF(ABS(VLOOKUP(Table10[[#This Row],[QW'#]],Table3[],22,FALSE)-0)&lt;=$AZ$6,1,0)</f>
        <v>0</v>
      </c>
      <c r="BC155" s="54">
        <f>IF(AND(Table10[[#This Row],[Retrieved]]=0, Table10[[#This Row],[Relevant]]=0),1,0)</f>
        <v>1</v>
      </c>
      <c r="BD155" s="54">
        <f>IF(AND(Table10[[#This Row],[Retrieved]]=0, Table10[[#This Row],[Relevant]]=1),1,0)</f>
        <v>0</v>
      </c>
      <c r="BE155" s="54">
        <f>IF(AND(Table10[[#This Row],[Retrieved]]=1, Table10[[#This Row],[Relevant]]=0),1,0)</f>
        <v>0</v>
      </c>
      <c r="BF155" s="54">
        <f>IF(AND(Table10[[#This Row],[Retrieved]]=1, Table10[[#This Row],[Relevant]]=1),1,0)</f>
        <v>0</v>
      </c>
    </row>
    <row r="156" spans="2:58">
      <c r="B156" s="76" t="s">
        <v>11</v>
      </c>
      <c r="C156" s="10" t="s">
        <v>49</v>
      </c>
      <c r="D156" s="8">
        <f>VLOOKUP(Table3[[#This Row],[MD5]],Input[],3,FALSE)+(Distances!$AA$6*(ABS(Distances!$AD$6-VLOOKUP(Table3[[#This Row],[MD5]],Input[],3,FALSE))*Distances!$AC$6))</f>
        <v>50.255714284999996</v>
      </c>
      <c r="E156" s="7">
        <f>VLOOKUP(Table3[[#This Row],[MD5]],Input[],4,FALSE)+(Distances!$AA$7*(ABS(Distances!$AD$7-VLOOKUP(Table3[[#This Row],[MD5]],Input[],4,FALSE))*Distances!$AC$7))</f>
        <v>60.466666666666669</v>
      </c>
      <c r="F156" s="7">
        <f>VLOOKUP(Table3[[#This Row],[MD5]],Input[],5,FALSE)+(Distances!$AA$8*(ABS(Distances!$AD$8-VLOOKUP(Table3[[#This Row],[MD5]],Input[],5,FALSE))*Distances!$AC$8))</f>
        <v>56.183333333333337</v>
      </c>
      <c r="G156" s="46">
        <f>SQRT(SUM((Table3[[#This Row],[time]]-Distances!$AD$6)^2,(Table3[[#This Row],[price]]-Distances!$AD$7)^2,(Table3[[#This Row],[energy]]-Distances!$AD$8)^2))</f>
        <v>12.159363141948486</v>
      </c>
      <c r="H156" s="46">
        <f>((Table3[[#This Row],[score-bt]]-MIN(Table3[score-bt]))*$G$6)/(MAX(Table3[score-bt])-MIN(Table3[score-bt]))</f>
        <v>0.17609026488618373</v>
      </c>
      <c r="I156" s="8">
        <f>VLOOKUP(Table3[[#This Row],[MD5]],Input[],9,FALSE)+(Distances!$AA$6*(ABS(Distances!$AD$6-VLOOKUP(Table3[[#This Row],[MD5]],Input[],9,FALSE))*Distances!$AC$6))</f>
        <v>53.524320952380933</v>
      </c>
      <c r="J156" s="7">
        <f>VLOOKUP(Table3[[#This Row],[MD5]],Input[],10,FALSE)+(Distances!$AA$7*(ABS(Distances!$AD$7-VLOOKUP(Table3[[#This Row],[MD5]],Input[],10,FALSE))*Distances!$AC$7))</f>
        <v>53.865166914583334</v>
      </c>
      <c r="K156" s="7">
        <f>VLOOKUP(Table3[[#This Row],[MD5]],Input[],11,FALSE)+(Distances!$AA$8*(ABS(Distances!$AD$8-VLOOKUP(Table3[[#This Row],[MD5]],Input[],11,FALSE))*Distances!$AC$8))</f>
        <v>48.453474026631866</v>
      </c>
      <c r="L156" s="44">
        <f>SQRT(SUM((Table3[[#This Row],[time''2]]-Distances!$AD$6)^2,(Table3[[#This Row],[price''2]]-Distances!$AD$7)^2,(Table3[[#This Row],[energy''2]]-Distances!$AD$8)^2))</f>
        <v>5.4545481975396592</v>
      </c>
      <c r="M156" s="44">
        <f>((Table3[[#This Row],[score-rt-partialcf]]-MIN(Table3[score-rt-partialcf]))*$G$6)/(MAX(Table3[score-rt-partialcf])-MIN(Table3[score-rt-partialcf]))</f>
        <v>0</v>
      </c>
      <c r="N156" s="8">
        <f>VLOOKUP(Table3[[#This Row],[MD5]],Input[],15,FALSE)+(Distances!$AA$6*(ABS(Distances!$AD$6-VLOOKUP(Table3[[#This Row],[MD5]],Input[],15,FALSE))*Distances!$AC$6))</f>
        <v>53.524320952380933</v>
      </c>
      <c r="O156" s="7">
        <f>VLOOKUP(Table3[[#This Row],[MD5]],Input[],16,FALSE)+(Distances!$AA$7*(ABS(Distances!$AD$7-VLOOKUP(Table3[[#This Row],[MD5]],Input[],16,FALSE))*Distances!$AC$7))</f>
        <v>88.996917768749782</v>
      </c>
      <c r="P156" s="7">
        <f>VLOOKUP(Table3[[#This Row],[MD5]],Input[],17,FALSE)+(Distances!$AA$8*(ABS(Distances!$AD$8-VLOOKUP(Table3[[#This Row],[MD5]],Input[],11,FALSE))*Distances!$AC$8))</f>
        <v>94.124750137048267</v>
      </c>
      <c r="Q156" s="47">
        <f>SQRT(SUM((Table3[[#This Row],[time''3]]-Distances!$AD$6)^2,(Table3[[#This Row],[price''3]]-Distances!$AD$7)^2,(Table3[[#This Row],[energy''3]]-Distances!$AD$8)^2))</f>
        <v>58.992999655001142</v>
      </c>
      <c r="R156" s="47">
        <f>((Table3[[#This Row],[score-rt-fullcf]]-MIN(Table3[score-rt-fullcf]))*$G$6)/(MAX(Table3[score-rt-fullcf])-MIN(Table3[score-rt-fullcf]))</f>
        <v>0.53824709582296082</v>
      </c>
      <c r="S156" s="8">
        <f>VLOOKUP(Table3[[#This Row],[MD5]],Input[],21,FALSE)+(Distances!$AI$6*(ABS(Distances!$L$3-VLOOKUP(Table3[[#This Row],[MD5]],Input[],21,FALSE))*Distances!$AC$6))</f>
        <v>1073159.4306666667</v>
      </c>
      <c r="T156" s="7">
        <f>VLOOKUP(Table3[[#This Row],[MD5]],Input[],22,FALSE)+(Distances!$AI$7*(ABS(Distances!$AB$7-VLOOKUP(Table3[[#This Row],[MD5]],Input[],22,FALSE))*Distances!$AC$7))</f>
        <v>363821.11534444446</v>
      </c>
      <c r="U156" s="7">
        <f>VLOOKUP(Table3[[#This Row],[MD5]],Input[],23,FALSE)+(Distances!$AI$8*(ABS(Distances!$AD$8-VLOOKUP(Table3[[#This Row],[MD5]],Input[],23,FALSE))*Distances!$AC$8))</f>
        <v>268510.52704722225</v>
      </c>
      <c r="V156" s="43">
        <f>SQRT(SUM((Table3[[#This Row],[time''4]]-Distances!$AD$6)^2,(Table3[[#This Row],[price''4]]-Distances!$AD$7)^2,(Table3[[#This Row],[energy''4]]-Distances!$AD$8)^2))</f>
        <v>1164458.8138389229</v>
      </c>
      <c r="W156" s="58">
        <f>((Table3[[#This Row],[score-rt-df]]-MIN(Table3[score-rt-df]))*$G$6)/(MAX(Table3[score-rt-df])-MIN(Table3[score-rt-df]))</f>
        <v>0.9582663876616534</v>
      </c>
      <c r="AY156" t="str">
        <f>Table3[[#This Row],[QW'#]]</f>
        <v>qw3</v>
      </c>
      <c r="AZ156" t="str">
        <f>VLOOKUP(Table10[[#This Row],[QW'#]],Table3[],2,FALSE)</f>
        <v>b38d8766716eeff14622cf935b605d4c</v>
      </c>
      <c r="BA156" s="54">
        <f>IF(ABS(VLOOKUP(Table10[[#This Row],[QW'#]],Table3[],7,FALSE)-0)&lt;=$AZ$6,1,0)</f>
        <v>0</v>
      </c>
      <c r="BB156" s="54">
        <f>IF(ABS(VLOOKUP(Table10[[#This Row],[QW'#]],Table3[],22,FALSE)-0)&lt;=$AZ$6,1,0)</f>
        <v>0</v>
      </c>
      <c r="BC156" s="54">
        <f>IF(AND(Table10[[#This Row],[Retrieved]]=0, Table10[[#This Row],[Relevant]]=0),1,0)</f>
        <v>1</v>
      </c>
      <c r="BD156" s="54">
        <f>IF(AND(Table10[[#This Row],[Retrieved]]=0, Table10[[#This Row],[Relevant]]=1),1,0)</f>
        <v>0</v>
      </c>
      <c r="BE156" s="54">
        <f>IF(AND(Table10[[#This Row],[Retrieved]]=1, Table10[[#This Row],[Relevant]]=0),1,0)</f>
        <v>0</v>
      </c>
      <c r="BF156" s="54">
        <f>IF(AND(Table10[[#This Row],[Retrieved]]=1, Table10[[#This Row],[Relevant]]=1),1,0)</f>
        <v>0</v>
      </c>
    </row>
    <row r="157" spans="2:58">
      <c r="B157" s="76" t="s">
        <v>266</v>
      </c>
      <c r="C157" s="10" t="s">
        <v>134</v>
      </c>
      <c r="D157" s="8">
        <f>VLOOKUP(Table3[[#This Row],[MD5]],Input[],3,FALSE)+(Distances!$AA$6*(ABS(Distances!$AD$6-VLOOKUP(Table3[[#This Row],[MD5]],Input[],3,FALSE))*Distances!$AC$6))</f>
        <v>50.255714284999996</v>
      </c>
      <c r="E157" s="7">
        <f>VLOOKUP(Table3[[#This Row],[MD5]],Input[],4,FALSE)+(Distances!$AA$7*(ABS(Distances!$AD$7-VLOOKUP(Table3[[#This Row],[MD5]],Input[],4,FALSE))*Distances!$AC$7))</f>
        <v>60.466666666666669</v>
      </c>
      <c r="F157" s="7">
        <f>VLOOKUP(Table3[[#This Row],[MD5]],Input[],5,FALSE)+(Distances!$AA$8*(ABS(Distances!$AD$8-VLOOKUP(Table3[[#This Row],[MD5]],Input[],5,FALSE))*Distances!$AC$8))</f>
        <v>56.183333333333337</v>
      </c>
      <c r="G157" s="46">
        <f>SQRT(SUM((Table3[[#This Row],[time]]-Distances!$AD$6)^2,(Table3[[#This Row],[price]]-Distances!$AD$7)^2,(Table3[[#This Row],[energy]]-Distances!$AD$8)^2))</f>
        <v>12.159363141948486</v>
      </c>
      <c r="H157" s="46">
        <f>((Table3[[#This Row],[score-bt]]-MIN(Table3[score-bt]))*$G$6)/(MAX(Table3[score-bt])-MIN(Table3[score-bt]))</f>
        <v>0.17609026488618373</v>
      </c>
      <c r="I157" s="8">
        <f>VLOOKUP(Table3[[#This Row],[MD5]],Input[],9,FALSE)+(Distances!$AA$6*(ABS(Distances!$AD$6-VLOOKUP(Table3[[#This Row],[MD5]],Input[],9,FALSE))*Distances!$AC$6))</f>
        <v>53.524320952380933</v>
      </c>
      <c r="J157" s="7">
        <f>VLOOKUP(Table3[[#This Row],[MD5]],Input[],10,FALSE)+(Distances!$AA$7*(ABS(Distances!$AD$7-VLOOKUP(Table3[[#This Row],[MD5]],Input[],10,FALSE))*Distances!$AC$7))</f>
        <v>53.865167789583289</v>
      </c>
      <c r="K157" s="7">
        <f>VLOOKUP(Table3[[#This Row],[MD5]],Input[],11,FALSE)+(Distances!$AA$8*(ABS(Distances!$AD$8-VLOOKUP(Table3[[#This Row],[MD5]],Input[],11,FALSE))*Distances!$AC$8))</f>
        <v>48.453475353715206</v>
      </c>
      <c r="L157" s="44">
        <f>SQRT(SUM((Table3[[#This Row],[time''2]]-Distances!$AD$6)^2,(Table3[[#This Row],[price''2]]-Distances!$AD$7)^2,(Table3[[#This Row],[energy''2]]-Distances!$AD$8)^2))</f>
        <v>5.4545484413093002</v>
      </c>
      <c r="M157" s="44">
        <f>((Table3[[#This Row],[score-rt-partialcf]]-MIN(Table3[score-rt-partialcf]))*$G$6)/(MAX(Table3[score-rt-partialcf])-MIN(Table3[score-rt-partialcf]))</f>
        <v>2.2509784301637953E-9</v>
      </c>
      <c r="N157" s="8">
        <f>VLOOKUP(Table3[[#This Row],[MD5]],Input[],15,FALSE)+(Distances!$AA$6*(ABS(Distances!$AD$6-VLOOKUP(Table3[[#This Row],[MD5]],Input[],15,FALSE))*Distances!$AC$6))</f>
        <v>53.524320952380933</v>
      </c>
      <c r="O157" s="7">
        <f>VLOOKUP(Table3[[#This Row],[MD5]],Input[],16,FALSE)+(Distances!$AA$7*(ABS(Distances!$AD$7-VLOOKUP(Table3[[#This Row],[MD5]],Input[],16,FALSE))*Distances!$AC$7))</f>
        <v>88.996919227083112</v>
      </c>
      <c r="P157" s="7">
        <f>VLOOKUP(Table3[[#This Row],[MD5]],Input[],17,FALSE)+(Distances!$AA$8*(ABS(Distances!$AD$8-VLOOKUP(Table3[[#This Row],[MD5]],Input[],11,FALSE))*Distances!$AC$8))</f>
        <v>94.124752222464934</v>
      </c>
      <c r="Q157" s="47">
        <f>SQRT(SUM((Table3[[#This Row],[time''3]]-Distances!$AD$6)^2,(Table3[[#This Row],[price''3]]-Distances!$AD$7)^2,(Table3[[#This Row],[energy''3]]-Distances!$AD$8)^2))</f>
        <v>58.993002178842872</v>
      </c>
      <c r="R157" s="47">
        <f>((Table3[[#This Row],[score-rt-fullcf]]-MIN(Table3[score-rt-fullcf]))*$G$6)/(MAX(Table3[score-rt-fullcf])-MIN(Table3[score-rt-fullcf]))</f>
        <v>0.53824717320549298</v>
      </c>
      <c r="S157" s="8">
        <f>VLOOKUP(Table3[[#This Row],[MD5]],Input[],21,FALSE)+(Distances!$AI$6*(ABS(Distances!$L$3-VLOOKUP(Table3[[#This Row],[MD5]],Input[],21,FALSE))*Distances!$AC$6))</f>
        <v>1073159.4306666667</v>
      </c>
      <c r="T157" s="7">
        <f>VLOOKUP(Table3[[#This Row],[MD5]],Input[],22,FALSE)+(Distances!$AI$7*(ABS(Distances!$AB$7-VLOOKUP(Table3[[#This Row],[MD5]],Input[],22,FALSE))*Distances!$AC$7))</f>
        <v>363821.31090000004</v>
      </c>
      <c r="U157" s="7">
        <f>VLOOKUP(Table3[[#This Row],[MD5]],Input[],23,FALSE)+(Distances!$AI$8*(ABS(Distances!$AD$8-VLOOKUP(Table3[[#This Row],[MD5]],Input[],23,FALSE))*Distances!$AC$8))</f>
        <v>268510.67371388891</v>
      </c>
      <c r="V157" s="43">
        <f>SQRT(SUM((Table3[[#This Row],[time''4]]-Distances!$AD$6)^2,(Table3[[#This Row],[price''4]]-Distances!$AD$7)^2,(Table3[[#This Row],[energy''4]]-Distances!$AD$8)^2))</f>
        <v>1164458.9087428362</v>
      </c>
      <c r="W157" s="58">
        <f>((Table3[[#This Row],[score-rt-df]]-MIN(Table3[score-rt-df]))*$G$6)/(MAX(Table3[score-rt-df])-MIN(Table3[score-rt-df]))</f>
        <v>0.95826646581933206</v>
      </c>
      <c r="AY157" t="str">
        <f>Table3[[#This Row],[QW'#]]</f>
        <v>qw88</v>
      </c>
      <c r="AZ157" t="str">
        <f>VLOOKUP(Table10[[#This Row],[QW'#]],Table3[],2,FALSE)</f>
        <v>a4f9f0c2bd1eef084f6312a61803957c</v>
      </c>
      <c r="BA157" s="54">
        <f>IF(ABS(VLOOKUP(Table10[[#This Row],[QW'#]],Table3[],7,FALSE)-0)&lt;=$AZ$6,1,0)</f>
        <v>0</v>
      </c>
      <c r="BB157" s="54">
        <f>IF(ABS(VLOOKUP(Table10[[#This Row],[QW'#]],Table3[],22,FALSE)-0)&lt;=$AZ$6,1,0)</f>
        <v>0</v>
      </c>
      <c r="BC157" s="54">
        <f>IF(AND(Table10[[#This Row],[Retrieved]]=0, Table10[[#This Row],[Relevant]]=0),1,0)</f>
        <v>1</v>
      </c>
      <c r="BD157" s="54">
        <f>IF(AND(Table10[[#This Row],[Retrieved]]=0, Table10[[#This Row],[Relevant]]=1),1,0)</f>
        <v>0</v>
      </c>
      <c r="BE157" s="54">
        <f>IF(AND(Table10[[#This Row],[Retrieved]]=1, Table10[[#This Row],[Relevant]]=0),1,0)</f>
        <v>0</v>
      </c>
      <c r="BF157" s="54">
        <f>IF(AND(Table10[[#This Row],[Retrieved]]=1, Table10[[#This Row],[Relevant]]=1),1,0)</f>
        <v>0</v>
      </c>
    </row>
    <row r="158" spans="2:58">
      <c r="B158" s="76" t="s">
        <v>37</v>
      </c>
      <c r="C158" s="10" t="s">
        <v>75</v>
      </c>
      <c r="D158" s="8">
        <f>VLOOKUP(Table3[[#This Row],[MD5]],Input[],3,FALSE)+(Distances!$AA$6*(ABS(Distances!$AD$6-VLOOKUP(Table3[[#This Row],[MD5]],Input[],3,FALSE))*Distances!$AC$6))</f>
        <v>50.255714284999996</v>
      </c>
      <c r="E158" s="7">
        <f>VLOOKUP(Table3[[#This Row],[MD5]],Input[],4,FALSE)+(Distances!$AA$7*(ABS(Distances!$AD$7-VLOOKUP(Table3[[#This Row],[MD5]],Input[],4,FALSE))*Distances!$AC$7))</f>
        <v>61.466666666666669</v>
      </c>
      <c r="F158" s="7">
        <f>VLOOKUP(Table3[[#This Row],[MD5]],Input[],5,FALSE)+(Distances!$AA$8*(ABS(Distances!$AD$8-VLOOKUP(Table3[[#This Row],[MD5]],Input[],5,FALSE))*Distances!$AC$8))</f>
        <v>57.266666666666666</v>
      </c>
      <c r="G158" s="46">
        <f>SQRT(SUM((Table3[[#This Row],[time]]-Distances!$AD$6)^2,(Table3[[#This Row],[price]]-Distances!$AD$7)^2,(Table3[[#This Row],[energy]]-Distances!$AD$8)^2))</f>
        <v>13.577712571874615</v>
      </c>
      <c r="H158" s="46">
        <f>((Table3[[#This Row],[score-bt]]-MIN(Table3[score-bt]))*$G$6)/(MAX(Table3[score-bt])-MIN(Table3[score-bt]))</f>
        <v>0.29234080080274066</v>
      </c>
      <c r="I158" s="8">
        <f>VLOOKUP(Table3[[#This Row],[MD5]],Input[],9,FALSE)+(Distances!$AA$6*(ABS(Distances!$AD$6-VLOOKUP(Table3[[#This Row],[MD5]],Input[],9,FALSE))*Distances!$AC$6))</f>
        <v>41.160084142276702</v>
      </c>
      <c r="J158" s="7">
        <f>VLOOKUP(Table3[[#This Row],[MD5]],Input[],10,FALSE)+(Distances!$AA$7*(ABS(Distances!$AD$7-VLOOKUP(Table3[[#This Row],[MD5]],Input[],10,FALSE))*Distances!$AC$7))</f>
        <v>38.622484024999913</v>
      </c>
      <c r="K158" s="7">
        <f>VLOOKUP(Table3[[#This Row],[MD5]],Input[],11,FALSE)+(Distances!$AA$8*(ABS(Distances!$AD$8-VLOOKUP(Table3[[#This Row],[MD5]],Input[],11,FALSE))*Distances!$AC$8))</f>
        <v>33.91272157493048</v>
      </c>
      <c r="L158" s="44">
        <f>SQRT(SUM((Table3[[#This Row],[time''2]]-Distances!$AD$6)^2,(Table3[[#This Row],[price''2]]-Distances!$AD$7)^2,(Table3[[#This Row],[energy''2]]-Distances!$AD$8)^2))</f>
        <v>21.596122551484033</v>
      </c>
      <c r="M158" s="44">
        <f>((Table3[[#This Row],[score-rt-partialcf]]-MIN(Table3[score-rt-partialcf]))*$G$6)/(MAX(Table3[score-rt-partialcf])-MIN(Table3[score-rt-partialcf]))</f>
        <v>0.14905193100694747</v>
      </c>
      <c r="N158" s="8">
        <f>VLOOKUP(Table3[[#This Row],[MD5]],Input[],15,FALSE)+(Distances!$AA$6*(ABS(Distances!$AD$6-VLOOKUP(Table3[[#This Row],[MD5]],Input[],15,FALSE))*Distances!$AC$6))</f>
        <v>41.126603251651701</v>
      </c>
      <c r="O158" s="7">
        <f>VLOOKUP(Table3[[#This Row],[MD5]],Input[],16,FALSE)+(Distances!$AA$7*(ABS(Distances!$AD$7-VLOOKUP(Table3[[#This Row],[MD5]],Input[],16,FALSE))*Distances!$AC$7))</f>
        <v>80.127980054166656</v>
      </c>
      <c r="P158" s="7">
        <f>VLOOKUP(Table3[[#This Row],[MD5]],Input[],17,FALSE)+(Distances!$AA$8*(ABS(Distances!$AD$8-VLOOKUP(Table3[[#This Row],[MD5]],Input[],11,FALSE))*Distances!$AC$8))</f>
        <v>80.47448102909722</v>
      </c>
      <c r="Q158" s="47">
        <f>SQRT(SUM((Table3[[#This Row],[time''3]]-Distances!$AD$6)^2,(Table3[[#This Row],[price''3]]-Distances!$AD$7)^2,(Table3[[#This Row],[energy''3]]-Distances!$AD$8)^2))</f>
        <v>43.762156550959283</v>
      </c>
      <c r="R158" s="47">
        <f>((Table3[[#This Row],[score-rt-fullcf]]-MIN(Table3[score-rt-fullcf]))*$G$6)/(MAX(Table3[score-rt-fullcf])-MIN(Table3[score-rt-fullcf]))</f>
        <v>7.1260124078906459E-2</v>
      </c>
      <c r="S158" s="8">
        <f>VLOOKUP(Table3[[#This Row],[MD5]],Input[],21,FALSE)+(Distances!$AI$6*(ABS(Distances!$L$3-VLOOKUP(Table3[[#This Row],[MD5]],Input[],21,FALSE))*Distances!$AC$6))</f>
        <v>741118.01026666665</v>
      </c>
      <c r="T158" s="7">
        <f>VLOOKUP(Table3[[#This Row],[MD5]],Input[],22,FALSE)+(Distances!$AI$7*(ABS(Distances!$AB$7-VLOOKUP(Table3[[#This Row],[MD5]],Input[],22,FALSE))*Distances!$AC$7))</f>
        <v>242408.31223333333</v>
      </c>
      <c r="U158" s="7">
        <f>VLOOKUP(Table3[[#This Row],[MD5]],Input[],23,FALSE)+(Distances!$AI$8*(ABS(Distances!$AD$8-VLOOKUP(Table3[[#This Row],[MD5]],Input[],23,FALSE))*Distances!$AC$8))</f>
        <v>178032.23382499945</v>
      </c>
      <c r="V158" s="43">
        <f>SQRT(SUM((Table3[[#This Row],[time''4]]-Distances!$AD$6)^2,(Table3[[#This Row],[price''4]]-Distances!$AD$7)^2,(Table3[[#This Row],[energy''4]]-Distances!$AD$8)^2))</f>
        <v>799748.09965796291</v>
      </c>
      <c r="W158" s="58">
        <f>((Table3[[#This Row],[score-rt-df]]-MIN(Table3[score-rt-df]))*$G$6)/(MAX(Table3[score-rt-df])-MIN(Table3[score-rt-df]))</f>
        <v>0.65791056651943924</v>
      </c>
      <c r="AY158" t="str">
        <f>Table3[[#This Row],[QW'#]]</f>
        <v>qw29</v>
      </c>
      <c r="AZ158" t="str">
        <f>VLOOKUP(Table10[[#This Row],[QW'#]],Table3[],2,FALSE)</f>
        <v>ee3718a556a22947897fb82c8cdc5381</v>
      </c>
      <c r="BA158" s="54">
        <f>IF(ABS(VLOOKUP(Table10[[#This Row],[QW'#]],Table3[],7,FALSE)-0)&lt;=$AZ$6,1,0)</f>
        <v>0</v>
      </c>
      <c r="BB158" s="54">
        <f>IF(ABS(VLOOKUP(Table10[[#This Row],[QW'#]],Table3[],22,FALSE)-0)&lt;=$AZ$6,1,0)</f>
        <v>0</v>
      </c>
      <c r="BC158" s="54">
        <f>IF(AND(Table10[[#This Row],[Retrieved]]=0, Table10[[#This Row],[Relevant]]=0),1,0)</f>
        <v>1</v>
      </c>
      <c r="BD158" s="54">
        <f>IF(AND(Table10[[#This Row],[Retrieved]]=0, Table10[[#This Row],[Relevant]]=1),1,0)</f>
        <v>0</v>
      </c>
      <c r="BE158" s="54">
        <f>IF(AND(Table10[[#This Row],[Retrieved]]=1, Table10[[#This Row],[Relevant]]=0),1,0)</f>
        <v>0</v>
      </c>
      <c r="BF158" s="54">
        <f>IF(AND(Table10[[#This Row],[Retrieved]]=1, Table10[[#This Row],[Relevant]]=1),1,0)</f>
        <v>0</v>
      </c>
    </row>
    <row r="159" spans="2:58">
      <c r="B159" s="76" t="s">
        <v>221</v>
      </c>
      <c r="C159" s="10" t="s">
        <v>89</v>
      </c>
      <c r="D159" s="8">
        <f>VLOOKUP(Table3[[#This Row],[MD5]],Input[],3,FALSE)+(Distances!$AA$6*(ABS(Distances!$AD$6-VLOOKUP(Table3[[#This Row],[MD5]],Input[],3,FALSE))*Distances!$AC$6))</f>
        <v>50.255714284999996</v>
      </c>
      <c r="E159" s="7">
        <f>VLOOKUP(Table3[[#This Row],[MD5]],Input[],4,FALSE)+(Distances!$AA$7*(ABS(Distances!$AD$7-VLOOKUP(Table3[[#This Row],[MD5]],Input[],4,FALSE))*Distances!$AC$7))</f>
        <v>61.466666666666669</v>
      </c>
      <c r="F159" s="7">
        <f>VLOOKUP(Table3[[#This Row],[MD5]],Input[],5,FALSE)+(Distances!$AA$8*(ABS(Distances!$AD$8-VLOOKUP(Table3[[#This Row],[MD5]],Input[],5,FALSE))*Distances!$AC$8))</f>
        <v>57.266666666666666</v>
      </c>
      <c r="G159" s="46">
        <f>SQRT(SUM((Table3[[#This Row],[time]]-Distances!$AD$6)^2,(Table3[[#This Row],[price]]-Distances!$AD$7)^2,(Table3[[#This Row],[energy]]-Distances!$AD$8)^2))</f>
        <v>13.577712571874615</v>
      </c>
      <c r="H159" s="46">
        <f>((Table3[[#This Row],[score-bt]]-MIN(Table3[score-bt]))*$G$6)/(MAX(Table3[score-bt])-MIN(Table3[score-bt]))</f>
        <v>0.29234080080274066</v>
      </c>
      <c r="I159" s="8">
        <f>VLOOKUP(Table3[[#This Row],[MD5]],Input[],9,FALSE)+(Distances!$AA$6*(ABS(Distances!$AD$6-VLOOKUP(Table3[[#This Row],[MD5]],Input[],9,FALSE))*Distances!$AC$6))</f>
        <v>41.160084142276702</v>
      </c>
      <c r="J159" s="7">
        <f>VLOOKUP(Table3[[#This Row],[MD5]],Input[],10,FALSE)+(Distances!$AA$7*(ABS(Distances!$AD$7-VLOOKUP(Table3[[#This Row],[MD5]],Input[],10,FALSE))*Distances!$AC$7))</f>
        <v>38.622484024999913</v>
      </c>
      <c r="K159" s="7">
        <f>VLOOKUP(Table3[[#This Row],[MD5]],Input[],11,FALSE)+(Distances!$AA$8*(ABS(Distances!$AD$8-VLOOKUP(Table3[[#This Row],[MD5]],Input[],11,FALSE))*Distances!$AC$8))</f>
        <v>33.91272157493048</v>
      </c>
      <c r="L159" s="44">
        <f>SQRT(SUM((Table3[[#This Row],[time''2]]-Distances!$AD$6)^2,(Table3[[#This Row],[price''2]]-Distances!$AD$7)^2,(Table3[[#This Row],[energy''2]]-Distances!$AD$8)^2))</f>
        <v>21.596122551484033</v>
      </c>
      <c r="M159" s="44">
        <f>((Table3[[#This Row],[score-rt-partialcf]]-MIN(Table3[score-rt-partialcf]))*$G$6)/(MAX(Table3[score-rt-partialcf])-MIN(Table3[score-rt-partialcf]))</f>
        <v>0.14905193100694747</v>
      </c>
      <c r="N159" s="8">
        <f>VLOOKUP(Table3[[#This Row],[MD5]],Input[],15,FALSE)+(Distances!$AA$6*(ABS(Distances!$AD$6-VLOOKUP(Table3[[#This Row],[MD5]],Input[],15,FALSE))*Distances!$AC$6))</f>
        <v>41.126603251651701</v>
      </c>
      <c r="O159" s="7">
        <f>VLOOKUP(Table3[[#This Row],[MD5]],Input[],16,FALSE)+(Distances!$AA$7*(ABS(Distances!$AD$7-VLOOKUP(Table3[[#This Row],[MD5]],Input[],16,FALSE))*Distances!$AC$7))</f>
        <v>80.127980054166656</v>
      </c>
      <c r="P159" s="7">
        <f>VLOOKUP(Table3[[#This Row],[MD5]],Input[],17,FALSE)+(Distances!$AA$8*(ABS(Distances!$AD$8-VLOOKUP(Table3[[#This Row],[MD5]],Input[],11,FALSE))*Distances!$AC$8))</f>
        <v>80.47448102909722</v>
      </c>
      <c r="Q159" s="47">
        <f>SQRT(SUM((Table3[[#This Row],[time''3]]-Distances!$AD$6)^2,(Table3[[#This Row],[price''3]]-Distances!$AD$7)^2,(Table3[[#This Row],[energy''3]]-Distances!$AD$8)^2))</f>
        <v>43.762156550959283</v>
      </c>
      <c r="R159" s="47">
        <f>((Table3[[#This Row],[score-rt-fullcf]]-MIN(Table3[score-rt-fullcf]))*$G$6)/(MAX(Table3[score-rt-fullcf])-MIN(Table3[score-rt-fullcf]))</f>
        <v>7.1260124078906459E-2</v>
      </c>
      <c r="S159" s="8">
        <f>VLOOKUP(Table3[[#This Row],[MD5]],Input[],21,FALSE)+(Distances!$AI$6*(ABS(Distances!$L$3-VLOOKUP(Table3[[#This Row],[MD5]],Input[],21,FALSE))*Distances!$AC$6))</f>
        <v>741118.01026666665</v>
      </c>
      <c r="T159" s="7">
        <f>VLOOKUP(Table3[[#This Row],[MD5]],Input[],22,FALSE)+(Distances!$AI$7*(ABS(Distances!$AB$7-VLOOKUP(Table3[[#This Row],[MD5]],Input[],22,FALSE))*Distances!$AC$7))</f>
        <v>242408.31223333333</v>
      </c>
      <c r="U159" s="7">
        <f>VLOOKUP(Table3[[#This Row],[MD5]],Input[],23,FALSE)+(Distances!$AI$8*(ABS(Distances!$AD$8-VLOOKUP(Table3[[#This Row],[MD5]],Input[],23,FALSE))*Distances!$AC$8))</f>
        <v>178032.23382499945</v>
      </c>
      <c r="V159" s="43">
        <f>SQRT(SUM((Table3[[#This Row],[time''4]]-Distances!$AD$6)^2,(Table3[[#This Row],[price''4]]-Distances!$AD$7)^2,(Table3[[#This Row],[energy''4]]-Distances!$AD$8)^2))</f>
        <v>799748.09965796291</v>
      </c>
      <c r="W159" s="58">
        <f>((Table3[[#This Row],[score-rt-df]]-MIN(Table3[score-rt-df]))*$G$6)/(MAX(Table3[score-rt-df])-MIN(Table3[score-rt-df]))</f>
        <v>0.65791056651943924</v>
      </c>
      <c r="AY159" t="str">
        <f>Table3[[#This Row],[QW'#]]</f>
        <v>qw43</v>
      </c>
      <c r="AZ159" t="str">
        <f>VLOOKUP(Table10[[#This Row],[QW'#]],Table3[],2,FALSE)</f>
        <v>c21dc51a217ec056e015f9a4a51c1be9</v>
      </c>
      <c r="BA159" s="54">
        <f>IF(ABS(VLOOKUP(Table10[[#This Row],[QW'#]],Table3[],7,FALSE)-0)&lt;=$AZ$6,1,0)</f>
        <v>0</v>
      </c>
      <c r="BB159" s="54">
        <f>IF(ABS(VLOOKUP(Table10[[#This Row],[QW'#]],Table3[],22,FALSE)-0)&lt;=$AZ$6,1,0)</f>
        <v>0</v>
      </c>
      <c r="BC159" s="54">
        <f>IF(AND(Table10[[#This Row],[Retrieved]]=0, Table10[[#This Row],[Relevant]]=0),1,0)</f>
        <v>1</v>
      </c>
      <c r="BD159" s="54">
        <f>IF(AND(Table10[[#This Row],[Retrieved]]=0, Table10[[#This Row],[Relevant]]=1),1,0)</f>
        <v>0</v>
      </c>
      <c r="BE159" s="54">
        <f>IF(AND(Table10[[#This Row],[Retrieved]]=1, Table10[[#This Row],[Relevant]]=0),1,0)</f>
        <v>0</v>
      </c>
      <c r="BF159" s="54">
        <f>IF(AND(Table10[[#This Row],[Retrieved]]=1, Table10[[#This Row],[Relevant]]=1),1,0)</f>
        <v>0</v>
      </c>
    </row>
    <row r="160" spans="2:58">
      <c r="B160" s="76" t="s">
        <v>340</v>
      </c>
      <c r="C160" s="10" t="s">
        <v>208</v>
      </c>
      <c r="D160" s="8">
        <f>VLOOKUP(Table3[[#This Row],[MD5]],Input[],3,FALSE)+(Distances!$AA$6*(ABS(Distances!$AD$6-VLOOKUP(Table3[[#This Row],[MD5]],Input[],3,FALSE))*Distances!$AC$6))</f>
        <v>50.255714284999996</v>
      </c>
      <c r="E160" s="7">
        <f>VLOOKUP(Table3[[#This Row],[MD5]],Input[],4,FALSE)+(Distances!$AA$7*(ABS(Distances!$AD$7-VLOOKUP(Table3[[#This Row],[MD5]],Input[],4,FALSE))*Distances!$AC$7))</f>
        <v>61.466666666666669</v>
      </c>
      <c r="F160" s="7">
        <f>VLOOKUP(Table3[[#This Row],[MD5]],Input[],5,FALSE)+(Distances!$AA$8*(ABS(Distances!$AD$8-VLOOKUP(Table3[[#This Row],[MD5]],Input[],5,FALSE))*Distances!$AC$8))</f>
        <v>57.266666666666666</v>
      </c>
      <c r="G160" s="46">
        <f>SQRT(SUM((Table3[[#This Row],[time]]-Distances!$AD$6)^2,(Table3[[#This Row],[price]]-Distances!$AD$7)^2,(Table3[[#This Row],[energy]]-Distances!$AD$8)^2))</f>
        <v>13.577712571874615</v>
      </c>
      <c r="H160" s="46">
        <f>((Table3[[#This Row],[score-bt]]-MIN(Table3[score-bt]))*$G$6)/(MAX(Table3[score-bt])-MIN(Table3[score-bt]))</f>
        <v>0.29234080080274066</v>
      </c>
      <c r="I160" s="8">
        <f>VLOOKUP(Table3[[#This Row],[MD5]],Input[],9,FALSE)+(Distances!$AA$6*(ABS(Distances!$AD$6-VLOOKUP(Table3[[#This Row],[MD5]],Input[],9,FALSE))*Distances!$AC$6))</f>
        <v>56.461855332172604</v>
      </c>
      <c r="J160" s="7">
        <f>VLOOKUP(Table3[[#This Row],[MD5]],Input[],10,FALSE)+(Distances!$AA$7*(ABS(Distances!$AD$7-VLOOKUP(Table3[[#This Row],[MD5]],Input[],10,FALSE))*Distances!$AC$7))</f>
        <v>56.781833581250005</v>
      </c>
      <c r="K160" s="7">
        <f>VLOOKUP(Table3[[#This Row],[MD5]],Input[],11,FALSE)+(Distances!$AA$8*(ABS(Distances!$AD$8-VLOOKUP(Table3[[#This Row],[MD5]],Input[],11,FALSE))*Distances!$AC$8))</f>
        <v>52.05506081267356</v>
      </c>
      <c r="L160" s="44">
        <f>SQRT(SUM((Table3[[#This Row],[time''2]]-Distances!$AD$6)^2,(Table3[[#This Row],[price''2]]-Distances!$AD$7)^2,(Table3[[#This Row],[energy''2]]-Distances!$AD$8)^2))</f>
        <v>9.5902093825674264</v>
      </c>
      <c r="M160" s="44">
        <f>((Table3[[#This Row],[score-rt-partialcf]]-MIN(Table3[score-rt-partialcf]))*$G$6)/(MAX(Table3[score-rt-partialcf])-MIN(Table3[score-rt-partialcf]))</f>
        <v>3.8188857672872424E-2</v>
      </c>
      <c r="N160" s="8">
        <f>VLOOKUP(Table3[[#This Row],[MD5]],Input[],15,FALSE)+(Distances!$AA$6*(ABS(Distances!$AD$6-VLOOKUP(Table3[[#This Row],[MD5]],Input[],15,FALSE))*Distances!$AC$6))</f>
        <v>54.252835944672597</v>
      </c>
      <c r="O160" s="7">
        <f>VLOOKUP(Table3[[#This Row],[MD5]],Input[],16,FALSE)+(Distances!$AA$7*(ABS(Distances!$AD$7-VLOOKUP(Table3[[#This Row],[MD5]],Input[],16,FALSE))*Distances!$AC$7))</f>
        <v>89.720251102083125</v>
      </c>
      <c r="P160" s="7">
        <f>VLOOKUP(Table3[[#This Row],[MD5]],Input[],17,FALSE)+(Distances!$AA$8*(ABS(Distances!$AD$8-VLOOKUP(Table3[[#This Row],[MD5]],Input[],11,FALSE))*Distances!$AC$8))</f>
        <v>94.875003589756616</v>
      </c>
      <c r="Q160" s="47">
        <f>SQRT(SUM((Table3[[#This Row],[time''3]]-Distances!$AD$6)^2,(Table3[[#This Row],[price''3]]-Distances!$AD$7)^2,(Table3[[#This Row],[energy''3]]-Distances!$AD$8)^2))</f>
        <v>60.079538183690332</v>
      </c>
      <c r="R160" s="47">
        <f>((Table3[[#This Row],[score-rt-fullcf]]-MIN(Table3[score-rt-fullcf]))*$G$6)/(MAX(Table3[score-rt-fullcf])-MIN(Table3[score-rt-fullcf]))</f>
        <v>0.57156103213822329</v>
      </c>
      <c r="S160" s="8">
        <f>VLOOKUP(Table3[[#This Row],[MD5]],Input[],21,FALSE)+(Distances!$AI$6*(ABS(Distances!$L$3-VLOOKUP(Table3[[#This Row],[MD5]],Input[],21,FALSE))*Distances!$AC$6))</f>
        <v>1121992.8607999999</v>
      </c>
      <c r="T160" s="7">
        <f>VLOOKUP(Table3[[#This Row],[MD5]],Input[],22,FALSE)+(Distances!$AI$7*(ABS(Distances!$AB$7-VLOOKUP(Table3[[#This Row],[MD5]],Input[],22,FALSE))*Distances!$AC$7))</f>
        <v>375447.78201111115</v>
      </c>
      <c r="U160" s="7">
        <f>VLOOKUP(Table3[[#This Row],[MD5]],Input[],23,FALSE)+(Distances!$AI$8*(ABS(Distances!$AD$8-VLOOKUP(Table3[[#This Row],[MD5]],Input[],23,FALSE))*Distances!$AC$8))</f>
        <v>277230.52704722225</v>
      </c>
      <c r="V160" s="43">
        <f>SQRT(SUM((Table3[[#This Row],[time''4]]-Distances!$AD$6)^2,(Table3[[#This Row],[price''4]]-Distances!$AD$7)^2,(Table3[[#This Row],[energy''4]]-Distances!$AD$8)^2))</f>
        <v>1215116.5879096233</v>
      </c>
      <c r="W160" s="58">
        <f>((Table3[[#This Row],[score-rt-df]]-MIN(Table3[score-rt-df]))*$G$6)/(MAX(Table3[score-rt-df])-MIN(Table3[score-rt-df]))</f>
        <v>0.99998536310335784</v>
      </c>
      <c r="AY160" t="str">
        <f>Table3[[#This Row],[QW'#]]</f>
        <v>qw162</v>
      </c>
      <c r="AZ160" t="str">
        <f>VLOOKUP(Table10[[#This Row],[QW'#]],Table3[],2,FALSE)</f>
        <v>c01399b86900673979f402f858b1ea66</v>
      </c>
      <c r="BA160" s="54">
        <f>IF(ABS(VLOOKUP(Table10[[#This Row],[QW'#]],Table3[],7,FALSE)-0)&lt;=$AZ$6,1,0)</f>
        <v>0</v>
      </c>
      <c r="BB160" s="54">
        <f>IF(ABS(VLOOKUP(Table10[[#This Row],[QW'#]],Table3[],22,FALSE)-0)&lt;=$AZ$6,1,0)</f>
        <v>0</v>
      </c>
      <c r="BC160" s="54">
        <f>IF(AND(Table10[[#This Row],[Retrieved]]=0, Table10[[#This Row],[Relevant]]=0),1,0)</f>
        <v>1</v>
      </c>
      <c r="BD160" s="54">
        <f>IF(AND(Table10[[#This Row],[Retrieved]]=0, Table10[[#This Row],[Relevant]]=1),1,0)</f>
        <v>0</v>
      </c>
      <c r="BE160" s="54">
        <f>IF(AND(Table10[[#This Row],[Retrieved]]=1, Table10[[#This Row],[Relevant]]=0),1,0)</f>
        <v>0</v>
      </c>
      <c r="BF160" s="54">
        <f>IF(AND(Table10[[#This Row],[Retrieved]]=1, Table10[[#This Row],[Relevant]]=1),1,0)</f>
        <v>0</v>
      </c>
    </row>
    <row r="161" spans="2:58">
      <c r="B161" s="76" t="s">
        <v>13</v>
      </c>
      <c r="C161" s="10" t="s">
        <v>51</v>
      </c>
      <c r="D161" s="8">
        <f>VLOOKUP(Table3[[#This Row],[MD5]],Input[],3,FALSE)+(Distances!$AA$6*(ABS(Distances!$AD$6-VLOOKUP(Table3[[#This Row],[MD5]],Input[],3,FALSE))*Distances!$AC$6))</f>
        <v>50.255714284999996</v>
      </c>
      <c r="E161" s="7">
        <f>VLOOKUP(Table3[[#This Row],[MD5]],Input[],4,FALSE)+(Distances!$AA$7*(ABS(Distances!$AD$7-VLOOKUP(Table3[[#This Row],[MD5]],Input[],4,FALSE))*Distances!$AC$7))</f>
        <v>61.466666666666669</v>
      </c>
      <c r="F161" s="7">
        <f>VLOOKUP(Table3[[#This Row],[MD5]],Input[],5,FALSE)+(Distances!$AA$8*(ABS(Distances!$AD$8-VLOOKUP(Table3[[#This Row],[MD5]],Input[],5,FALSE))*Distances!$AC$8))</f>
        <v>57.266666666666666</v>
      </c>
      <c r="G161" s="46">
        <f>SQRT(SUM((Table3[[#This Row],[time]]-Distances!$AD$6)^2,(Table3[[#This Row],[price]]-Distances!$AD$7)^2,(Table3[[#This Row],[energy]]-Distances!$AD$8)^2))</f>
        <v>13.577712571874615</v>
      </c>
      <c r="H161" s="46">
        <f>((Table3[[#This Row],[score-bt]]-MIN(Table3[score-bt]))*$G$6)/(MAX(Table3[score-bt])-MIN(Table3[score-bt]))</f>
        <v>0.29234080080274066</v>
      </c>
      <c r="I161" s="8">
        <f>VLOOKUP(Table3[[#This Row],[MD5]],Input[],9,FALSE)+(Distances!$AA$6*(ABS(Distances!$AD$6-VLOOKUP(Table3[[#This Row],[MD5]],Input[],9,FALSE))*Distances!$AC$6))</f>
        <v>56.461855772797605</v>
      </c>
      <c r="J161" s="7">
        <f>VLOOKUP(Table3[[#This Row],[MD5]],Input[],10,FALSE)+(Distances!$AA$7*(ABS(Distances!$AD$7-VLOOKUP(Table3[[#This Row],[MD5]],Input[],10,FALSE))*Distances!$AC$7))</f>
        <v>56.78183445624996</v>
      </c>
      <c r="K161" s="7">
        <f>VLOOKUP(Table3[[#This Row],[MD5]],Input[],11,FALSE)+(Distances!$AA$8*(ABS(Distances!$AD$8-VLOOKUP(Table3[[#This Row],[MD5]],Input[],11,FALSE))*Distances!$AC$8))</f>
        <v>52.055061760590227</v>
      </c>
      <c r="L161" s="44">
        <f>SQRT(SUM((Table3[[#This Row],[time''2]]-Distances!$AD$6)^2,(Table3[[#This Row],[price''2]]-Distances!$AD$7)^2,(Table3[[#This Row],[energy''2]]-Distances!$AD$8)^2))</f>
        <v>9.5902105013527805</v>
      </c>
      <c r="M161" s="44">
        <f>((Table3[[#This Row],[score-rt-partialcf]]-MIN(Table3[score-rt-partialcf]))*$G$6)/(MAX(Table3[score-rt-partialcf])-MIN(Table3[score-rt-partialcf]))</f>
        <v>3.8188868003780289E-2</v>
      </c>
      <c r="N161" s="8">
        <f>VLOOKUP(Table3[[#This Row],[MD5]],Input[],15,FALSE)+(Distances!$AA$6*(ABS(Distances!$AD$6-VLOOKUP(Table3[[#This Row],[MD5]],Input[],15,FALSE))*Distances!$AC$6))</f>
        <v>54.252837413422597</v>
      </c>
      <c r="O161" s="7">
        <f>VLOOKUP(Table3[[#This Row],[MD5]],Input[],16,FALSE)+(Distances!$AA$7*(ABS(Distances!$AD$7-VLOOKUP(Table3[[#This Row],[MD5]],Input[],16,FALSE))*Distances!$AC$7))</f>
        <v>89.720252560416441</v>
      </c>
      <c r="P161" s="7">
        <f>VLOOKUP(Table3[[#This Row],[MD5]],Input[],17,FALSE)+(Distances!$AA$8*(ABS(Distances!$AD$8-VLOOKUP(Table3[[#This Row],[MD5]],Input[],11,FALSE))*Distances!$AC$8))</f>
        <v>94.87500529600662</v>
      </c>
      <c r="Q161" s="47">
        <f>SQRT(SUM((Table3[[#This Row],[time''3]]-Distances!$AD$6)^2,(Table3[[#This Row],[price''3]]-Distances!$AD$7)^2,(Table3[[#This Row],[energy''3]]-Distances!$AD$8)^2))</f>
        <v>60.079540526246518</v>
      </c>
      <c r="R161" s="47">
        <f>((Table3[[#This Row],[score-rt-fullcf]]-MIN(Table3[score-rt-fullcf]))*$G$6)/(MAX(Table3[score-rt-fullcf])-MIN(Table3[score-rt-fullcf]))</f>
        <v>0.57156110396242976</v>
      </c>
      <c r="S161" s="8">
        <f>VLOOKUP(Table3[[#This Row],[MD5]],Input[],21,FALSE)+(Distances!$AI$6*(ABS(Distances!$L$3-VLOOKUP(Table3[[#This Row],[MD5]],Input[],21,FALSE))*Distances!$AC$6))</f>
        <v>1121993.6821333333</v>
      </c>
      <c r="T161" s="7">
        <f>VLOOKUP(Table3[[#This Row],[MD5]],Input[],22,FALSE)+(Distances!$AI$7*(ABS(Distances!$AB$7-VLOOKUP(Table3[[#This Row],[MD5]],Input[],22,FALSE))*Distances!$AC$7))</f>
        <v>375447.97756666667</v>
      </c>
      <c r="U161" s="7">
        <f>VLOOKUP(Table3[[#This Row],[MD5]],Input[],23,FALSE)+(Distances!$AI$8*(ABS(Distances!$AD$8-VLOOKUP(Table3[[#This Row],[MD5]],Input[],23,FALSE))*Distances!$AC$8))</f>
        <v>277230.67371388891</v>
      </c>
      <c r="V161" s="43">
        <f>SQRT(SUM((Table3[[#This Row],[time''4]]-Distances!$AD$6)^2,(Table3[[#This Row],[price''4]]-Distances!$AD$7)^2,(Table3[[#This Row],[energy''4]]-Distances!$AD$8)^2))</f>
        <v>1215117.4401351216</v>
      </c>
      <c r="W161" s="58">
        <f>((Table3[[#This Row],[score-rt-df]]-MIN(Table3[score-rt-df]))*$G$6)/(MAX(Table3[score-rt-df])-MIN(Table3[score-rt-df]))</f>
        <v>0.99998606494972375</v>
      </c>
      <c r="AY161" t="str">
        <f>Table3[[#This Row],[QW'#]]</f>
        <v>qw5</v>
      </c>
      <c r="AZ161" t="str">
        <f>VLOOKUP(Table10[[#This Row],[QW'#]],Table3[],2,FALSE)</f>
        <v>07cc884682cf3cb48dff220f97cb8989</v>
      </c>
      <c r="BA161" s="54">
        <f>IF(ABS(VLOOKUP(Table10[[#This Row],[QW'#]],Table3[],7,FALSE)-0)&lt;=$AZ$6,1,0)</f>
        <v>0</v>
      </c>
      <c r="BB161" s="54">
        <f>IF(ABS(VLOOKUP(Table10[[#This Row],[QW'#]],Table3[],22,FALSE)-0)&lt;=$AZ$6,1,0)</f>
        <v>0</v>
      </c>
      <c r="BC161" s="54">
        <f>IF(AND(Table10[[#This Row],[Retrieved]]=0, Table10[[#This Row],[Relevant]]=0),1,0)</f>
        <v>1</v>
      </c>
      <c r="BD161" s="54">
        <f>IF(AND(Table10[[#This Row],[Retrieved]]=0, Table10[[#This Row],[Relevant]]=1),1,0)</f>
        <v>0</v>
      </c>
      <c r="BE161" s="54">
        <f>IF(AND(Table10[[#This Row],[Retrieved]]=1, Table10[[#This Row],[Relevant]]=0),1,0)</f>
        <v>0</v>
      </c>
      <c r="BF161" s="54">
        <f>IF(AND(Table10[[#This Row],[Retrieved]]=1, Table10[[#This Row],[Relevant]]=1),1,0)</f>
        <v>0</v>
      </c>
    </row>
    <row r="162" spans="2:58">
      <c r="B162" s="76" t="s">
        <v>270</v>
      </c>
      <c r="C162" s="10" t="s">
        <v>138</v>
      </c>
      <c r="D162" s="8">
        <f>VLOOKUP(Table3[[#This Row],[MD5]],Input[],3,FALSE)+(Distances!$AA$6*(ABS(Distances!$AD$6-VLOOKUP(Table3[[#This Row],[MD5]],Input[],3,FALSE))*Distances!$AC$6))</f>
        <v>50.255714284999996</v>
      </c>
      <c r="E162" s="7">
        <f>VLOOKUP(Table3[[#This Row],[MD5]],Input[],4,FALSE)+(Distances!$AA$7*(ABS(Distances!$AD$7-VLOOKUP(Table3[[#This Row],[MD5]],Input[],4,FALSE))*Distances!$AC$7))</f>
        <v>61.466666666666669</v>
      </c>
      <c r="F162" s="7">
        <f>VLOOKUP(Table3[[#This Row],[MD5]],Input[],5,FALSE)+(Distances!$AA$8*(ABS(Distances!$AD$8-VLOOKUP(Table3[[#This Row],[MD5]],Input[],5,FALSE))*Distances!$AC$8))</f>
        <v>57.266666666666666</v>
      </c>
      <c r="G162" s="46">
        <f>SQRT(SUM((Table3[[#This Row],[time]]-Distances!$AD$6)^2,(Table3[[#This Row],[price]]-Distances!$AD$7)^2,(Table3[[#This Row],[energy]]-Distances!$AD$8)^2))</f>
        <v>13.577712571874615</v>
      </c>
      <c r="H162" s="46">
        <f>((Table3[[#This Row],[score-bt]]-MIN(Table3[score-bt]))*$G$6)/(MAX(Table3[score-bt])-MIN(Table3[score-bt]))</f>
        <v>0.29234080080274066</v>
      </c>
      <c r="I162" s="8">
        <f>VLOOKUP(Table3[[#This Row],[MD5]],Input[],9,FALSE)+(Distances!$AA$6*(ABS(Distances!$AD$6-VLOOKUP(Table3[[#This Row],[MD5]],Input[],9,FALSE))*Distances!$AC$6))</f>
        <v>56.461970039985104</v>
      </c>
      <c r="J162" s="7">
        <f>VLOOKUP(Table3[[#This Row],[MD5]],Input[],10,FALSE)+(Distances!$AA$7*(ABS(Distances!$AD$7-VLOOKUP(Table3[[#This Row],[MD5]],Input[],10,FALSE))*Distances!$AC$7))</f>
        <v>56.781833581250005</v>
      </c>
      <c r="K162" s="7">
        <f>VLOOKUP(Table3[[#This Row],[MD5]],Input[],11,FALSE)+(Distances!$AA$8*(ABS(Distances!$AD$8-VLOOKUP(Table3[[#This Row],[MD5]],Input[],11,FALSE))*Distances!$AC$8))</f>
        <v>52.05506081267356</v>
      </c>
      <c r="L162" s="44">
        <f>SQRT(SUM((Table3[[#This Row],[time''2]]-Distances!$AD$6)^2,(Table3[[#This Row],[price''2]]-Distances!$AD$7)^2,(Table3[[#This Row],[energy''2]]-Distances!$AD$8)^2))</f>
        <v>9.5902866727341287</v>
      </c>
      <c r="M162" s="44">
        <f>((Table3[[#This Row],[score-rt-partialcf]]-MIN(Table3[score-rt-partialcf]))*$G$6)/(MAX(Table3[score-rt-partialcf])-MIN(Table3[score-rt-partialcf]))</f>
        <v>3.8189571373304754E-2</v>
      </c>
      <c r="N162" s="8">
        <f>VLOOKUP(Table3[[#This Row],[MD5]],Input[],15,FALSE)+(Distances!$AA$6*(ABS(Distances!$AD$6-VLOOKUP(Table3[[#This Row],[MD5]],Input[],15,FALSE))*Distances!$AC$6))</f>
        <v>54.252946099360102</v>
      </c>
      <c r="O162" s="7">
        <f>VLOOKUP(Table3[[#This Row],[MD5]],Input[],16,FALSE)+(Distances!$AA$7*(ABS(Distances!$AD$7-VLOOKUP(Table3[[#This Row],[MD5]],Input[],16,FALSE))*Distances!$AC$7))</f>
        <v>89.720251102083125</v>
      </c>
      <c r="P162" s="7">
        <f>VLOOKUP(Table3[[#This Row],[MD5]],Input[],17,FALSE)+(Distances!$AA$8*(ABS(Distances!$AD$8-VLOOKUP(Table3[[#This Row],[MD5]],Input[],11,FALSE))*Distances!$AC$8))</f>
        <v>94.875003589756616</v>
      </c>
      <c r="Q162" s="47">
        <f>SQRT(SUM((Table3[[#This Row],[time''3]]-Distances!$AD$6)^2,(Table3[[#This Row],[price''3]]-Distances!$AD$7)^2,(Table3[[#This Row],[energy''3]]-Distances!$AD$8)^2))</f>
        <v>60.079545981284404</v>
      </c>
      <c r="R162" s="47">
        <f>((Table3[[#This Row],[score-rt-fullcf]]-MIN(Table3[score-rt-fullcf]))*$G$6)/(MAX(Table3[score-rt-fullcf])-MIN(Table3[score-rt-fullcf]))</f>
        <v>0.5715612712172301</v>
      </c>
      <c r="S162" s="8">
        <f>VLOOKUP(Table3[[#This Row],[MD5]],Input[],21,FALSE)+(Distances!$AI$6*(ABS(Distances!$L$3-VLOOKUP(Table3[[#This Row],[MD5]],Input[],21,FALSE))*Distances!$AC$6))</f>
        <v>1122011.1868</v>
      </c>
      <c r="T162" s="7">
        <f>VLOOKUP(Table3[[#This Row],[MD5]],Input[],22,FALSE)+(Distances!$AI$7*(ABS(Distances!$AB$7-VLOOKUP(Table3[[#This Row],[MD5]],Input[],22,FALSE))*Distances!$AC$7))</f>
        <v>375447.78201111115</v>
      </c>
      <c r="U162" s="7">
        <f>VLOOKUP(Table3[[#This Row],[MD5]],Input[],23,FALSE)+(Distances!$AI$8*(ABS(Distances!$AD$8-VLOOKUP(Table3[[#This Row],[MD5]],Input[],23,FALSE))*Distances!$AC$8))</f>
        <v>277230.52704722225</v>
      </c>
      <c r="V162" s="43">
        <f>SQRT(SUM((Table3[[#This Row],[time''4]]-Distances!$AD$6)^2,(Table3[[#This Row],[price''4]]-Distances!$AD$7)^2,(Table3[[#This Row],[energy''4]]-Distances!$AD$8)^2))</f>
        <v>1215133.5087136319</v>
      </c>
      <c r="W162" s="58">
        <f>((Table3[[#This Row],[score-rt-df]]-MIN(Table3[score-rt-df]))*$G$6)/(MAX(Table3[score-rt-df])-MIN(Table3[score-rt-df]))</f>
        <v>0.99999929815320632</v>
      </c>
      <c r="AY162" t="str">
        <f>Table3[[#This Row],[QW'#]]</f>
        <v>qw92</v>
      </c>
      <c r="AZ162" t="str">
        <f>VLOOKUP(Table10[[#This Row],[QW'#]],Table3[],2,FALSE)</f>
        <v>c6804f10906e8cc10a9f2728262d297a</v>
      </c>
      <c r="BA162" s="54">
        <f>IF(ABS(VLOOKUP(Table10[[#This Row],[QW'#]],Table3[],7,FALSE)-0)&lt;=$AZ$6,1,0)</f>
        <v>0</v>
      </c>
      <c r="BB162" s="54">
        <f>IF(ABS(VLOOKUP(Table10[[#This Row],[QW'#]],Table3[],22,FALSE)-0)&lt;=$AZ$6,1,0)</f>
        <v>0</v>
      </c>
      <c r="BC162" s="54">
        <f>IF(AND(Table10[[#This Row],[Retrieved]]=0, Table10[[#This Row],[Relevant]]=0),1,0)</f>
        <v>1</v>
      </c>
      <c r="BD162" s="54">
        <f>IF(AND(Table10[[#This Row],[Retrieved]]=0, Table10[[#This Row],[Relevant]]=1),1,0)</f>
        <v>0</v>
      </c>
      <c r="BE162" s="54">
        <f>IF(AND(Table10[[#This Row],[Retrieved]]=1, Table10[[#This Row],[Relevant]]=0),1,0)</f>
        <v>0</v>
      </c>
      <c r="BF162" s="54">
        <f>IF(AND(Table10[[#This Row],[Retrieved]]=1, Table10[[#This Row],[Relevant]]=1),1,0)</f>
        <v>0</v>
      </c>
    </row>
    <row r="163" spans="2:58">
      <c r="B163" s="76" t="s">
        <v>44</v>
      </c>
      <c r="C163" s="10" t="s">
        <v>82</v>
      </c>
      <c r="D163" s="8">
        <f>VLOOKUP(Table3[[#This Row],[MD5]],Input[],3,FALSE)+(Distances!$AA$6*(ABS(Distances!$AD$6-VLOOKUP(Table3[[#This Row],[MD5]],Input[],3,FALSE))*Distances!$AC$6))</f>
        <v>50.255714284999996</v>
      </c>
      <c r="E163" s="7">
        <f>VLOOKUP(Table3[[#This Row],[MD5]],Input[],4,FALSE)+(Distances!$AA$7*(ABS(Distances!$AD$7-VLOOKUP(Table3[[#This Row],[MD5]],Input[],4,FALSE))*Distances!$AC$7))</f>
        <v>61.466666666666669</v>
      </c>
      <c r="F163" s="7">
        <f>VLOOKUP(Table3[[#This Row],[MD5]],Input[],5,FALSE)+(Distances!$AA$8*(ABS(Distances!$AD$8-VLOOKUP(Table3[[#This Row],[MD5]],Input[],5,FALSE))*Distances!$AC$8))</f>
        <v>57.266666666666666</v>
      </c>
      <c r="G163" s="46">
        <f>SQRT(SUM((Table3[[#This Row],[time]]-Distances!$AD$6)^2,(Table3[[#This Row],[price]]-Distances!$AD$7)^2,(Table3[[#This Row],[energy]]-Distances!$AD$8)^2))</f>
        <v>13.577712571874615</v>
      </c>
      <c r="H163" s="46">
        <f>((Table3[[#This Row],[score-bt]]-MIN(Table3[score-bt]))*$G$6)/(MAX(Table3[score-bt])-MIN(Table3[score-bt]))</f>
        <v>0.29234080080274066</v>
      </c>
      <c r="I163" s="8">
        <f>VLOOKUP(Table3[[#This Row],[MD5]],Input[],9,FALSE)+(Distances!$AA$6*(ABS(Distances!$AD$6-VLOOKUP(Table3[[#This Row],[MD5]],Input[],9,FALSE))*Distances!$AC$6))</f>
        <v>56.461970480610105</v>
      </c>
      <c r="J163" s="7">
        <f>VLOOKUP(Table3[[#This Row],[MD5]],Input[],10,FALSE)+(Distances!$AA$7*(ABS(Distances!$AD$7-VLOOKUP(Table3[[#This Row],[MD5]],Input[],10,FALSE))*Distances!$AC$7))</f>
        <v>56.78183445624996</v>
      </c>
      <c r="K163" s="7">
        <f>VLOOKUP(Table3[[#This Row],[MD5]],Input[],11,FALSE)+(Distances!$AA$8*(ABS(Distances!$AD$8-VLOOKUP(Table3[[#This Row],[MD5]],Input[],11,FALSE))*Distances!$AC$8))</f>
        <v>52.055061760590227</v>
      </c>
      <c r="L163" s="44">
        <f>SQRT(SUM((Table3[[#This Row],[time''2]]-Distances!$AD$6)^2,(Table3[[#This Row],[price''2]]-Distances!$AD$7)^2,(Table3[[#This Row],[energy''2]]-Distances!$AD$8)^2))</f>
        <v>9.5902877915157383</v>
      </c>
      <c r="M163" s="44">
        <f>((Table3[[#This Row],[score-rt-partialcf]]-MIN(Table3[score-rt-partialcf]))*$G$6)/(MAX(Table3[score-rt-partialcf])-MIN(Table3[score-rt-partialcf]))</f>
        <v>3.8189581704178036E-2</v>
      </c>
      <c r="N163" s="8">
        <f>VLOOKUP(Table3[[#This Row],[MD5]],Input[],15,FALSE)+(Distances!$AA$6*(ABS(Distances!$AD$6-VLOOKUP(Table3[[#This Row],[MD5]],Input[],15,FALSE))*Distances!$AC$6))</f>
        <v>54.252947568110102</v>
      </c>
      <c r="O163" s="7">
        <f>VLOOKUP(Table3[[#This Row],[MD5]],Input[],16,FALSE)+(Distances!$AA$7*(ABS(Distances!$AD$7-VLOOKUP(Table3[[#This Row],[MD5]],Input[],16,FALSE))*Distances!$AC$7))</f>
        <v>89.720252560416441</v>
      </c>
      <c r="P163" s="7">
        <f>VLOOKUP(Table3[[#This Row],[MD5]],Input[],17,FALSE)+(Distances!$AA$8*(ABS(Distances!$AD$8-VLOOKUP(Table3[[#This Row],[MD5]],Input[],11,FALSE))*Distances!$AC$8))</f>
        <v>94.87500529600662</v>
      </c>
      <c r="Q163" s="47">
        <f>SQRT(SUM((Table3[[#This Row],[time''3]]-Distances!$AD$6)^2,(Table3[[#This Row],[price''3]]-Distances!$AD$7)^2,(Table3[[#This Row],[energy''3]]-Distances!$AD$8)^2))</f>
        <v>60.079548323842985</v>
      </c>
      <c r="R163" s="47">
        <f>((Table3[[#This Row],[score-rt-fullcf]]-MIN(Table3[score-rt-fullcf]))*$G$6)/(MAX(Table3[score-rt-fullcf])-MIN(Table3[score-rt-fullcf]))</f>
        <v>0.57156134304150996</v>
      </c>
      <c r="S163" s="8">
        <f>VLOOKUP(Table3[[#This Row],[MD5]],Input[],21,FALSE)+(Distances!$AI$6*(ABS(Distances!$L$3-VLOOKUP(Table3[[#This Row],[MD5]],Input[],21,FALSE))*Distances!$AC$6))</f>
        <v>1122012.0081333334</v>
      </c>
      <c r="T163" s="7">
        <f>VLOOKUP(Table3[[#This Row],[MD5]],Input[],22,FALSE)+(Distances!$AI$7*(ABS(Distances!$AB$7-VLOOKUP(Table3[[#This Row],[MD5]],Input[],22,FALSE))*Distances!$AC$7))</f>
        <v>375447.97756666667</v>
      </c>
      <c r="U163" s="7">
        <f>VLOOKUP(Table3[[#This Row],[MD5]],Input[],23,FALSE)+(Distances!$AI$8*(ABS(Distances!$AD$8-VLOOKUP(Table3[[#This Row],[MD5]],Input[],23,FALSE))*Distances!$AC$8))</f>
        <v>277230.67371388891</v>
      </c>
      <c r="V163" s="43">
        <f>SQRT(SUM((Table3[[#This Row],[time''4]]-Distances!$AD$6)^2,(Table3[[#This Row],[price''4]]-Distances!$AD$7)^2,(Table3[[#This Row],[energy''4]]-Distances!$AD$8)^2))</f>
        <v>1215134.3609396496</v>
      </c>
      <c r="W163" s="58">
        <f>((Table3[[#This Row],[score-rt-df]]-MIN(Table3[score-rt-df]))*$G$6)/(MAX(Table3[score-rt-df])-MIN(Table3[score-rt-df]))</f>
        <v>1</v>
      </c>
      <c r="AY163" t="str">
        <f>Table3[[#This Row],[QW'#]]</f>
        <v>qw36</v>
      </c>
      <c r="AZ163" t="str">
        <f>VLOOKUP(Table10[[#This Row],[QW'#]],Table3[],2,FALSE)</f>
        <v>4a8d2635fbe0d5631fd013ecb191525f</v>
      </c>
      <c r="BA163" s="54">
        <f>IF(ABS(VLOOKUP(Table10[[#This Row],[QW'#]],Table3[],7,FALSE)-0)&lt;=$AZ$6,1,0)</f>
        <v>0</v>
      </c>
      <c r="BB163" s="54">
        <f>IF(ABS(VLOOKUP(Table10[[#This Row],[QW'#]],Table3[],22,FALSE)-0)&lt;=$AZ$6,1,0)</f>
        <v>0</v>
      </c>
      <c r="BC163" s="54">
        <f>IF(AND(Table10[[#This Row],[Retrieved]]=0, Table10[[#This Row],[Relevant]]=0),1,0)</f>
        <v>1</v>
      </c>
      <c r="BD163" s="54">
        <f>IF(AND(Table10[[#This Row],[Retrieved]]=0, Table10[[#This Row],[Relevant]]=1),1,0)</f>
        <v>0</v>
      </c>
      <c r="BE163" s="54">
        <f>IF(AND(Table10[[#This Row],[Retrieved]]=1, Table10[[#This Row],[Relevant]]=0),1,0)</f>
        <v>0</v>
      </c>
      <c r="BF163" s="54">
        <f>IF(AND(Table10[[#This Row],[Retrieved]]=1, Table10[[#This Row],[Relevant]]=1),1,0)</f>
        <v>0</v>
      </c>
    </row>
    <row r="164" spans="2:58">
      <c r="B164" s="76" t="s">
        <v>278</v>
      </c>
      <c r="C164" s="10" t="s">
        <v>146</v>
      </c>
      <c r="D164" s="8">
        <f>VLOOKUP(Table3[[#This Row],[MD5]],Input[],3,FALSE)+(Distances!$AA$6*(ABS(Distances!$AD$6-VLOOKUP(Table3[[#This Row],[MD5]],Input[],3,FALSE))*Distances!$AC$6))</f>
        <v>50.255714284999996</v>
      </c>
      <c r="E164" s="7">
        <f>VLOOKUP(Table3[[#This Row],[MD5]],Input[],4,FALSE)+(Distances!$AA$7*(ABS(Distances!$AD$7-VLOOKUP(Table3[[#This Row],[MD5]],Input[],4,FALSE))*Distances!$AC$7))</f>
        <v>62.466666666666669</v>
      </c>
      <c r="F164" s="7">
        <f>VLOOKUP(Table3[[#This Row],[MD5]],Input[],5,FALSE)+(Distances!$AA$8*(ABS(Distances!$AD$8-VLOOKUP(Table3[[#This Row],[MD5]],Input[],5,FALSE))*Distances!$AC$8))</f>
        <v>58.35</v>
      </c>
      <c r="G164" s="46">
        <f>SQRT(SUM((Table3[[#This Row],[time]]-Distances!$AD$6)^2,(Table3[[#This Row],[price]]-Distances!$AD$7)^2,(Table3[[#This Row],[energy]]-Distances!$AD$8)^2))</f>
        <v>15.006854019858089</v>
      </c>
      <c r="H164" s="46">
        <f>((Table3[[#This Row],[score-bt]]-MIN(Table3[score-bt]))*$G$6)/(MAX(Table3[score-bt])-MIN(Table3[score-bt]))</f>
        <v>0.40947587042891576</v>
      </c>
      <c r="I164" s="8">
        <f>VLOOKUP(Table3[[#This Row],[MD5]],Input[],9,FALSE)+(Distances!$AA$6*(ABS(Distances!$AD$6-VLOOKUP(Table3[[#This Row],[MD5]],Input[],9,FALSE))*Distances!$AC$6))</f>
        <v>41.218677055669602</v>
      </c>
      <c r="J164" s="7">
        <f>VLOOKUP(Table3[[#This Row],[MD5]],Input[],10,FALSE)+(Distances!$AA$7*(ABS(Distances!$AD$7-VLOOKUP(Table3[[#This Row],[MD5]],Input[],10,FALSE))*Distances!$AC$7))</f>
        <v>38.683273566666578</v>
      </c>
      <c r="K164" s="7">
        <f>VLOOKUP(Table3[[#This Row],[MD5]],Input[],11,FALSE)+(Distances!$AA$8*(ABS(Distances!$AD$8-VLOOKUP(Table3[[#This Row],[MD5]],Input[],11,FALSE))*Distances!$AC$8))</f>
        <v>33.958820310694371</v>
      </c>
      <c r="L164" s="44">
        <f>SQRT(SUM((Table3[[#This Row],[time''2]]-Distances!$AD$6)^2,(Table3[[#This Row],[price''2]]-Distances!$AD$7)^2,(Table3[[#This Row],[energy''2]]-Distances!$AD$8)^2))</f>
        <v>21.505798651622364</v>
      </c>
      <c r="M164" s="44">
        <f>((Table3[[#This Row],[score-rt-partialcf]]-MIN(Table3[score-rt-partialcf]))*$G$6)/(MAX(Table3[score-rt-partialcf])-MIN(Table3[score-rt-partialcf]))</f>
        <v>0.14821787657116253</v>
      </c>
      <c r="N164" s="8">
        <f>VLOOKUP(Table3[[#This Row],[MD5]],Input[],15,FALSE)+(Distances!$AA$6*(ABS(Distances!$AD$6-VLOOKUP(Table3[[#This Row],[MD5]],Input[],15,FALSE))*Distances!$AC$6))</f>
        <v>41.151926333794606</v>
      </c>
      <c r="O164" s="7">
        <f>VLOOKUP(Table3[[#This Row],[MD5]],Input[],16,FALSE)+(Distances!$AA$7*(ABS(Distances!$AD$7-VLOOKUP(Table3[[#This Row],[MD5]],Input[],16,FALSE))*Distances!$AC$7))</f>
        <v>80.141845637499543</v>
      </c>
      <c r="P164" s="7">
        <f>VLOOKUP(Table3[[#This Row],[MD5]],Input[],17,FALSE)+(Distances!$AA$8*(ABS(Distances!$AD$8-VLOOKUP(Table3[[#This Row],[MD5]],Input[],11,FALSE))*Distances!$AC$8))</f>
        <v>80.499091821111094</v>
      </c>
      <c r="Q164" s="47">
        <f>SQRT(SUM((Table3[[#This Row],[time''3]]-Distances!$AD$6)^2,(Table3[[#This Row],[price''3]]-Distances!$AD$7)^2,(Table3[[#This Row],[energy''3]]-Distances!$AD$8)^2))</f>
        <v>43.783716927072483</v>
      </c>
      <c r="R164" s="47">
        <f>((Table3[[#This Row],[score-rt-fullcf]]-MIN(Table3[score-rt-fullcf]))*$G$6)/(MAX(Table3[score-rt-fullcf])-MIN(Table3[score-rt-fullcf]))</f>
        <v>7.1921178406758754E-2</v>
      </c>
      <c r="S164" s="8">
        <f>VLOOKUP(Table3[[#This Row],[MD5]],Input[],21,FALSE)+(Distances!$AI$6*(ABS(Distances!$L$3-VLOOKUP(Table3[[#This Row],[MD5]],Input[],21,FALSE))*Distances!$AC$6))</f>
        <v>741891.25080000004</v>
      </c>
      <c r="T164" s="7">
        <f>VLOOKUP(Table3[[#This Row],[MD5]],Input[],22,FALSE)+(Distances!$AI$7*(ABS(Distances!$AB$7-VLOOKUP(Table3[[#This Row],[MD5]],Input[],22,FALSE))*Distances!$AC$7))</f>
        <v>242592.14145555557</v>
      </c>
      <c r="U164" s="7">
        <f>VLOOKUP(Table3[[#This Row],[MD5]],Input[],23,FALSE)+(Distances!$AI$8*(ABS(Distances!$AD$8-VLOOKUP(Table3[[#This Row],[MD5]],Input[],23,FALSE))*Distances!$AC$8))</f>
        <v>178170.10574166611</v>
      </c>
      <c r="V164" s="43">
        <f>SQRT(SUM((Table3[[#This Row],[time''4]]-Distances!$AD$6)^2,(Table3[[#This Row],[price''4]]-Distances!$AD$7)^2,(Table3[[#This Row],[energy''4]]-Distances!$AD$8)^2))</f>
        <v>800551.00014913327</v>
      </c>
      <c r="W164" s="58">
        <f>((Table3[[#This Row],[score-rt-df]]-MIN(Table3[score-rt-df]))*$G$6)/(MAX(Table3[score-rt-df])-MIN(Table3[score-rt-df]))</f>
        <v>0.65857179150391087</v>
      </c>
      <c r="AY164" t="str">
        <f>Table3[[#This Row],[QW'#]]</f>
        <v>qw100</v>
      </c>
      <c r="AZ164" t="str">
        <f>VLOOKUP(Table10[[#This Row],[QW'#]],Table3[],2,FALSE)</f>
        <v>670b006ca03dff5b90c6404857003877</v>
      </c>
      <c r="BA164" s="54">
        <f>IF(ABS(VLOOKUP(Table10[[#This Row],[QW'#]],Table3[],7,FALSE)-0)&lt;=$AZ$6,1,0)</f>
        <v>0</v>
      </c>
      <c r="BB164" s="54">
        <f>IF(ABS(VLOOKUP(Table10[[#This Row],[QW'#]],Table3[],22,FALSE)-0)&lt;=$AZ$6,1,0)</f>
        <v>0</v>
      </c>
      <c r="BC164" s="54">
        <f>IF(AND(Table10[[#This Row],[Retrieved]]=0, Table10[[#This Row],[Relevant]]=0),1,0)</f>
        <v>1</v>
      </c>
      <c r="BD164" s="54">
        <f>IF(AND(Table10[[#This Row],[Retrieved]]=0, Table10[[#This Row],[Relevant]]=1),1,0)</f>
        <v>0</v>
      </c>
      <c r="BE164" s="54">
        <f>IF(AND(Table10[[#This Row],[Retrieved]]=1, Table10[[#This Row],[Relevant]]=0),1,0)</f>
        <v>0</v>
      </c>
      <c r="BF164" s="54">
        <f>IF(AND(Table10[[#This Row],[Retrieved]]=1, Table10[[#This Row],[Relevant]]=1),1,0)</f>
        <v>0</v>
      </c>
    </row>
    <row r="165" spans="2:58">
      <c r="B165" s="76" t="s">
        <v>34</v>
      </c>
      <c r="C165" s="10" t="s">
        <v>72</v>
      </c>
      <c r="D165" s="8">
        <f>VLOOKUP(Table3[[#This Row],[MD5]],Input[],3,FALSE)+(Distances!$AA$6*(ABS(Distances!$AD$6-VLOOKUP(Table3[[#This Row],[MD5]],Input[],3,FALSE))*Distances!$AC$6))</f>
        <v>50.255714284999996</v>
      </c>
      <c r="E165" s="7">
        <f>VLOOKUP(Table3[[#This Row],[MD5]],Input[],4,FALSE)+(Distances!$AA$7*(ABS(Distances!$AD$7-VLOOKUP(Table3[[#This Row],[MD5]],Input[],4,FALSE))*Distances!$AC$7))</f>
        <v>62.466666666666669</v>
      </c>
      <c r="F165" s="7">
        <f>VLOOKUP(Table3[[#This Row],[MD5]],Input[],5,FALSE)+(Distances!$AA$8*(ABS(Distances!$AD$8-VLOOKUP(Table3[[#This Row],[MD5]],Input[],5,FALSE))*Distances!$AC$8))</f>
        <v>58.35</v>
      </c>
      <c r="G165" s="46">
        <f>SQRT(SUM((Table3[[#This Row],[time]]-Distances!$AD$6)^2,(Table3[[#This Row],[price]]-Distances!$AD$7)^2,(Table3[[#This Row],[energy]]-Distances!$AD$8)^2))</f>
        <v>15.006854019858089</v>
      </c>
      <c r="H165" s="46">
        <f>((Table3[[#This Row],[score-bt]]-MIN(Table3[score-bt]))*$G$6)/(MAX(Table3[score-bt])-MIN(Table3[score-bt]))</f>
        <v>0.40947587042891576</v>
      </c>
      <c r="I165" s="8">
        <f>VLOOKUP(Table3[[#This Row],[MD5]],Input[],9,FALSE)+(Distances!$AA$6*(ABS(Distances!$AD$6-VLOOKUP(Table3[[#This Row],[MD5]],Input[],9,FALSE))*Distances!$AC$6))</f>
        <v>41.218677055669602</v>
      </c>
      <c r="J165" s="7">
        <f>VLOOKUP(Table3[[#This Row],[MD5]],Input[],10,FALSE)+(Distances!$AA$7*(ABS(Distances!$AD$7-VLOOKUP(Table3[[#This Row],[MD5]],Input[],10,FALSE))*Distances!$AC$7))</f>
        <v>38.683273566666578</v>
      </c>
      <c r="K165" s="7">
        <f>VLOOKUP(Table3[[#This Row],[MD5]],Input[],11,FALSE)+(Distances!$AA$8*(ABS(Distances!$AD$8-VLOOKUP(Table3[[#This Row],[MD5]],Input[],11,FALSE))*Distances!$AC$8))</f>
        <v>33.958820310694371</v>
      </c>
      <c r="L165" s="44">
        <f>SQRT(SUM((Table3[[#This Row],[time''2]]-Distances!$AD$6)^2,(Table3[[#This Row],[price''2]]-Distances!$AD$7)^2,(Table3[[#This Row],[energy''2]]-Distances!$AD$8)^2))</f>
        <v>21.505798651622364</v>
      </c>
      <c r="M165" s="44">
        <f>((Table3[[#This Row],[score-rt-partialcf]]-MIN(Table3[score-rt-partialcf]))*$G$6)/(MAX(Table3[score-rt-partialcf])-MIN(Table3[score-rt-partialcf]))</f>
        <v>0.14821787657116253</v>
      </c>
      <c r="N165" s="8">
        <f>VLOOKUP(Table3[[#This Row],[MD5]],Input[],15,FALSE)+(Distances!$AA$6*(ABS(Distances!$AD$6-VLOOKUP(Table3[[#This Row],[MD5]],Input[],15,FALSE))*Distances!$AC$6))</f>
        <v>41.151926333794606</v>
      </c>
      <c r="O165" s="7">
        <f>VLOOKUP(Table3[[#This Row],[MD5]],Input[],16,FALSE)+(Distances!$AA$7*(ABS(Distances!$AD$7-VLOOKUP(Table3[[#This Row],[MD5]],Input[],16,FALSE))*Distances!$AC$7))</f>
        <v>80.141845637499543</v>
      </c>
      <c r="P165" s="7">
        <f>VLOOKUP(Table3[[#This Row],[MD5]],Input[],17,FALSE)+(Distances!$AA$8*(ABS(Distances!$AD$8-VLOOKUP(Table3[[#This Row],[MD5]],Input[],11,FALSE))*Distances!$AC$8))</f>
        <v>80.499091821111094</v>
      </c>
      <c r="Q165" s="47">
        <f>SQRT(SUM((Table3[[#This Row],[time''3]]-Distances!$AD$6)^2,(Table3[[#This Row],[price''3]]-Distances!$AD$7)^2,(Table3[[#This Row],[energy''3]]-Distances!$AD$8)^2))</f>
        <v>43.783716927072483</v>
      </c>
      <c r="R165" s="47">
        <f>((Table3[[#This Row],[score-rt-fullcf]]-MIN(Table3[score-rt-fullcf]))*$G$6)/(MAX(Table3[score-rt-fullcf])-MIN(Table3[score-rt-fullcf]))</f>
        <v>7.1921178406758754E-2</v>
      </c>
      <c r="S165" s="8">
        <f>VLOOKUP(Table3[[#This Row],[MD5]],Input[],21,FALSE)+(Distances!$AI$6*(ABS(Distances!$L$3-VLOOKUP(Table3[[#This Row],[MD5]],Input[],21,FALSE))*Distances!$AC$6))</f>
        <v>741891.25080000004</v>
      </c>
      <c r="T165" s="7">
        <f>VLOOKUP(Table3[[#This Row],[MD5]],Input[],22,FALSE)+(Distances!$AI$7*(ABS(Distances!$AB$7-VLOOKUP(Table3[[#This Row],[MD5]],Input[],22,FALSE))*Distances!$AC$7))</f>
        <v>242592.14145555557</v>
      </c>
      <c r="U165" s="7">
        <f>VLOOKUP(Table3[[#This Row],[MD5]],Input[],23,FALSE)+(Distances!$AI$8*(ABS(Distances!$AD$8-VLOOKUP(Table3[[#This Row],[MD5]],Input[],23,FALSE))*Distances!$AC$8))</f>
        <v>178170.10574166611</v>
      </c>
      <c r="V165" s="43">
        <f>SQRT(SUM((Table3[[#This Row],[time''4]]-Distances!$AD$6)^2,(Table3[[#This Row],[price''4]]-Distances!$AD$7)^2,(Table3[[#This Row],[energy''4]]-Distances!$AD$8)^2))</f>
        <v>800551.00014913327</v>
      </c>
      <c r="W165" s="58">
        <f>((Table3[[#This Row],[score-rt-df]]-MIN(Table3[score-rt-df]))*$G$6)/(MAX(Table3[score-rt-df])-MIN(Table3[score-rt-df]))</f>
        <v>0.65857179150391087</v>
      </c>
      <c r="AY165" t="str">
        <f>Table3[[#This Row],[QW'#]]</f>
        <v>qw26</v>
      </c>
      <c r="AZ165" t="str">
        <f>VLOOKUP(Table10[[#This Row],[QW'#]],Table3[],2,FALSE)</f>
        <v>466f347faaff19aca911f6d966faf3ab</v>
      </c>
      <c r="BA165" s="54">
        <f>IF(ABS(VLOOKUP(Table10[[#This Row],[QW'#]],Table3[],7,FALSE)-0)&lt;=$AZ$6,1,0)</f>
        <v>0</v>
      </c>
      <c r="BB165" s="54">
        <f>IF(ABS(VLOOKUP(Table10[[#This Row],[QW'#]],Table3[],22,FALSE)-0)&lt;=$AZ$6,1,0)</f>
        <v>0</v>
      </c>
      <c r="BC165" s="54">
        <f>IF(AND(Table10[[#This Row],[Retrieved]]=0, Table10[[#This Row],[Relevant]]=0),1,0)</f>
        <v>1</v>
      </c>
      <c r="BD165" s="54">
        <f>IF(AND(Table10[[#This Row],[Retrieved]]=0, Table10[[#This Row],[Relevant]]=1),1,0)</f>
        <v>0</v>
      </c>
      <c r="BE165" s="54">
        <f>IF(AND(Table10[[#This Row],[Retrieved]]=1, Table10[[#This Row],[Relevant]]=0),1,0)</f>
        <v>0</v>
      </c>
      <c r="BF165" s="54">
        <f>IF(AND(Table10[[#This Row],[Retrieved]]=1, Table10[[#This Row],[Relevant]]=1),1,0)</f>
        <v>0</v>
      </c>
    </row>
    <row r="166" spans="2:58">
      <c r="B166" s="76" t="s">
        <v>231</v>
      </c>
      <c r="C166" s="10" t="s">
        <v>99</v>
      </c>
      <c r="D166" s="8">
        <f>VLOOKUP(Table3[[#This Row],[MD5]],Input[],3,FALSE)+(Distances!$AA$6*(ABS(Distances!$AD$6-VLOOKUP(Table3[[#This Row],[MD5]],Input[],3,FALSE))*Distances!$AC$6))</f>
        <v>50.255714284999996</v>
      </c>
      <c r="E166" s="7">
        <f>VLOOKUP(Table3[[#This Row],[MD5]],Input[],4,FALSE)+(Distances!$AA$7*(ABS(Distances!$AD$7-VLOOKUP(Table3[[#This Row],[MD5]],Input[],4,FALSE))*Distances!$AC$7))</f>
        <v>62.466666666666669</v>
      </c>
      <c r="F166" s="7">
        <f>VLOOKUP(Table3[[#This Row],[MD5]],Input[],5,FALSE)+(Distances!$AA$8*(ABS(Distances!$AD$8-VLOOKUP(Table3[[#This Row],[MD5]],Input[],5,FALSE))*Distances!$AC$8))</f>
        <v>58.35</v>
      </c>
      <c r="G166" s="46">
        <f>SQRT(SUM((Table3[[#This Row],[time]]-Distances!$AD$6)^2,(Table3[[#This Row],[price]]-Distances!$AD$7)^2,(Table3[[#This Row],[energy]]-Distances!$AD$8)^2))</f>
        <v>15.006854019858089</v>
      </c>
      <c r="H166" s="46">
        <f>((Table3[[#This Row],[score-bt]]-MIN(Table3[score-bt]))*$G$6)/(MAX(Table3[score-bt])-MIN(Table3[score-bt]))</f>
        <v>0.40947587042891576</v>
      </c>
      <c r="I166" s="8">
        <f>VLOOKUP(Table3[[#This Row],[MD5]],Input[],9,FALSE)+(Distances!$AA$6*(ABS(Distances!$AD$6-VLOOKUP(Table3[[#This Row],[MD5]],Input[],9,FALSE))*Distances!$AC$6))</f>
        <v>41.218678377544606</v>
      </c>
      <c r="J166" s="7">
        <f>VLOOKUP(Table3[[#This Row],[MD5]],Input[],10,FALSE)+(Distances!$AA$7*(ABS(Distances!$AD$7-VLOOKUP(Table3[[#This Row],[MD5]],Input[],10,FALSE))*Distances!$AC$7))</f>
        <v>38.683275316666574</v>
      </c>
      <c r="K166" s="7">
        <f>VLOOKUP(Table3[[#This Row],[MD5]],Input[],11,FALSE)+(Distances!$AA$8*(ABS(Distances!$AD$8-VLOOKUP(Table3[[#This Row],[MD5]],Input[],11,FALSE))*Distances!$AC$8))</f>
        <v>33.958821637777703</v>
      </c>
      <c r="L166" s="44">
        <f>SQRT(SUM((Table3[[#This Row],[time''2]]-Distances!$AD$6)^2,(Table3[[#This Row],[price''2]]-Distances!$AD$7)^2,(Table3[[#This Row],[energy''2]]-Distances!$AD$8)^2))</f>
        <v>21.505796201117491</v>
      </c>
      <c r="M166" s="44">
        <f>((Table3[[#This Row],[score-rt-partialcf]]-MIN(Table3[score-rt-partialcf]))*$G$6)/(MAX(Table3[score-rt-partialcf])-MIN(Table3[score-rt-partialcf]))</f>
        <v>0.14821785394310436</v>
      </c>
      <c r="N166" s="8">
        <f>VLOOKUP(Table3[[#This Row],[MD5]],Input[],15,FALSE)+(Distances!$AA$6*(ABS(Distances!$AD$6-VLOOKUP(Table3[[#This Row],[MD5]],Input[],15,FALSE))*Distances!$AC$6))</f>
        <v>41.151930740044605</v>
      </c>
      <c r="O166" s="7">
        <f>VLOOKUP(Table3[[#This Row],[MD5]],Input[],16,FALSE)+(Distances!$AA$7*(ABS(Distances!$AD$7-VLOOKUP(Table3[[#This Row],[MD5]],Input[],16,FALSE))*Distances!$AC$7))</f>
        <v>80.141847095833342</v>
      </c>
      <c r="P166" s="7">
        <f>VLOOKUP(Table3[[#This Row],[MD5]],Input[],17,FALSE)+(Distances!$AA$8*(ABS(Distances!$AD$8-VLOOKUP(Table3[[#This Row],[MD5]],Input[],11,FALSE))*Distances!$AC$8))</f>
        <v>80.499093906527094</v>
      </c>
      <c r="Q166" s="47">
        <f>SQRT(SUM((Table3[[#This Row],[time''3]]-Distances!$AD$6)^2,(Table3[[#This Row],[price''3]]-Distances!$AD$7)^2,(Table3[[#This Row],[energy''3]]-Distances!$AD$8)^2))</f>
        <v>43.783718493256401</v>
      </c>
      <c r="R166" s="47">
        <f>((Table3[[#This Row],[score-rt-fullcf]]-MIN(Table3[score-rt-fullcf]))*$G$6)/(MAX(Table3[score-rt-fullcf])-MIN(Table3[score-rt-fullcf]))</f>
        <v>7.1921226426916285E-2</v>
      </c>
      <c r="S166" s="8">
        <f>VLOOKUP(Table3[[#This Row],[MD5]],Input[],21,FALSE)+(Distances!$AI$6*(ABS(Distances!$L$3-VLOOKUP(Table3[[#This Row],[MD5]],Input[],21,FALSE))*Distances!$AC$6))</f>
        <v>741892.07213333331</v>
      </c>
      <c r="T166" s="7">
        <f>VLOOKUP(Table3[[#This Row],[MD5]],Input[],22,FALSE)+(Distances!$AI$7*(ABS(Distances!$AB$7-VLOOKUP(Table3[[#This Row],[MD5]],Input[],22,FALSE))*Distances!$AC$7))</f>
        <v>242592.33701111114</v>
      </c>
      <c r="U166" s="7">
        <f>VLOOKUP(Table3[[#This Row],[MD5]],Input[],23,FALSE)+(Distances!$AI$8*(ABS(Distances!$AD$8-VLOOKUP(Table3[[#This Row],[MD5]],Input[],23,FALSE))*Distances!$AC$8))</f>
        <v>178170.25240833277</v>
      </c>
      <c r="V166" s="43">
        <f>SQRT(SUM((Table3[[#This Row],[time''4]]-Distances!$AD$6)^2,(Table3[[#This Row],[price''4]]-Distances!$AD$7)^2,(Table3[[#This Row],[energy''4]]-Distances!$AD$8)^2))</f>
        <v>800551.85312876338</v>
      </c>
      <c r="W166" s="58">
        <f>((Table3[[#This Row],[score-rt-df]]-MIN(Table3[score-rt-df]))*$G$6)/(MAX(Table3[score-rt-df])-MIN(Table3[score-rt-df]))</f>
        <v>0.65857249397133855</v>
      </c>
      <c r="AY166" t="str">
        <f>Table3[[#This Row],[QW'#]]</f>
        <v>qw53</v>
      </c>
      <c r="AZ166" t="str">
        <f>VLOOKUP(Table10[[#This Row],[QW'#]],Table3[],2,FALSE)</f>
        <v>41110c65f3a111cabdc45f3a3b00704e</v>
      </c>
      <c r="BA166" s="54">
        <f>IF(ABS(VLOOKUP(Table10[[#This Row],[QW'#]],Table3[],7,FALSE)-0)&lt;=$AZ$6,1,0)</f>
        <v>0</v>
      </c>
      <c r="BB166" s="54">
        <f>IF(ABS(VLOOKUP(Table10[[#This Row],[QW'#]],Table3[],22,FALSE)-0)&lt;=$AZ$6,1,0)</f>
        <v>0</v>
      </c>
      <c r="BC166" s="54">
        <f>IF(AND(Table10[[#This Row],[Retrieved]]=0, Table10[[#This Row],[Relevant]]=0),1,0)</f>
        <v>1</v>
      </c>
      <c r="BD166" s="54">
        <f>IF(AND(Table10[[#This Row],[Retrieved]]=0, Table10[[#This Row],[Relevant]]=1),1,0)</f>
        <v>0</v>
      </c>
      <c r="BE166" s="54">
        <f>IF(AND(Table10[[#This Row],[Retrieved]]=1, Table10[[#This Row],[Relevant]]=0),1,0)</f>
        <v>0</v>
      </c>
      <c r="BF166" s="54">
        <f>IF(AND(Table10[[#This Row],[Retrieved]]=1, Table10[[#This Row],[Relevant]]=1),1,0)</f>
        <v>0</v>
      </c>
    </row>
    <row r="167" spans="2:58">
      <c r="B167" s="76" t="s">
        <v>305</v>
      </c>
      <c r="C167" s="10" t="s">
        <v>173</v>
      </c>
      <c r="D167" s="8">
        <f>VLOOKUP(Table3[[#This Row],[MD5]],Input[],3,FALSE)+(Distances!$AA$6*(ABS(Distances!$AD$6-VLOOKUP(Table3[[#This Row],[MD5]],Input[],3,FALSE))*Distances!$AC$6))</f>
        <v>42.167857144999999</v>
      </c>
      <c r="E167" s="7">
        <f>VLOOKUP(Table3[[#This Row],[MD5]],Input[],4,FALSE)+(Distances!$AA$7*(ABS(Distances!$AD$7-VLOOKUP(Table3[[#This Row],[MD5]],Input[],4,FALSE))*Distances!$AC$7))</f>
        <v>61.466666666666669</v>
      </c>
      <c r="F167" s="7">
        <f>VLOOKUP(Table3[[#This Row],[MD5]],Input[],5,FALSE)+(Distances!$AA$8*(ABS(Distances!$AD$8-VLOOKUP(Table3[[#This Row],[MD5]],Input[],5,FALSE))*Distances!$AC$8))</f>
        <v>57.266666666666666</v>
      </c>
      <c r="G167" s="46">
        <f>SQRT(SUM((Table3[[#This Row],[time]]-Distances!$AD$6)^2,(Table3[[#This Row],[price]]-Distances!$AD$7)^2,(Table3[[#This Row],[energy]]-Distances!$AD$8)^2))</f>
        <v>15.672630621245958</v>
      </c>
      <c r="H167" s="46">
        <f>((Table3[[#This Row],[score-bt]]-MIN(Table3[score-bt]))*$G$6)/(MAX(Table3[score-bt])-MIN(Table3[score-bt]))</f>
        <v>0.46404414893562662</v>
      </c>
      <c r="I167" s="8">
        <f>VLOOKUP(Table3[[#This Row],[MD5]],Input[],9,FALSE)+(Distances!$AA$6*(ABS(Distances!$AD$6-VLOOKUP(Table3[[#This Row],[MD5]],Input[],9,FALSE))*Distances!$AC$6))</f>
        <v>41.1600985475892</v>
      </c>
      <c r="J167" s="7">
        <f>VLOOKUP(Table3[[#This Row],[MD5]],Input[],10,FALSE)+(Distances!$AA$7*(ABS(Distances!$AD$7-VLOOKUP(Table3[[#This Row],[MD5]],Input[],10,FALSE))*Distances!$AC$7))</f>
        <v>38.622453691666571</v>
      </c>
      <c r="K167" s="7">
        <f>VLOOKUP(Table3[[#This Row],[MD5]],Input[],11,FALSE)+(Distances!$AA$8*(ABS(Distances!$AD$8-VLOOKUP(Table3[[#This Row],[MD5]],Input[],11,FALSE))*Distances!$AC$8))</f>
        <v>33.912698572152706</v>
      </c>
      <c r="L167" s="44">
        <f>SQRT(SUM((Table3[[#This Row],[time''2]]-Distances!$AD$6)^2,(Table3[[#This Row],[price''2]]-Distances!$AD$7)^2,(Table3[[#This Row],[energy''2]]-Distances!$AD$8)^2))</f>
        <v>21.59614977066569</v>
      </c>
      <c r="M167" s="44">
        <f>((Table3[[#This Row],[score-rt-partialcf]]-MIN(Table3[score-rt-partialcf]))*$G$6)/(MAX(Table3[score-rt-partialcf])-MIN(Table3[score-rt-partialcf]))</f>
        <v>0.14905218234993903</v>
      </c>
      <c r="N167" s="8">
        <f>VLOOKUP(Table3[[#This Row],[MD5]],Input[],15,FALSE)+(Distances!$AA$6*(ABS(Distances!$AD$6-VLOOKUP(Table3[[#This Row],[MD5]],Input[],15,FALSE))*Distances!$AC$6))</f>
        <v>41.126661719464195</v>
      </c>
      <c r="O167" s="7">
        <f>VLOOKUP(Table3[[#This Row],[MD5]],Input[],16,FALSE)+(Distances!$AA$7*(ABS(Distances!$AD$7-VLOOKUP(Table3[[#This Row],[MD5]],Input[],16,FALSE))*Distances!$AC$7))</f>
        <v>80.128000908333334</v>
      </c>
      <c r="P167" s="7">
        <f>VLOOKUP(Table3[[#This Row],[MD5]],Input[],17,FALSE)+(Distances!$AA$8*(ABS(Distances!$AD$8-VLOOKUP(Table3[[#This Row],[MD5]],Input[],11,FALSE))*Distances!$AC$8))</f>
        <v>80.474504853402763</v>
      </c>
      <c r="Q167" s="47">
        <f>SQRT(SUM((Table3[[#This Row],[time''3]]-Distances!$AD$6)^2,(Table3[[#This Row],[price''3]]-Distances!$AD$7)^2,(Table3[[#This Row],[energy''3]]-Distances!$AD$8)^2))</f>
        <v>43.762175643281552</v>
      </c>
      <c r="R167" s="47">
        <f>((Table3[[#This Row],[score-rt-fullcf]]-MIN(Table3[score-rt-fullcf]))*$G$6)/(MAX(Table3[score-rt-fullcf])-MIN(Table3[score-rt-fullcf]))</f>
        <v>7.1260709461192853E-2</v>
      </c>
      <c r="S167" s="8">
        <f>VLOOKUP(Table3[[#This Row],[MD5]],Input[],21,FALSE)+(Distances!$AI$6*(ABS(Distances!$L$3-VLOOKUP(Table3[[#This Row],[MD5]],Input[],21,FALSE))*Distances!$AC$6))</f>
        <v>741129.46373333328</v>
      </c>
      <c r="T167" s="7">
        <f>VLOOKUP(Table3[[#This Row],[MD5]],Input[],22,FALSE)+(Distances!$AI$7*(ABS(Distances!$AB$7-VLOOKUP(Table3[[#This Row],[MD5]],Input[],22,FALSE))*Distances!$AC$7))</f>
        <v>242410.73445555556</v>
      </c>
      <c r="U167" s="7">
        <f>VLOOKUP(Table3[[#This Row],[MD5]],Input[],23,FALSE)+(Distances!$AI$8*(ABS(Distances!$AD$8-VLOOKUP(Table3[[#This Row],[MD5]],Input[],23,FALSE))*Distances!$AC$8))</f>
        <v>178034.0504916661</v>
      </c>
      <c r="V167" s="43">
        <f>SQRT(SUM((Table3[[#This Row],[time''4]]-Distances!$AD$6)^2,(Table3[[#This Row],[price''4]]-Distances!$AD$7)^2,(Table3[[#This Row],[energy''4]]-Distances!$AD$8)^2))</f>
        <v>799759.8510818989</v>
      </c>
      <c r="W167" s="58">
        <f>((Table3[[#This Row],[score-rt-df]]-MIN(Table3[score-rt-df]))*$G$6)/(MAX(Table3[score-rt-df])-MIN(Table3[score-rt-df]))</f>
        <v>0.65792024435024765</v>
      </c>
      <c r="AY167" t="str">
        <f>Table3[[#This Row],[QW'#]]</f>
        <v>qw127</v>
      </c>
      <c r="AZ167" t="str">
        <f>VLOOKUP(Table10[[#This Row],[QW'#]],Table3[],2,FALSE)</f>
        <v>4ce040c229ce4f54e898cafeeb112b69</v>
      </c>
      <c r="BA167" s="54">
        <f>IF(ABS(VLOOKUP(Table10[[#This Row],[QW'#]],Table3[],7,FALSE)-0)&lt;=$AZ$6,1,0)</f>
        <v>0</v>
      </c>
      <c r="BB167" s="54">
        <f>IF(ABS(VLOOKUP(Table10[[#This Row],[QW'#]],Table3[],22,FALSE)-0)&lt;=$AZ$6,1,0)</f>
        <v>0</v>
      </c>
      <c r="BC167" s="54">
        <f>IF(AND(Table10[[#This Row],[Retrieved]]=0, Table10[[#This Row],[Relevant]]=0),1,0)</f>
        <v>1</v>
      </c>
      <c r="BD167" s="54">
        <f>IF(AND(Table10[[#This Row],[Retrieved]]=0, Table10[[#This Row],[Relevant]]=1),1,0)</f>
        <v>0</v>
      </c>
      <c r="BE167" s="54">
        <f>IF(AND(Table10[[#This Row],[Retrieved]]=1, Table10[[#This Row],[Relevant]]=0),1,0)</f>
        <v>0</v>
      </c>
      <c r="BF167" s="54">
        <f>IF(AND(Table10[[#This Row],[Retrieved]]=1, Table10[[#This Row],[Relevant]]=1),1,0)</f>
        <v>0</v>
      </c>
    </row>
    <row r="168" spans="2:58">
      <c r="B168" s="76" t="s">
        <v>308</v>
      </c>
      <c r="C168" s="10" t="s">
        <v>176</v>
      </c>
      <c r="D168" s="8">
        <f>VLOOKUP(Table3[[#This Row],[MD5]],Input[],3,FALSE)+(Distances!$AA$6*(ABS(Distances!$AD$6-VLOOKUP(Table3[[#This Row],[MD5]],Input[],3,FALSE))*Distances!$AC$6))</f>
        <v>42.167857144999999</v>
      </c>
      <c r="E168" s="7">
        <f>VLOOKUP(Table3[[#This Row],[MD5]],Input[],4,FALSE)+(Distances!$AA$7*(ABS(Distances!$AD$7-VLOOKUP(Table3[[#This Row],[MD5]],Input[],4,FALSE))*Distances!$AC$7))</f>
        <v>61.466666666666669</v>
      </c>
      <c r="F168" s="7">
        <f>VLOOKUP(Table3[[#This Row],[MD5]],Input[],5,FALSE)+(Distances!$AA$8*(ABS(Distances!$AD$8-VLOOKUP(Table3[[#This Row],[MD5]],Input[],5,FALSE))*Distances!$AC$8))</f>
        <v>57.266666666666666</v>
      </c>
      <c r="G168" s="46">
        <f>SQRT(SUM((Table3[[#This Row],[time]]-Distances!$AD$6)^2,(Table3[[#This Row],[price]]-Distances!$AD$7)^2,(Table3[[#This Row],[energy]]-Distances!$AD$8)^2))</f>
        <v>15.672630621245958</v>
      </c>
      <c r="H168" s="46">
        <f>((Table3[[#This Row],[score-bt]]-MIN(Table3[score-bt]))*$G$6)/(MAX(Table3[score-bt])-MIN(Table3[score-bt]))</f>
        <v>0.46404414893562662</v>
      </c>
      <c r="I168" s="8">
        <f>VLOOKUP(Table3[[#This Row],[MD5]],Input[],9,FALSE)+(Distances!$AA$6*(ABS(Distances!$AD$6-VLOOKUP(Table3[[#This Row],[MD5]],Input[],9,FALSE))*Distances!$AC$6))</f>
        <v>41.1600985475892</v>
      </c>
      <c r="J168" s="7">
        <f>VLOOKUP(Table3[[#This Row],[MD5]],Input[],10,FALSE)+(Distances!$AA$7*(ABS(Distances!$AD$7-VLOOKUP(Table3[[#This Row],[MD5]],Input[],10,FALSE))*Distances!$AC$7))</f>
        <v>38.622453691666571</v>
      </c>
      <c r="K168" s="7">
        <f>VLOOKUP(Table3[[#This Row],[MD5]],Input[],11,FALSE)+(Distances!$AA$8*(ABS(Distances!$AD$8-VLOOKUP(Table3[[#This Row],[MD5]],Input[],11,FALSE))*Distances!$AC$8))</f>
        <v>33.912698572152706</v>
      </c>
      <c r="L168" s="44">
        <f>SQRT(SUM((Table3[[#This Row],[time''2]]-Distances!$AD$6)^2,(Table3[[#This Row],[price''2]]-Distances!$AD$7)^2,(Table3[[#This Row],[energy''2]]-Distances!$AD$8)^2))</f>
        <v>21.59614977066569</v>
      </c>
      <c r="M168" s="44">
        <f>((Table3[[#This Row],[score-rt-partialcf]]-MIN(Table3[score-rt-partialcf]))*$G$6)/(MAX(Table3[score-rt-partialcf])-MIN(Table3[score-rt-partialcf]))</f>
        <v>0.14905218234993903</v>
      </c>
      <c r="N168" s="8">
        <f>VLOOKUP(Table3[[#This Row],[MD5]],Input[],15,FALSE)+(Distances!$AA$6*(ABS(Distances!$AD$6-VLOOKUP(Table3[[#This Row],[MD5]],Input[],15,FALSE))*Distances!$AC$6))</f>
        <v>41.126661719464195</v>
      </c>
      <c r="O168" s="7">
        <f>VLOOKUP(Table3[[#This Row],[MD5]],Input[],16,FALSE)+(Distances!$AA$7*(ABS(Distances!$AD$7-VLOOKUP(Table3[[#This Row],[MD5]],Input[],16,FALSE))*Distances!$AC$7))</f>
        <v>80.128000908333334</v>
      </c>
      <c r="P168" s="7">
        <f>VLOOKUP(Table3[[#This Row],[MD5]],Input[],17,FALSE)+(Distances!$AA$8*(ABS(Distances!$AD$8-VLOOKUP(Table3[[#This Row],[MD5]],Input[],11,FALSE))*Distances!$AC$8))</f>
        <v>80.474504853402763</v>
      </c>
      <c r="Q168" s="47">
        <f>SQRT(SUM((Table3[[#This Row],[time''3]]-Distances!$AD$6)^2,(Table3[[#This Row],[price''3]]-Distances!$AD$7)^2,(Table3[[#This Row],[energy''3]]-Distances!$AD$8)^2))</f>
        <v>43.762175643281552</v>
      </c>
      <c r="R168" s="47">
        <f>((Table3[[#This Row],[score-rt-fullcf]]-MIN(Table3[score-rt-fullcf]))*$G$6)/(MAX(Table3[score-rt-fullcf])-MIN(Table3[score-rt-fullcf]))</f>
        <v>7.1260709461192853E-2</v>
      </c>
      <c r="S168" s="8">
        <f>VLOOKUP(Table3[[#This Row],[MD5]],Input[],21,FALSE)+(Distances!$AI$6*(ABS(Distances!$L$3-VLOOKUP(Table3[[#This Row],[MD5]],Input[],21,FALSE))*Distances!$AC$6))</f>
        <v>741129.46373333328</v>
      </c>
      <c r="T168" s="7">
        <f>VLOOKUP(Table3[[#This Row],[MD5]],Input[],22,FALSE)+(Distances!$AI$7*(ABS(Distances!$AB$7-VLOOKUP(Table3[[#This Row],[MD5]],Input[],22,FALSE))*Distances!$AC$7))</f>
        <v>242410.73445555556</v>
      </c>
      <c r="U168" s="7">
        <f>VLOOKUP(Table3[[#This Row],[MD5]],Input[],23,FALSE)+(Distances!$AI$8*(ABS(Distances!$AD$8-VLOOKUP(Table3[[#This Row],[MD5]],Input[],23,FALSE))*Distances!$AC$8))</f>
        <v>178034.0504916661</v>
      </c>
      <c r="V168" s="43">
        <f>SQRT(SUM((Table3[[#This Row],[time''4]]-Distances!$AD$6)^2,(Table3[[#This Row],[price''4]]-Distances!$AD$7)^2,(Table3[[#This Row],[energy''4]]-Distances!$AD$8)^2))</f>
        <v>799759.8510818989</v>
      </c>
      <c r="W168" s="58">
        <f>((Table3[[#This Row],[score-rt-df]]-MIN(Table3[score-rt-df]))*$G$6)/(MAX(Table3[score-rt-df])-MIN(Table3[score-rt-df]))</f>
        <v>0.65792024435024765</v>
      </c>
      <c r="AY168" t="str">
        <f>Table3[[#This Row],[QW'#]]</f>
        <v>qw130</v>
      </c>
      <c r="AZ168" t="str">
        <f>VLOOKUP(Table10[[#This Row],[QW'#]],Table3[],2,FALSE)</f>
        <v>9a41e6afd77686bb6dd0f6c1436d71e0</v>
      </c>
      <c r="BA168" s="54">
        <f>IF(ABS(VLOOKUP(Table10[[#This Row],[QW'#]],Table3[],7,FALSE)-0)&lt;=$AZ$6,1,0)</f>
        <v>0</v>
      </c>
      <c r="BB168" s="54">
        <f>IF(ABS(VLOOKUP(Table10[[#This Row],[QW'#]],Table3[],22,FALSE)-0)&lt;=$AZ$6,1,0)</f>
        <v>0</v>
      </c>
      <c r="BC168" s="54">
        <f>IF(AND(Table10[[#This Row],[Retrieved]]=0, Table10[[#This Row],[Relevant]]=0),1,0)</f>
        <v>1</v>
      </c>
      <c r="BD168" s="54">
        <f>IF(AND(Table10[[#This Row],[Retrieved]]=0, Table10[[#This Row],[Relevant]]=1),1,0)</f>
        <v>0</v>
      </c>
      <c r="BE168" s="54">
        <f>IF(AND(Table10[[#This Row],[Retrieved]]=1, Table10[[#This Row],[Relevant]]=0),1,0)</f>
        <v>0</v>
      </c>
      <c r="BF168" s="54">
        <f>IF(AND(Table10[[#This Row],[Retrieved]]=1, Table10[[#This Row],[Relevant]]=1),1,0)</f>
        <v>0</v>
      </c>
    </row>
    <row r="169" spans="2:58">
      <c r="B169" s="76" t="s">
        <v>243</v>
      </c>
      <c r="C169" s="10" t="s">
        <v>111</v>
      </c>
      <c r="D169" s="8">
        <f>VLOOKUP(Table3[[#This Row],[MD5]],Input[],3,FALSE)+(Distances!$AA$6*(ABS(Distances!$AD$6-VLOOKUP(Table3[[#This Row],[MD5]],Input[],3,FALSE))*Distances!$AC$6))</f>
        <v>42.167857144999999</v>
      </c>
      <c r="E169" s="7">
        <f>VLOOKUP(Table3[[#This Row],[MD5]],Input[],4,FALSE)+(Distances!$AA$7*(ABS(Distances!$AD$7-VLOOKUP(Table3[[#This Row],[MD5]],Input[],4,FALSE))*Distances!$AC$7))</f>
        <v>61.466666666666669</v>
      </c>
      <c r="F169" s="7">
        <f>VLOOKUP(Table3[[#This Row],[MD5]],Input[],5,FALSE)+(Distances!$AA$8*(ABS(Distances!$AD$8-VLOOKUP(Table3[[#This Row],[MD5]],Input[],5,FALSE))*Distances!$AC$8))</f>
        <v>57.266666666666666</v>
      </c>
      <c r="G169" s="46">
        <f>SQRT(SUM((Table3[[#This Row],[time]]-Distances!$AD$6)^2,(Table3[[#This Row],[price]]-Distances!$AD$7)^2,(Table3[[#This Row],[energy]]-Distances!$AD$8)^2))</f>
        <v>15.672630621245958</v>
      </c>
      <c r="H169" s="46">
        <f>((Table3[[#This Row],[score-bt]]-MIN(Table3[score-bt]))*$G$6)/(MAX(Table3[score-bt])-MIN(Table3[score-bt]))</f>
        <v>0.46404414893562662</v>
      </c>
      <c r="I169" s="8">
        <f>VLOOKUP(Table3[[#This Row],[MD5]],Input[],9,FALSE)+(Distances!$AA$6*(ABS(Distances!$AD$6-VLOOKUP(Table3[[#This Row],[MD5]],Input[],9,FALSE))*Distances!$AC$6))</f>
        <v>41.1600985475892</v>
      </c>
      <c r="J169" s="7">
        <f>VLOOKUP(Table3[[#This Row],[MD5]],Input[],10,FALSE)+(Distances!$AA$7*(ABS(Distances!$AD$7-VLOOKUP(Table3[[#This Row],[MD5]],Input[],10,FALSE))*Distances!$AC$7))</f>
        <v>38.622453691666571</v>
      </c>
      <c r="K169" s="7">
        <f>VLOOKUP(Table3[[#This Row],[MD5]],Input[],11,FALSE)+(Distances!$AA$8*(ABS(Distances!$AD$8-VLOOKUP(Table3[[#This Row],[MD5]],Input[],11,FALSE))*Distances!$AC$8))</f>
        <v>33.912698572152706</v>
      </c>
      <c r="L169" s="44">
        <f>SQRT(SUM((Table3[[#This Row],[time''2]]-Distances!$AD$6)^2,(Table3[[#This Row],[price''2]]-Distances!$AD$7)^2,(Table3[[#This Row],[energy''2]]-Distances!$AD$8)^2))</f>
        <v>21.59614977066569</v>
      </c>
      <c r="M169" s="44">
        <f>((Table3[[#This Row],[score-rt-partialcf]]-MIN(Table3[score-rt-partialcf]))*$G$6)/(MAX(Table3[score-rt-partialcf])-MIN(Table3[score-rt-partialcf]))</f>
        <v>0.14905218234993903</v>
      </c>
      <c r="N169" s="8">
        <f>VLOOKUP(Table3[[#This Row],[MD5]],Input[],15,FALSE)+(Distances!$AA$6*(ABS(Distances!$AD$6-VLOOKUP(Table3[[#This Row],[MD5]],Input[],15,FALSE))*Distances!$AC$6))</f>
        <v>41.126661719464195</v>
      </c>
      <c r="O169" s="7">
        <f>VLOOKUP(Table3[[#This Row],[MD5]],Input[],16,FALSE)+(Distances!$AA$7*(ABS(Distances!$AD$7-VLOOKUP(Table3[[#This Row],[MD5]],Input[],16,FALSE))*Distances!$AC$7))</f>
        <v>80.128000908333334</v>
      </c>
      <c r="P169" s="7">
        <f>VLOOKUP(Table3[[#This Row],[MD5]],Input[],17,FALSE)+(Distances!$AA$8*(ABS(Distances!$AD$8-VLOOKUP(Table3[[#This Row],[MD5]],Input[],11,FALSE))*Distances!$AC$8))</f>
        <v>80.474504853402763</v>
      </c>
      <c r="Q169" s="47">
        <f>SQRT(SUM((Table3[[#This Row],[time''3]]-Distances!$AD$6)^2,(Table3[[#This Row],[price''3]]-Distances!$AD$7)^2,(Table3[[#This Row],[energy''3]]-Distances!$AD$8)^2))</f>
        <v>43.762175643281552</v>
      </c>
      <c r="R169" s="47">
        <f>((Table3[[#This Row],[score-rt-fullcf]]-MIN(Table3[score-rt-fullcf]))*$G$6)/(MAX(Table3[score-rt-fullcf])-MIN(Table3[score-rt-fullcf]))</f>
        <v>7.1260709461192853E-2</v>
      </c>
      <c r="S169" s="8">
        <f>VLOOKUP(Table3[[#This Row],[MD5]],Input[],21,FALSE)+(Distances!$AI$6*(ABS(Distances!$L$3-VLOOKUP(Table3[[#This Row],[MD5]],Input[],21,FALSE))*Distances!$AC$6))</f>
        <v>741129.46373333328</v>
      </c>
      <c r="T169" s="7">
        <f>VLOOKUP(Table3[[#This Row],[MD5]],Input[],22,FALSE)+(Distances!$AI$7*(ABS(Distances!$AB$7-VLOOKUP(Table3[[#This Row],[MD5]],Input[],22,FALSE))*Distances!$AC$7))</f>
        <v>242410.73445555556</v>
      </c>
      <c r="U169" s="7">
        <f>VLOOKUP(Table3[[#This Row],[MD5]],Input[],23,FALSE)+(Distances!$AI$8*(ABS(Distances!$AD$8-VLOOKUP(Table3[[#This Row],[MD5]],Input[],23,FALSE))*Distances!$AC$8))</f>
        <v>178034.0504916661</v>
      </c>
      <c r="V169" s="43">
        <f>SQRT(SUM((Table3[[#This Row],[time''4]]-Distances!$AD$6)^2,(Table3[[#This Row],[price''4]]-Distances!$AD$7)^2,(Table3[[#This Row],[energy''4]]-Distances!$AD$8)^2))</f>
        <v>799759.8510818989</v>
      </c>
      <c r="W169" s="58">
        <f>((Table3[[#This Row],[score-rt-df]]-MIN(Table3[score-rt-df]))*$G$6)/(MAX(Table3[score-rt-df])-MIN(Table3[score-rt-df]))</f>
        <v>0.65792024435024765</v>
      </c>
      <c r="AY169" t="str">
        <f>Table3[[#This Row],[QW'#]]</f>
        <v>qw65</v>
      </c>
      <c r="AZ169" t="str">
        <f>VLOOKUP(Table10[[#This Row],[QW'#]],Table3[],2,FALSE)</f>
        <v>34234bb6bcb13cd702b8dc62ebf7a6f9</v>
      </c>
      <c r="BA169" s="54">
        <f>IF(ABS(VLOOKUP(Table10[[#This Row],[QW'#]],Table3[],7,FALSE)-0)&lt;=$AZ$6,1,0)</f>
        <v>0</v>
      </c>
      <c r="BB169" s="54">
        <f>IF(ABS(VLOOKUP(Table10[[#This Row],[QW'#]],Table3[],22,FALSE)-0)&lt;=$AZ$6,1,0)</f>
        <v>0</v>
      </c>
      <c r="BC169" s="54">
        <f>IF(AND(Table10[[#This Row],[Retrieved]]=0, Table10[[#This Row],[Relevant]]=0),1,0)</f>
        <v>1</v>
      </c>
      <c r="BD169" s="54">
        <f>IF(AND(Table10[[#This Row],[Retrieved]]=0, Table10[[#This Row],[Relevant]]=1),1,0)</f>
        <v>0</v>
      </c>
      <c r="BE169" s="54">
        <f>IF(AND(Table10[[#This Row],[Retrieved]]=1, Table10[[#This Row],[Relevant]]=0),1,0)</f>
        <v>0</v>
      </c>
      <c r="BF169" s="54">
        <f>IF(AND(Table10[[#This Row],[Retrieved]]=1, Table10[[#This Row],[Relevant]]=1),1,0)</f>
        <v>0</v>
      </c>
    </row>
    <row r="170" spans="2:58">
      <c r="B170" s="76" t="s">
        <v>312</v>
      </c>
      <c r="C170" s="10" t="s">
        <v>180</v>
      </c>
      <c r="D170" s="8">
        <f>VLOOKUP(Table3[[#This Row],[MD5]],Input[],3,FALSE)+(Distances!$AA$6*(ABS(Distances!$AD$6-VLOOKUP(Table3[[#This Row],[MD5]],Input[],3,FALSE))*Distances!$AC$6))</f>
        <v>50.255714284999996</v>
      </c>
      <c r="E170" s="7">
        <f>VLOOKUP(Table3[[#This Row],[MD5]],Input[],4,FALSE)+(Distances!$AA$7*(ABS(Distances!$AD$7-VLOOKUP(Table3[[#This Row],[MD5]],Input[],4,FALSE))*Distances!$AC$7))</f>
        <v>63.466666666666669</v>
      </c>
      <c r="F170" s="7">
        <f>VLOOKUP(Table3[[#This Row],[MD5]],Input[],5,FALSE)+(Distances!$AA$8*(ABS(Distances!$AD$8-VLOOKUP(Table3[[#This Row],[MD5]],Input[],5,FALSE))*Distances!$AC$8))</f>
        <v>59.433333333333337</v>
      </c>
      <c r="G170" s="46">
        <f>SQRT(SUM((Table3[[#This Row],[time]]-Distances!$AD$6)^2,(Table3[[#This Row],[price]]-Distances!$AD$7)^2,(Table3[[#This Row],[energy]]-Distances!$AD$8)^2))</f>
        <v>16.443973932247705</v>
      </c>
      <c r="H170" s="46">
        <f>((Table3[[#This Row],[score-bt]]-MIN(Table3[score-bt]))*$G$6)/(MAX(Table3[score-bt])-MIN(Table3[score-bt]))</f>
        <v>0.52726486971687636</v>
      </c>
      <c r="I170" s="8">
        <f>VLOOKUP(Table3[[#This Row],[MD5]],Input[],9,FALSE)+(Distances!$AA$6*(ABS(Distances!$AD$6-VLOOKUP(Table3[[#This Row],[MD5]],Input[],9,FALSE))*Distances!$AC$6))</f>
        <v>41.218648855669599</v>
      </c>
      <c r="J170" s="7">
        <f>VLOOKUP(Table3[[#This Row],[MD5]],Input[],10,FALSE)+(Distances!$AA$7*(ABS(Distances!$AD$7-VLOOKUP(Table3[[#This Row],[MD5]],Input[],10,FALSE))*Distances!$AC$7))</f>
        <v>38.683331024999909</v>
      </c>
      <c r="K170" s="7">
        <f>VLOOKUP(Table3[[#This Row],[MD5]],Input[],11,FALSE)+(Distances!$AA$8*(ABS(Distances!$AD$8-VLOOKUP(Table3[[#This Row],[MD5]],Input[],11,FALSE))*Distances!$AC$8))</f>
        <v>33.958863883263817</v>
      </c>
      <c r="L170" s="44">
        <f>SQRT(SUM((Table3[[#This Row],[time''2]]-Distances!$AD$6)^2,(Table3[[#This Row],[price''2]]-Distances!$AD$7)^2,(Table3[[#This Row],[energy''2]]-Distances!$AD$8)^2))</f>
        <v>21.505747430057401</v>
      </c>
      <c r="M170" s="44">
        <f>((Table3[[#This Row],[score-rt-partialcf]]-MIN(Table3[score-rt-partialcf]))*$G$6)/(MAX(Table3[score-rt-partialcf])-MIN(Table3[score-rt-partialcf]))</f>
        <v>0.14821740358922164</v>
      </c>
      <c r="N170" s="8">
        <f>VLOOKUP(Table3[[#This Row],[MD5]],Input[],15,FALSE)+(Distances!$AA$6*(ABS(Distances!$AD$6-VLOOKUP(Table3[[#This Row],[MD5]],Input[],15,FALSE))*Distances!$AC$6))</f>
        <v>41.151926333794606</v>
      </c>
      <c r="O170" s="7">
        <f>VLOOKUP(Table3[[#This Row],[MD5]],Input[],16,FALSE)+(Distances!$AA$7*(ABS(Distances!$AD$7-VLOOKUP(Table3[[#This Row],[MD5]],Input[],16,FALSE))*Distances!$AC$7))</f>
        <v>80.141850158333327</v>
      </c>
      <c r="P170" s="7">
        <f>VLOOKUP(Table3[[#This Row],[MD5]],Input[],17,FALSE)+(Distances!$AA$8*(ABS(Distances!$AD$8-VLOOKUP(Table3[[#This Row],[MD5]],Input[],11,FALSE))*Distances!$AC$8))</f>
        <v>80.499103922847212</v>
      </c>
      <c r="Q170" s="47">
        <f>SQRT(SUM((Table3[[#This Row],[time''3]]-Distances!$AD$6)^2,(Table3[[#This Row],[price''3]]-Distances!$AD$7)^2,(Table3[[#This Row],[energy''3]]-Distances!$AD$8)^2))</f>
        <v>43.783728469223021</v>
      </c>
      <c r="R170" s="47">
        <f>((Table3[[#This Row],[score-rt-fullcf]]-MIN(Table3[score-rt-fullcf]))*$G$6)/(MAX(Table3[score-rt-fullcf])-MIN(Table3[score-rt-fullcf]))</f>
        <v>7.1921532296158733E-2</v>
      </c>
      <c r="S170" s="8">
        <f>VLOOKUP(Table3[[#This Row],[MD5]],Input[],21,FALSE)+(Distances!$AI$6*(ABS(Distances!$L$3-VLOOKUP(Table3[[#This Row],[MD5]],Input[],21,FALSE))*Distances!$AC$6))</f>
        <v>741891.25080000004</v>
      </c>
      <c r="T170" s="7">
        <f>VLOOKUP(Table3[[#This Row],[MD5]],Input[],22,FALSE)+(Distances!$AI$7*(ABS(Distances!$AB$7-VLOOKUP(Table3[[#This Row],[MD5]],Input[],22,FALSE))*Distances!$AC$7))</f>
        <v>242592.62589999998</v>
      </c>
      <c r="U170" s="7">
        <f>VLOOKUP(Table3[[#This Row],[MD5]],Input[],23,FALSE)+(Distances!$AI$8*(ABS(Distances!$AD$8-VLOOKUP(Table3[[#This Row],[MD5]],Input[],23,FALSE))*Distances!$AC$8))</f>
        <v>178170.46907499945</v>
      </c>
      <c r="V170" s="43">
        <f>SQRT(SUM((Table3[[#This Row],[time''4]]-Distances!$AD$6)^2,(Table3[[#This Row],[price''4]]-Distances!$AD$7)^2,(Table3[[#This Row],[energy''4]]-Distances!$AD$8)^2))</f>
        <v>800551.22776151786</v>
      </c>
      <c r="W170" s="58">
        <f>((Table3[[#This Row],[score-rt-df]]-MIN(Table3[score-rt-df]))*$G$6)/(MAX(Table3[score-rt-df])-MIN(Table3[score-rt-df]))</f>
        <v>0.6585719789530371</v>
      </c>
      <c r="AY170" t="str">
        <f>Table3[[#This Row],[QW'#]]</f>
        <v>qw134</v>
      </c>
      <c r="AZ170" t="str">
        <f>VLOOKUP(Table10[[#This Row],[QW'#]],Table3[],2,FALSE)</f>
        <v>3740cc995ef279788dcc9ec4ff88f6b8</v>
      </c>
      <c r="BA170" s="54">
        <f>IF(ABS(VLOOKUP(Table10[[#This Row],[QW'#]],Table3[],7,FALSE)-0)&lt;=$AZ$6,1,0)</f>
        <v>0</v>
      </c>
      <c r="BB170" s="54">
        <f>IF(ABS(VLOOKUP(Table10[[#This Row],[QW'#]],Table3[],22,FALSE)-0)&lt;=$AZ$6,1,0)</f>
        <v>0</v>
      </c>
      <c r="BC170" s="54">
        <f>IF(AND(Table10[[#This Row],[Retrieved]]=0, Table10[[#This Row],[Relevant]]=0),1,0)</f>
        <v>1</v>
      </c>
      <c r="BD170" s="54">
        <f>IF(AND(Table10[[#This Row],[Retrieved]]=0, Table10[[#This Row],[Relevant]]=1),1,0)</f>
        <v>0</v>
      </c>
      <c r="BE170" s="54">
        <f>IF(AND(Table10[[#This Row],[Retrieved]]=1, Table10[[#This Row],[Relevant]]=0),1,0)</f>
        <v>0</v>
      </c>
      <c r="BF170" s="54">
        <f>IF(AND(Table10[[#This Row],[Retrieved]]=1, Table10[[#This Row],[Relevant]]=1),1,0)</f>
        <v>0</v>
      </c>
    </row>
    <row r="171" spans="2:58">
      <c r="B171" s="76" t="s">
        <v>12</v>
      </c>
      <c r="C171" s="10" t="s">
        <v>50</v>
      </c>
      <c r="D171" s="8">
        <f>VLOOKUP(Table3[[#This Row],[MD5]],Input[],3,FALSE)+(Distances!$AA$6*(ABS(Distances!$AD$6-VLOOKUP(Table3[[#This Row],[MD5]],Input[],3,FALSE))*Distances!$AC$6))</f>
        <v>50.255714284999996</v>
      </c>
      <c r="E171" s="7">
        <f>VLOOKUP(Table3[[#This Row],[MD5]],Input[],4,FALSE)+(Distances!$AA$7*(ABS(Distances!$AD$7-VLOOKUP(Table3[[#This Row],[MD5]],Input[],4,FALSE))*Distances!$AC$7))</f>
        <v>63.466666666666669</v>
      </c>
      <c r="F171" s="7">
        <f>VLOOKUP(Table3[[#This Row],[MD5]],Input[],5,FALSE)+(Distances!$AA$8*(ABS(Distances!$AD$8-VLOOKUP(Table3[[#This Row],[MD5]],Input[],5,FALSE))*Distances!$AC$8))</f>
        <v>59.433333333333337</v>
      </c>
      <c r="G171" s="46">
        <f>SQRT(SUM((Table3[[#This Row],[time]]-Distances!$AD$6)^2,(Table3[[#This Row],[price]]-Distances!$AD$7)^2,(Table3[[#This Row],[energy]]-Distances!$AD$8)^2))</f>
        <v>16.443973932247705</v>
      </c>
      <c r="H171" s="46">
        <f>((Table3[[#This Row],[score-bt]]-MIN(Table3[score-bt]))*$G$6)/(MAX(Table3[score-bt])-MIN(Table3[score-bt]))</f>
        <v>0.52726486971687636</v>
      </c>
      <c r="I171" s="8">
        <f>VLOOKUP(Table3[[#This Row],[MD5]],Input[],9,FALSE)+(Distances!$AA$6*(ABS(Distances!$AD$6-VLOOKUP(Table3[[#This Row],[MD5]],Input[],9,FALSE))*Distances!$AC$6))</f>
        <v>41.218677055669602</v>
      </c>
      <c r="J171" s="7">
        <f>VLOOKUP(Table3[[#This Row],[MD5]],Input[],10,FALSE)+(Distances!$AA$7*(ABS(Distances!$AD$7-VLOOKUP(Table3[[#This Row],[MD5]],Input[],10,FALSE))*Distances!$AC$7))</f>
        <v>38.683319941666582</v>
      </c>
      <c r="K171" s="7">
        <f>VLOOKUP(Table3[[#This Row],[MD5]],Input[],11,FALSE)+(Distances!$AA$8*(ABS(Distances!$AD$8-VLOOKUP(Table3[[#This Row],[MD5]],Input[],11,FALSE))*Distances!$AC$8))</f>
        <v>33.958855478402704</v>
      </c>
      <c r="L171" s="44">
        <f>SQRT(SUM((Table3[[#This Row],[time''2]]-Distances!$AD$6)^2,(Table3[[#This Row],[price''2]]-Distances!$AD$7)^2,(Table3[[#This Row],[energy''2]]-Distances!$AD$8)^2))</f>
        <v>21.505748016706505</v>
      </c>
      <c r="M171" s="44">
        <f>((Table3[[#This Row],[score-rt-partialcf]]-MIN(Table3[score-rt-partialcf]))*$G$6)/(MAX(Table3[score-rt-partialcf])-MIN(Table3[score-rt-partialcf]))</f>
        <v>0.14821740900636249</v>
      </c>
      <c r="N171" s="8">
        <f>VLOOKUP(Table3[[#This Row],[MD5]],Input[],15,FALSE)+(Distances!$AA$6*(ABS(Distances!$AD$6-VLOOKUP(Table3[[#This Row],[MD5]],Input[],15,FALSE))*Distances!$AC$6))</f>
        <v>41.151926333794606</v>
      </c>
      <c r="O171" s="7">
        <f>VLOOKUP(Table3[[#This Row],[MD5]],Input[],16,FALSE)+(Distances!$AA$7*(ABS(Distances!$AD$7-VLOOKUP(Table3[[#This Row],[MD5]],Input[],16,FALSE))*Distances!$AC$7))</f>
        <v>80.141850158333327</v>
      </c>
      <c r="P171" s="7">
        <f>VLOOKUP(Table3[[#This Row],[MD5]],Input[],17,FALSE)+(Distances!$AA$8*(ABS(Distances!$AD$8-VLOOKUP(Table3[[#This Row],[MD5]],Input[],11,FALSE))*Distances!$AC$8))</f>
        <v>80.49910272215277</v>
      </c>
      <c r="Q171" s="47">
        <f>SQRT(SUM((Table3[[#This Row],[time''3]]-Distances!$AD$6)^2,(Table3[[#This Row],[price''3]]-Distances!$AD$7)^2,(Table3[[#This Row],[energy''3]]-Distances!$AD$8)^2))</f>
        <v>43.783727632836872</v>
      </c>
      <c r="R171" s="47">
        <f>((Table3[[#This Row],[score-rt-fullcf]]-MIN(Table3[score-rt-fullcf]))*$G$6)/(MAX(Table3[score-rt-fullcf])-MIN(Table3[score-rt-fullcf]))</f>
        <v>7.1921506652047468E-2</v>
      </c>
      <c r="S171" s="8">
        <f>VLOOKUP(Table3[[#This Row],[MD5]],Input[],21,FALSE)+(Distances!$AI$6*(ABS(Distances!$L$3-VLOOKUP(Table3[[#This Row],[MD5]],Input[],21,FALSE))*Distances!$AC$6))</f>
        <v>741891.25080000004</v>
      </c>
      <c r="T171" s="7">
        <f>VLOOKUP(Table3[[#This Row],[MD5]],Input[],22,FALSE)+(Distances!$AI$7*(ABS(Distances!$AB$7-VLOOKUP(Table3[[#This Row],[MD5]],Input[],22,FALSE))*Distances!$AC$7))</f>
        <v>242592.62589999998</v>
      </c>
      <c r="U171" s="7">
        <f>VLOOKUP(Table3[[#This Row],[MD5]],Input[],23,FALSE)+(Distances!$AI$8*(ABS(Distances!$AD$8-VLOOKUP(Table3[[#This Row],[MD5]],Input[],23,FALSE))*Distances!$AC$8))</f>
        <v>178170.46907499945</v>
      </c>
      <c r="V171" s="43">
        <f>SQRT(SUM((Table3[[#This Row],[time''4]]-Distances!$AD$6)^2,(Table3[[#This Row],[price''4]]-Distances!$AD$7)^2,(Table3[[#This Row],[energy''4]]-Distances!$AD$8)^2))</f>
        <v>800551.22776151786</v>
      </c>
      <c r="W171" s="58">
        <f>((Table3[[#This Row],[score-rt-df]]-MIN(Table3[score-rt-df]))*$G$6)/(MAX(Table3[score-rt-df])-MIN(Table3[score-rt-df]))</f>
        <v>0.6585719789530371</v>
      </c>
      <c r="AY171" t="str">
        <f>Table3[[#This Row],[QW'#]]</f>
        <v>qw4</v>
      </c>
      <c r="AZ171" t="str">
        <f>VLOOKUP(Table10[[#This Row],[QW'#]],Table3[],2,FALSE)</f>
        <v>e3e0cac04be951905654122f4460d3d1</v>
      </c>
      <c r="BA171" s="54">
        <f>IF(ABS(VLOOKUP(Table10[[#This Row],[QW'#]],Table3[],7,FALSE)-0)&lt;=$AZ$6,1,0)</f>
        <v>0</v>
      </c>
      <c r="BB171" s="54">
        <f>IF(ABS(VLOOKUP(Table10[[#This Row],[QW'#]],Table3[],22,FALSE)-0)&lt;=$AZ$6,1,0)</f>
        <v>0</v>
      </c>
      <c r="BC171" s="54">
        <f>IF(AND(Table10[[#This Row],[Retrieved]]=0, Table10[[#This Row],[Relevant]]=0),1,0)</f>
        <v>1</v>
      </c>
      <c r="BD171" s="54">
        <f>IF(AND(Table10[[#This Row],[Retrieved]]=0, Table10[[#This Row],[Relevant]]=1),1,0)</f>
        <v>0</v>
      </c>
      <c r="BE171" s="54">
        <f>IF(AND(Table10[[#This Row],[Retrieved]]=1, Table10[[#This Row],[Relevant]]=0),1,0)</f>
        <v>0</v>
      </c>
      <c r="BF171" s="54">
        <f>IF(AND(Table10[[#This Row],[Retrieved]]=1, Table10[[#This Row],[Relevant]]=1),1,0)</f>
        <v>0</v>
      </c>
    </row>
    <row r="172" spans="2:58">
      <c r="B172" s="76" t="s">
        <v>282</v>
      </c>
      <c r="C172" s="10" t="s">
        <v>150</v>
      </c>
      <c r="D172" s="8">
        <f>VLOOKUP(Table3[[#This Row],[MD5]],Input[],3,FALSE)+(Distances!$AA$6*(ABS(Distances!$AD$6-VLOOKUP(Table3[[#This Row],[MD5]],Input[],3,FALSE))*Distances!$AC$6))</f>
        <v>50.255714284999996</v>
      </c>
      <c r="E172" s="7">
        <f>VLOOKUP(Table3[[#This Row],[MD5]],Input[],4,FALSE)+(Distances!$AA$7*(ABS(Distances!$AD$7-VLOOKUP(Table3[[#This Row],[MD5]],Input[],4,FALSE))*Distances!$AC$7))</f>
        <v>63.466666666666669</v>
      </c>
      <c r="F172" s="7">
        <f>VLOOKUP(Table3[[#This Row],[MD5]],Input[],5,FALSE)+(Distances!$AA$8*(ABS(Distances!$AD$8-VLOOKUP(Table3[[#This Row],[MD5]],Input[],5,FALSE))*Distances!$AC$8))</f>
        <v>59.433333333333337</v>
      </c>
      <c r="G172" s="46">
        <f>SQRT(SUM((Table3[[#This Row],[time]]-Distances!$AD$6)^2,(Table3[[#This Row],[price]]-Distances!$AD$7)^2,(Table3[[#This Row],[energy]]-Distances!$AD$8)^2))</f>
        <v>16.443973932247705</v>
      </c>
      <c r="H172" s="46">
        <f>((Table3[[#This Row],[score-bt]]-MIN(Table3[score-bt]))*$G$6)/(MAX(Table3[score-bt])-MIN(Table3[score-bt]))</f>
        <v>0.52726486971687636</v>
      </c>
      <c r="I172" s="8">
        <f>VLOOKUP(Table3[[#This Row],[MD5]],Input[],9,FALSE)+(Distances!$AA$6*(ABS(Distances!$AD$6-VLOOKUP(Table3[[#This Row],[MD5]],Input[],9,FALSE))*Distances!$AC$6))</f>
        <v>41.218678377544606</v>
      </c>
      <c r="J172" s="7">
        <f>VLOOKUP(Table3[[#This Row],[MD5]],Input[],10,FALSE)+(Distances!$AA$7*(ABS(Distances!$AD$7-VLOOKUP(Table3[[#This Row],[MD5]],Input[],10,FALSE))*Distances!$AC$7))</f>
        <v>38.68332344166658</v>
      </c>
      <c r="K172" s="7">
        <f>VLOOKUP(Table3[[#This Row],[MD5]],Input[],11,FALSE)+(Distances!$AA$8*(ABS(Distances!$AD$8-VLOOKUP(Table3[[#This Row],[MD5]],Input[],11,FALSE))*Distances!$AC$8))</f>
        <v>33.958858132569375</v>
      </c>
      <c r="L172" s="44">
        <f>SQRT(SUM((Table3[[#This Row],[time''2]]-Distances!$AD$6)^2,(Table3[[#This Row],[price''2]]-Distances!$AD$7)^2,(Table3[[#This Row],[energy''2]]-Distances!$AD$8)^2))</f>
        <v>21.50574365545101</v>
      </c>
      <c r="M172" s="44">
        <f>((Table3[[#This Row],[score-rt-partialcf]]-MIN(Table3[score-rt-partialcf]))*$G$6)/(MAX(Table3[score-rt-partialcf])-MIN(Table3[score-rt-partialcf]))</f>
        <v>0.14821736873435809</v>
      </c>
      <c r="N172" s="8">
        <f>VLOOKUP(Table3[[#This Row],[MD5]],Input[],15,FALSE)+(Distances!$AA$6*(ABS(Distances!$AD$6-VLOOKUP(Table3[[#This Row],[MD5]],Input[],15,FALSE))*Distances!$AC$6))</f>
        <v>41.151930740044605</v>
      </c>
      <c r="O172" s="7">
        <f>VLOOKUP(Table3[[#This Row],[MD5]],Input[],16,FALSE)+(Distances!$AA$7*(ABS(Distances!$AD$7-VLOOKUP(Table3[[#This Row],[MD5]],Input[],16,FALSE))*Distances!$AC$7))</f>
        <v>80.141851616666216</v>
      </c>
      <c r="P172" s="7">
        <f>VLOOKUP(Table3[[#This Row],[MD5]],Input[],17,FALSE)+(Distances!$AA$8*(ABS(Distances!$AD$8-VLOOKUP(Table3[[#This Row],[MD5]],Input[],11,FALSE))*Distances!$AC$8))</f>
        <v>80.49910499715277</v>
      </c>
      <c r="Q172" s="47">
        <f>SQRT(SUM((Table3[[#This Row],[time''3]]-Distances!$AD$6)^2,(Table3[[#This Row],[price''3]]-Distances!$AD$7)^2,(Table3[[#This Row],[energy''3]]-Distances!$AD$8)^2))</f>
        <v>43.783729331081886</v>
      </c>
      <c r="R172" s="47">
        <f>((Table3[[#This Row],[score-rt-fullcf]]-MIN(Table3[score-rt-fullcf]))*$G$6)/(MAX(Table3[score-rt-fullcf])-MIN(Table3[score-rt-fullcf]))</f>
        <v>7.1921558721279047E-2</v>
      </c>
      <c r="S172" s="8">
        <f>VLOOKUP(Table3[[#This Row],[MD5]],Input[],21,FALSE)+(Distances!$AI$6*(ABS(Distances!$L$3-VLOOKUP(Table3[[#This Row],[MD5]],Input[],21,FALSE))*Distances!$AC$6))</f>
        <v>741892.07213333331</v>
      </c>
      <c r="T172" s="7">
        <f>VLOOKUP(Table3[[#This Row],[MD5]],Input[],22,FALSE)+(Distances!$AI$7*(ABS(Distances!$AB$7-VLOOKUP(Table3[[#This Row],[MD5]],Input[],22,FALSE))*Distances!$AC$7))</f>
        <v>242592.82145555556</v>
      </c>
      <c r="U172" s="7">
        <f>VLOOKUP(Table3[[#This Row],[MD5]],Input[],23,FALSE)+(Distances!$AI$8*(ABS(Distances!$AD$8-VLOOKUP(Table3[[#This Row],[MD5]],Input[],23,FALSE))*Distances!$AC$8))</f>
        <v>178170.61574166612</v>
      </c>
      <c r="V172" s="43">
        <f>SQRT(SUM((Table3[[#This Row],[time''4]]-Distances!$AD$6)^2,(Table3[[#This Row],[price''4]]-Distances!$AD$7)^2,(Table3[[#This Row],[energy''4]]-Distances!$AD$8)^2))</f>
        <v>800552.08074109047</v>
      </c>
      <c r="W172" s="58">
        <f>((Table3[[#This Row],[score-rt-df]]-MIN(Table3[score-rt-df]))*$G$6)/(MAX(Table3[score-rt-df])-MIN(Table3[score-rt-df]))</f>
        <v>0.65857268142041736</v>
      </c>
      <c r="AY172" t="str">
        <f>Table3[[#This Row],[QW'#]]</f>
        <v>qw104</v>
      </c>
      <c r="AZ172" t="str">
        <f>VLOOKUP(Table10[[#This Row],[QW'#]],Table3[],2,FALSE)</f>
        <v>c7aac917d5ccc13634119ef065f44539</v>
      </c>
      <c r="BA172" s="54">
        <f>IF(ABS(VLOOKUP(Table10[[#This Row],[QW'#]],Table3[],7,FALSE)-0)&lt;=$AZ$6,1,0)</f>
        <v>0</v>
      </c>
      <c r="BB172" s="54">
        <f>IF(ABS(VLOOKUP(Table10[[#This Row],[QW'#]],Table3[],22,FALSE)-0)&lt;=$AZ$6,1,0)</f>
        <v>0</v>
      </c>
      <c r="BC172" s="54">
        <f>IF(AND(Table10[[#This Row],[Retrieved]]=0, Table10[[#This Row],[Relevant]]=0),1,0)</f>
        <v>1</v>
      </c>
      <c r="BD172" s="54">
        <f>IF(AND(Table10[[#This Row],[Retrieved]]=0, Table10[[#This Row],[Relevant]]=1),1,0)</f>
        <v>0</v>
      </c>
      <c r="BE172" s="54">
        <f>IF(AND(Table10[[#This Row],[Retrieved]]=1, Table10[[#This Row],[Relevant]]=0),1,0)</f>
        <v>0</v>
      </c>
      <c r="BF172" s="54">
        <f>IF(AND(Table10[[#This Row],[Retrieved]]=1, Table10[[#This Row],[Relevant]]=1),1,0)</f>
        <v>0</v>
      </c>
    </row>
    <row r="173" spans="2:58">
      <c r="B173" s="76" t="s">
        <v>283</v>
      </c>
      <c r="C173" s="10" t="s">
        <v>151</v>
      </c>
      <c r="D173" s="8">
        <f>VLOOKUP(Table3[[#This Row],[MD5]],Input[],3,FALSE)+(Distances!$AA$6*(ABS(Distances!$AD$6-VLOOKUP(Table3[[#This Row],[MD5]],Input[],3,FALSE))*Distances!$AC$6))</f>
        <v>50.255714284999996</v>
      </c>
      <c r="E173" s="7">
        <f>VLOOKUP(Table3[[#This Row],[MD5]],Input[],4,FALSE)+(Distances!$AA$7*(ABS(Distances!$AD$7-VLOOKUP(Table3[[#This Row],[MD5]],Input[],4,FALSE))*Distances!$AC$7))</f>
        <v>63.466666666666669</v>
      </c>
      <c r="F173" s="7">
        <f>VLOOKUP(Table3[[#This Row],[MD5]],Input[],5,FALSE)+(Distances!$AA$8*(ABS(Distances!$AD$8-VLOOKUP(Table3[[#This Row],[MD5]],Input[],5,FALSE))*Distances!$AC$8))</f>
        <v>59.433333333333337</v>
      </c>
      <c r="G173" s="46">
        <f>SQRT(SUM((Table3[[#This Row],[time]]-Distances!$AD$6)^2,(Table3[[#This Row],[price]]-Distances!$AD$7)^2,(Table3[[#This Row],[energy]]-Distances!$AD$8)^2))</f>
        <v>16.443973932247705</v>
      </c>
      <c r="H173" s="46">
        <f>((Table3[[#This Row],[score-bt]]-MIN(Table3[score-bt]))*$G$6)/(MAX(Table3[score-bt])-MIN(Table3[score-bt]))</f>
        <v>0.52726486971687636</v>
      </c>
      <c r="I173" s="8">
        <f>VLOOKUP(Table3[[#This Row],[MD5]],Input[],9,FALSE)+(Distances!$AA$6*(ABS(Distances!$AD$6-VLOOKUP(Table3[[#This Row],[MD5]],Input[],9,FALSE))*Distances!$AC$6))</f>
        <v>41.218650177544603</v>
      </c>
      <c r="J173" s="7">
        <f>VLOOKUP(Table3[[#This Row],[MD5]],Input[],10,FALSE)+(Distances!$AA$7*(ABS(Distances!$AD$7-VLOOKUP(Table3[[#This Row],[MD5]],Input[],10,FALSE))*Distances!$AC$7))</f>
        <v>38.683332774999911</v>
      </c>
      <c r="K173" s="7">
        <f>VLOOKUP(Table3[[#This Row],[MD5]],Input[],11,FALSE)+(Distances!$AA$8*(ABS(Distances!$AD$8-VLOOKUP(Table3[[#This Row],[MD5]],Input[],11,FALSE))*Distances!$AC$8))</f>
        <v>33.958865210347149</v>
      </c>
      <c r="L173" s="44">
        <f>SQRT(SUM((Table3[[#This Row],[time''2]]-Distances!$AD$6)^2,(Table3[[#This Row],[price''2]]-Distances!$AD$7)^2,(Table3[[#This Row],[energy''2]]-Distances!$AD$8)^2))</f>
        <v>21.505744979552315</v>
      </c>
      <c r="M173" s="44">
        <f>((Table3[[#This Row],[score-rt-partialcf]]-MIN(Table3[score-rt-partialcf]))*$G$6)/(MAX(Table3[score-rt-partialcf])-MIN(Table3[score-rt-partialcf]))</f>
        <v>0.14821738096116149</v>
      </c>
      <c r="N173" s="8">
        <f>VLOOKUP(Table3[[#This Row],[MD5]],Input[],15,FALSE)+(Distances!$AA$6*(ABS(Distances!$AD$6-VLOOKUP(Table3[[#This Row],[MD5]],Input[],15,FALSE))*Distances!$AC$6))</f>
        <v>41.151930740044605</v>
      </c>
      <c r="O173" s="7">
        <f>VLOOKUP(Table3[[#This Row],[MD5]],Input[],16,FALSE)+(Distances!$AA$7*(ABS(Distances!$AD$7-VLOOKUP(Table3[[#This Row],[MD5]],Input[],16,FALSE))*Distances!$AC$7))</f>
        <v>80.141851616666216</v>
      </c>
      <c r="P173" s="7">
        <f>VLOOKUP(Table3[[#This Row],[MD5]],Input[],17,FALSE)+(Distances!$AA$8*(ABS(Distances!$AD$8-VLOOKUP(Table3[[#This Row],[MD5]],Input[],11,FALSE))*Distances!$AC$8))</f>
        <v>80.49910600826388</v>
      </c>
      <c r="Q173" s="47">
        <f>SQRT(SUM((Table3[[#This Row],[time''3]]-Distances!$AD$6)^2,(Table3[[#This Row],[price''3]]-Distances!$AD$7)^2,(Table3[[#This Row],[energy''3]]-Distances!$AD$8)^2))</f>
        <v>43.783730035407096</v>
      </c>
      <c r="R173" s="47">
        <f>((Table3[[#This Row],[score-rt-fullcf]]-MIN(Table3[score-rt-fullcf]))*$G$6)/(MAX(Table3[score-rt-fullcf])-MIN(Table3[score-rt-fullcf]))</f>
        <v>7.1921580316321065E-2</v>
      </c>
      <c r="S173" s="8">
        <f>VLOOKUP(Table3[[#This Row],[MD5]],Input[],21,FALSE)+(Distances!$AI$6*(ABS(Distances!$L$3-VLOOKUP(Table3[[#This Row],[MD5]],Input[],21,FALSE))*Distances!$AC$6))</f>
        <v>741892.07213333331</v>
      </c>
      <c r="T173" s="7">
        <f>VLOOKUP(Table3[[#This Row],[MD5]],Input[],22,FALSE)+(Distances!$AI$7*(ABS(Distances!$AB$7-VLOOKUP(Table3[[#This Row],[MD5]],Input[],22,FALSE))*Distances!$AC$7))</f>
        <v>242592.82145555556</v>
      </c>
      <c r="U173" s="7">
        <f>VLOOKUP(Table3[[#This Row],[MD5]],Input[],23,FALSE)+(Distances!$AI$8*(ABS(Distances!$AD$8-VLOOKUP(Table3[[#This Row],[MD5]],Input[],23,FALSE))*Distances!$AC$8))</f>
        <v>178170.61574166612</v>
      </c>
      <c r="V173" s="43">
        <f>SQRT(SUM((Table3[[#This Row],[time''4]]-Distances!$AD$6)^2,(Table3[[#This Row],[price''4]]-Distances!$AD$7)^2,(Table3[[#This Row],[energy''4]]-Distances!$AD$8)^2))</f>
        <v>800552.08074109047</v>
      </c>
      <c r="W173" s="58">
        <f>((Table3[[#This Row],[score-rt-df]]-MIN(Table3[score-rt-df]))*$G$6)/(MAX(Table3[score-rt-df])-MIN(Table3[score-rt-df]))</f>
        <v>0.65857268142041736</v>
      </c>
      <c r="AY173" t="str">
        <f>Table3[[#This Row],[QW'#]]</f>
        <v>qw105</v>
      </c>
      <c r="AZ173" t="str">
        <f>VLOOKUP(Table10[[#This Row],[QW'#]],Table3[],2,FALSE)</f>
        <v>9977a6cdbc39e8eaca59529cce51985b</v>
      </c>
      <c r="BA173" s="54">
        <f>IF(ABS(VLOOKUP(Table10[[#This Row],[QW'#]],Table3[],7,FALSE)-0)&lt;=$AZ$6,1,0)</f>
        <v>0</v>
      </c>
      <c r="BB173" s="54">
        <f>IF(ABS(VLOOKUP(Table10[[#This Row],[QW'#]],Table3[],22,FALSE)-0)&lt;=$AZ$6,1,0)</f>
        <v>0</v>
      </c>
      <c r="BC173" s="54">
        <f>IF(AND(Table10[[#This Row],[Retrieved]]=0, Table10[[#This Row],[Relevant]]=0),1,0)</f>
        <v>1</v>
      </c>
      <c r="BD173" s="54">
        <f>IF(AND(Table10[[#This Row],[Retrieved]]=0, Table10[[#This Row],[Relevant]]=1),1,0)</f>
        <v>0</v>
      </c>
      <c r="BE173" s="54">
        <f>IF(AND(Table10[[#This Row],[Retrieved]]=1, Table10[[#This Row],[Relevant]]=0),1,0)</f>
        <v>0</v>
      </c>
      <c r="BF173" s="54">
        <f>IF(AND(Table10[[#This Row],[Retrieved]]=1, Table10[[#This Row],[Relevant]]=1),1,0)</f>
        <v>0</v>
      </c>
    </row>
    <row r="174" spans="2:58">
      <c r="B174" s="76" t="s">
        <v>39</v>
      </c>
      <c r="C174" s="10" t="s">
        <v>77</v>
      </c>
      <c r="D174" s="8">
        <f>VLOOKUP(Table3[[#This Row],[MD5]],Input[],3,FALSE)+(Distances!$AA$6*(ABS(Distances!$AD$6-VLOOKUP(Table3[[#This Row],[MD5]],Input[],3,FALSE))*Distances!$AC$6))</f>
        <v>42.167857144999999</v>
      </c>
      <c r="E174" s="7">
        <f>VLOOKUP(Table3[[#This Row],[MD5]],Input[],4,FALSE)+(Distances!$AA$7*(ABS(Distances!$AD$7-VLOOKUP(Table3[[#This Row],[MD5]],Input[],4,FALSE))*Distances!$AC$7))</f>
        <v>66.466666666666669</v>
      </c>
      <c r="F174" s="7">
        <f>VLOOKUP(Table3[[#This Row],[MD5]],Input[],5,FALSE)+(Distances!$AA$8*(ABS(Distances!$AD$8-VLOOKUP(Table3[[#This Row],[MD5]],Input[],5,FALSE))*Distances!$AC$8))</f>
        <v>62.68333333333333</v>
      </c>
      <c r="G174" s="46">
        <f>SQRT(SUM((Table3[[#This Row],[time]]-Distances!$AD$6)^2,(Table3[[#This Row],[price]]-Distances!$AD$7)^2,(Table3[[#This Row],[energy]]-Distances!$AD$8)^2))</f>
        <v>22.211720267837947</v>
      </c>
      <c r="H174" s="46">
        <f>((Table3[[#This Row],[score-bt]]-MIN(Table3[score-bt]))*$G$6)/(MAX(Table3[score-bt])-MIN(Table3[score-bt]))</f>
        <v>1</v>
      </c>
      <c r="I174" s="8">
        <f>VLOOKUP(Table3[[#This Row],[MD5]],Input[],9,FALSE)+(Distances!$AA$6*(ABS(Distances!$AD$6-VLOOKUP(Table3[[#This Row],[MD5]],Input[],9,FALSE))*Distances!$AC$6))</f>
        <v>41.218699832857098</v>
      </c>
      <c r="J174" s="7">
        <f>VLOOKUP(Table3[[#This Row],[MD5]],Input[],10,FALSE)+(Distances!$AA$7*(ABS(Distances!$AD$7-VLOOKUP(Table3[[#This Row],[MD5]],Input[],10,FALSE))*Distances!$AC$7))</f>
        <v>38.683439816666578</v>
      </c>
      <c r="K174" s="7">
        <f>VLOOKUP(Table3[[#This Row],[MD5]],Input[],11,FALSE)+(Distances!$AA$8*(ABS(Distances!$AD$8-VLOOKUP(Table3[[#This Row],[MD5]],Input[],11,FALSE))*Distances!$AC$8))</f>
        <v>33.958946383611043</v>
      </c>
      <c r="L174" s="44">
        <f>SQRT(SUM((Table3[[#This Row],[time''2]]-Distances!$AD$6)^2,(Table3[[#This Row],[price''2]]-Distances!$AD$7)^2,(Table3[[#This Row],[energy''2]]-Distances!$AD$8)^2))</f>
        <v>21.50560782987397</v>
      </c>
      <c r="M174" s="44">
        <f>((Table3[[#This Row],[score-rt-partialcf]]-MIN(Table3[score-rt-partialcf]))*$G$6)/(MAX(Table3[score-rt-partialcf])-MIN(Table3[score-rt-partialcf]))</f>
        <v>0.14821611451564967</v>
      </c>
      <c r="N174" s="8">
        <f>VLOOKUP(Table3[[#This Row],[MD5]],Input[],15,FALSE)+(Distances!$AA$6*(ABS(Distances!$AD$6-VLOOKUP(Table3[[#This Row],[MD5]],Input[],15,FALSE))*Distances!$AC$6))</f>
        <v>41.151993614107099</v>
      </c>
      <c r="O174" s="7">
        <f>VLOOKUP(Table3[[#This Row],[MD5]],Input[],16,FALSE)+(Distances!$AA$7*(ABS(Distances!$AD$7-VLOOKUP(Table3[[#This Row],[MD5]],Input[],16,FALSE))*Distances!$AC$7))</f>
        <v>80.141881512500007</v>
      </c>
      <c r="P174" s="7">
        <f>VLOOKUP(Table3[[#This Row],[MD5]],Input[],17,FALSE)+(Distances!$AA$8*(ABS(Distances!$AD$8-VLOOKUP(Table3[[#This Row],[MD5]],Input[],11,FALSE))*Distances!$AC$8))</f>
        <v>80.499156469027767</v>
      </c>
      <c r="Q174" s="47">
        <f>SQRT(SUM((Table3[[#This Row],[time''3]]-Distances!$AD$6)^2,(Table3[[#This Row],[price''3]]-Distances!$AD$7)^2,(Table3[[#This Row],[energy''3]]-Distances!$AD$8)^2))</f>
        <v>43.783773060811349</v>
      </c>
      <c r="R174" s="47">
        <f>((Table3[[#This Row],[score-rt-fullcf]]-MIN(Table3[score-rt-fullcf]))*$G$6)/(MAX(Table3[score-rt-fullcf])-MIN(Table3[score-rt-fullcf]))</f>
        <v>7.1922899501549536E-2</v>
      </c>
      <c r="S174" s="8">
        <f>VLOOKUP(Table3[[#This Row],[MD5]],Input[],21,FALSE)+(Distances!$AI$6*(ABS(Distances!$L$3-VLOOKUP(Table3[[#This Row],[MD5]],Input[],21,FALSE))*Distances!$AC$6))</f>
        <v>741904.04826666671</v>
      </c>
      <c r="T174" s="7">
        <f>VLOOKUP(Table3[[#This Row],[MD5]],Input[],22,FALSE)+(Distances!$AI$7*(ABS(Distances!$AB$7-VLOOKUP(Table3[[#This Row],[MD5]],Input[],22,FALSE))*Distances!$AC$7))</f>
        <v>242596.21256666665</v>
      </c>
      <c r="U174" s="7">
        <f>VLOOKUP(Table3[[#This Row],[MD5]],Input[],23,FALSE)+(Distances!$AI$8*(ABS(Distances!$AD$8-VLOOKUP(Table3[[#This Row],[MD5]],Input[],23,FALSE))*Distances!$AC$8))</f>
        <v>178173.15907499945</v>
      </c>
      <c r="V174" s="43">
        <f>SQRT(SUM((Table3[[#This Row],[time''4]]-Distances!$AD$6)^2,(Table3[[#This Row],[price''4]]-Distances!$AD$7)^2,(Table3[[#This Row],[energy''4]]-Distances!$AD$8)^2))</f>
        <v>800564.77186979319</v>
      </c>
      <c r="W174" s="58">
        <f>((Table3[[#This Row],[score-rt-df]]-MIN(Table3[score-rt-df]))*$G$6)/(MAX(Table3[score-rt-df])-MIN(Table3[score-rt-df]))</f>
        <v>0.65858313314073846</v>
      </c>
      <c r="AY174" t="str">
        <f>Table3[[#This Row],[QW'#]]</f>
        <v>qw31</v>
      </c>
      <c r="AZ174" t="str">
        <f>VLOOKUP(Table10[[#This Row],[QW'#]],Table3[],2,FALSE)</f>
        <v>dc2214783205c31d9542e8e0bd101afc</v>
      </c>
      <c r="BA174" s="54">
        <f>IF(ABS(VLOOKUP(Table10[[#This Row],[QW'#]],Table3[],7,FALSE)-0)&lt;=$AZ$6,1,0)</f>
        <v>0</v>
      </c>
      <c r="BB174" s="54">
        <f>IF(ABS(VLOOKUP(Table10[[#This Row],[QW'#]],Table3[],22,FALSE)-0)&lt;=$AZ$6,1,0)</f>
        <v>0</v>
      </c>
      <c r="BC174" s="54">
        <f>IF(AND(Table10[[#This Row],[Retrieved]]=0, Table10[[#This Row],[Relevant]]=0),1,0)</f>
        <v>1</v>
      </c>
      <c r="BD174" s="54">
        <f>IF(AND(Table10[[#This Row],[Retrieved]]=0, Table10[[#This Row],[Relevant]]=1),1,0)</f>
        <v>0</v>
      </c>
      <c r="BE174" s="54">
        <f>IF(AND(Table10[[#This Row],[Retrieved]]=1, Table10[[#This Row],[Relevant]]=0),1,0)</f>
        <v>0</v>
      </c>
      <c r="BF174" s="54">
        <f>IF(AND(Table10[[#This Row],[Retrieved]]=1, Table10[[#This Row],[Relevant]]=1),1,0)</f>
        <v>0</v>
      </c>
    </row>
    <row r="175" spans="2:58">
      <c r="B175" s="76" t="s">
        <v>236</v>
      </c>
      <c r="C175" s="10" t="s">
        <v>104</v>
      </c>
      <c r="D175" s="8">
        <f>VLOOKUP(Table3[[#This Row],[MD5]],Input[],3,FALSE)+(Distances!$AA$6*(ABS(Distances!$AD$6-VLOOKUP(Table3[[#This Row],[MD5]],Input[],3,FALSE))*Distances!$AC$6))</f>
        <v>42.167857144999999</v>
      </c>
      <c r="E175" s="7">
        <f>VLOOKUP(Table3[[#This Row],[MD5]],Input[],4,FALSE)+(Distances!$AA$7*(ABS(Distances!$AD$7-VLOOKUP(Table3[[#This Row],[MD5]],Input[],4,FALSE))*Distances!$AC$7))</f>
        <v>66.466666666666669</v>
      </c>
      <c r="F175" s="7">
        <f>VLOOKUP(Table3[[#This Row],[MD5]],Input[],5,FALSE)+(Distances!$AA$8*(ABS(Distances!$AD$8-VLOOKUP(Table3[[#This Row],[MD5]],Input[],5,FALSE))*Distances!$AC$8))</f>
        <v>62.68333333333333</v>
      </c>
      <c r="G175" s="46">
        <f>SQRT(SUM((Table3[[#This Row],[time]]-Distances!$AD$6)^2,(Table3[[#This Row],[price]]-Distances!$AD$7)^2,(Table3[[#This Row],[energy]]-Distances!$AD$8)^2))</f>
        <v>22.211720267837947</v>
      </c>
      <c r="H175" s="46">
        <f>((Table3[[#This Row],[score-bt]]-MIN(Table3[score-bt]))*$G$6)/(MAX(Table3[score-bt])-MIN(Table3[score-bt]))</f>
        <v>1</v>
      </c>
      <c r="I175" s="8">
        <f>VLOOKUP(Table3[[#This Row],[MD5]],Input[],9,FALSE)+(Distances!$AA$6*(ABS(Distances!$AD$6-VLOOKUP(Table3[[#This Row],[MD5]],Input[],9,FALSE))*Distances!$AC$6))</f>
        <v>41.218699832857098</v>
      </c>
      <c r="J175" s="7">
        <f>VLOOKUP(Table3[[#This Row],[MD5]],Input[],10,FALSE)+(Distances!$AA$7*(ABS(Distances!$AD$7-VLOOKUP(Table3[[#This Row],[MD5]],Input[],10,FALSE))*Distances!$AC$7))</f>
        <v>38.683439816666578</v>
      </c>
      <c r="K175" s="7">
        <f>VLOOKUP(Table3[[#This Row],[MD5]],Input[],11,FALSE)+(Distances!$AA$8*(ABS(Distances!$AD$8-VLOOKUP(Table3[[#This Row],[MD5]],Input[],11,FALSE))*Distances!$AC$8))</f>
        <v>33.958946383611043</v>
      </c>
      <c r="L175" s="44">
        <f>SQRT(SUM((Table3[[#This Row],[time''2]]-Distances!$AD$6)^2,(Table3[[#This Row],[price''2]]-Distances!$AD$7)^2,(Table3[[#This Row],[energy''2]]-Distances!$AD$8)^2))</f>
        <v>21.50560782987397</v>
      </c>
      <c r="M175" s="44">
        <f>((Table3[[#This Row],[score-rt-partialcf]]-MIN(Table3[score-rt-partialcf]))*$G$6)/(MAX(Table3[score-rt-partialcf])-MIN(Table3[score-rt-partialcf]))</f>
        <v>0.14821611451564967</v>
      </c>
      <c r="N175" s="8">
        <f>VLOOKUP(Table3[[#This Row],[MD5]],Input[],15,FALSE)+(Distances!$AA$6*(ABS(Distances!$AD$6-VLOOKUP(Table3[[#This Row],[MD5]],Input[],15,FALSE))*Distances!$AC$6))</f>
        <v>41.151993614107099</v>
      </c>
      <c r="O175" s="7">
        <f>VLOOKUP(Table3[[#This Row],[MD5]],Input[],16,FALSE)+(Distances!$AA$7*(ABS(Distances!$AD$7-VLOOKUP(Table3[[#This Row],[MD5]],Input[],16,FALSE))*Distances!$AC$7))</f>
        <v>80.141881512500007</v>
      </c>
      <c r="P175" s="7">
        <f>VLOOKUP(Table3[[#This Row],[MD5]],Input[],17,FALSE)+(Distances!$AA$8*(ABS(Distances!$AD$8-VLOOKUP(Table3[[#This Row],[MD5]],Input[],11,FALSE))*Distances!$AC$8))</f>
        <v>80.499156469027767</v>
      </c>
      <c r="Q175" s="47">
        <f>SQRT(SUM((Table3[[#This Row],[time''3]]-Distances!$AD$6)^2,(Table3[[#This Row],[price''3]]-Distances!$AD$7)^2,(Table3[[#This Row],[energy''3]]-Distances!$AD$8)^2))</f>
        <v>43.783773060811349</v>
      </c>
      <c r="R175" s="47">
        <f>((Table3[[#This Row],[score-rt-fullcf]]-MIN(Table3[score-rt-fullcf]))*$G$6)/(MAX(Table3[score-rt-fullcf])-MIN(Table3[score-rt-fullcf]))</f>
        <v>7.1922899501549536E-2</v>
      </c>
      <c r="S175" s="8">
        <f>VLOOKUP(Table3[[#This Row],[MD5]],Input[],21,FALSE)+(Distances!$AI$6*(ABS(Distances!$L$3-VLOOKUP(Table3[[#This Row],[MD5]],Input[],21,FALSE))*Distances!$AC$6))</f>
        <v>741904.04826666671</v>
      </c>
      <c r="T175" s="7">
        <f>VLOOKUP(Table3[[#This Row],[MD5]],Input[],22,FALSE)+(Distances!$AI$7*(ABS(Distances!$AB$7-VLOOKUP(Table3[[#This Row],[MD5]],Input[],22,FALSE))*Distances!$AC$7))</f>
        <v>242596.21256666665</v>
      </c>
      <c r="U175" s="7">
        <f>VLOOKUP(Table3[[#This Row],[MD5]],Input[],23,FALSE)+(Distances!$AI$8*(ABS(Distances!$AD$8-VLOOKUP(Table3[[#This Row],[MD5]],Input[],23,FALSE))*Distances!$AC$8))</f>
        <v>178173.15907499945</v>
      </c>
      <c r="V175" s="43">
        <f>SQRT(SUM((Table3[[#This Row],[time''4]]-Distances!$AD$6)^2,(Table3[[#This Row],[price''4]]-Distances!$AD$7)^2,(Table3[[#This Row],[energy''4]]-Distances!$AD$8)^2))</f>
        <v>800564.77186979319</v>
      </c>
      <c r="W175" s="58">
        <f>((Table3[[#This Row],[score-rt-df]]-MIN(Table3[score-rt-df]))*$G$6)/(MAX(Table3[score-rt-df])-MIN(Table3[score-rt-df]))</f>
        <v>0.65858313314073846</v>
      </c>
      <c r="AY175" t="str">
        <f>Table3[[#This Row],[QW'#]]</f>
        <v>qw58</v>
      </c>
      <c r="AZ175" t="str">
        <f>VLOOKUP(Table10[[#This Row],[QW'#]],Table3[],2,FALSE)</f>
        <v>ac98fee50961a94e822a76d29fb5e7e0</v>
      </c>
      <c r="BA175" s="54">
        <f>IF(ABS(VLOOKUP(Table10[[#This Row],[QW'#]],Table3[],7,FALSE)-0)&lt;=$AZ$6,1,0)</f>
        <v>0</v>
      </c>
      <c r="BB175" s="54">
        <f>IF(ABS(VLOOKUP(Table10[[#This Row],[QW'#]],Table3[],22,FALSE)-0)&lt;=$AZ$6,1,0)</f>
        <v>0</v>
      </c>
      <c r="BC175" s="54">
        <f>IF(AND(Table10[[#This Row],[Retrieved]]=0, Table10[[#This Row],[Relevant]]=0),1,0)</f>
        <v>1</v>
      </c>
      <c r="BD175" s="54">
        <f>IF(AND(Table10[[#This Row],[Retrieved]]=0, Table10[[#This Row],[Relevant]]=1),1,0)</f>
        <v>0</v>
      </c>
      <c r="BE175" s="54">
        <f>IF(AND(Table10[[#This Row],[Retrieved]]=1, Table10[[#This Row],[Relevant]]=0),1,0)</f>
        <v>0</v>
      </c>
      <c r="BF175" s="54">
        <f>IF(AND(Table10[[#This Row],[Retrieved]]=1, Table10[[#This Row],[Relevant]]=1),1,0)</f>
        <v>0</v>
      </c>
    </row>
    <row r="176" spans="2:58">
      <c r="B176" s="76" t="s">
        <v>244</v>
      </c>
      <c r="C176" s="10" t="s">
        <v>112</v>
      </c>
      <c r="D176" s="8">
        <f>VLOOKUP(Table3[[#This Row],[MD5]],Input[],3,FALSE)+(Distances!$AA$6*(ABS(Distances!$AD$6-VLOOKUP(Table3[[#This Row],[MD5]],Input[],3,FALSE))*Distances!$AC$6))</f>
        <v>42.167857144999999</v>
      </c>
      <c r="E176" s="7">
        <f>VLOOKUP(Table3[[#This Row],[MD5]],Input[],4,FALSE)+(Distances!$AA$7*(ABS(Distances!$AD$7-VLOOKUP(Table3[[#This Row],[MD5]],Input[],4,FALSE))*Distances!$AC$7))</f>
        <v>66.466666666666669</v>
      </c>
      <c r="F176" s="7">
        <f>VLOOKUP(Table3[[#This Row],[MD5]],Input[],5,FALSE)+(Distances!$AA$8*(ABS(Distances!$AD$8-VLOOKUP(Table3[[#This Row],[MD5]],Input[],5,FALSE))*Distances!$AC$8))</f>
        <v>62.68333333333333</v>
      </c>
      <c r="G176" s="46">
        <f>SQRT(SUM((Table3[[#This Row],[time]]-Distances!$AD$6)^2,(Table3[[#This Row],[price]]-Distances!$AD$7)^2,(Table3[[#This Row],[energy]]-Distances!$AD$8)^2))</f>
        <v>22.211720267837947</v>
      </c>
      <c r="H176" s="46">
        <f>((Table3[[#This Row],[score-bt]]-MIN(Table3[score-bt]))*$G$6)/(MAX(Table3[score-bt])-MIN(Table3[score-bt]))</f>
        <v>1</v>
      </c>
      <c r="I176" s="8">
        <f>VLOOKUP(Table3[[#This Row],[MD5]],Input[],9,FALSE)+(Distances!$AA$6*(ABS(Distances!$AD$6-VLOOKUP(Table3[[#This Row],[MD5]],Input[],9,FALSE))*Distances!$AC$6))</f>
        <v>41.218699832857098</v>
      </c>
      <c r="J176" s="7">
        <f>VLOOKUP(Table3[[#This Row],[MD5]],Input[],10,FALSE)+(Distances!$AA$7*(ABS(Distances!$AD$7-VLOOKUP(Table3[[#This Row],[MD5]],Input[],10,FALSE))*Distances!$AC$7))</f>
        <v>38.683439816666578</v>
      </c>
      <c r="K176" s="7">
        <f>VLOOKUP(Table3[[#This Row],[MD5]],Input[],11,FALSE)+(Distances!$AA$8*(ABS(Distances!$AD$8-VLOOKUP(Table3[[#This Row],[MD5]],Input[],11,FALSE))*Distances!$AC$8))</f>
        <v>33.958946383611043</v>
      </c>
      <c r="L176" s="44">
        <f>SQRT(SUM((Table3[[#This Row],[time''2]]-Distances!$AD$6)^2,(Table3[[#This Row],[price''2]]-Distances!$AD$7)^2,(Table3[[#This Row],[energy''2]]-Distances!$AD$8)^2))</f>
        <v>21.50560782987397</v>
      </c>
      <c r="M176" s="44">
        <f>((Table3[[#This Row],[score-rt-partialcf]]-MIN(Table3[score-rt-partialcf]))*$G$6)/(MAX(Table3[score-rt-partialcf])-MIN(Table3[score-rt-partialcf]))</f>
        <v>0.14821611451564967</v>
      </c>
      <c r="N176" s="8">
        <f>VLOOKUP(Table3[[#This Row],[MD5]],Input[],15,FALSE)+(Distances!$AA$6*(ABS(Distances!$AD$6-VLOOKUP(Table3[[#This Row],[MD5]],Input[],15,FALSE))*Distances!$AC$6))</f>
        <v>41.151993614107099</v>
      </c>
      <c r="O176" s="7">
        <f>VLOOKUP(Table3[[#This Row],[MD5]],Input[],16,FALSE)+(Distances!$AA$7*(ABS(Distances!$AD$7-VLOOKUP(Table3[[#This Row],[MD5]],Input[],16,FALSE))*Distances!$AC$7))</f>
        <v>80.141881512500007</v>
      </c>
      <c r="P176" s="7">
        <f>VLOOKUP(Table3[[#This Row],[MD5]],Input[],17,FALSE)+(Distances!$AA$8*(ABS(Distances!$AD$8-VLOOKUP(Table3[[#This Row],[MD5]],Input[],11,FALSE))*Distances!$AC$8))</f>
        <v>80.499156469027767</v>
      </c>
      <c r="Q176" s="47">
        <f>SQRT(SUM((Table3[[#This Row],[time''3]]-Distances!$AD$6)^2,(Table3[[#This Row],[price''3]]-Distances!$AD$7)^2,(Table3[[#This Row],[energy''3]]-Distances!$AD$8)^2))</f>
        <v>43.783773060811349</v>
      </c>
      <c r="R176" s="47">
        <f>((Table3[[#This Row],[score-rt-fullcf]]-MIN(Table3[score-rt-fullcf]))*$G$6)/(MAX(Table3[score-rt-fullcf])-MIN(Table3[score-rt-fullcf]))</f>
        <v>7.1922899501549536E-2</v>
      </c>
      <c r="S176" s="8">
        <f>VLOOKUP(Table3[[#This Row],[MD5]],Input[],21,FALSE)+(Distances!$AI$6*(ABS(Distances!$L$3-VLOOKUP(Table3[[#This Row],[MD5]],Input[],21,FALSE))*Distances!$AC$6))</f>
        <v>741904.04826666671</v>
      </c>
      <c r="T176" s="7">
        <f>VLOOKUP(Table3[[#This Row],[MD5]],Input[],22,FALSE)+(Distances!$AI$7*(ABS(Distances!$AB$7-VLOOKUP(Table3[[#This Row],[MD5]],Input[],22,FALSE))*Distances!$AC$7))</f>
        <v>242596.21256666665</v>
      </c>
      <c r="U176" s="7">
        <f>VLOOKUP(Table3[[#This Row],[MD5]],Input[],23,FALSE)+(Distances!$AI$8*(ABS(Distances!$AD$8-VLOOKUP(Table3[[#This Row],[MD5]],Input[],23,FALSE))*Distances!$AC$8))</f>
        <v>178173.15907499945</v>
      </c>
      <c r="V176" s="43">
        <f>SQRT(SUM((Table3[[#This Row],[time''4]]-Distances!$AD$6)^2,(Table3[[#This Row],[price''4]]-Distances!$AD$7)^2,(Table3[[#This Row],[energy''4]]-Distances!$AD$8)^2))</f>
        <v>800564.77186979319</v>
      </c>
      <c r="W176" s="58">
        <f>((Table3[[#This Row],[score-rt-df]]-MIN(Table3[score-rt-df]))*$G$6)/(MAX(Table3[score-rt-df])-MIN(Table3[score-rt-df]))</f>
        <v>0.65858313314073846</v>
      </c>
      <c r="AY176" t="str">
        <f>Table3[[#This Row],[QW'#]]</f>
        <v>qw66</v>
      </c>
      <c r="AZ176" t="str">
        <f>VLOOKUP(Table10[[#This Row],[QW'#]],Table3[],2,FALSE)</f>
        <v>c0c07aaf59ad0f74391d217b1e947236</v>
      </c>
      <c r="BA176" s="54">
        <f>IF(ABS(VLOOKUP(Table10[[#This Row],[QW'#]],Table3[],7,FALSE)-0)&lt;=$AZ$6,1,0)</f>
        <v>0</v>
      </c>
      <c r="BB176" s="54">
        <f>IF(ABS(VLOOKUP(Table10[[#This Row],[QW'#]],Table3[],22,FALSE)-0)&lt;=$AZ$6,1,0)</f>
        <v>0</v>
      </c>
      <c r="BC176" s="54">
        <f>IF(AND(Table10[[#This Row],[Retrieved]]=0, Table10[[#This Row],[Relevant]]=0),1,0)</f>
        <v>1</v>
      </c>
      <c r="BD176" s="54">
        <f>IF(AND(Table10[[#This Row],[Retrieved]]=0, Table10[[#This Row],[Relevant]]=1),1,0)</f>
        <v>0</v>
      </c>
      <c r="BE176" s="54">
        <f>IF(AND(Table10[[#This Row],[Retrieved]]=1, Table10[[#This Row],[Relevant]]=0),1,0)</f>
        <v>0</v>
      </c>
      <c r="BF176" s="54">
        <f>IF(AND(Table10[[#This Row],[Retrieved]]=1, Table10[[#This Row],[Relevant]]=1),1,0)</f>
        <v>0</v>
      </c>
    </row>
  </sheetData>
  <mergeCells count="16">
    <mergeCell ref="BC6:BF6"/>
    <mergeCell ref="A1:B1"/>
    <mergeCell ref="C7:C8"/>
    <mergeCell ref="D8:F8"/>
    <mergeCell ref="I8:K8"/>
    <mergeCell ref="I6:L6"/>
    <mergeCell ref="I7:M7"/>
    <mergeCell ref="D7:H7"/>
    <mergeCell ref="Y4:AD4"/>
    <mergeCell ref="AG4:AI4"/>
    <mergeCell ref="S6:V6"/>
    <mergeCell ref="N8:P8"/>
    <mergeCell ref="S8:U8"/>
    <mergeCell ref="N7:R7"/>
    <mergeCell ref="S7:W7"/>
    <mergeCell ref="N6:Q6"/>
  </mergeCells>
  <conditionalFormatting sqref="G10:G176">
    <cfRule type="colorScale" priority="39">
      <colorScale>
        <cfvo type="min"/>
        <cfvo type="percentile" val="50"/>
        <cfvo type="max"/>
        <color theme="4" tint="-0.499984740745262"/>
        <color theme="4"/>
        <color theme="4" tint="0.79998168889431442"/>
      </colorScale>
    </cfRule>
  </conditionalFormatting>
  <conditionalFormatting sqref="Q10:Q176">
    <cfRule type="colorScale" priority="26">
      <colorScale>
        <cfvo type="min"/>
        <cfvo type="percentile" val="50"/>
        <cfvo type="max"/>
        <color theme="5" tint="-0.499984740745262"/>
        <color theme="5"/>
        <color theme="5" tint="0.79998168889431442"/>
      </colorScale>
    </cfRule>
  </conditionalFormatting>
  <conditionalFormatting sqref="V10:V176">
    <cfRule type="colorScale" priority="25">
      <colorScale>
        <cfvo type="min"/>
        <cfvo type="percentile" val="50"/>
        <cfvo type="max"/>
        <color theme="7" tint="-0.499984740745262"/>
        <color theme="7"/>
        <color theme="7" tint="0.79998168889431442"/>
      </colorScale>
    </cfRule>
  </conditionalFormatting>
  <conditionalFormatting sqref="L10:L176">
    <cfRule type="colorScale" priority="14">
      <colorScale>
        <cfvo type="min"/>
        <cfvo type="percentile" val="50"/>
        <cfvo type="max"/>
        <color theme="6" tint="-0.499984740745262"/>
        <color theme="6"/>
        <color theme="6" tint="0.79998168889431442"/>
      </colorScale>
    </cfRule>
  </conditionalFormatting>
  <conditionalFormatting sqref="M10:M176">
    <cfRule type="colorScale" priority="13">
      <colorScale>
        <cfvo type="min"/>
        <cfvo type="percentile" val="50"/>
        <cfvo type="max"/>
        <color theme="6" tint="-0.499984740745262"/>
        <color theme="6"/>
        <color theme="6" tint="0.79998168889431442"/>
      </colorScale>
    </cfRule>
  </conditionalFormatting>
  <conditionalFormatting sqref="H10:H176">
    <cfRule type="colorScale" priority="12">
      <colorScale>
        <cfvo type="min"/>
        <cfvo type="percentile" val="50"/>
        <cfvo type="max"/>
        <color theme="4" tint="-0.499984740745262"/>
        <color theme="4"/>
        <color theme="4" tint="0.79998168889431442"/>
      </colorScale>
    </cfRule>
  </conditionalFormatting>
  <conditionalFormatting sqref="R10:R176">
    <cfRule type="colorScale" priority="11">
      <colorScale>
        <cfvo type="min"/>
        <cfvo type="percentile" val="50"/>
        <cfvo type="max"/>
        <color theme="5" tint="-0.499984740745262"/>
        <color theme="5"/>
        <color theme="5" tint="0.79998168889431442"/>
      </colorScale>
    </cfRule>
  </conditionalFormatting>
  <conditionalFormatting sqref="W10:W176">
    <cfRule type="colorScale" priority="10">
      <colorScale>
        <cfvo type="min"/>
        <cfvo type="percentile" val="50"/>
        <cfvo type="max"/>
        <color theme="7" tint="-0.499984740745262"/>
        <color theme="7"/>
        <color theme="7" tint="0.79998168889431442"/>
      </colorScale>
    </cfRule>
  </conditionalFormatting>
  <conditionalFormatting sqref="BB10:BB176">
    <cfRule type="containsText" dxfId="11" priority="7" operator="containsText" text="1">
      <formula>NOT(ISERROR(SEARCH("1",BB10)))</formula>
    </cfRule>
    <cfRule type="containsText" dxfId="10" priority="8" operator="containsText" text="0">
      <formula>NOT(ISERROR(SEARCH("0",BB10)))</formula>
    </cfRule>
  </conditionalFormatting>
  <conditionalFormatting sqref="BA10:BA176">
    <cfRule type="containsText" dxfId="9" priority="5" operator="containsText" text="1">
      <formula>NOT(ISERROR(SEARCH("1",BA10)))</formula>
    </cfRule>
    <cfRule type="containsText" dxfId="8" priority="6" operator="containsText" text="0">
      <formula>NOT(ISERROR(SEARCH("0",BA10)))</formula>
    </cfRule>
  </conditionalFormatting>
  <conditionalFormatting sqref="BC10:BC176">
    <cfRule type="containsText" dxfId="7" priority="3" operator="containsText" text="1">
      <formula>NOT(ISERROR(SEARCH("1",BC10)))</formula>
    </cfRule>
    <cfRule type="containsText" dxfId="6" priority="4" operator="containsText" text="0">
      <formula>NOT(ISERROR(SEARCH("0",BC10)))</formula>
    </cfRule>
  </conditionalFormatting>
  <conditionalFormatting sqref="BD10:BF176">
    <cfRule type="containsText" dxfId="5" priority="1" operator="containsText" text="1">
      <formula>NOT(ISERROR(SEARCH("1",BD10)))</formula>
    </cfRule>
    <cfRule type="containsText" dxfId="4" priority="2" operator="containsText" text="0">
      <formula>NOT(ISERROR(SEARCH("0",BD10)))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>
                  <from>
                    <xdr:col>0</xdr:col>
                    <xdr:colOff>228600</xdr:colOff>
                    <xdr:row>2</xdr:row>
                    <xdr:rowOff>76200</xdr:rowOff>
                  </from>
                  <to>
                    <xdr:col>1</xdr:col>
                    <xdr:colOff>571500</xdr:colOff>
                    <xdr:row>2</xdr:row>
                    <xdr:rowOff>330200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>
                  <from>
                    <xdr:col>0</xdr:col>
                    <xdr:colOff>241300</xdr:colOff>
                    <xdr:row>3</xdr:row>
                    <xdr:rowOff>101600</xdr:rowOff>
                  </from>
                  <to>
                    <xdr:col>1</xdr:col>
                    <xdr:colOff>584200</xdr:colOff>
                    <xdr:row>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1" r:id="rId5" name="Drop Down 3">
              <controlPr defaultSize="0" autoLine="0" autoPict="0">
                <anchor>
                  <from>
                    <xdr:col>0</xdr:col>
                    <xdr:colOff>241300</xdr:colOff>
                    <xdr:row>4</xdr:row>
                    <xdr:rowOff>114300</xdr:rowOff>
                  </from>
                  <to>
                    <xdr:col>1</xdr:col>
                    <xdr:colOff>584200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Line="0" autoPict="0">
                <anchor>
                  <from>
                    <xdr:col>1</xdr:col>
                    <xdr:colOff>660400</xdr:colOff>
                    <xdr:row>2</xdr:row>
                    <xdr:rowOff>76200</xdr:rowOff>
                  </from>
                  <to>
                    <xdr:col>2</xdr:col>
                    <xdr:colOff>368300</xdr:colOff>
                    <xdr:row>2</xdr:row>
                    <xdr:rowOff>330200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Line="0" autoPict="0">
                <anchor>
                  <from>
                    <xdr:col>1</xdr:col>
                    <xdr:colOff>660400</xdr:colOff>
                    <xdr:row>3</xdr:row>
                    <xdr:rowOff>101600</xdr:rowOff>
                  </from>
                  <to>
                    <xdr:col>2</xdr:col>
                    <xdr:colOff>368300</xdr:colOff>
                    <xdr:row>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8" name="Drop Down 6">
              <controlPr defaultSize="0" autoLine="0" autoPict="0">
                <anchor>
                  <from>
                    <xdr:col>1</xdr:col>
                    <xdr:colOff>647700</xdr:colOff>
                    <xdr:row>4</xdr:row>
                    <xdr:rowOff>114300</xdr:rowOff>
                  </from>
                  <to>
                    <xdr:col>2</xdr:col>
                    <xdr:colOff>355600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9" name="Scroll Bar 7">
              <controlPr defaultSize="0" autoPict="0">
                <anchor>
                  <from>
                    <xdr:col>2</xdr:col>
                    <xdr:colOff>444500</xdr:colOff>
                    <xdr:row>2</xdr:row>
                    <xdr:rowOff>127000</xdr:rowOff>
                  </from>
                  <to>
                    <xdr:col>6</xdr:col>
                    <xdr:colOff>203200</xdr:colOff>
                    <xdr:row>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6" r:id="rId10" name="Scroll Bar 8">
              <controlPr defaultSize="0" autoPict="0">
                <anchor>
                  <from>
                    <xdr:col>2</xdr:col>
                    <xdr:colOff>444500</xdr:colOff>
                    <xdr:row>3</xdr:row>
                    <xdr:rowOff>139700</xdr:rowOff>
                  </from>
                  <to>
                    <xdr:col>6</xdr:col>
                    <xdr:colOff>203200</xdr:colOff>
                    <xdr:row>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7" r:id="rId11" name="Scroll Bar 9">
              <controlPr defaultSize="0" autoPict="0">
                <anchor>
                  <from>
                    <xdr:col>2</xdr:col>
                    <xdr:colOff>444500</xdr:colOff>
                    <xdr:row>4</xdr:row>
                    <xdr:rowOff>114300</xdr:rowOff>
                  </from>
                  <to>
                    <xdr:col>6</xdr:col>
                    <xdr:colOff>203200</xdr:colOff>
                    <xdr:row>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9" r:id="rId12" name="Label 11">
              <controlPr defaultSize="0" autoFill="0" autoLine="0" autoPict="0">
                <anchor moveWithCells="1" sizeWithCells="1">
                  <from>
                    <xdr:col>1</xdr:col>
                    <xdr:colOff>393700</xdr:colOff>
                    <xdr:row>1</xdr:row>
                    <xdr:rowOff>88900</xdr:rowOff>
                  </from>
                  <to>
                    <xdr:col>1</xdr:col>
                    <xdr:colOff>876300</xdr:colOff>
                    <xdr:row>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13" name="Label 12">
              <controlPr defaultSize="0" autoFill="0" autoLine="0" autoPict="0">
                <anchor moveWithCells="1" sizeWithCells="1">
                  <from>
                    <xdr:col>2</xdr:col>
                    <xdr:colOff>266700</xdr:colOff>
                    <xdr:row>1</xdr:row>
                    <xdr:rowOff>88900</xdr:rowOff>
                  </from>
                  <to>
                    <xdr:col>2</xdr:col>
                    <xdr:colOff>749300</xdr:colOff>
                    <xdr:row>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14" name="Label 13">
              <controlPr defaultSize="0" autoFill="0" autoLine="0" autoPict="0">
                <anchor moveWithCells="1" sizeWithCells="1">
                  <from>
                    <xdr:col>2</xdr:col>
                    <xdr:colOff>1828800</xdr:colOff>
                    <xdr:row>1</xdr:row>
                    <xdr:rowOff>88900</xdr:rowOff>
                  </from>
                  <to>
                    <xdr:col>2</xdr:col>
                    <xdr:colOff>2324100</xdr:colOff>
                    <xdr:row>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2" r:id="rId15" name="Label 14">
              <controlPr defaultSize="0" autoFill="0" autoLine="0" autoPict="0">
                <anchor moveWithCells="1" sizeWithCells="1">
                  <from>
                    <xdr:col>28</xdr:col>
                    <xdr:colOff>495300</xdr:colOff>
                    <xdr:row>4</xdr:row>
                    <xdr:rowOff>76200</xdr:rowOff>
                  </from>
                  <to>
                    <xdr:col>29</xdr:col>
                    <xdr:colOff>0</xdr:colOff>
                    <xdr:row>4</xdr:row>
                    <xdr:rowOff>292100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16" name="Spinner 15">
              <controlPr defaultSize="0" autoPict="0">
                <anchor moveWithCells="1" sizeWithCells="1">
                  <from>
                    <xdr:col>6</xdr:col>
                    <xdr:colOff>368300</xdr:colOff>
                    <xdr:row>1</xdr:row>
                    <xdr:rowOff>279400</xdr:rowOff>
                  </from>
                  <to>
                    <xdr:col>6</xdr:col>
                    <xdr:colOff>584200</xdr:colOff>
                    <xdr:row>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4" r:id="rId17" name="Spinner 16">
              <controlPr defaultSize="0" autoPict="0">
                <anchor moveWithCells="1" sizeWithCells="1">
                  <from>
                    <xdr:col>6</xdr:col>
                    <xdr:colOff>368300</xdr:colOff>
                    <xdr:row>3</xdr:row>
                    <xdr:rowOff>38100</xdr:rowOff>
                  </from>
                  <to>
                    <xdr:col>6</xdr:col>
                    <xdr:colOff>584200</xdr:colOff>
                    <xdr:row>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5" r:id="rId18" name="Spinner 17">
              <controlPr defaultSize="0" autoPict="0">
                <anchor moveWithCells="1" sizeWithCells="1">
                  <from>
                    <xdr:col>6</xdr:col>
                    <xdr:colOff>368300</xdr:colOff>
                    <xdr:row>4</xdr:row>
                    <xdr:rowOff>12700</xdr:rowOff>
                  </from>
                  <to>
                    <xdr:col>6</xdr:col>
                    <xdr:colOff>584200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7">
    <tablePart r:id="rId19"/>
    <tablePart r:id="rId20"/>
    <tablePart r:id="rId21"/>
    <tablePart r:id="rId22"/>
    <tablePart r:id="rId23"/>
    <tablePart r:id="rId24"/>
    <tablePart r:id="rId25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D168"/>
  <sheetViews>
    <sheetView workbookViewId="0">
      <selection activeCell="A2" sqref="A2"/>
    </sheetView>
  </sheetViews>
  <sheetFormatPr baseColWidth="10" defaultRowHeight="15" x14ac:dyDescent="0"/>
  <cols>
    <col min="1" max="1" width="33.83203125" customWidth="1"/>
    <col min="2" max="2" width="7.5" customWidth="1"/>
    <col min="3" max="3" width="7.83203125" customWidth="1"/>
    <col min="4" max="4" width="9.33203125" customWidth="1"/>
  </cols>
  <sheetData>
    <row r="1" spans="1:4">
      <c r="A1" s="12" t="s">
        <v>368</v>
      </c>
      <c r="B1" s="12" t="s">
        <v>2</v>
      </c>
      <c r="C1" s="12" t="s">
        <v>3</v>
      </c>
      <c r="D1" s="12" t="s">
        <v>4</v>
      </c>
    </row>
    <row r="2" spans="1:4">
      <c r="A2" s="26" t="s">
        <v>47</v>
      </c>
      <c r="B2" s="26">
        <v>50.51142857</v>
      </c>
      <c r="C2" s="26">
        <v>65.7</v>
      </c>
      <c r="D2" s="26">
        <v>57.42</v>
      </c>
    </row>
    <row r="3" spans="1:4">
      <c r="A3" s="26" t="s">
        <v>48</v>
      </c>
      <c r="B3" s="26">
        <v>56.24428571</v>
      </c>
      <c r="C3" s="26">
        <v>64.2</v>
      </c>
      <c r="D3" s="26">
        <v>56.12</v>
      </c>
    </row>
    <row r="4" spans="1:4">
      <c r="A4" s="26" t="s">
        <v>49</v>
      </c>
      <c r="B4" s="26">
        <v>50.51142857</v>
      </c>
      <c r="C4" s="26">
        <v>65.7</v>
      </c>
      <c r="D4" s="26">
        <v>57.42</v>
      </c>
    </row>
    <row r="5" spans="1:4">
      <c r="A5" s="26" t="s">
        <v>50</v>
      </c>
      <c r="B5" s="26">
        <v>50.51142857</v>
      </c>
      <c r="C5" s="26">
        <v>70.2</v>
      </c>
      <c r="D5" s="26">
        <v>61.32</v>
      </c>
    </row>
    <row r="6" spans="1:4">
      <c r="A6" s="26" t="s">
        <v>51</v>
      </c>
      <c r="B6" s="26">
        <v>50.51142857</v>
      </c>
      <c r="C6" s="26">
        <v>67.2</v>
      </c>
      <c r="D6" s="26">
        <v>58.72</v>
      </c>
    </row>
    <row r="7" spans="1:4">
      <c r="A7" s="26" t="s">
        <v>52</v>
      </c>
      <c r="B7" s="26">
        <v>61.977142860000001</v>
      </c>
      <c r="C7" s="26">
        <v>61.2</v>
      </c>
      <c r="D7" s="26">
        <v>53.52</v>
      </c>
    </row>
    <row r="8" spans="1:4">
      <c r="A8" s="26" t="s">
        <v>53</v>
      </c>
      <c r="B8" s="26">
        <v>61.977142860000001</v>
      </c>
      <c r="C8" s="26">
        <v>61.2</v>
      </c>
      <c r="D8" s="26">
        <v>53.52</v>
      </c>
    </row>
    <row r="9" spans="1:4">
      <c r="A9" s="26" t="s">
        <v>54</v>
      </c>
      <c r="B9" s="26">
        <v>61.977142860000001</v>
      </c>
      <c r="C9" s="26">
        <v>61.2</v>
      </c>
      <c r="D9" s="26">
        <v>53.52</v>
      </c>
    </row>
    <row r="10" spans="1:4">
      <c r="A10" s="26" t="s">
        <v>55</v>
      </c>
      <c r="B10" s="26">
        <v>61.977142860000001</v>
      </c>
      <c r="C10" s="26">
        <v>61.2</v>
      </c>
      <c r="D10" s="26">
        <v>53.52</v>
      </c>
    </row>
    <row r="11" spans="1:4">
      <c r="A11" s="26" t="s">
        <v>56</v>
      </c>
      <c r="B11" s="26">
        <v>61.977142860000001</v>
      </c>
      <c r="C11" s="26">
        <v>61.2</v>
      </c>
      <c r="D11" s="26">
        <v>53.52</v>
      </c>
    </row>
    <row r="12" spans="1:4">
      <c r="A12" s="26" t="s">
        <v>57</v>
      </c>
      <c r="B12" s="26">
        <v>61.977142860000001</v>
      </c>
      <c r="C12" s="26">
        <v>61.2</v>
      </c>
      <c r="D12" s="26">
        <v>53.52</v>
      </c>
    </row>
    <row r="13" spans="1:4">
      <c r="A13" s="26" t="s">
        <v>58</v>
      </c>
      <c r="B13" s="26">
        <v>61.977142860000001</v>
      </c>
      <c r="C13" s="26">
        <v>61.2</v>
      </c>
      <c r="D13" s="26">
        <v>53.52</v>
      </c>
    </row>
    <row r="14" spans="1:4">
      <c r="A14" s="26" t="s">
        <v>59</v>
      </c>
      <c r="B14" s="26">
        <v>61.977142860000001</v>
      </c>
      <c r="C14" s="26">
        <v>61.2</v>
      </c>
      <c r="D14" s="26">
        <v>53.52</v>
      </c>
    </row>
    <row r="15" spans="1:4">
      <c r="A15" s="26" t="s">
        <v>60</v>
      </c>
      <c r="B15" s="26">
        <v>50.51142857</v>
      </c>
      <c r="C15" s="26">
        <v>65.7</v>
      </c>
      <c r="D15" s="26">
        <v>57.42</v>
      </c>
    </row>
    <row r="16" spans="1:4">
      <c r="A16" s="26" t="s">
        <v>61</v>
      </c>
      <c r="B16" s="26">
        <v>50.51142857</v>
      </c>
      <c r="C16" s="26">
        <v>65.7</v>
      </c>
      <c r="D16" s="26">
        <v>57.42</v>
      </c>
    </row>
    <row r="17" spans="1:4">
      <c r="A17" s="26" t="s">
        <v>62</v>
      </c>
      <c r="B17" s="26">
        <v>56.24428571</v>
      </c>
      <c r="C17" s="26">
        <v>64.2</v>
      </c>
      <c r="D17" s="26">
        <v>56.12</v>
      </c>
    </row>
    <row r="18" spans="1:4">
      <c r="A18" s="26" t="s">
        <v>63</v>
      </c>
      <c r="B18" s="26">
        <v>61.977142860000001</v>
      </c>
      <c r="C18" s="26">
        <v>61.2</v>
      </c>
      <c r="D18" s="26">
        <v>53.52</v>
      </c>
    </row>
    <row r="19" spans="1:4">
      <c r="A19" s="26" t="s">
        <v>64</v>
      </c>
      <c r="B19" s="26">
        <v>61.977142860000001</v>
      </c>
      <c r="C19" s="26">
        <v>61.2</v>
      </c>
      <c r="D19" s="26">
        <v>53.52</v>
      </c>
    </row>
    <row r="20" spans="1:4">
      <c r="A20" s="26" t="s">
        <v>65</v>
      </c>
      <c r="B20" s="26">
        <v>56.24428571</v>
      </c>
      <c r="C20" s="26">
        <v>64.2</v>
      </c>
      <c r="D20" s="26">
        <v>56.12</v>
      </c>
    </row>
    <row r="21" spans="1:4">
      <c r="A21" s="26" t="s">
        <v>66</v>
      </c>
      <c r="B21" s="26">
        <v>61.977142860000001</v>
      </c>
      <c r="C21" s="26">
        <v>61.2</v>
      </c>
      <c r="D21" s="26">
        <v>53.52</v>
      </c>
    </row>
    <row r="22" spans="1:4">
      <c r="A22" s="26" t="s">
        <v>67</v>
      </c>
      <c r="B22" s="26">
        <v>61.977142860000001</v>
      </c>
      <c r="C22" s="26">
        <v>61.2</v>
      </c>
      <c r="D22" s="26">
        <v>53.52</v>
      </c>
    </row>
    <row r="23" spans="1:4">
      <c r="A23" s="26" t="s">
        <v>68</v>
      </c>
      <c r="B23" s="26">
        <v>56.24428571</v>
      </c>
      <c r="C23" s="26">
        <v>64.2</v>
      </c>
      <c r="D23" s="26">
        <v>56.12</v>
      </c>
    </row>
    <row r="24" spans="1:4">
      <c r="A24" s="26" t="s">
        <v>69</v>
      </c>
      <c r="B24" s="26">
        <v>56.24428571</v>
      </c>
      <c r="C24" s="26">
        <v>64.2</v>
      </c>
      <c r="D24" s="26">
        <v>56.12</v>
      </c>
    </row>
    <row r="25" spans="1:4">
      <c r="A25" s="26" t="s">
        <v>70</v>
      </c>
      <c r="B25" s="26">
        <v>61.977142860000001</v>
      </c>
      <c r="C25" s="26">
        <v>61.2</v>
      </c>
      <c r="D25" s="26">
        <v>53.52</v>
      </c>
    </row>
    <row r="26" spans="1:4">
      <c r="A26" s="26" t="s">
        <v>71</v>
      </c>
      <c r="B26" s="26">
        <v>61.977142860000001</v>
      </c>
      <c r="C26" s="26">
        <v>61.2</v>
      </c>
      <c r="D26" s="26">
        <v>53.52</v>
      </c>
    </row>
    <row r="27" spans="1:4">
      <c r="A27" s="26" t="s">
        <v>72</v>
      </c>
      <c r="B27" s="26">
        <v>50.51142857</v>
      </c>
      <c r="C27" s="26">
        <v>68.7</v>
      </c>
      <c r="D27" s="26">
        <v>60.02</v>
      </c>
    </row>
    <row r="28" spans="1:4">
      <c r="A28" s="26" t="s">
        <v>73</v>
      </c>
      <c r="B28" s="26">
        <v>61.977142860000001</v>
      </c>
      <c r="C28" s="26">
        <v>61.2</v>
      </c>
      <c r="D28" s="26">
        <v>53.52</v>
      </c>
    </row>
    <row r="29" spans="1:4">
      <c r="A29" s="26" t="s">
        <v>74</v>
      </c>
      <c r="B29" s="26">
        <v>61.977142860000001</v>
      </c>
      <c r="C29" s="26">
        <v>61.2</v>
      </c>
      <c r="D29" s="26">
        <v>53.52</v>
      </c>
    </row>
    <row r="30" spans="1:4">
      <c r="A30" s="26" t="s">
        <v>75</v>
      </c>
      <c r="B30" s="26">
        <v>50.51142857</v>
      </c>
      <c r="C30" s="26">
        <v>67.2</v>
      </c>
      <c r="D30" s="26">
        <v>58.72</v>
      </c>
    </row>
    <row r="31" spans="1:4">
      <c r="A31" s="26" t="s">
        <v>76</v>
      </c>
      <c r="B31" s="26">
        <v>61.977142860000001</v>
      </c>
      <c r="C31" s="26">
        <v>61.2</v>
      </c>
      <c r="D31" s="26">
        <v>53.52</v>
      </c>
    </row>
    <row r="32" spans="1:4">
      <c r="A32" s="26" t="s">
        <v>77</v>
      </c>
      <c r="B32" s="26">
        <v>44.77857143</v>
      </c>
      <c r="C32" s="26">
        <v>74.7</v>
      </c>
      <c r="D32" s="26">
        <v>65.22</v>
      </c>
    </row>
    <row r="33" spans="1:4">
      <c r="A33" s="26" t="s">
        <v>78</v>
      </c>
      <c r="B33" s="26">
        <v>56.24428571</v>
      </c>
      <c r="C33" s="26">
        <v>64.2</v>
      </c>
      <c r="D33" s="26">
        <v>56.12</v>
      </c>
    </row>
    <row r="34" spans="1:4">
      <c r="A34" s="26" t="s">
        <v>79</v>
      </c>
      <c r="B34" s="26">
        <v>56.24428571</v>
      </c>
      <c r="C34" s="26">
        <v>64.2</v>
      </c>
      <c r="D34" s="26">
        <v>56.12</v>
      </c>
    </row>
    <row r="35" spans="1:4">
      <c r="A35" s="26" t="s">
        <v>80</v>
      </c>
      <c r="B35" s="26">
        <v>61.977142860000001</v>
      </c>
      <c r="C35" s="26">
        <v>61.2</v>
      </c>
      <c r="D35" s="26">
        <v>53.52</v>
      </c>
    </row>
    <row r="36" spans="1:4">
      <c r="A36" s="26" t="s">
        <v>81</v>
      </c>
      <c r="B36" s="26">
        <v>61.977142860000001</v>
      </c>
      <c r="C36" s="26">
        <v>61.2</v>
      </c>
      <c r="D36" s="26">
        <v>53.52</v>
      </c>
    </row>
    <row r="37" spans="1:4">
      <c r="A37" s="26" t="s">
        <v>82</v>
      </c>
      <c r="B37" s="26">
        <v>50.51142857</v>
      </c>
      <c r="C37" s="26">
        <v>67.2</v>
      </c>
      <c r="D37" s="26">
        <v>58.72</v>
      </c>
    </row>
    <row r="38" spans="1:4">
      <c r="A38" s="26" t="s">
        <v>83</v>
      </c>
      <c r="B38" s="26">
        <v>56.24428571</v>
      </c>
      <c r="C38" s="26">
        <v>64.2</v>
      </c>
      <c r="D38" s="26">
        <v>56.12</v>
      </c>
    </row>
    <row r="39" spans="1:4">
      <c r="A39" s="26" t="s">
        <v>84</v>
      </c>
      <c r="B39" s="26">
        <v>61.977142860000001</v>
      </c>
      <c r="C39" s="26">
        <v>61.2</v>
      </c>
      <c r="D39" s="26">
        <v>53.52</v>
      </c>
    </row>
    <row r="40" spans="1:4">
      <c r="A40" s="26" t="s">
        <v>85</v>
      </c>
      <c r="B40" s="26">
        <v>61.977142860000001</v>
      </c>
      <c r="C40" s="26">
        <v>61.2</v>
      </c>
      <c r="D40" s="26">
        <v>53.52</v>
      </c>
    </row>
    <row r="41" spans="1:4">
      <c r="A41" s="26" t="s">
        <v>86</v>
      </c>
      <c r="B41" s="26">
        <v>61.977142860000001</v>
      </c>
      <c r="C41" s="26">
        <v>61.2</v>
      </c>
      <c r="D41" s="26">
        <v>53.52</v>
      </c>
    </row>
    <row r="42" spans="1:4">
      <c r="A42" s="26" t="s">
        <v>87</v>
      </c>
      <c r="B42" s="26">
        <v>50.51142857</v>
      </c>
      <c r="C42" s="26">
        <v>65.7</v>
      </c>
      <c r="D42" s="26">
        <v>57.42</v>
      </c>
    </row>
    <row r="43" spans="1:4">
      <c r="A43" s="26" t="s">
        <v>88</v>
      </c>
      <c r="B43" s="26">
        <v>56.24428571</v>
      </c>
      <c r="C43" s="26">
        <v>64.2</v>
      </c>
      <c r="D43" s="26">
        <v>56.12</v>
      </c>
    </row>
    <row r="44" spans="1:4">
      <c r="A44" s="26" t="s">
        <v>89</v>
      </c>
      <c r="B44" s="26">
        <v>50.51142857</v>
      </c>
      <c r="C44" s="26">
        <v>67.2</v>
      </c>
      <c r="D44" s="26">
        <v>58.72</v>
      </c>
    </row>
    <row r="45" spans="1:4">
      <c r="A45" s="26" t="s">
        <v>90</v>
      </c>
      <c r="B45" s="26">
        <v>61.977142860000001</v>
      </c>
      <c r="C45" s="26">
        <v>61.2</v>
      </c>
      <c r="D45" s="26">
        <v>53.52</v>
      </c>
    </row>
    <row r="46" spans="1:4">
      <c r="A46" s="26" t="s">
        <v>91</v>
      </c>
      <c r="B46" s="26">
        <v>61.977142860000001</v>
      </c>
      <c r="C46" s="26">
        <v>61.2</v>
      </c>
      <c r="D46" s="26">
        <v>53.52</v>
      </c>
    </row>
    <row r="47" spans="1:4">
      <c r="A47" s="26" t="s">
        <v>92</v>
      </c>
      <c r="B47" s="26">
        <v>61.977142860000001</v>
      </c>
      <c r="C47" s="26">
        <v>61.2</v>
      </c>
      <c r="D47" s="26">
        <v>53.52</v>
      </c>
    </row>
    <row r="48" spans="1:4">
      <c r="A48" s="26" t="s">
        <v>93</v>
      </c>
      <c r="B48" s="26">
        <v>56.24428571</v>
      </c>
      <c r="C48" s="26">
        <v>64.2</v>
      </c>
      <c r="D48" s="26">
        <v>56.12</v>
      </c>
    </row>
    <row r="49" spans="1:4">
      <c r="A49" s="26" t="s">
        <v>94</v>
      </c>
      <c r="B49" s="26">
        <v>56.24428571</v>
      </c>
      <c r="C49" s="26">
        <v>64.2</v>
      </c>
      <c r="D49" s="26">
        <v>56.12</v>
      </c>
    </row>
    <row r="50" spans="1:4">
      <c r="A50" s="26" t="s">
        <v>95</v>
      </c>
      <c r="B50" s="26">
        <v>61.977142860000001</v>
      </c>
      <c r="C50" s="26">
        <v>61.2</v>
      </c>
      <c r="D50" s="26">
        <v>53.52</v>
      </c>
    </row>
    <row r="51" spans="1:4">
      <c r="A51" s="26" t="s">
        <v>96</v>
      </c>
      <c r="B51" s="26">
        <v>61.977142860000001</v>
      </c>
      <c r="C51" s="26">
        <v>61.2</v>
      </c>
      <c r="D51" s="26">
        <v>53.52</v>
      </c>
    </row>
    <row r="52" spans="1:4">
      <c r="A52" s="26" t="s">
        <v>97</v>
      </c>
      <c r="B52" s="26">
        <v>61.977142860000001</v>
      </c>
      <c r="C52" s="26">
        <v>61.2</v>
      </c>
      <c r="D52" s="26">
        <v>53.52</v>
      </c>
    </row>
    <row r="53" spans="1:4">
      <c r="A53" s="26" t="s">
        <v>98</v>
      </c>
      <c r="B53" s="26">
        <v>61.977142860000001</v>
      </c>
      <c r="C53" s="26">
        <v>61.2</v>
      </c>
      <c r="D53" s="26">
        <v>53.52</v>
      </c>
    </row>
    <row r="54" spans="1:4">
      <c r="A54" s="26" t="s">
        <v>99</v>
      </c>
      <c r="B54" s="26">
        <v>50.51142857</v>
      </c>
      <c r="C54" s="26">
        <v>68.7</v>
      </c>
      <c r="D54" s="26">
        <v>60.02</v>
      </c>
    </row>
    <row r="55" spans="1:4">
      <c r="A55" s="26" t="s">
        <v>100</v>
      </c>
      <c r="B55" s="26">
        <v>61.977142860000001</v>
      </c>
      <c r="C55" s="26">
        <v>61.2</v>
      </c>
      <c r="D55" s="26">
        <v>53.52</v>
      </c>
    </row>
    <row r="56" spans="1:4">
      <c r="A56" s="26" t="s">
        <v>101</v>
      </c>
      <c r="B56" s="26">
        <v>61.977142860000001</v>
      </c>
      <c r="C56" s="26">
        <v>61.2</v>
      </c>
      <c r="D56" s="26">
        <v>53.52</v>
      </c>
    </row>
    <row r="57" spans="1:4">
      <c r="A57" s="26" t="s">
        <v>102</v>
      </c>
      <c r="B57" s="26">
        <v>61.977142860000001</v>
      </c>
      <c r="C57" s="26">
        <v>61.2</v>
      </c>
      <c r="D57" s="26">
        <v>53.52</v>
      </c>
    </row>
    <row r="58" spans="1:4">
      <c r="A58" s="26" t="s">
        <v>103</v>
      </c>
      <c r="B58" s="26">
        <v>61.977142860000001</v>
      </c>
      <c r="C58" s="26">
        <v>61.2</v>
      </c>
      <c r="D58" s="26">
        <v>53.52</v>
      </c>
    </row>
    <row r="59" spans="1:4">
      <c r="A59" s="26" t="s">
        <v>104</v>
      </c>
      <c r="B59" s="26">
        <v>44.77857143</v>
      </c>
      <c r="C59" s="26">
        <v>74.7</v>
      </c>
      <c r="D59" s="26">
        <v>65.22</v>
      </c>
    </row>
    <row r="60" spans="1:4">
      <c r="A60" s="26" t="s">
        <v>105</v>
      </c>
      <c r="B60" s="26">
        <v>61.977142860000001</v>
      </c>
      <c r="C60" s="26">
        <v>61.2</v>
      </c>
      <c r="D60" s="26">
        <v>53.52</v>
      </c>
    </row>
    <row r="61" spans="1:4">
      <c r="A61" s="26" t="s">
        <v>106</v>
      </c>
      <c r="B61" s="26">
        <v>61.977142860000001</v>
      </c>
      <c r="C61" s="26">
        <v>61.2</v>
      </c>
      <c r="D61" s="26">
        <v>53.52</v>
      </c>
    </row>
    <row r="62" spans="1:4">
      <c r="A62" s="26" t="s">
        <v>107</v>
      </c>
      <c r="B62" s="26">
        <v>61.977142860000001</v>
      </c>
      <c r="C62" s="26">
        <v>61.2</v>
      </c>
      <c r="D62" s="26">
        <v>53.52</v>
      </c>
    </row>
    <row r="63" spans="1:4">
      <c r="A63" s="26" t="s">
        <v>108</v>
      </c>
      <c r="B63" s="26">
        <v>50.51142857</v>
      </c>
      <c r="C63" s="26">
        <v>65.7</v>
      </c>
      <c r="D63" s="26">
        <v>57.42</v>
      </c>
    </row>
    <row r="64" spans="1:4">
      <c r="A64" s="26" t="s">
        <v>109</v>
      </c>
      <c r="B64" s="26">
        <v>61.977142860000001</v>
      </c>
      <c r="C64" s="26">
        <v>61.2</v>
      </c>
      <c r="D64" s="26">
        <v>53.52</v>
      </c>
    </row>
    <row r="65" spans="1:4">
      <c r="A65" s="26" t="s">
        <v>110</v>
      </c>
      <c r="B65" s="26">
        <v>61.977142860000001</v>
      </c>
      <c r="C65" s="26">
        <v>61.2</v>
      </c>
      <c r="D65" s="26">
        <v>53.52</v>
      </c>
    </row>
    <row r="66" spans="1:4">
      <c r="A66" s="26" t="s">
        <v>111</v>
      </c>
      <c r="B66" s="26">
        <v>44.77857143</v>
      </c>
      <c r="C66" s="26">
        <v>67.2</v>
      </c>
      <c r="D66" s="26">
        <v>58.72</v>
      </c>
    </row>
    <row r="67" spans="1:4">
      <c r="A67" s="26" t="s">
        <v>112</v>
      </c>
      <c r="B67" s="26">
        <v>44.77857143</v>
      </c>
      <c r="C67" s="26">
        <v>74.7</v>
      </c>
      <c r="D67" s="26">
        <v>65.22</v>
      </c>
    </row>
    <row r="68" spans="1:4">
      <c r="A68" s="26" t="s">
        <v>113</v>
      </c>
      <c r="B68" s="26">
        <v>56.24428571</v>
      </c>
      <c r="C68" s="26">
        <v>64.2</v>
      </c>
      <c r="D68" s="26">
        <v>56.12</v>
      </c>
    </row>
    <row r="69" spans="1:4">
      <c r="A69" s="26" t="s">
        <v>114</v>
      </c>
      <c r="B69" s="26">
        <v>61.977142860000001</v>
      </c>
      <c r="C69" s="26">
        <v>61.2</v>
      </c>
      <c r="D69" s="26">
        <v>53.52</v>
      </c>
    </row>
    <row r="70" spans="1:4">
      <c r="A70" s="26" t="s">
        <v>115</v>
      </c>
      <c r="B70" s="26">
        <v>61.977142860000001</v>
      </c>
      <c r="C70" s="26">
        <v>61.2</v>
      </c>
      <c r="D70" s="26">
        <v>53.52</v>
      </c>
    </row>
    <row r="71" spans="1:4">
      <c r="A71" s="26" t="s">
        <v>116</v>
      </c>
      <c r="B71" s="26">
        <v>61.977142860000001</v>
      </c>
      <c r="C71" s="26">
        <v>61.2</v>
      </c>
      <c r="D71" s="26">
        <v>53.52</v>
      </c>
    </row>
    <row r="72" spans="1:4">
      <c r="A72" s="26" t="s">
        <v>117</v>
      </c>
      <c r="B72" s="26">
        <v>50.51142857</v>
      </c>
      <c r="C72" s="26">
        <v>65.7</v>
      </c>
      <c r="D72" s="26">
        <v>57.42</v>
      </c>
    </row>
    <row r="73" spans="1:4">
      <c r="A73" s="26" t="s">
        <v>118</v>
      </c>
      <c r="B73" s="26">
        <v>50.51142857</v>
      </c>
      <c r="C73" s="26">
        <v>65.7</v>
      </c>
      <c r="D73" s="26">
        <v>57.42</v>
      </c>
    </row>
    <row r="74" spans="1:4">
      <c r="A74" s="26" t="s">
        <v>119</v>
      </c>
      <c r="B74" s="26">
        <v>61.977142860000001</v>
      </c>
      <c r="C74" s="26">
        <v>61.2</v>
      </c>
      <c r="D74" s="26">
        <v>53.52</v>
      </c>
    </row>
    <row r="75" spans="1:4">
      <c r="A75" s="26" t="s">
        <v>120</v>
      </c>
      <c r="B75" s="26">
        <v>61.977142860000001</v>
      </c>
      <c r="C75" s="26">
        <v>61.2</v>
      </c>
      <c r="D75" s="26">
        <v>53.52</v>
      </c>
    </row>
    <row r="76" spans="1:4">
      <c r="A76" s="26" t="s">
        <v>121</v>
      </c>
      <c r="B76" s="26">
        <v>56.24428571</v>
      </c>
      <c r="C76" s="26">
        <v>64.2</v>
      </c>
      <c r="D76" s="26">
        <v>56.12</v>
      </c>
    </row>
    <row r="77" spans="1:4">
      <c r="A77" s="26" t="s">
        <v>122</v>
      </c>
      <c r="B77" s="26">
        <v>56.24428571</v>
      </c>
      <c r="C77" s="26">
        <v>64.2</v>
      </c>
      <c r="D77" s="26">
        <v>56.12</v>
      </c>
    </row>
    <row r="78" spans="1:4">
      <c r="A78" s="26" t="s">
        <v>123</v>
      </c>
      <c r="B78" s="26">
        <v>56.24428571</v>
      </c>
      <c r="C78" s="26">
        <v>64.2</v>
      </c>
      <c r="D78" s="26">
        <v>56.12</v>
      </c>
    </row>
    <row r="79" spans="1:4">
      <c r="A79" s="26" t="s">
        <v>124</v>
      </c>
      <c r="B79" s="26">
        <v>56.24428571</v>
      </c>
      <c r="C79" s="26">
        <v>64.2</v>
      </c>
      <c r="D79" s="26">
        <v>56.12</v>
      </c>
    </row>
    <row r="80" spans="1:4">
      <c r="A80" s="26" t="s">
        <v>125</v>
      </c>
      <c r="B80" s="26">
        <v>50.51142857</v>
      </c>
      <c r="C80" s="26">
        <v>65.7</v>
      </c>
      <c r="D80" s="26">
        <v>57.42</v>
      </c>
    </row>
    <row r="81" spans="1:4">
      <c r="A81" s="26" t="s">
        <v>126</v>
      </c>
      <c r="B81" s="26">
        <v>56.24428571</v>
      </c>
      <c r="C81" s="26">
        <v>64.2</v>
      </c>
      <c r="D81" s="26">
        <v>56.12</v>
      </c>
    </row>
    <row r="82" spans="1:4">
      <c r="A82" s="26" t="s">
        <v>127</v>
      </c>
      <c r="B82" s="26">
        <v>61.977142860000001</v>
      </c>
      <c r="C82" s="26">
        <v>61.2</v>
      </c>
      <c r="D82" s="26">
        <v>53.52</v>
      </c>
    </row>
    <row r="83" spans="1:4">
      <c r="A83" s="27" t="s">
        <v>128</v>
      </c>
      <c r="B83" s="26">
        <v>56.24428571</v>
      </c>
      <c r="C83" s="26">
        <v>64.2</v>
      </c>
      <c r="D83" s="26">
        <v>56.12</v>
      </c>
    </row>
    <row r="84" spans="1:4">
      <c r="A84" s="26" t="s">
        <v>129</v>
      </c>
      <c r="B84" s="26">
        <v>61.977142860000001</v>
      </c>
      <c r="C84" s="26">
        <v>61.2</v>
      </c>
      <c r="D84" s="26">
        <v>53.52</v>
      </c>
    </row>
    <row r="85" spans="1:4">
      <c r="A85" s="26" t="s">
        <v>130</v>
      </c>
      <c r="B85" s="26">
        <v>61.977142860000001</v>
      </c>
      <c r="C85" s="26">
        <v>61.2</v>
      </c>
      <c r="D85" s="26">
        <v>53.52</v>
      </c>
    </row>
    <row r="86" spans="1:4">
      <c r="A86" s="26" t="s">
        <v>131</v>
      </c>
      <c r="B86" s="26">
        <v>61.977142860000001</v>
      </c>
      <c r="C86" s="26">
        <v>61.2</v>
      </c>
      <c r="D86" s="26">
        <v>53.52</v>
      </c>
    </row>
    <row r="87" spans="1:4">
      <c r="A87" s="26" t="s">
        <v>132</v>
      </c>
      <c r="B87" s="26">
        <v>61.977142860000001</v>
      </c>
      <c r="C87" s="26">
        <v>61.2</v>
      </c>
      <c r="D87" s="26">
        <v>53.52</v>
      </c>
    </row>
    <row r="88" spans="1:4">
      <c r="A88" s="26" t="s">
        <v>133</v>
      </c>
      <c r="B88" s="26">
        <v>50.51142857</v>
      </c>
      <c r="C88" s="26">
        <v>65.7</v>
      </c>
      <c r="D88" s="26">
        <v>57.42</v>
      </c>
    </row>
    <row r="89" spans="1:4">
      <c r="A89" s="26" t="s">
        <v>134</v>
      </c>
      <c r="B89" s="26">
        <v>50.51142857</v>
      </c>
      <c r="C89" s="26">
        <v>65.7</v>
      </c>
      <c r="D89" s="26">
        <v>57.42</v>
      </c>
    </row>
    <row r="90" spans="1:4">
      <c r="A90" s="26" t="s">
        <v>135</v>
      </c>
      <c r="B90" s="26">
        <v>61.977142860000001</v>
      </c>
      <c r="C90" s="26">
        <v>61.2</v>
      </c>
      <c r="D90" s="26">
        <v>53.52</v>
      </c>
    </row>
    <row r="91" spans="1:4">
      <c r="A91" s="27" t="s">
        <v>136</v>
      </c>
      <c r="B91" s="26">
        <v>56.24428571</v>
      </c>
      <c r="C91" s="26">
        <v>64.2</v>
      </c>
      <c r="D91" s="26">
        <v>56.12</v>
      </c>
    </row>
    <row r="92" spans="1:4">
      <c r="A92" s="26" t="s">
        <v>137</v>
      </c>
      <c r="B92" s="26">
        <v>61.977142860000001</v>
      </c>
      <c r="C92" s="26">
        <v>61.2</v>
      </c>
      <c r="D92" s="26">
        <v>53.52</v>
      </c>
    </row>
    <row r="93" spans="1:4">
      <c r="A93" s="26" t="s">
        <v>138</v>
      </c>
      <c r="B93" s="26">
        <v>50.51142857</v>
      </c>
      <c r="C93" s="26">
        <v>67.2</v>
      </c>
      <c r="D93" s="26">
        <v>58.72</v>
      </c>
    </row>
    <row r="94" spans="1:4">
      <c r="A94" s="26" t="s">
        <v>139</v>
      </c>
      <c r="B94" s="26">
        <v>61.977142860000001</v>
      </c>
      <c r="C94" s="26">
        <v>61.2</v>
      </c>
      <c r="D94" s="26">
        <v>53.52</v>
      </c>
    </row>
    <row r="95" spans="1:4">
      <c r="A95" s="26" t="s">
        <v>140</v>
      </c>
      <c r="B95" s="26">
        <v>61.977142860000001</v>
      </c>
      <c r="C95" s="26">
        <v>61.2</v>
      </c>
      <c r="D95" s="26">
        <v>53.52</v>
      </c>
    </row>
    <row r="96" spans="1:4">
      <c r="A96" s="26" t="s">
        <v>141</v>
      </c>
      <c r="B96" s="26">
        <v>61.977142860000001</v>
      </c>
      <c r="C96" s="26">
        <v>61.2</v>
      </c>
      <c r="D96" s="26">
        <v>53.52</v>
      </c>
    </row>
    <row r="97" spans="1:4">
      <c r="A97" s="26" t="s">
        <v>142</v>
      </c>
      <c r="B97" s="26">
        <v>61.977142860000001</v>
      </c>
      <c r="C97" s="26">
        <v>61.2</v>
      </c>
      <c r="D97" s="26">
        <v>53.52</v>
      </c>
    </row>
    <row r="98" spans="1:4">
      <c r="A98" s="26" t="s">
        <v>143</v>
      </c>
      <c r="B98" s="26">
        <v>61.977142860000001</v>
      </c>
      <c r="C98" s="26">
        <v>61.2</v>
      </c>
      <c r="D98" s="26">
        <v>53.52</v>
      </c>
    </row>
    <row r="99" spans="1:4">
      <c r="A99" s="26" t="s">
        <v>144</v>
      </c>
      <c r="B99" s="26">
        <v>61.977142860000001</v>
      </c>
      <c r="C99" s="26">
        <v>61.2</v>
      </c>
      <c r="D99" s="26">
        <v>53.52</v>
      </c>
    </row>
    <row r="100" spans="1:4">
      <c r="A100" s="26" t="s">
        <v>145</v>
      </c>
      <c r="B100" s="26">
        <v>61.977142860000001</v>
      </c>
      <c r="C100" s="26">
        <v>61.2</v>
      </c>
      <c r="D100" s="26">
        <v>53.52</v>
      </c>
    </row>
    <row r="101" spans="1:4">
      <c r="A101" s="26" t="s">
        <v>146</v>
      </c>
      <c r="B101" s="26">
        <v>50.51142857</v>
      </c>
      <c r="C101" s="26">
        <v>68.7</v>
      </c>
      <c r="D101" s="26">
        <v>60.02</v>
      </c>
    </row>
    <row r="102" spans="1:4">
      <c r="A102" s="26" t="s">
        <v>147</v>
      </c>
      <c r="B102" s="26">
        <v>61.977142860000001</v>
      </c>
      <c r="C102" s="26">
        <v>61.2</v>
      </c>
      <c r="D102" s="26">
        <v>53.52</v>
      </c>
    </row>
    <row r="103" spans="1:4">
      <c r="A103" s="26" t="s">
        <v>148</v>
      </c>
      <c r="B103" s="26">
        <v>61.977142860000001</v>
      </c>
      <c r="C103" s="26">
        <v>61.2</v>
      </c>
      <c r="D103" s="26">
        <v>53.52</v>
      </c>
    </row>
    <row r="104" spans="1:4">
      <c r="A104" s="26" t="s">
        <v>149</v>
      </c>
      <c r="B104" s="26">
        <v>61.977142860000001</v>
      </c>
      <c r="C104" s="26">
        <v>61.2</v>
      </c>
      <c r="D104" s="26">
        <v>53.52</v>
      </c>
    </row>
    <row r="105" spans="1:4">
      <c r="A105" s="26" t="s">
        <v>150</v>
      </c>
      <c r="B105" s="26">
        <v>50.51142857</v>
      </c>
      <c r="C105" s="26">
        <v>70.2</v>
      </c>
      <c r="D105" s="26">
        <v>61.32</v>
      </c>
    </row>
    <row r="106" spans="1:4">
      <c r="A106" s="26" t="s">
        <v>151</v>
      </c>
      <c r="B106" s="26">
        <v>50.51142857</v>
      </c>
      <c r="C106" s="26">
        <v>70.2</v>
      </c>
      <c r="D106" s="26">
        <v>61.32</v>
      </c>
    </row>
    <row r="107" spans="1:4">
      <c r="A107" s="26" t="s">
        <v>152</v>
      </c>
      <c r="B107" s="26">
        <v>56.24428571</v>
      </c>
      <c r="C107" s="26">
        <v>64.2</v>
      </c>
      <c r="D107" s="26">
        <v>56.12</v>
      </c>
    </row>
    <row r="108" spans="1:4">
      <c r="A108" s="26" t="s">
        <v>153</v>
      </c>
      <c r="B108" s="26">
        <v>56.24428571</v>
      </c>
      <c r="C108" s="26">
        <v>64.2</v>
      </c>
      <c r="D108" s="26">
        <v>56.12</v>
      </c>
    </row>
    <row r="109" spans="1:4">
      <c r="A109" s="26" t="s">
        <v>154</v>
      </c>
      <c r="B109" s="26">
        <v>61.977142860000001</v>
      </c>
      <c r="C109" s="26">
        <v>61.2</v>
      </c>
      <c r="D109" s="26">
        <v>53.52</v>
      </c>
    </row>
    <row r="110" spans="1:4">
      <c r="A110" s="26" t="s">
        <v>155</v>
      </c>
      <c r="B110" s="26">
        <v>56.24428571</v>
      </c>
      <c r="C110" s="26">
        <v>64.2</v>
      </c>
      <c r="D110" s="26">
        <v>56.12</v>
      </c>
    </row>
    <row r="111" spans="1:4">
      <c r="A111" s="26" t="s">
        <v>156</v>
      </c>
      <c r="B111" s="26">
        <v>61.977142860000001</v>
      </c>
      <c r="C111" s="26">
        <v>61.2</v>
      </c>
      <c r="D111" s="26">
        <v>53.52</v>
      </c>
    </row>
    <row r="112" spans="1:4">
      <c r="A112" s="26" t="s">
        <v>157</v>
      </c>
      <c r="B112" s="26">
        <v>61.977142860000001</v>
      </c>
      <c r="C112" s="26">
        <v>61.2</v>
      </c>
      <c r="D112" s="26">
        <v>53.52</v>
      </c>
    </row>
    <row r="113" spans="1:4">
      <c r="A113" s="26" t="s">
        <v>158</v>
      </c>
      <c r="B113" s="26">
        <v>61.977142860000001</v>
      </c>
      <c r="C113" s="26">
        <v>61.2</v>
      </c>
      <c r="D113" s="26">
        <v>53.52</v>
      </c>
    </row>
    <row r="114" spans="1:4">
      <c r="A114" s="26" t="s">
        <v>159</v>
      </c>
      <c r="B114" s="26">
        <v>61.977142860000001</v>
      </c>
      <c r="C114" s="26">
        <v>61.2</v>
      </c>
      <c r="D114" s="26">
        <v>53.52</v>
      </c>
    </row>
    <row r="115" spans="1:4">
      <c r="A115" s="26" t="s">
        <v>160</v>
      </c>
      <c r="B115" s="26">
        <v>61.977142860000001</v>
      </c>
      <c r="C115" s="26">
        <v>61.2</v>
      </c>
      <c r="D115" s="26">
        <v>53.52</v>
      </c>
    </row>
    <row r="116" spans="1:4">
      <c r="A116" s="26" t="s">
        <v>161</v>
      </c>
      <c r="B116" s="26">
        <v>61.977142860000001</v>
      </c>
      <c r="C116" s="26">
        <v>61.2</v>
      </c>
      <c r="D116" s="26">
        <v>53.52</v>
      </c>
    </row>
    <row r="117" spans="1:4">
      <c r="A117" s="26" t="s">
        <v>162</v>
      </c>
      <c r="B117" s="26">
        <v>61.977142860000001</v>
      </c>
      <c r="C117" s="26">
        <v>61.2</v>
      </c>
      <c r="D117" s="26">
        <v>53.52</v>
      </c>
    </row>
    <row r="118" spans="1:4">
      <c r="A118" s="26" t="s">
        <v>163</v>
      </c>
      <c r="B118" s="26">
        <v>50.51142857</v>
      </c>
      <c r="C118" s="26">
        <v>65.7</v>
      </c>
      <c r="D118" s="26">
        <v>57.42</v>
      </c>
    </row>
    <row r="119" spans="1:4">
      <c r="A119" s="26" t="s">
        <v>164</v>
      </c>
      <c r="B119" s="26">
        <v>50.51142857</v>
      </c>
      <c r="C119" s="26">
        <v>65.7</v>
      </c>
      <c r="D119" s="26">
        <v>57.42</v>
      </c>
    </row>
    <row r="120" spans="1:4">
      <c r="A120" s="26" t="s">
        <v>165</v>
      </c>
      <c r="B120" s="26">
        <v>61.977142860000001</v>
      </c>
      <c r="C120" s="26">
        <v>61.2</v>
      </c>
      <c r="D120" s="26">
        <v>53.52</v>
      </c>
    </row>
    <row r="121" spans="1:4">
      <c r="A121" s="26" t="s">
        <v>166</v>
      </c>
      <c r="B121" s="26">
        <v>56.24428571</v>
      </c>
      <c r="C121" s="26">
        <v>64.2</v>
      </c>
      <c r="D121" s="26">
        <v>56.12</v>
      </c>
    </row>
    <row r="122" spans="1:4">
      <c r="A122" s="26" t="s">
        <v>167</v>
      </c>
      <c r="B122" s="26">
        <v>61.977142860000001</v>
      </c>
      <c r="C122" s="26">
        <v>61.2</v>
      </c>
      <c r="D122" s="26">
        <v>53.52</v>
      </c>
    </row>
    <row r="123" spans="1:4">
      <c r="A123" s="26" t="s">
        <v>168</v>
      </c>
      <c r="B123" s="26">
        <v>56.24428571</v>
      </c>
      <c r="C123" s="26">
        <v>64.2</v>
      </c>
      <c r="D123" s="26">
        <v>56.12</v>
      </c>
    </row>
    <row r="124" spans="1:4">
      <c r="A124" s="27" t="s">
        <v>169</v>
      </c>
      <c r="B124" s="26">
        <v>61.977142860000001</v>
      </c>
      <c r="C124" s="26">
        <v>61.2</v>
      </c>
      <c r="D124" s="26">
        <v>53.52</v>
      </c>
    </row>
    <row r="125" spans="1:4">
      <c r="A125" s="26" t="s">
        <v>170</v>
      </c>
      <c r="B125" s="26">
        <v>50.51142857</v>
      </c>
      <c r="C125" s="26">
        <v>65.7</v>
      </c>
      <c r="D125" s="26">
        <v>57.42</v>
      </c>
    </row>
    <row r="126" spans="1:4">
      <c r="A126" s="26" t="s">
        <v>171</v>
      </c>
      <c r="B126" s="26">
        <v>50.51142857</v>
      </c>
      <c r="C126" s="26">
        <v>65.7</v>
      </c>
      <c r="D126" s="26">
        <v>57.42</v>
      </c>
    </row>
    <row r="127" spans="1:4">
      <c r="A127" s="26" t="s">
        <v>172</v>
      </c>
      <c r="B127" s="26">
        <v>61.977142860000001</v>
      </c>
      <c r="C127" s="26">
        <v>61.2</v>
      </c>
      <c r="D127" s="26">
        <v>53.52</v>
      </c>
    </row>
    <row r="128" spans="1:4">
      <c r="A128" s="26" t="s">
        <v>173</v>
      </c>
      <c r="B128" s="26">
        <v>44.77857143</v>
      </c>
      <c r="C128" s="26">
        <v>67.2</v>
      </c>
      <c r="D128" s="26">
        <v>58.72</v>
      </c>
    </row>
    <row r="129" spans="1:4">
      <c r="A129" s="26" t="s">
        <v>174</v>
      </c>
      <c r="B129" s="26">
        <v>56.24428571</v>
      </c>
      <c r="C129" s="26">
        <v>64.2</v>
      </c>
      <c r="D129" s="26">
        <v>56.12</v>
      </c>
    </row>
    <row r="130" spans="1:4">
      <c r="A130" s="26" t="s">
        <v>175</v>
      </c>
      <c r="B130" s="26">
        <v>56.24428571</v>
      </c>
      <c r="C130" s="26">
        <v>64.2</v>
      </c>
      <c r="D130" s="26">
        <v>56.12</v>
      </c>
    </row>
    <row r="131" spans="1:4">
      <c r="A131" s="26" t="s">
        <v>176</v>
      </c>
      <c r="B131" s="26">
        <v>44.77857143</v>
      </c>
      <c r="C131" s="26">
        <v>67.2</v>
      </c>
      <c r="D131" s="26">
        <v>58.72</v>
      </c>
    </row>
    <row r="132" spans="1:4">
      <c r="A132" s="26" t="s">
        <v>177</v>
      </c>
      <c r="B132" s="26">
        <v>61.977142860000001</v>
      </c>
      <c r="C132" s="26">
        <v>61.2</v>
      </c>
      <c r="D132" s="26">
        <v>53.52</v>
      </c>
    </row>
    <row r="133" spans="1:4">
      <c r="A133" s="26" t="s">
        <v>178</v>
      </c>
      <c r="B133" s="26">
        <v>61.977142860000001</v>
      </c>
      <c r="C133" s="26">
        <v>61.2</v>
      </c>
      <c r="D133" s="26">
        <v>53.52</v>
      </c>
    </row>
    <row r="134" spans="1:4">
      <c r="A134" s="26" t="s">
        <v>179</v>
      </c>
      <c r="B134" s="26">
        <v>61.977142860000001</v>
      </c>
      <c r="C134" s="26">
        <v>61.2</v>
      </c>
      <c r="D134" s="26">
        <v>53.52</v>
      </c>
    </row>
    <row r="135" spans="1:4">
      <c r="A135" s="26" t="s">
        <v>180</v>
      </c>
      <c r="B135" s="26">
        <v>50.51142857</v>
      </c>
      <c r="C135" s="26">
        <v>70.2</v>
      </c>
      <c r="D135" s="26">
        <v>61.32</v>
      </c>
    </row>
    <row r="136" spans="1:4">
      <c r="A136" s="26" t="s">
        <v>181</v>
      </c>
      <c r="B136" s="26">
        <v>56.24428571</v>
      </c>
      <c r="C136" s="26">
        <v>64.2</v>
      </c>
      <c r="D136" s="26">
        <v>56.12</v>
      </c>
    </row>
    <row r="137" spans="1:4">
      <c r="A137" s="26" t="s">
        <v>182</v>
      </c>
      <c r="B137" s="26">
        <v>61.977142860000001</v>
      </c>
      <c r="C137" s="26">
        <v>61.2</v>
      </c>
      <c r="D137" s="26">
        <v>53.52</v>
      </c>
    </row>
    <row r="138" spans="1:4">
      <c r="A138" s="26" t="s">
        <v>183</v>
      </c>
      <c r="B138" s="26">
        <v>61.977142860000001</v>
      </c>
      <c r="C138" s="26">
        <v>61.2</v>
      </c>
      <c r="D138" s="26">
        <v>53.52</v>
      </c>
    </row>
    <row r="139" spans="1:4">
      <c r="A139" s="26" t="s">
        <v>184</v>
      </c>
      <c r="B139" s="26">
        <v>50.51142857</v>
      </c>
      <c r="C139" s="26">
        <v>65.7</v>
      </c>
      <c r="D139" s="26">
        <v>57.42</v>
      </c>
    </row>
    <row r="140" spans="1:4">
      <c r="A140" s="27" t="s">
        <v>185</v>
      </c>
      <c r="B140" s="26">
        <v>56.24428571</v>
      </c>
      <c r="C140" s="26">
        <v>64.2</v>
      </c>
      <c r="D140" s="26">
        <v>56.12</v>
      </c>
    </row>
    <row r="141" spans="1:4">
      <c r="A141" s="26" t="s">
        <v>186</v>
      </c>
      <c r="B141" s="26">
        <v>56.24428571</v>
      </c>
      <c r="C141" s="26">
        <v>64.2</v>
      </c>
      <c r="D141" s="26">
        <v>56.12</v>
      </c>
    </row>
    <row r="142" spans="1:4">
      <c r="A142" s="26" t="s">
        <v>187</v>
      </c>
      <c r="B142" s="26">
        <v>56.24428571</v>
      </c>
      <c r="C142" s="26">
        <v>64.2</v>
      </c>
      <c r="D142" s="26">
        <v>56.12</v>
      </c>
    </row>
    <row r="143" spans="1:4">
      <c r="A143" s="26" t="s">
        <v>188</v>
      </c>
      <c r="B143" s="26">
        <v>50.51142857</v>
      </c>
      <c r="C143" s="26">
        <v>65.7</v>
      </c>
      <c r="D143" s="26">
        <v>57.42</v>
      </c>
    </row>
    <row r="144" spans="1:4">
      <c r="A144" s="26" t="s">
        <v>189</v>
      </c>
      <c r="B144" s="26">
        <v>61.977142860000001</v>
      </c>
      <c r="C144" s="26">
        <v>61.2</v>
      </c>
      <c r="D144" s="26">
        <v>53.52</v>
      </c>
    </row>
    <row r="145" spans="1:4">
      <c r="A145" s="26" t="s">
        <v>190</v>
      </c>
      <c r="B145" s="26">
        <v>56.24428571</v>
      </c>
      <c r="C145" s="26">
        <v>64.2</v>
      </c>
      <c r="D145" s="26">
        <v>56.12</v>
      </c>
    </row>
    <row r="146" spans="1:4">
      <c r="A146" s="26" t="s">
        <v>191</v>
      </c>
      <c r="B146" s="26">
        <v>61.977142860000001</v>
      </c>
      <c r="C146" s="26">
        <v>61.2</v>
      </c>
      <c r="D146" s="26">
        <v>53.52</v>
      </c>
    </row>
    <row r="147" spans="1:4">
      <c r="A147" s="26" t="s">
        <v>192</v>
      </c>
      <c r="B147" s="26">
        <v>56.24428571</v>
      </c>
      <c r="C147" s="26">
        <v>64.2</v>
      </c>
      <c r="D147" s="26">
        <v>56.12</v>
      </c>
    </row>
    <row r="148" spans="1:4">
      <c r="A148" s="26" t="s">
        <v>193</v>
      </c>
      <c r="B148" s="26">
        <v>61.977142860000001</v>
      </c>
      <c r="C148" s="26">
        <v>61.2</v>
      </c>
      <c r="D148" s="26">
        <v>53.52</v>
      </c>
    </row>
    <row r="149" spans="1:4">
      <c r="A149" s="26" t="s">
        <v>194</v>
      </c>
      <c r="B149" s="26">
        <v>61.977142860000001</v>
      </c>
      <c r="C149" s="26">
        <v>61.2</v>
      </c>
      <c r="D149" s="26">
        <v>53.52</v>
      </c>
    </row>
    <row r="150" spans="1:4">
      <c r="A150" s="26" t="s">
        <v>195</v>
      </c>
      <c r="B150" s="26">
        <v>61.977142860000001</v>
      </c>
      <c r="C150" s="26">
        <v>61.2</v>
      </c>
      <c r="D150" s="26">
        <v>53.52</v>
      </c>
    </row>
    <row r="151" spans="1:4">
      <c r="A151" s="26" t="s">
        <v>196</v>
      </c>
      <c r="B151" s="26">
        <v>61.977142860000001</v>
      </c>
      <c r="C151" s="26">
        <v>61.2</v>
      </c>
      <c r="D151" s="26">
        <v>53.52</v>
      </c>
    </row>
    <row r="152" spans="1:4">
      <c r="A152" s="26" t="s">
        <v>197</v>
      </c>
      <c r="B152" s="26">
        <v>61.977142860000001</v>
      </c>
      <c r="C152" s="26">
        <v>61.2</v>
      </c>
      <c r="D152" s="26">
        <v>53.52</v>
      </c>
    </row>
    <row r="153" spans="1:4">
      <c r="A153" s="26" t="s">
        <v>198</v>
      </c>
      <c r="B153" s="26">
        <v>50.51142857</v>
      </c>
      <c r="C153" s="26">
        <v>65.7</v>
      </c>
      <c r="D153" s="26">
        <v>57.42</v>
      </c>
    </row>
    <row r="154" spans="1:4">
      <c r="A154" s="26" t="s">
        <v>199</v>
      </c>
      <c r="B154" s="26">
        <v>61.977142860000001</v>
      </c>
      <c r="C154" s="26">
        <v>61.2</v>
      </c>
      <c r="D154" s="26">
        <v>53.52</v>
      </c>
    </row>
    <row r="155" spans="1:4">
      <c r="A155" s="26" t="s">
        <v>200</v>
      </c>
      <c r="B155" s="26">
        <v>61.977142860000001</v>
      </c>
      <c r="C155" s="26">
        <v>61.2</v>
      </c>
      <c r="D155" s="26">
        <v>53.52</v>
      </c>
    </row>
    <row r="156" spans="1:4">
      <c r="A156" s="26" t="s">
        <v>201</v>
      </c>
      <c r="B156" s="26">
        <v>61.977142860000001</v>
      </c>
      <c r="C156" s="26">
        <v>61.2</v>
      </c>
      <c r="D156" s="26">
        <v>53.52</v>
      </c>
    </row>
    <row r="157" spans="1:4">
      <c r="A157" s="26" t="s">
        <v>202</v>
      </c>
      <c r="B157" s="26">
        <v>61.977142860000001</v>
      </c>
      <c r="C157" s="26">
        <v>61.2</v>
      </c>
      <c r="D157" s="26">
        <v>53.52</v>
      </c>
    </row>
    <row r="158" spans="1:4">
      <c r="A158" s="26" t="s">
        <v>203</v>
      </c>
      <c r="B158" s="26">
        <v>56.24428571</v>
      </c>
      <c r="C158" s="26">
        <v>64.2</v>
      </c>
      <c r="D158" s="26">
        <v>56.12</v>
      </c>
    </row>
    <row r="159" spans="1:4">
      <c r="A159" s="26" t="s">
        <v>204</v>
      </c>
      <c r="B159" s="26">
        <v>61.977142860000001</v>
      </c>
      <c r="C159" s="26">
        <v>61.2</v>
      </c>
      <c r="D159" s="26">
        <v>53.52</v>
      </c>
    </row>
    <row r="160" spans="1:4">
      <c r="A160" s="26" t="s">
        <v>205</v>
      </c>
      <c r="B160" s="26">
        <v>61.977142860000001</v>
      </c>
      <c r="C160" s="26">
        <v>61.2</v>
      </c>
      <c r="D160" s="26">
        <v>53.52</v>
      </c>
    </row>
    <row r="161" spans="1:4">
      <c r="A161" s="26" t="s">
        <v>206</v>
      </c>
      <c r="B161" s="26">
        <v>61.977142860000001</v>
      </c>
      <c r="C161" s="26">
        <v>61.2</v>
      </c>
      <c r="D161" s="26">
        <v>53.52</v>
      </c>
    </row>
    <row r="162" spans="1:4">
      <c r="A162" s="26" t="s">
        <v>207</v>
      </c>
      <c r="B162" s="26">
        <v>50.51142857</v>
      </c>
      <c r="C162" s="26">
        <v>65.7</v>
      </c>
      <c r="D162" s="26">
        <v>57.42</v>
      </c>
    </row>
    <row r="163" spans="1:4">
      <c r="A163" s="26" t="s">
        <v>208</v>
      </c>
      <c r="B163" s="26">
        <v>50.51142857</v>
      </c>
      <c r="C163" s="26">
        <v>67.2</v>
      </c>
      <c r="D163" s="26">
        <v>58.72</v>
      </c>
    </row>
    <row r="164" spans="1:4">
      <c r="A164" s="26" t="s">
        <v>209</v>
      </c>
      <c r="B164" s="26">
        <v>61.977142860000001</v>
      </c>
      <c r="C164" s="26">
        <v>61.2</v>
      </c>
      <c r="D164" s="26">
        <v>53.52</v>
      </c>
    </row>
    <row r="165" spans="1:4">
      <c r="A165" s="26" t="s">
        <v>210</v>
      </c>
      <c r="B165" s="26">
        <v>56.24428571</v>
      </c>
      <c r="C165" s="26">
        <v>64.2</v>
      </c>
      <c r="D165" s="26">
        <v>56.12</v>
      </c>
    </row>
    <row r="166" spans="1:4">
      <c r="A166" s="26" t="s">
        <v>211</v>
      </c>
      <c r="B166" s="26">
        <v>61.977142860000001</v>
      </c>
      <c r="C166" s="26">
        <v>61.2</v>
      </c>
      <c r="D166" s="26">
        <v>53.52</v>
      </c>
    </row>
    <row r="167" spans="1:4">
      <c r="A167" s="26" t="s">
        <v>212</v>
      </c>
      <c r="B167" s="26">
        <v>61.977142860000001</v>
      </c>
      <c r="C167" s="26">
        <v>61.2</v>
      </c>
      <c r="D167" s="26">
        <v>53.52</v>
      </c>
    </row>
    <row r="168" spans="1:4">
      <c r="A168" s="26" t="s">
        <v>213</v>
      </c>
      <c r="B168" s="26">
        <v>61.977142860000001</v>
      </c>
      <c r="C168" s="26">
        <v>61.2</v>
      </c>
      <c r="D168" s="26">
        <v>53.52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D168"/>
  <sheetViews>
    <sheetView topLeftCell="A72" workbookViewId="0">
      <selection activeCell="A2" sqref="A2:D168"/>
    </sheetView>
  </sheetViews>
  <sheetFormatPr baseColWidth="10" defaultRowHeight="15" x14ac:dyDescent="0"/>
  <cols>
    <col min="1" max="1" width="33.83203125" style="10" bestFit="1" customWidth="1"/>
    <col min="2" max="4" width="12.1640625" bestFit="1" customWidth="1"/>
  </cols>
  <sheetData>
    <row r="1" spans="1:4">
      <c r="A1" s="12" t="s">
        <v>368</v>
      </c>
      <c r="B1" s="12" t="s">
        <v>2</v>
      </c>
      <c r="C1" s="12" t="s">
        <v>372</v>
      </c>
      <c r="D1" s="12" t="s">
        <v>4</v>
      </c>
    </row>
    <row r="2" spans="1:4">
      <c r="A2" t="s">
        <v>47</v>
      </c>
      <c r="B2">
        <v>661600.75770401699</v>
      </c>
      <c r="C2">
        <v>622002.33168749895</v>
      </c>
      <c r="D2">
        <v>543163.03132499906</v>
      </c>
    </row>
    <row r="3" spans="1:4">
      <c r="A3" t="s">
        <v>48</v>
      </c>
      <c r="B3">
        <v>661600.39977589203</v>
      </c>
      <c r="C3">
        <v>622001.88871874905</v>
      </c>
      <c r="D3">
        <v>543162.64741874905</v>
      </c>
    </row>
    <row r="4" spans="1:4">
      <c r="A4" t="s">
        <v>49</v>
      </c>
      <c r="B4">
        <v>855729.62857142801</v>
      </c>
      <c r="C4">
        <v>836966.25557812501</v>
      </c>
      <c r="D4">
        <v>730116.09462812403</v>
      </c>
    </row>
    <row r="5" spans="1:4">
      <c r="A5" t="s">
        <v>50</v>
      </c>
      <c r="B5">
        <v>662186.77055669599</v>
      </c>
      <c r="C5">
        <v>622687.349343749</v>
      </c>
      <c r="D5">
        <v>543756.71329374902</v>
      </c>
    </row>
    <row r="6" spans="1:4">
      <c r="A6" t="s">
        <v>51</v>
      </c>
      <c r="B6">
        <v>943855.67318392801</v>
      </c>
      <c r="C6">
        <v>902591.27526562405</v>
      </c>
      <c r="D6">
        <v>786991.11169062403</v>
      </c>
    </row>
    <row r="7" spans="1:4">
      <c r="A7" t="s">
        <v>52</v>
      </c>
      <c r="B7">
        <v>683588.79906115995</v>
      </c>
      <c r="C7">
        <v>710589.40026562405</v>
      </c>
      <c r="D7">
        <v>620589.48669062403</v>
      </c>
    </row>
    <row r="8" spans="1:4">
      <c r="A8" t="s">
        <v>53</v>
      </c>
      <c r="B8">
        <v>21286.641889732098</v>
      </c>
      <c r="C8">
        <v>23183.7127031249</v>
      </c>
      <c r="D8">
        <v>20224.019278125001</v>
      </c>
    </row>
    <row r="9" spans="1:4">
      <c r="A9" t="s">
        <v>54</v>
      </c>
      <c r="B9">
        <v>21421.341386607099</v>
      </c>
      <c r="C9">
        <v>23315.747906249901</v>
      </c>
      <c r="D9">
        <v>20339.508056250001</v>
      </c>
    </row>
    <row r="10" spans="1:4">
      <c r="A10" t="s">
        <v>55</v>
      </c>
      <c r="B10">
        <v>19411.193839642801</v>
      </c>
      <c r="C10">
        <v>21069.291075000001</v>
      </c>
      <c r="D10">
        <v>18381.046044999999</v>
      </c>
    </row>
    <row r="11" spans="1:4">
      <c r="A11" t="s">
        <v>56</v>
      </c>
      <c r="B11">
        <v>534103.69459642796</v>
      </c>
      <c r="C11">
        <v>529691.803218749</v>
      </c>
      <c r="D11">
        <v>463167.485993749</v>
      </c>
    </row>
    <row r="12" spans="1:4">
      <c r="A12" t="s">
        <v>57</v>
      </c>
      <c r="B12">
        <v>21343.033792857099</v>
      </c>
      <c r="C12">
        <v>23233.057124999901</v>
      </c>
      <c r="D12">
        <v>20267.319025000001</v>
      </c>
    </row>
    <row r="13" spans="1:4">
      <c r="A13" t="s">
        <v>58</v>
      </c>
      <c r="B13">
        <v>21161.763164285701</v>
      </c>
      <c r="C13">
        <v>23053.125281249901</v>
      </c>
      <c r="D13">
        <v>20109.988606250001</v>
      </c>
    </row>
    <row r="14" spans="1:4">
      <c r="A14" t="s">
        <v>59</v>
      </c>
      <c r="B14">
        <v>17460.902056696399</v>
      </c>
      <c r="C14">
        <v>17435.9980781249</v>
      </c>
      <c r="D14">
        <v>15243.435128125</v>
      </c>
    </row>
    <row r="15" spans="1:4">
      <c r="A15" t="s">
        <v>60</v>
      </c>
      <c r="B15">
        <v>661600.84142276703</v>
      </c>
      <c r="C15">
        <v>622002.45637499902</v>
      </c>
      <c r="D15">
        <v>543163.13938750001</v>
      </c>
    </row>
    <row r="16" spans="1:4">
      <c r="A16" t="s">
        <v>61</v>
      </c>
      <c r="B16">
        <v>661600.96682901704</v>
      </c>
      <c r="C16">
        <v>622002.46621874894</v>
      </c>
      <c r="D16">
        <v>543163.14791874902</v>
      </c>
    </row>
    <row r="17" spans="1:4">
      <c r="A17" t="s">
        <v>62</v>
      </c>
      <c r="B17">
        <v>21509.122632589198</v>
      </c>
      <c r="C17">
        <v>20699.492765625</v>
      </c>
      <c r="D17">
        <v>18071.797190624999</v>
      </c>
    </row>
    <row r="18" spans="1:4">
      <c r="A18" t="s">
        <v>63</v>
      </c>
      <c r="B18">
        <v>15594.695864285701</v>
      </c>
      <c r="C18">
        <v>15404.7319687499</v>
      </c>
      <c r="D18">
        <v>13471.45924375</v>
      </c>
    </row>
    <row r="19" spans="1:4">
      <c r="A19" t="s">
        <v>64</v>
      </c>
      <c r="B19">
        <v>21790.370632589202</v>
      </c>
      <c r="C19">
        <v>23884.1427656249</v>
      </c>
      <c r="D19">
        <v>20831.827190625001</v>
      </c>
    </row>
    <row r="20" spans="1:4">
      <c r="A20" t="s">
        <v>65</v>
      </c>
      <c r="B20">
        <v>20880.572445535701</v>
      </c>
      <c r="C20">
        <v>19868.56059375</v>
      </c>
      <c r="D20">
        <v>17350.03254375</v>
      </c>
    </row>
    <row r="21" spans="1:4">
      <c r="A21" t="s">
        <v>66</v>
      </c>
      <c r="B21">
        <v>19409.6393968749</v>
      </c>
      <c r="C21">
        <v>21067.144359375001</v>
      </c>
      <c r="D21">
        <v>18379.182959375001</v>
      </c>
    </row>
    <row r="22" spans="1:4">
      <c r="A22" t="s">
        <v>67</v>
      </c>
      <c r="B22">
        <v>683588.78584241006</v>
      </c>
      <c r="C22">
        <v>710589.38057812396</v>
      </c>
      <c r="D22">
        <v>620589.46962812403</v>
      </c>
    </row>
    <row r="23" spans="1:4">
      <c r="A23" t="s">
        <v>68</v>
      </c>
      <c r="B23">
        <v>661600.45705714205</v>
      </c>
      <c r="C23">
        <v>622001.97403124894</v>
      </c>
      <c r="D23">
        <v>543162.72135625</v>
      </c>
    </row>
    <row r="24" spans="1:4">
      <c r="A24" t="s">
        <v>69</v>
      </c>
      <c r="B24">
        <v>766692.50370401703</v>
      </c>
      <c r="C24">
        <v>769766.27526562405</v>
      </c>
      <c r="D24">
        <v>671876.11169062403</v>
      </c>
    </row>
    <row r="25" spans="1:4">
      <c r="A25" t="s">
        <v>70</v>
      </c>
      <c r="B25">
        <v>19411.220277142798</v>
      </c>
      <c r="C25">
        <v>21069.330449999899</v>
      </c>
      <c r="D25">
        <v>18381.080170000001</v>
      </c>
    </row>
    <row r="26" spans="1:4">
      <c r="A26" t="s">
        <v>71</v>
      </c>
      <c r="B26">
        <v>19409.7231156249</v>
      </c>
      <c r="C26">
        <v>21067.269046875001</v>
      </c>
      <c r="D26">
        <v>18379.291021875</v>
      </c>
    </row>
    <row r="27" spans="1:4">
      <c r="A27" t="s">
        <v>72</v>
      </c>
      <c r="B27">
        <v>662186.77055669599</v>
      </c>
      <c r="C27">
        <v>622686.82762499899</v>
      </c>
      <c r="D27">
        <v>543756.26113749901</v>
      </c>
    </row>
    <row r="28" spans="1:4">
      <c r="A28" t="s">
        <v>73</v>
      </c>
      <c r="B28">
        <v>529159.956057142</v>
      </c>
      <c r="C28">
        <v>522776.76403124898</v>
      </c>
      <c r="D28">
        <v>457167.53935625002</v>
      </c>
    </row>
    <row r="29" spans="1:4">
      <c r="A29" t="s">
        <v>74</v>
      </c>
      <c r="B29">
        <v>534103.70781517797</v>
      </c>
      <c r="C29">
        <v>529691.82290624897</v>
      </c>
      <c r="D29">
        <v>463167.503056249</v>
      </c>
    </row>
    <row r="30" spans="1:4">
      <c r="A30" t="s">
        <v>75</v>
      </c>
      <c r="B30">
        <v>661600.84142276703</v>
      </c>
      <c r="C30">
        <v>622002.94528124901</v>
      </c>
      <c r="D30">
        <v>543163.56310624897</v>
      </c>
    </row>
    <row r="31" spans="1:4">
      <c r="A31" t="s">
        <v>76</v>
      </c>
      <c r="B31">
        <v>19427.176892767799</v>
      </c>
      <c r="C31">
        <v>21089.191528124898</v>
      </c>
      <c r="D31">
        <v>18398.353348125002</v>
      </c>
    </row>
    <row r="32" spans="1:4">
      <c r="A32" t="s">
        <v>77</v>
      </c>
      <c r="B32">
        <v>662186.99832857097</v>
      </c>
      <c r="C32">
        <v>622688.69793749903</v>
      </c>
      <c r="D32">
        <v>543757.88207499904</v>
      </c>
    </row>
    <row r="33" spans="1:4">
      <c r="A33" t="s">
        <v>78</v>
      </c>
      <c r="B33">
        <v>19345.282435714202</v>
      </c>
      <c r="C33">
        <v>18224.941968749899</v>
      </c>
      <c r="D33">
        <v>15915.64124375</v>
      </c>
    </row>
    <row r="34" spans="1:4">
      <c r="A34" t="s">
        <v>79</v>
      </c>
      <c r="B34">
        <v>661600.30283839197</v>
      </c>
      <c r="C34">
        <v>622001.74434374901</v>
      </c>
      <c r="D34">
        <v>543162.52229374903</v>
      </c>
    </row>
    <row r="35" spans="1:4">
      <c r="A35" t="s">
        <v>80</v>
      </c>
      <c r="B35">
        <v>533551.44869955303</v>
      </c>
      <c r="C35">
        <v>528974.51573437406</v>
      </c>
      <c r="D35">
        <v>462544.213409374</v>
      </c>
    </row>
    <row r="36" spans="1:4">
      <c r="A36" t="s">
        <v>81</v>
      </c>
      <c r="B36">
        <v>17199.552378571399</v>
      </c>
      <c r="C36">
        <v>17151.9602812499</v>
      </c>
      <c r="D36">
        <v>14995.64560625</v>
      </c>
    </row>
    <row r="37" spans="1:4">
      <c r="A37" t="s">
        <v>82</v>
      </c>
      <c r="B37">
        <v>943859.11441830301</v>
      </c>
      <c r="C37">
        <v>902591.27526562405</v>
      </c>
      <c r="D37">
        <v>786991.11169062403</v>
      </c>
    </row>
    <row r="38" spans="1:4">
      <c r="A38" t="s">
        <v>83</v>
      </c>
      <c r="B38">
        <v>20880.5019455357</v>
      </c>
      <c r="C38">
        <v>19868.455593749899</v>
      </c>
      <c r="D38">
        <v>17349.941543749901</v>
      </c>
    </row>
    <row r="39" spans="1:4">
      <c r="A39" t="s">
        <v>84</v>
      </c>
      <c r="B39">
        <v>17758.6638424107</v>
      </c>
      <c r="C39">
        <v>17879.473078124902</v>
      </c>
      <c r="D39">
        <v>15627.780128124999</v>
      </c>
    </row>
    <row r="40" spans="1:4">
      <c r="A40" t="s">
        <v>85</v>
      </c>
      <c r="B40">
        <v>533969.00831830304</v>
      </c>
      <c r="C40">
        <v>529559.78770312399</v>
      </c>
      <c r="D40">
        <v>463052.01427812502</v>
      </c>
    </row>
    <row r="41" spans="1:4">
      <c r="A41" t="s">
        <v>86</v>
      </c>
      <c r="B41">
        <v>21286.5713897321</v>
      </c>
      <c r="C41">
        <v>23183.607703124901</v>
      </c>
      <c r="D41">
        <v>20223.928278125</v>
      </c>
    </row>
    <row r="42" spans="1:4">
      <c r="A42" t="s">
        <v>87</v>
      </c>
      <c r="B42">
        <v>20880.9568111607</v>
      </c>
      <c r="C42">
        <v>19869.0429374999</v>
      </c>
      <c r="D42">
        <v>17350.450574999999</v>
      </c>
    </row>
    <row r="43" spans="1:4">
      <c r="A43" t="s">
        <v>88</v>
      </c>
      <c r="B43">
        <v>20880.598883035698</v>
      </c>
      <c r="C43">
        <v>19868.599968749899</v>
      </c>
      <c r="D43">
        <v>17350.066668750002</v>
      </c>
    </row>
    <row r="44" spans="1:4">
      <c r="A44" t="s">
        <v>89</v>
      </c>
      <c r="B44">
        <v>661600.84142276703</v>
      </c>
      <c r="C44">
        <v>622002.94528124901</v>
      </c>
      <c r="D44">
        <v>543163.56310624897</v>
      </c>
    </row>
    <row r="45" spans="1:4">
      <c r="A45" t="s">
        <v>90</v>
      </c>
      <c r="B45">
        <v>679259.343704017</v>
      </c>
      <c r="C45">
        <v>704141.27526562405</v>
      </c>
      <c r="D45">
        <v>615001.11169062403</v>
      </c>
    </row>
    <row r="46" spans="1:4">
      <c r="A46" t="s">
        <v>91</v>
      </c>
      <c r="B46">
        <v>533551.378199553</v>
      </c>
      <c r="C46">
        <v>528974.41073437396</v>
      </c>
      <c r="D46">
        <v>462544.12240937399</v>
      </c>
    </row>
    <row r="47" spans="1:4">
      <c r="A47" t="s">
        <v>92</v>
      </c>
      <c r="B47">
        <v>15594.850083035701</v>
      </c>
      <c r="C47">
        <v>15404.9616562499</v>
      </c>
      <c r="D47">
        <v>13471.658306249999</v>
      </c>
    </row>
    <row r="48" spans="1:4">
      <c r="A48" t="s">
        <v>93</v>
      </c>
      <c r="B48">
        <v>21930.535216964199</v>
      </c>
      <c r="C48">
        <v>21225.919781249901</v>
      </c>
      <c r="D48">
        <v>18529.595681250001</v>
      </c>
    </row>
    <row r="49" spans="1:4">
      <c r="A49" t="s">
        <v>94</v>
      </c>
      <c r="B49">
        <v>21509.1094138392</v>
      </c>
      <c r="C49">
        <v>20699.473078124902</v>
      </c>
      <c r="D49">
        <v>18071.780128124901</v>
      </c>
    </row>
    <row r="50" spans="1:4">
      <c r="A50" t="s">
        <v>95</v>
      </c>
      <c r="B50">
        <v>21161.820445535701</v>
      </c>
      <c r="C50">
        <v>23053.2105937499</v>
      </c>
      <c r="D50">
        <v>20110.062543749998</v>
      </c>
    </row>
    <row r="51" spans="1:4">
      <c r="A51" t="s">
        <v>96</v>
      </c>
      <c r="B51">
        <v>17130.223811607098</v>
      </c>
      <c r="C51">
        <v>17048.704968749898</v>
      </c>
      <c r="D51">
        <v>14906.15766875</v>
      </c>
    </row>
    <row r="52" spans="1:4">
      <c r="A52" t="s">
        <v>97</v>
      </c>
      <c r="B52">
        <v>21161.846883035701</v>
      </c>
      <c r="C52">
        <v>23053.2499687499</v>
      </c>
      <c r="D52">
        <v>20110.09666875</v>
      </c>
    </row>
    <row r="53" spans="1:4">
      <c r="A53" t="s">
        <v>98</v>
      </c>
      <c r="B53">
        <v>529160.03977589204</v>
      </c>
      <c r="C53">
        <v>522776.88871874899</v>
      </c>
      <c r="D53">
        <v>457167.64741874998</v>
      </c>
    </row>
    <row r="54" spans="1:4">
      <c r="A54" t="s">
        <v>99</v>
      </c>
      <c r="B54">
        <v>662186.78377544601</v>
      </c>
      <c r="C54">
        <v>622686.84731249895</v>
      </c>
      <c r="D54">
        <v>543756.27819999901</v>
      </c>
    </row>
    <row r="55" spans="1:4">
      <c r="A55" t="s">
        <v>100</v>
      </c>
      <c r="B55">
        <v>529159.94283839199</v>
      </c>
      <c r="C55">
        <v>522776.74434374901</v>
      </c>
      <c r="D55">
        <v>457167.52229375002</v>
      </c>
    </row>
    <row r="56" spans="1:4">
      <c r="A56" t="s">
        <v>101</v>
      </c>
      <c r="B56">
        <v>533551.53241830296</v>
      </c>
      <c r="C56">
        <v>528974.64042187401</v>
      </c>
      <c r="D56">
        <v>462544.32147187501</v>
      </c>
    </row>
    <row r="57" spans="1:4">
      <c r="A57" t="s">
        <v>102</v>
      </c>
      <c r="B57">
        <v>17199.4950973214</v>
      </c>
      <c r="C57">
        <v>17151.8749687499</v>
      </c>
      <c r="D57">
        <v>14995.571668750001</v>
      </c>
    </row>
    <row r="58" spans="1:4">
      <c r="A58" t="s">
        <v>103</v>
      </c>
      <c r="B58">
        <v>19626.473154464202</v>
      </c>
      <c r="C58">
        <v>21409.50665625</v>
      </c>
      <c r="D58">
        <v>18675.597306250002</v>
      </c>
    </row>
    <row r="59" spans="1:4">
      <c r="A59" t="s">
        <v>104</v>
      </c>
      <c r="B59">
        <v>662186.99832857097</v>
      </c>
      <c r="C59">
        <v>622688.69793749903</v>
      </c>
      <c r="D59">
        <v>543757.88207499904</v>
      </c>
    </row>
    <row r="60" spans="1:4">
      <c r="A60" t="s">
        <v>105</v>
      </c>
      <c r="B60">
        <v>15594.7531455357</v>
      </c>
      <c r="C60">
        <v>15404.8172812499</v>
      </c>
      <c r="D60">
        <v>13471.533181250001</v>
      </c>
    </row>
    <row r="61" spans="1:4">
      <c r="A61" t="s">
        <v>106</v>
      </c>
      <c r="B61">
        <v>19624.975992946402</v>
      </c>
      <c r="C61">
        <v>21407.445253124901</v>
      </c>
      <c r="D61">
        <v>18673.808158125001</v>
      </c>
    </row>
    <row r="62" spans="1:4">
      <c r="A62" t="s">
        <v>107</v>
      </c>
      <c r="B62">
        <v>17199.565597321402</v>
      </c>
      <c r="C62">
        <v>17151.9799687499</v>
      </c>
      <c r="D62">
        <v>14995.662668749999</v>
      </c>
    </row>
    <row r="63" spans="1:4">
      <c r="A63" t="s">
        <v>108</v>
      </c>
      <c r="B63">
        <v>661600.36351651698</v>
      </c>
      <c r="C63">
        <v>622002.20371874899</v>
      </c>
      <c r="D63">
        <v>543162.92041874898</v>
      </c>
    </row>
    <row r="64" spans="1:4">
      <c r="A64" t="s">
        <v>109</v>
      </c>
      <c r="B64">
        <v>20869.165989732101</v>
      </c>
      <c r="C64">
        <v>22598.5654218749</v>
      </c>
      <c r="D64">
        <v>19716.326471875</v>
      </c>
    </row>
    <row r="65" spans="1:4">
      <c r="A65" t="s">
        <v>110</v>
      </c>
      <c r="B65">
        <v>17828.005628125</v>
      </c>
      <c r="C65">
        <v>17982.7480781249</v>
      </c>
      <c r="D65">
        <v>15717.285128125</v>
      </c>
    </row>
    <row r="66" spans="1:4">
      <c r="A66" t="s">
        <v>111</v>
      </c>
      <c r="B66">
        <v>661600.98547589197</v>
      </c>
      <c r="C66">
        <v>622002.60403124895</v>
      </c>
      <c r="D66">
        <v>543163.26735624904</v>
      </c>
    </row>
    <row r="67" spans="1:4">
      <c r="A67" t="s">
        <v>112</v>
      </c>
      <c r="B67">
        <v>662186.99832857097</v>
      </c>
      <c r="C67">
        <v>622688.69793749903</v>
      </c>
      <c r="D67">
        <v>543757.88207499904</v>
      </c>
    </row>
    <row r="68" spans="1:4">
      <c r="A68" t="s">
        <v>113</v>
      </c>
      <c r="B68">
        <v>661600.31605714199</v>
      </c>
      <c r="C68">
        <v>622001.76403124898</v>
      </c>
      <c r="D68">
        <v>543162.53935624904</v>
      </c>
    </row>
    <row r="69" spans="1:4">
      <c r="A69" t="s">
        <v>114</v>
      </c>
      <c r="B69">
        <v>20869.179208482099</v>
      </c>
      <c r="C69">
        <v>22598.585109374901</v>
      </c>
      <c r="D69">
        <v>19716.343534374999</v>
      </c>
    </row>
    <row r="70" spans="1:4">
      <c r="A70" t="s">
        <v>115</v>
      </c>
      <c r="B70">
        <v>533968.93781830301</v>
      </c>
      <c r="C70">
        <v>529559.68270312401</v>
      </c>
      <c r="D70">
        <v>463051.923278125</v>
      </c>
    </row>
    <row r="71" spans="1:4">
      <c r="A71" t="s">
        <v>116</v>
      </c>
      <c r="B71">
        <v>19626.5436544642</v>
      </c>
      <c r="C71">
        <v>21409.611656249901</v>
      </c>
      <c r="D71">
        <v>18675.688306249998</v>
      </c>
    </row>
    <row r="72" spans="1:4">
      <c r="A72" t="s">
        <v>117</v>
      </c>
      <c r="B72">
        <v>661600.39198526705</v>
      </c>
      <c r="C72">
        <v>622002.05934374896</v>
      </c>
      <c r="D72">
        <v>543162.79529375001</v>
      </c>
    </row>
    <row r="73" spans="1:4">
      <c r="A73" t="s">
        <v>118</v>
      </c>
      <c r="B73">
        <v>662229.13807857095</v>
      </c>
      <c r="C73">
        <v>622833.03417187405</v>
      </c>
      <c r="D73">
        <v>543884.596909374</v>
      </c>
    </row>
    <row r="74" spans="1:4">
      <c r="A74" t="s">
        <v>119</v>
      </c>
      <c r="B74">
        <v>20869.108708482101</v>
      </c>
      <c r="C74">
        <v>22598.480109374901</v>
      </c>
      <c r="D74">
        <v>19716.252534374999</v>
      </c>
    </row>
    <row r="75" spans="1:4">
      <c r="A75" t="s">
        <v>120</v>
      </c>
      <c r="B75">
        <v>533750.90209241002</v>
      </c>
      <c r="C75">
        <v>529509.13682812406</v>
      </c>
      <c r="D75">
        <v>463003.88587812398</v>
      </c>
    </row>
    <row r="76" spans="1:4">
      <c r="A76" t="s">
        <v>121</v>
      </c>
      <c r="B76">
        <v>21316.8327169642</v>
      </c>
      <c r="C76">
        <v>20311.894781249899</v>
      </c>
      <c r="D76">
        <v>17737.440681249998</v>
      </c>
    </row>
    <row r="77" spans="1:4">
      <c r="A77" t="s">
        <v>122</v>
      </c>
      <c r="B77">
        <v>21414.445748660699</v>
      </c>
      <c r="C77">
        <v>20562.482296874899</v>
      </c>
      <c r="D77">
        <v>17952.993096875001</v>
      </c>
    </row>
    <row r="78" spans="1:4">
      <c r="A78" t="s">
        <v>123</v>
      </c>
      <c r="B78">
        <v>19345.141435714198</v>
      </c>
      <c r="C78">
        <v>18224.7319687499</v>
      </c>
      <c r="D78">
        <v>15915.45924375</v>
      </c>
    </row>
    <row r="79" spans="1:4">
      <c r="A79" t="s">
        <v>124</v>
      </c>
      <c r="B79">
        <v>20880.6693830357</v>
      </c>
      <c r="C79">
        <v>19868.704968749898</v>
      </c>
      <c r="D79">
        <v>17350.157668749998</v>
      </c>
    </row>
    <row r="80" spans="1:4">
      <c r="A80" t="s">
        <v>125</v>
      </c>
      <c r="B80">
        <v>661600.75770401699</v>
      </c>
      <c r="C80">
        <v>622002.33168749895</v>
      </c>
      <c r="D80">
        <v>543163.03132499906</v>
      </c>
    </row>
    <row r="81" spans="1:4">
      <c r="A81" t="s">
        <v>126</v>
      </c>
      <c r="B81">
        <v>661600.47027589194</v>
      </c>
      <c r="C81">
        <v>622001.99371874903</v>
      </c>
      <c r="D81">
        <v>543162.73841875</v>
      </c>
    </row>
    <row r="82" spans="1:4">
      <c r="A82" t="s">
        <v>127</v>
      </c>
      <c r="B82">
        <v>15594.6826455357</v>
      </c>
      <c r="C82">
        <v>15404.7122812499</v>
      </c>
      <c r="D82">
        <v>13471.44218125</v>
      </c>
    </row>
    <row r="83" spans="1:4">
      <c r="A83" s="1" t="s">
        <v>128</v>
      </c>
      <c r="B83">
        <v>662228.92352544598</v>
      </c>
      <c r="C83">
        <v>622832.78151562402</v>
      </c>
      <c r="D83">
        <v>543884.37794062402</v>
      </c>
    </row>
    <row r="84" spans="1:4">
      <c r="A84" t="s">
        <v>129</v>
      </c>
      <c r="B84">
        <v>19626.446716964201</v>
      </c>
      <c r="C84">
        <v>21409.467281249901</v>
      </c>
      <c r="D84">
        <v>18675.56318125</v>
      </c>
    </row>
    <row r="85" spans="1:4">
      <c r="A85" t="s">
        <v>130</v>
      </c>
      <c r="B85">
        <v>533122.46206160705</v>
      </c>
      <c r="C85">
        <v>528678.36871874903</v>
      </c>
      <c r="D85">
        <v>462282.26341875002</v>
      </c>
    </row>
    <row r="86" spans="1:4">
      <c r="A86" t="s">
        <v>131</v>
      </c>
      <c r="B86">
        <v>17758.677061160699</v>
      </c>
      <c r="C86">
        <v>17879.492765625</v>
      </c>
      <c r="D86">
        <v>15627.797190625</v>
      </c>
    </row>
    <row r="87" spans="1:4">
      <c r="A87" t="s">
        <v>132</v>
      </c>
      <c r="B87">
        <v>533750.91531116003</v>
      </c>
      <c r="C87">
        <v>529509.15651562402</v>
      </c>
      <c r="D87">
        <v>463003.90294062399</v>
      </c>
    </row>
    <row r="88" spans="1:4">
      <c r="A88" t="s">
        <v>133</v>
      </c>
      <c r="B88">
        <v>661600.54382901697</v>
      </c>
      <c r="C88">
        <v>622002.09871874901</v>
      </c>
      <c r="D88">
        <v>543162.82941874897</v>
      </c>
    </row>
    <row r="89" spans="1:4">
      <c r="A89" t="s">
        <v>134</v>
      </c>
      <c r="B89">
        <v>855729.62857142801</v>
      </c>
      <c r="C89">
        <v>836966.27526562405</v>
      </c>
      <c r="D89">
        <v>730116.11169062403</v>
      </c>
    </row>
    <row r="90" spans="1:4">
      <c r="A90" t="s">
        <v>135</v>
      </c>
      <c r="B90">
        <v>21790.3574138392</v>
      </c>
      <c r="C90">
        <v>23884.1230781249</v>
      </c>
      <c r="D90">
        <v>20831.810128124998</v>
      </c>
    </row>
    <row r="91" spans="1:4">
      <c r="A91" s="1" t="s">
        <v>136</v>
      </c>
      <c r="B91">
        <v>19343.727992946398</v>
      </c>
      <c r="C91">
        <v>18222.795253124899</v>
      </c>
      <c r="D91">
        <v>15913.778158125</v>
      </c>
    </row>
    <row r="92" spans="1:4">
      <c r="A92" t="s">
        <v>137</v>
      </c>
      <c r="B92">
        <v>534025.31650267798</v>
      </c>
      <c r="C92">
        <v>529609.00743749901</v>
      </c>
      <c r="D92">
        <v>463095.20596250001</v>
      </c>
    </row>
    <row r="93" spans="1:4">
      <c r="A93" t="s">
        <v>138</v>
      </c>
      <c r="B93">
        <v>943859.101199553</v>
      </c>
      <c r="C93">
        <v>902591.25557812501</v>
      </c>
      <c r="D93">
        <v>786991.09462812403</v>
      </c>
    </row>
    <row r="94" spans="1:4">
      <c r="A94" t="s">
        <v>139</v>
      </c>
      <c r="B94">
        <v>529788.56352544599</v>
      </c>
      <c r="C94">
        <v>523607.78151562402</v>
      </c>
      <c r="D94">
        <v>457889.37794062501</v>
      </c>
    </row>
    <row r="95" spans="1:4">
      <c r="A95" t="s">
        <v>140</v>
      </c>
      <c r="B95">
        <v>15594.8368642857</v>
      </c>
      <c r="C95">
        <v>15404.941968749899</v>
      </c>
      <c r="D95">
        <v>13471.64124375</v>
      </c>
    </row>
    <row r="96" spans="1:4">
      <c r="A96" t="s">
        <v>141</v>
      </c>
      <c r="B96">
        <v>679259.33048526698</v>
      </c>
      <c r="C96">
        <v>704141.25557812396</v>
      </c>
      <c r="D96">
        <v>615001.09462812403</v>
      </c>
    </row>
    <row r="97" spans="1:4">
      <c r="A97" t="s">
        <v>142</v>
      </c>
      <c r="B97">
        <v>17130.1268741071</v>
      </c>
      <c r="C97">
        <v>17048.56059375</v>
      </c>
      <c r="D97">
        <v>14906.03254375</v>
      </c>
    </row>
    <row r="98" spans="1:4">
      <c r="A98" t="s">
        <v>143</v>
      </c>
      <c r="B98">
        <v>533122.39156160702</v>
      </c>
      <c r="C98">
        <v>528678.26371874905</v>
      </c>
      <c r="D98">
        <v>462282.17241875001</v>
      </c>
    </row>
    <row r="99" spans="1:4">
      <c r="A99" t="s">
        <v>144</v>
      </c>
      <c r="B99">
        <v>533122.36512410699</v>
      </c>
      <c r="C99">
        <v>528678.224343749</v>
      </c>
      <c r="D99">
        <v>462282.13829375</v>
      </c>
    </row>
    <row r="100" spans="1:4">
      <c r="A100" t="s">
        <v>145</v>
      </c>
      <c r="B100">
        <v>19626.530435714201</v>
      </c>
      <c r="C100">
        <v>21409.591968749901</v>
      </c>
      <c r="D100">
        <v>18675.671243749999</v>
      </c>
    </row>
    <row r="101" spans="1:4">
      <c r="A101" t="s">
        <v>146</v>
      </c>
      <c r="B101">
        <v>662186.77055669599</v>
      </c>
      <c r="C101">
        <v>622686.82762499899</v>
      </c>
      <c r="D101">
        <v>543756.26113749901</v>
      </c>
    </row>
    <row r="102" spans="1:4">
      <c r="A102" t="s">
        <v>147</v>
      </c>
      <c r="B102">
        <v>19411.1233396428</v>
      </c>
      <c r="C102">
        <v>21069.1860749999</v>
      </c>
      <c r="D102">
        <v>18380.955044999999</v>
      </c>
    </row>
    <row r="103" spans="1:4">
      <c r="A103" t="s">
        <v>148</v>
      </c>
      <c r="B103">
        <v>529788.55030669598</v>
      </c>
      <c r="C103">
        <v>523607.761828124</v>
      </c>
      <c r="D103">
        <v>457889.36087812501</v>
      </c>
    </row>
    <row r="104" spans="1:4">
      <c r="A104" t="s">
        <v>149</v>
      </c>
      <c r="B104">
        <v>17199.468659821399</v>
      </c>
      <c r="C104">
        <v>17151.8355937499</v>
      </c>
      <c r="D104">
        <v>14995.537543750001</v>
      </c>
    </row>
    <row r="105" spans="1:4">
      <c r="A105" t="s">
        <v>150</v>
      </c>
      <c r="B105">
        <v>662186.78377544601</v>
      </c>
      <c r="C105">
        <v>622687.38871874905</v>
      </c>
      <c r="D105">
        <v>543756.74741874903</v>
      </c>
    </row>
    <row r="106" spans="1:4">
      <c r="A106" t="s">
        <v>151</v>
      </c>
      <c r="B106">
        <v>662186.501775446</v>
      </c>
      <c r="C106">
        <v>622687.49371874903</v>
      </c>
      <c r="D106">
        <v>543756.83841874904</v>
      </c>
    </row>
    <row r="107" spans="1:4">
      <c r="A107" t="s">
        <v>152</v>
      </c>
      <c r="B107">
        <v>19342.707668392799</v>
      </c>
      <c r="C107">
        <v>18221.9013937499</v>
      </c>
      <c r="D107">
        <v>15912.993823749999</v>
      </c>
    </row>
    <row r="108" spans="1:4">
      <c r="A108" t="s">
        <v>153</v>
      </c>
      <c r="B108">
        <v>19341.555327410701</v>
      </c>
      <c r="C108">
        <v>18220.3535531249</v>
      </c>
      <c r="D108">
        <v>15911.649763125</v>
      </c>
    </row>
    <row r="109" spans="1:4">
      <c r="A109" t="s">
        <v>154</v>
      </c>
      <c r="B109">
        <v>533551.39141830301</v>
      </c>
      <c r="C109">
        <v>528974.43042187404</v>
      </c>
      <c r="D109">
        <v>462544.13947187399</v>
      </c>
    </row>
    <row r="110" spans="1:4">
      <c r="A110" t="s">
        <v>155</v>
      </c>
      <c r="B110">
        <v>20889.3718200892</v>
      </c>
      <c r="C110">
        <v>19780.457296875</v>
      </c>
      <c r="D110">
        <v>17275.238096875</v>
      </c>
    </row>
    <row r="111" spans="1:4">
      <c r="A111" t="s">
        <v>156</v>
      </c>
      <c r="B111">
        <v>19411.136558392802</v>
      </c>
      <c r="C111">
        <v>21069.2057624999</v>
      </c>
      <c r="D111">
        <v>18380.972107500002</v>
      </c>
    </row>
    <row r="112" spans="1:4">
      <c r="A112" t="s">
        <v>157</v>
      </c>
      <c r="B112">
        <v>19626.3762169642</v>
      </c>
      <c r="C112">
        <v>21409.362281249902</v>
      </c>
      <c r="D112">
        <v>18675.472181249901</v>
      </c>
    </row>
    <row r="113" spans="1:4">
      <c r="A113" t="s">
        <v>158</v>
      </c>
      <c r="B113">
        <v>19626.389435714202</v>
      </c>
      <c r="C113">
        <v>21409.38196875</v>
      </c>
      <c r="D113">
        <v>18675.489243749998</v>
      </c>
    </row>
    <row r="114" spans="1:4">
      <c r="A114" t="s">
        <v>159</v>
      </c>
      <c r="B114">
        <v>15594.779583035701</v>
      </c>
      <c r="C114">
        <v>15404.8566562499</v>
      </c>
      <c r="D114">
        <v>13471.567306249999</v>
      </c>
    </row>
    <row r="115" spans="1:4">
      <c r="A115" t="s">
        <v>160</v>
      </c>
      <c r="B115">
        <v>20744.1691857142</v>
      </c>
      <c r="C115">
        <v>22408.495875000001</v>
      </c>
      <c r="D115">
        <v>19551.659775</v>
      </c>
    </row>
    <row r="116" spans="1:4">
      <c r="A116" t="s">
        <v>161</v>
      </c>
      <c r="B116">
        <v>17460.915275446401</v>
      </c>
      <c r="C116">
        <v>17436.0177656249</v>
      </c>
      <c r="D116">
        <v>15243.452190624999</v>
      </c>
    </row>
    <row r="117" spans="1:4">
      <c r="A117" t="s">
        <v>162</v>
      </c>
      <c r="B117">
        <v>19624.892274196402</v>
      </c>
      <c r="C117">
        <v>21407.320565624901</v>
      </c>
      <c r="D117">
        <v>18673.700095625001</v>
      </c>
    </row>
    <row r="118" spans="1:4">
      <c r="A118" t="s">
        <v>163</v>
      </c>
      <c r="B118">
        <v>661600.53061026696</v>
      </c>
      <c r="C118">
        <v>622002.01668749901</v>
      </c>
      <c r="D118">
        <v>543162.75832499901</v>
      </c>
    </row>
    <row r="119" spans="1:4">
      <c r="A119" t="s">
        <v>164</v>
      </c>
      <c r="B119">
        <v>661600.53061026696</v>
      </c>
      <c r="C119">
        <v>622002.01668749901</v>
      </c>
      <c r="D119">
        <v>543162.75832499901</v>
      </c>
    </row>
    <row r="120" spans="1:4">
      <c r="A120" t="s">
        <v>165</v>
      </c>
      <c r="B120">
        <v>21342.950074107099</v>
      </c>
      <c r="C120">
        <v>23232.9324375</v>
      </c>
      <c r="D120">
        <v>20267.210962500001</v>
      </c>
    </row>
    <row r="121" spans="1:4">
      <c r="A121" t="s">
        <v>166</v>
      </c>
      <c r="B121">
        <v>19345.198716964202</v>
      </c>
      <c r="C121">
        <v>18224.8172812499</v>
      </c>
      <c r="D121">
        <v>15915.533181250001</v>
      </c>
    </row>
    <row r="122" spans="1:4">
      <c r="A122" t="s">
        <v>167</v>
      </c>
      <c r="B122">
        <v>21161.749945535699</v>
      </c>
      <c r="C122">
        <v>23053.1055937499</v>
      </c>
      <c r="D122">
        <v>20109.971543750002</v>
      </c>
    </row>
    <row r="123" spans="1:4">
      <c r="A123" t="s">
        <v>168</v>
      </c>
      <c r="B123">
        <v>21841.906645535699</v>
      </c>
      <c r="C123">
        <v>21093.919781249901</v>
      </c>
      <c r="D123">
        <v>18415.195681249901</v>
      </c>
    </row>
    <row r="124" spans="1:4">
      <c r="A124" s="1" t="s">
        <v>169</v>
      </c>
      <c r="B124">
        <v>20869.024989732101</v>
      </c>
      <c r="C124">
        <v>22598.355421875</v>
      </c>
      <c r="D124">
        <v>19716.144471874901</v>
      </c>
    </row>
    <row r="125" spans="1:4">
      <c r="A125" t="s">
        <v>170</v>
      </c>
      <c r="B125">
        <v>855729.62857142801</v>
      </c>
      <c r="C125">
        <v>836966.25557812501</v>
      </c>
      <c r="D125">
        <v>730116.09462812403</v>
      </c>
    </row>
    <row r="126" spans="1:4">
      <c r="A126" t="s">
        <v>171</v>
      </c>
      <c r="B126">
        <v>662229.13807857095</v>
      </c>
      <c r="C126">
        <v>622833.03417187405</v>
      </c>
      <c r="D126">
        <v>543884.596909374</v>
      </c>
    </row>
    <row r="127" spans="1:4">
      <c r="A127" t="s">
        <v>172</v>
      </c>
      <c r="B127">
        <v>17130.056374107098</v>
      </c>
      <c r="C127">
        <v>17048.455593749899</v>
      </c>
      <c r="D127">
        <v>14905.941543749999</v>
      </c>
    </row>
    <row r="128" spans="1:4">
      <c r="A128" t="s">
        <v>173</v>
      </c>
      <c r="B128">
        <v>661600.98547589197</v>
      </c>
      <c r="C128">
        <v>622002.60403124895</v>
      </c>
      <c r="D128">
        <v>543163.26735624904</v>
      </c>
    </row>
    <row r="129" spans="1:4">
      <c r="A129" t="s">
        <v>174</v>
      </c>
      <c r="B129">
        <v>661600.373338392</v>
      </c>
      <c r="C129">
        <v>622001.849343749</v>
      </c>
      <c r="D129">
        <v>543162.61329374905</v>
      </c>
    </row>
    <row r="130" spans="1:4">
      <c r="A130" t="s">
        <v>175</v>
      </c>
      <c r="B130">
        <v>19343.644274196398</v>
      </c>
      <c r="C130">
        <v>18222.6705656249</v>
      </c>
      <c r="D130">
        <v>15913.670095625001</v>
      </c>
    </row>
    <row r="131" spans="1:4">
      <c r="A131" t="s">
        <v>176</v>
      </c>
      <c r="B131">
        <v>661600.98547589197</v>
      </c>
      <c r="C131">
        <v>622002.60403124895</v>
      </c>
      <c r="D131">
        <v>543163.26735624904</v>
      </c>
    </row>
    <row r="132" spans="1:4">
      <c r="A132" t="s">
        <v>177</v>
      </c>
      <c r="B132">
        <v>21161.904164285701</v>
      </c>
      <c r="C132">
        <v>23053.3352812499</v>
      </c>
      <c r="D132">
        <v>20110.170606250002</v>
      </c>
    </row>
    <row r="133" spans="1:4">
      <c r="A133" t="s">
        <v>178</v>
      </c>
      <c r="B133">
        <v>19411.277558392801</v>
      </c>
      <c r="C133">
        <v>21069.415762500001</v>
      </c>
      <c r="D133">
        <v>18381.154107499999</v>
      </c>
    </row>
    <row r="134" spans="1:4">
      <c r="A134" t="s">
        <v>179</v>
      </c>
      <c r="B134">
        <v>17199.4113785714</v>
      </c>
      <c r="C134">
        <v>17151.750281249901</v>
      </c>
      <c r="D134">
        <v>14995.463606249999</v>
      </c>
    </row>
    <row r="135" spans="1:4">
      <c r="A135" t="s">
        <v>180</v>
      </c>
      <c r="B135">
        <v>662186.48855669599</v>
      </c>
      <c r="C135">
        <v>622687.47403124894</v>
      </c>
      <c r="D135">
        <v>543756.82135624904</v>
      </c>
    </row>
    <row r="136" spans="1:4">
      <c r="A136" t="s">
        <v>181</v>
      </c>
      <c r="B136">
        <v>19345.225154464199</v>
      </c>
      <c r="C136">
        <v>18224.8566562499</v>
      </c>
      <c r="D136">
        <v>15915.567306249999</v>
      </c>
    </row>
    <row r="137" spans="1:4">
      <c r="A137" t="s">
        <v>182</v>
      </c>
      <c r="B137">
        <v>17130.2105928571</v>
      </c>
      <c r="C137">
        <v>17048.68528125</v>
      </c>
      <c r="D137">
        <v>14906.140606249999</v>
      </c>
    </row>
    <row r="138" spans="1:4">
      <c r="A138" t="s">
        <v>183</v>
      </c>
      <c r="B138">
        <v>534025.40022142802</v>
      </c>
      <c r="C138">
        <v>529609.13212499896</v>
      </c>
      <c r="D138">
        <v>463095.31402499898</v>
      </c>
    </row>
    <row r="139" spans="1:4">
      <c r="A139" t="s">
        <v>184</v>
      </c>
      <c r="B139">
        <v>661600.68482901703</v>
      </c>
      <c r="C139">
        <v>622002.24637499906</v>
      </c>
      <c r="D139">
        <v>543162.95738749905</v>
      </c>
    </row>
    <row r="140" spans="1:4">
      <c r="A140" s="1" t="s">
        <v>185</v>
      </c>
      <c r="B140">
        <v>662228.91030669597</v>
      </c>
      <c r="C140">
        <v>622832.76182812406</v>
      </c>
      <c r="D140">
        <v>543884.36087812402</v>
      </c>
    </row>
    <row r="141" spans="1:4">
      <c r="A141" t="s">
        <v>186</v>
      </c>
      <c r="B141">
        <v>20880.656164285701</v>
      </c>
      <c r="C141">
        <v>19868.68528125</v>
      </c>
      <c r="D141">
        <v>17350.140606249999</v>
      </c>
    </row>
    <row r="142" spans="1:4">
      <c r="A142" t="s">
        <v>187</v>
      </c>
      <c r="B142">
        <v>19345.2956544642</v>
      </c>
      <c r="C142">
        <v>18224.9616562499</v>
      </c>
      <c r="D142">
        <v>15915.658306249999</v>
      </c>
    </row>
    <row r="143" spans="1:4">
      <c r="A143" t="s">
        <v>188</v>
      </c>
      <c r="B143">
        <v>661600.39198526705</v>
      </c>
      <c r="C143">
        <v>622002.05934374896</v>
      </c>
      <c r="D143">
        <v>543162.79529375001</v>
      </c>
    </row>
    <row r="144" spans="1:4">
      <c r="A144" t="s">
        <v>189</v>
      </c>
      <c r="B144">
        <v>15593.282421517801</v>
      </c>
      <c r="C144">
        <v>15402.795253124899</v>
      </c>
      <c r="D144">
        <v>13469.778158125</v>
      </c>
    </row>
    <row r="145" spans="1:4">
      <c r="A145" t="s">
        <v>190</v>
      </c>
      <c r="B145">
        <v>19345.1282169642</v>
      </c>
      <c r="C145">
        <v>18224.7122812499</v>
      </c>
      <c r="D145">
        <v>15915.44218125</v>
      </c>
    </row>
    <row r="146" spans="1:4">
      <c r="A146" t="s">
        <v>191</v>
      </c>
      <c r="B146">
        <v>19427.260611517799</v>
      </c>
      <c r="C146">
        <v>21089.316215624902</v>
      </c>
      <c r="D146">
        <v>18398.461410625001</v>
      </c>
    </row>
    <row r="147" spans="1:4">
      <c r="A147" t="s">
        <v>192</v>
      </c>
      <c r="B147">
        <v>766692.49048526702</v>
      </c>
      <c r="C147">
        <v>769766.25557812396</v>
      </c>
      <c r="D147">
        <v>671876.09462812403</v>
      </c>
    </row>
    <row r="148" spans="1:4">
      <c r="A148" t="s">
        <v>193</v>
      </c>
      <c r="B148">
        <v>19411.2907771428</v>
      </c>
      <c r="C148">
        <v>21069.435449999899</v>
      </c>
      <c r="D148">
        <v>18381.171170000001</v>
      </c>
    </row>
    <row r="149" spans="1:4">
      <c r="A149" t="s">
        <v>194</v>
      </c>
      <c r="B149">
        <v>533122.29462410696</v>
      </c>
      <c r="C149">
        <v>528678.11934374901</v>
      </c>
      <c r="D149">
        <v>462282.047293749</v>
      </c>
    </row>
    <row r="150" spans="1:4">
      <c r="A150" t="s">
        <v>195</v>
      </c>
      <c r="B150">
        <v>20869.0822709821</v>
      </c>
      <c r="C150">
        <v>22598.440734374901</v>
      </c>
      <c r="D150">
        <v>19716.218409375</v>
      </c>
    </row>
    <row r="151" spans="1:4">
      <c r="A151" t="s">
        <v>196</v>
      </c>
      <c r="B151">
        <v>21421.3281678571</v>
      </c>
      <c r="C151">
        <v>23315.7282187499</v>
      </c>
      <c r="D151">
        <v>20339.490993750002</v>
      </c>
    </row>
    <row r="152" spans="1:4">
      <c r="A152" t="s">
        <v>197</v>
      </c>
      <c r="B152">
        <v>17828.0188468749</v>
      </c>
      <c r="C152">
        <v>17982.7677656249</v>
      </c>
      <c r="D152">
        <v>15717.302190625</v>
      </c>
    </row>
    <row r="153" spans="1:4">
      <c r="A153" t="s">
        <v>198</v>
      </c>
      <c r="B153">
        <v>661600.35029776697</v>
      </c>
      <c r="C153">
        <v>622002.18403124902</v>
      </c>
      <c r="D153">
        <v>543162.90335624898</v>
      </c>
    </row>
    <row r="154" spans="1:4">
      <c r="A154" t="s">
        <v>199</v>
      </c>
      <c r="B154">
        <v>533122.30784285697</v>
      </c>
      <c r="C154">
        <v>528678.13903124898</v>
      </c>
      <c r="D154">
        <v>462282.064356249</v>
      </c>
    </row>
    <row r="155" spans="1:4">
      <c r="A155" t="s">
        <v>200</v>
      </c>
      <c r="B155">
        <v>17199.398159821401</v>
      </c>
      <c r="C155">
        <v>17151.7305937499</v>
      </c>
      <c r="D155">
        <v>14995.44654375</v>
      </c>
    </row>
    <row r="156" spans="1:4">
      <c r="A156" t="s">
        <v>201</v>
      </c>
      <c r="B156">
        <v>684017.88263660704</v>
      </c>
      <c r="C156">
        <v>710885.69165624899</v>
      </c>
      <c r="D156">
        <v>620851.56180625001</v>
      </c>
    </row>
    <row r="157" spans="1:4">
      <c r="A157" t="s">
        <v>202</v>
      </c>
      <c r="B157">
        <v>17130.0695928571</v>
      </c>
      <c r="C157">
        <v>17048.475281249899</v>
      </c>
      <c r="D157">
        <v>14905.95860625</v>
      </c>
    </row>
    <row r="158" spans="1:4">
      <c r="A158" t="s">
        <v>203</v>
      </c>
      <c r="B158">
        <v>20880.515164285702</v>
      </c>
      <c r="C158">
        <v>19868.475281249899</v>
      </c>
      <c r="D158">
        <v>17349.958606249998</v>
      </c>
    </row>
    <row r="159" spans="1:4">
      <c r="A159" t="s">
        <v>204</v>
      </c>
      <c r="B159">
        <v>21161.917383035699</v>
      </c>
      <c r="C159">
        <v>23053.3549687499</v>
      </c>
      <c r="D159">
        <v>20110.187668750001</v>
      </c>
    </row>
    <row r="160" spans="1:4">
      <c r="A160" t="s">
        <v>205</v>
      </c>
      <c r="B160">
        <v>20869.011770982099</v>
      </c>
      <c r="C160">
        <v>22598.335734374901</v>
      </c>
      <c r="D160">
        <v>19716.127409375</v>
      </c>
    </row>
    <row r="161" spans="1:4">
      <c r="A161" t="s">
        <v>206</v>
      </c>
      <c r="B161">
        <v>533551.47513705306</v>
      </c>
      <c r="C161">
        <v>528974.55510937399</v>
      </c>
      <c r="D161">
        <v>462544.247534375</v>
      </c>
    </row>
    <row r="162" spans="1:4">
      <c r="A162" t="s">
        <v>207</v>
      </c>
      <c r="B162">
        <v>19345.3692075892</v>
      </c>
      <c r="C162">
        <v>18225.066656249899</v>
      </c>
      <c r="D162">
        <v>15915.74930625</v>
      </c>
    </row>
    <row r="163" spans="1:4">
      <c r="A163" t="s">
        <v>208</v>
      </c>
      <c r="B163">
        <v>943855.659965178</v>
      </c>
      <c r="C163">
        <v>902591.25557812501</v>
      </c>
      <c r="D163">
        <v>786991.09462812403</v>
      </c>
    </row>
    <row r="164" spans="1:4">
      <c r="A164" t="s">
        <v>209</v>
      </c>
      <c r="B164">
        <v>533551.54563705297</v>
      </c>
      <c r="C164">
        <v>528974.66010937397</v>
      </c>
      <c r="D164">
        <v>462544.33853437501</v>
      </c>
    </row>
    <row r="165" spans="1:4">
      <c r="A165" t="s">
        <v>210</v>
      </c>
      <c r="B165">
        <v>19342.778168392801</v>
      </c>
      <c r="C165">
        <v>18222.0063937499</v>
      </c>
      <c r="D165">
        <v>15913.084823749999</v>
      </c>
    </row>
    <row r="166" spans="1:4">
      <c r="A166" t="s">
        <v>211</v>
      </c>
      <c r="B166">
        <v>533122.44884285703</v>
      </c>
      <c r="C166">
        <v>528678.34903124894</v>
      </c>
      <c r="D166">
        <v>462282.24635625002</v>
      </c>
    </row>
    <row r="167" spans="1:4">
      <c r="A167" t="s">
        <v>212</v>
      </c>
      <c r="B167">
        <v>17130.1533116071</v>
      </c>
      <c r="C167">
        <v>17048.599968749899</v>
      </c>
      <c r="D167">
        <v>14906.06666875</v>
      </c>
    </row>
    <row r="168" spans="1:4">
      <c r="A168" t="s">
        <v>213</v>
      </c>
      <c r="B168">
        <v>15593.198702767801</v>
      </c>
      <c r="C168">
        <v>15402.6705656249</v>
      </c>
      <c r="D168">
        <v>13469.670095625001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D168"/>
  <sheetViews>
    <sheetView workbookViewId="0">
      <selection activeCell="A2" sqref="A2:D168"/>
    </sheetView>
  </sheetViews>
  <sheetFormatPr baseColWidth="10" defaultRowHeight="15" x14ac:dyDescent="0"/>
  <cols>
    <col min="1" max="1" width="33.83203125" bestFit="1" customWidth="1"/>
    <col min="2" max="4" width="12.1640625" bestFit="1" customWidth="1"/>
  </cols>
  <sheetData>
    <row r="1" spans="1:4">
      <c r="A1" s="12" t="s">
        <v>368</v>
      </c>
      <c r="B1" s="12" t="s">
        <v>2</v>
      </c>
      <c r="C1" s="12" t="s">
        <v>3</v>
      </c>
      <c r="D1" s="12" t="s">
        <v>4</v>
      </c>
    </row>
    <row r="2" spans="1:4">
      <c r="A2" t="s">
        <v>47</v>
      </c>
      <c r="B2">
        <v>661265.94439151697</v>
      </c>
      <c r="C2">
        <v>1427879.4166875</v>
      </c>
      <c r="D2">
        <v>1241589.8383249899</v>
      </c>
    </row>
    <row r="3" spans="1:4">
      <c r="A3" t="s">
        <v>48</v>
      </c>
      <c r="B3">
        <v>661265.529182142</v>
      </c>
      <c r="C3">
        <v>1427878.9113749899</v>
      </c>
      <c r="D3">
        <v>1241589.4003874899</v>
      </c>
    </row>
    <row r="4" spans="1:4">
      <c r="A4" t="s">
        <v>49</v>
      </c>
      <c r="B4">
        <v>855729.62857142801</v>
      </c>
      <c r="C4">
        <v>1627430.6497968701</v>
      </c>
      <c r="D4">
        <v>1415185.2362843701</v>
      </c>
    </row>
    <row r="5" spans="1:4">
      <c r="A5" t="s">
        <v>50</v>
      </c>
      <c r="B5">
        <v>661519.26333794603</v>
      </c>
      <c r="C5">
        <v>1428191.6285625</v>
      </c>
      <c r="D5">
        <v>1241860.4219500001</v>
      </c>
    </row>
    <row r="6" spans="1:4">
      <c r="A6" t="s">
        <v>51</v>
      </c>
      <c r="B6">
        <v>877585.12240267801</v>
      </c>
      <c r="C6">
        <v>1643705.68260937</v>
      </c>
      <c r="D6">
        <v>1429290.26472187</v>
      </c>
    </row>
    <row r="7" spans="1:4">
      <c r="A7" t="s">
        <v>52</v>
      </c>
      <c r="B7">
        <v>612713.70632901695</v>
      </c>
      <c r="C7">
        <v>1445255.68260937</v>
      </c>
      <c r="D7">
        <v>1257300.26472187</v>
      </c>
    </row>
    <row r="8" spans="1:4">
      <c r="A8" t="s">
        <v>53</v>
      </c>
      <c r="B8">
        <v>16974.965121875</v>
      </c>
      <c r="C8">
        <v>873130.30926562496</v>
      </c>
      <c r="D8">
        <v>756844.40296562505</v>
      </c>
    </row>
    <row r="9" spans="1:4">
      <c r="A9" t="s">
        <v>54</v>
      </c>
      <c r="B9">
        <v>17111.651837500001</v>
      </c>
      <c r="C9">
        <v>873349.06134374999</v>
      </c>
      <c r="D9">
        <v>757035.04636875005</v>
      </c>
    </row>
    <row r="10" spans="1:4">
      <c r="A10" t="s">
        <v>55</v>
      </c>
      <c r="B10">
        <v>15622.5091101785</v>
      </c>
      <c r="C10">
        <v>871919.18773124903</v>
      </c>
      <c r="D10">
        <v>755784.28981374903</v>
      </c>
    </row>
    <row r="11" spans="1:4">
      <c r="A11" t="s">
        <v>56</v>
      </c>
      <c r="B11">
        <v>529550.24563214194</v>
      </c>
      <c r="C11">
        <v>1329486.80353125</v>
      </c>
      <c r="D11">
        <v>1156323.1529312499</v>
      </c>
    </row>
    <row r="12" spans="1:4">
      <c r="A12" t="s">
        <v>57</v>
      </c>
      <c r="B12">
        <v>17044.033806250001</v>
      </c>
      <c r="C12">
        <v>873303.23868750001</v>
      </c>
      <c r="D12">
        <v>756994.80971249996</v>
      </c>
    </row>
    <row r="13" spans="1:4">
      <c r="A13" t="s">
        <v>58</v>
      </c>
      <c r="B13">
        <v>16864.5363785714</v>
      </c>
      <c r="C13">
        <v>873028.51950000005</v>
      </c>
      <c r="D13">
        <v>756755.33026249905</v>
      </c>
    </row>
    <row r="14" spans="1:4">
      <c r="A14" t="s">
        <v>59</v>
      </c>
      <c r="B14">
        <v>17074.1963379464</v>
      </c>
      <c r="C14">
        <v>873319.32979687501</v>
      </c>
      <c r="D14">
        <v>757008.98928437405</v>
      </c>
    </row>
    <row r="15" spans="1:4">
      <c r="A15" t="s">
        <v>60</v>
      </c>
      <c r="B15">
        <v>661266.03251651698</v>
      </c>
      <c r="C15">
        <v>1427879.4823125</v>
      </c>
      <c r="D15">
        <v>1241589.8951999899</v>
      </c>
    </row>
    <row r="16" spans="1:4">
      <c r="A16" t="s">
        <v>61</v>
      </c>
      <c r="B16">
        <v>661266.15792276699</v>
      </c>
      <c r="C16">
        <v>1427879.4823125</v>
      </c>
      <c r="D16">
        <v>1241589.8951999899</v>
      </c>
    </row>
    <row r="17" spans="1:4">
      <c r="A17" t="s">
        <v>62</v>
      </c>
      <c r="B17">
        <v>20824.6859718749</v>
      </c>
      <c r="C17">
        <v>876139.36260937504</v>
      </c>
      <c r="D17">
        <v>759453.01772187499</v>
      </c>
    </row>
    <row r="18" spans="1:4">
      <c r="A18" t="s">
        <v>63</v>
      </c>
      <c r="B18">
        <v>15583.439783928499</v>
      </c>
      <c r="C18">
        <v>871888.17506250006</v>
      </c>
      <c r="D18">
        <v>755757.109925</v>
      </c>
    </row>
    <row r="19" spans="1:4">
      <c r="A19" t="s">
        <v>64</v>
      </c>
      <c r="B19">
        <v>17074.240400446401</v>
      </c>
      <c r="C19">
        <v>873319.36260937504</v>
      </c>
      <c r="D19">
        <v>757009.01772187406</v>
      </c>
    </row>
    <row r="20" spans="1:4">
      <c r="A20" t="s">
        <v>65</v>
      </c>
      <c r="B20">
        <v>20615.0260124999</v>
      </c>
      <c r="C20">
        <v>875848.55231249996</v>
      </c>
      <c r="D20">
        <v>759199.35869999905</v>
      </c>
    </row>
    <row r="21" spans="1:4">
      <c r="A21" t="s">
        <v>66</v>
      </c>
      <c r="B21">
        <v>15622.129499553501</v>
      </c>
      <c r="C21">
        <v>871918.57607812504</v>
      </c>
      <c r="D21">
        <v>755783.75711562403</v>
      </c>
    </row>
    <row r="22" spans="1:4">
      <c r="A22" t="s">
        <v>67</v>
      </c>
      <c r="B22">
        <v>612713.66226651706</v>
      </c>
      <c r="C22">
        <v>1445255.6497968701</v>
      </c>
      <c r="D22">
        <v>1257300.2362843701</v>
      </c>
    </row>
    <row r="23" spans="1:4">
      <c r="A23" t="s">
        <v>68</v>
      </c>
      <c r="B23">
        <v>661265.48511964199</v>
      </c>
      <c r="C23">
        <v>1427878.8785625</v>
      </c>
      <c r="D23">
        <v>1241589.3719500001</v>
      </c>
    </row>
    <row r="24" spans="1:4">
      <c r="A24" t="s">
        <v>69</v>
      </c>
      <c r="B24">
        <v>633931.50382901705</v>
      </c>
      <c r="C24">
        <v>1461530.68260937</v>
      </c>
      <c r="D24">
        <v>1271405.26472187</v>
      </c>
    </row>
    <row r="25" spans="1:4">
      <c r="A25" t="s">
        <v>70</v>
      </c>
      <c r="B25">
        <v>15622.553172678499</v>
      </c>
      <c r="C25">
        <v>871919.22054374998</v>
      </c>
      <c r="D25">
        <v>755784.31825124903</v>
      </c>
    </row>
    <row r="26" spans="1:4">
      <c r="A26" t="s">
        <v>71</v>
      </c>
      <c r="B26">
        <v>15622.217624553499</v>
      </c>
      <c r="C26">
        <v>871918.64170312497</v>
      </c>
      <c r="D26">
        <v>755783.81399062404</v>
      </c>
    </row>
    <row r="27" spans="1:4">
      <c r="A27" t="s">
        <v>72</v>
      </c>
      <c r="B27">
        <v>661519.26333794603</v>
      </c>
      <c r="C27">
        <v>1428191.5268437399</v>
      </c>
      <c r="D27">
        <v>1241860.33379375</v>
      </c>
    </row>
    <row r="28" spans="1:4">
      <c r="A28" t="s">
        <v>73</v>
      </c>
      <c r="B28">
        <v>528657.643557142</v>
      </c>
      <c r="C28">
        <v>1328653.8457499901</v>
      </c>
      <c r="D28">
        <v>1155594.3435124899</v>
      </c>
    </row>
    <row r="29" spans="1:4">
      <c r="A29" t="s">
        <v>74</v>
      </c>
      <c r="B29">
        <v>529550.28969464195</v>
      </c>
      <c r="C29">
        <v>1329486.8363437401</v>
      </c>
      <c r="D29">
        <v>1156323.1813687501</v>
      </c>
    </row>
    <row r="30" spans="1:4">
      <c r="A30" t="s">
        <v>75</v>
      </c>
      <c r="B30">
        <v>661266.03251651698</v>
      </c>
      <c r="C30">
        <v>1427879.55121875</v>
      </c>
      <c r="D30">
        <v>1241589.9549187501</v>
      </c>
    </row>
    <row r="31" spans="1:4">
      <c r="A31" t="s">
        <v>76</v>
      </c>
      <c r="B31">
        <v>15630.243663303499</v>
      </c>
      <c r="C31">
        <v>871932.573496875</v>
      </c>
      <c r="D31">
        <v>755795.95105437399</v>
      </c>
    </row>
    <row r="32" spans="1:4">
      <c r="A32" t="s">
        <v>77</v>
      </c>
      <c r="B32">
        <v>661519.93614107103</v>
      </c>
      <c r="C32">
        <v>1428192.3340312501</v>
      </c>
      <c r="D32">
        <v>1241861.03335625</v>
      </c>
    </row>
    <row r="33" spans="1:4">
      <c r="A33" t="s">
        <v>78</v>
      </c>
      <c r="B33">
        <v>19333.9294178571</v>
      </c>
      <c r="C33">
        <v>874708.20787499903</v>
      </c>
      <c r="D33">
        <v>758201.13836249895</v>
      </c>
    </row>
    <row r="34" spans="1:4">
      <c r="A34" t="s">
        <v>79</v>
      </c>
      <c r="B34">
        <v>661265.44105714199</v>
      </c>
      <c r="C34">
        <v>1427878.8457500001</v>
      </c>
      <c r="D34">
        <v>1241589.3435124899</v>
      </c>
    </row>
    <row r="35" spans="1:4">
      <c r="A35" t="s">
        <v>80</v>
      </c>
      <c r="B35">
        <v>529340.62973526702</v>
      </c>
      <c r="C35">
        <v>1329196.02604687</v>
      </c>
      <c r="D35">
        <v>1156069.52234687</v>
      </c>
    </row>
    <row r="36" spans="1:4">
      <c r="A36" t="s">
        <v>81</v>
      </c>
      <c r="B36">
        <v>16864.580441071401</v>
      </c>
      <c r="C36">
        <v>873028.55231249996</v>
      </c>
      <c r="D36">
        <v>756755.35869999905</v>
      </c>
    </row>
    <row r="37" spans="1:4">
      <c r="A37" t="s">
        <v>82</v>
      </c>
      <c r="B37">
        <v>877588.42704330303</v>
      </c>
      <c r="C37">
        <v>1643705.68260937</v>
      </c>
      <c r="D37">
        <v>1429290.26472187</v>
      </c>
    </row>
    <row r="38" spans="1:4">
      <c r="A38" t="s">
        <v>83</v>
      </c>
      <c r="B38">
        <v>20614.981950000001</v>
      </c>
      <c r="C38">
        <v>875848.51950000005</v>
      </c>
      <c r="D38">
        <v>759199.33026249998</v>
      </c>
    </row>
    <row r="39" spans="1:4">
      <c r="A39" t="s">
        <v>84</v>
      </c>
      <c r="B39">
        <v>17074.1963379464</v>
      </c>
      <c r="C39">
        <v>873319.32979687501</v>
      </c>
      <c r="D39">
        <v>757008.98928437405</v>
      </c>
    </row>
    <row r="40" spans="1:4">
      <c r="A40" t="s">
        <v>85</v>
      </c>
      <c r="B40">
        <v>529413.60297901696</v>
      </c>
      <c r="C40">
        <v>1329268.08426562</v>
      </c>
      <c r="D40">
        <v>1156132.5379656199</v>
      </c>
    </row>
    <row r="41" spans="1:4">
      <c r="A41" t="s">
        <v>86</v>
      </c>
      <c r="B41">
        <v>16974.921059374901</v>
      </c>
      <c r="C41">
        <v>873130.27645312506</v>
      </c>
      <c r="D41">
        <v>756844.374528124</v>
      </c>
    </row>
    <row r="42" spans="1:4">
      <c r="A42" t="s">
        <v>87</v>
      </c>
      <c r="B42">
        <v>20615.485284375001</v>
      </c>
      <c r="C42">
        <v>875849.09043750004</v>
      </c>
      <c r="D42">
        <v>759199.82507499994</v>
      </c>
    </row>
    <row r="43" spans="1:4">
      <c r="A43" t="s">
        <v>88</v>
      </c>
      <c r="B43">
        <v>20615.070075</v>
      </c>
      <c r="C43">
        <v>875848.58512499998</v>
      </c>
      <c r="D43">
        <v>759199.38713749999</v>
      </c>
    </row>
    <row r="44" spans="1:4">
      <c r="A44" t="s">
        <v>89</v>
      </c>
      <c r="B44">
        <v>661266.03251651698</v>
      </c>
      <c r="C44">
        <v>1427879.55121875</v>
      </c>
      <c r="D44">
        <v>1241589.9549187501</v>
      </c>
    </row>
    <row r="45" spans="1:4">
      <c r="A45" t="s">
        <v>90</v>
      </c>
      <c r="B45">
        <v>612713.70632901695</v>
      </c>
      <c r="C45">
        <v>1445255.68260937</v>
      </c>
      <c r="D45">
        <v>1257300.26472187</v>
      </c>
    </row>
    <row r="46" spans="1:4">
      <c r="A46" t="s">
        <v>91</v>
      </c>
      <c r="B46">
        <v>529340.58567276702</v>
      </c>
      <c r="C46">
        <v>1329195.9932343699</v>
      </c>
      <c r="D46">
        <v>1156069.4939093699</v>
      </c>
    </row>
    <row r="47" spans="1:4">
      <c r="A47" t="s">
        <v>92</v>
      </c>
      <c r="B47">
        <v>15583.5279089285</v>
      </c>
      <c r="C47">
        <v>871888.24068749906</v>
      </c>
      <c r="D47">
        <v>755757.16680000001</v>
      </c>
    </row>
    <row r="48" spans="1:4">
      <c r="A48" t="s">
        <v>93</v>
      </c>
      <c r="B48">
        <v>21026.336837499901</v>
      </c>
      <c r="C48">
        <v>876338.48493749998</v>
      </c>
      <c r="D48">
        <v>759627.15214999905</v>
      </c>
    </row>
    <row r="49" spans="1:4">
      <c r="A49" t="s">
        <v>94</v>
      </c>
      <c r="B49">
        <v>20824.641909375001</v>
      </c>
      <c r="C49">
        <v>876139.32979687501</v>
      </c>
      <c r="D49">
        <v>759452.98928437405</v>
      </c>
    </row>
    <row r="50" spans="1:4">
      <c r="A50" t="s">
        <v>95</v>
      </c>
      <c r="B50">
        <v>16864.580441071401</v>
      </c>
      <c r="C50">
        <v>873028.55231249996</v>
      </c>
      <c r="D50">
        <v>756755.35869999905</v>
      </c>
    </row>
    <row r="51" spans="1:4">
      <c r="A51" t="s">
        <v>96</v>
      </c>
      <c r="B51">
        <v>16864.624503571398</v>
      </c>
      <c r="C51">
        <v>873028.58512499998</v>
      </c>
      <c r="D51">
        <v>756755.38713749906</v>
      </c>
    </row>
    <row r="52" spans="1:4">
      <c r="A52" t="s">
        <v>97</v>
      </c>
      <c r="B52">
        <v>16864.624503571398</v>
      </c>
      <c r="C52">
        <v>873028.58512499998</v>
      </c>
      <c r="D52">
        <v>756755.38713749906</v>
      </c>
    </row>
    <row r="53" spans="1:4">
      <c r="A53" t="s">
        <v>98</v>
      </c>
      <c r="B53">
        <v>528657.73168214201</v>
      </c>
      <c r="C53">
        <v>1328653.9113749999</v>
      </c>
      <c r="D53">
        <v>1155594.4003874899</v>
      </c>
    </row>
    <row r="54" spans="1:4">
      <c r="A54" t="s">
        <v>99</v>
      </c>
      <c r="B54">
        <v>661519.30740044604</v>
      </c>
      <c r="C54">
        <v>1428191.5596562501</v>
      </c>
      <c r="D54">
        <v>1241860.3622312399</v>
      </c>
    </row>
    <row r="55" spans="1:4">
      <c r="A55" t="s">
        <v>100</v>
      </c>
      <c r="B55">
        <v>528657.643557142</v>
      </c>
      <c r="C55">
        <v>1328653.8457499901</v>
      </c>
      <c r="D55">
        <v>1155594.3435124899</v>
      </c>
    </row>
    <row r="56" spans="1:4">
      <c r="A56" t="s">
        <v>101</v>
      </c>
      <c r="B56">
        <v>529340.62973526702</v>
      </c>
      <c r="C56">
        <v>1329196.02604687</v>
      </c>
      <c r="D56">
        <v>1156069.52234687</v>
      </c>
    </row>
    <row r="57" spans="1:4">
      <c r="A57" t="s">
        <v>102</v>
      </c>
      <c r="B57">
        <v>16864.624503571398</v>
      </c>
      <c r="C57">
        <v>873028.58512499998</v>
      </c>
      <c r="D57">
        <v>756755.38713749999</v>
      </c>
    </row>
    <row r="58" spans="1:4">
      <c r="A58" t="s">
        <v>103</v>
      </c>
      <c r="B58">
        <v>15583.5279089285</v>
      </c>
      <c r="C58">
        <v>871888.24068749906</v>
      </c>
      <c r="D58">
        <v>755757.16680000001</v>
      </c>
    </row>
    <row r="59" spans="1:4">
      <c r="A59" t="s">
        <v>104</v>
      </c>
      <c r="B59">
        <v>661519.93614107103</v>
      </c>
      <c r="C59">
        <v>1428192.3340312501</v>
      </c>
      <c r="D59">
        <v>1241861.03335625</v>
      </c>
    </row>
    <row r="60" spans="1:4">
      <c r="A60" t="s">
        <v>105</v>
      </c>
      <c r="B60">
        <v>15583.4838464285</v>
      </c>
      <c r="C60">
        <v>871888.20787499996</v>
      </c>
      <c r="D60">
        <v>755757.13836249895</v>
      </c>
    </row>
    <row r="61" spans="1:4">
      <c r="A61" t="s">
        <v>106</v>
      </c>
      <c r="B61">
        <v>15583.192360803499</v>
      </c>
      <c r="C61">
        <v>871887.66184687405</v>
      </c>
      <c r="D61">
        <v>755756.66253937501</v>
      </c>
    </row>
    <row r="62" spans="1:4">
      <c r="A62" t="s">
        <v>107</v>
      </c>
      <c r="B62">
        <v>16864.624503571398</v>
      </c>
      <c r="C62">
        <v>873028.58512499998</v>
      </c>
      <c r="D62">
        <v>756755.38713749999</v>
      </c>
    </row>
    <row r="63" spans="1:4">
      <c r="A63" t="s">
        <v>108</v>
      </c>
      <c r="B63">
        <v>661265.86304776696</v>
      </c>
      <c r="C63">
        <v>1427879.4495000001</v>
      </c>
      <c r="D63">
        <v>1241589.8667625</v>
      </c>
    </row>
    <row r="64" spans="1:4">
      <c r="A64" t="s">
        <v>109</v>
      </c>
      <c r="B64">
        <v>16901.991878125002</v>
      </c>
      <c r="C64">
        <v>873058.25104687503</v>
      </c>
      <c r="D64">
        <v>756781.38734687399</v>
      </c>
    </row>
    <row r="65" spans="1:4">
      <c r="A65" t="s">
        <v>110</v>
      </c>
      <c r="B65">
        <v>17074.1963379464</v>
      </c>
      <c r="C65">
        <v>873319.32979687501</v>
      </c>
      <c r="D65">
        <v>757008.98928437405</v>
      </c>
    </row>
    <row r="66" spans="1:4">
      <c r="A66" t="s">
        <v>111</v>
      </c>
      <c r="B66">
        <v>661266.61719464196</v>
      </c>
      <c r="C66">
        <v>1427880.0204375</v>
      </c>
      <c r="D66">
        <v>1241590.361575</v>
      </c>
    </row>
    <row r="67" spans="1:4">
      <c r="A67" t="s">
        <v>112</v>
      </c>
      <c r="B67">
        <v>661519.93614107103</v>
      </c>
      <c r="C67">
        <v>1428192.3340312501</v>
      </c>
      <c r="D67">
        <v>1241861.03335625</v>
      </c>
    </row>
    <row r="68" spans="1:4">
      <c r="A68" t="s">
        <v>113</v>
      </c>
      <c r="B68">
        <v>661265.44105714199</v>
      </c>
      <c r="C68">
        <v>1427878.8457500001</v>
      </c>
      <c r="D68">
        <v>1241589.3435124899</v>
      </c>
    </row>
    <row r="69" spans="1:4">
      <c r="A69" t="s">
        <v>114</v>
      </c>
      <c r="B69">
        <v>16902.035940624901</v>
      </c>
      <c r="C69">
        <v>873058.28385937505</v>
      </c>
      <c r="D69">
        <v>756781.41578437504</v>
      </c>
    </row>
    <row r="70" spans="1:4">
      <c r="A70" t="s">
        <v>115</v>
      </c>
      <c r="B70">
        <v>529413.55891651695</v>
      </c>
      <c r="C70">
        <v>1329268.0514531201</v>
      </c>
      <c r="D70">
        <v>1156132.50952812</v>
      </c>
    </row>
    <row r="71" spans="1:4">
      <c r="A71" t="s">
        <v>116</v>
      </c>
      <c r="B71">
        <v>15583.5279089285</v>
      </c>
      <c r="C71">
        <v>871888.24068749906</v>
      </c>
      <c r="D71">
        <v>755757.16680000001</v>
      </c>
    </row>
    <row r="72" spans="1:4">
      <c r="A72" t="s">
        <v>117</v>
      </c>
      <c r="B72">
        <v>661265.13364151702</v>
      </c>
      <c r="C72">
        <v>1427878.8129375</v>
      </c>
      <c r="D72">
        <v>1241589.315075</v>
      </c>
    </row>
    <row r="73" spans="1:4">
      <c r="A73" t="s">
        <v>118</v>
      </c>
      <c r="B73">
        <v>661475.77381964203</v>
      </c>
      <c r="C73">
        <v>1428170.2597968699</v>
      </c>
      <c r="D73">
        <v>1241843.52578437</v>
      </c>
    </row>
    <row r="74" spans="1:4">
      <c r="A74" t="s">
        <v>119</v>
      </c>
      <c r="B74">
        <v>16902.035940624901</v>
      </c>
      <c r="C74">
        <v>873058.28385937505</v>
      </c>
      <c r="D74">
        <v>756781.41578437504</v>
      </c>
    </row>
    <row r="75" spans="1:4">
      <c r="A75" t="s">
        <v>120</v>
      </c>
      <c r="B75">
        <v>528867.30351651704</v>
      </c>
      <c r="C75">
        <v>1328944.6560468699</v>
      </c>
      <c r="D75">
        <v>1155848.0025343699</v>
      </c>
    </row>
    <row r="76" spans="1:4">
      <c r="A76" t="s">
        <v>121</v>
      </c>
      <c r="B76">
        <v>21026.336837499901</v>
      </c>
      <c r="C76">
        <v>876338.48493749998</v>
      </c>
      <c r="D76">
        <v>759627.15214999905</v>
      </c>
    </row>
    <row r="77" spans="1:4">
      <c r="A77" t="s">
        <v>122</v>
      </c>
      <c r="B77">
        <v>20816.632815624998</v>
      </c>
      <c r="C77">
        <v>876047.64182812499</v>
      </c>
      <c r="D77">
        <v>759373.46469062404</v>
      </c>
    </row>
    <row r="78" spans="1:4">
      <c r="A78" t="s">
        <v>123</v>
      </c>
      <c r="B78">
        <v>19333.885355357099</v>
      </c>
      <c r="C78">
        <v>874708.17506250006</v>
      </c>
      <c r="D78">
        <v>758201.109925</v>
      </c>
    </row>
    <row r="79" spans="1:4">
      <c r="A79" t="s">
        <v>124</v>
      </c>
      <c r="B79">
        <v>20615.070075</v>
      </c>
      <c r="C79">
        <v>875848.58512499998</v>
      </c>
      <c r="D79">
        <v>759199.38713749999</v>
      </c>
    </row>
    <row r="80" spans="1:4">
      <c r="A80" t="s">
        <v>125</v>
      </c>
      <c r="B80">
        <v>661265.94439151697</v>
      </c>
      <c r="C80">
        <v>1427879.4166875</v>
      </c>
      <c r="D80">
        <v>1241589.8383249899</v>
      </c>
    </row>
    <row r="81" spans="1:4">
      <c r="A81" t="s">
        <v>126</v>
      </c>
      <c r="B81">
        <v>661265.529182142</v>
      </c>
      <c r="C81">
        <v>1427878.9113749899</v>
      </c>
      <c r="D81">
        <v>1241589.4003874899</v>
      </c>
    </row>
    <row r="82" spans="1:4">
      <c r="A82" t="s">
        <v>127</v>
      </c>
      <c r="B82">
        <v>15583.439783928499</v>
      </c>
      <c r="C82">
        <v>871888.17506250006</v>
      </c>
      <c r="D82">
        <v>755757.109925</v>
      </c>
    </row>
    <row r="83" spans="1:4">
      <c r="A83" s="1" t="s">
        <v>128</v>
      </c>
      <c r="B83">
        <v>661475.14507901703</v>
      </c>
      <c r="C83">
        <v>1428169.6888593701</v>
      </c>
      <c r="D83">
        <v>1241843.0309718701</v>
      </c>
    </row>
    <row r="84" spans="1:4">
      <c r="A84" t="s">
        <v>129</v>
      </c>
      <c r="B84">
        <v>15583.4838464285</v>
      </c>
      <c r="C84">
        <v>871888.20787499996</v>
      </c>
      <c r="D84">
        <v>755757.13836249895</v>
      </c>
    </row>
    <row r="85" spans="1:4">
      <c r="A85" t="s">
        <v>130</v>
      </c>
      <c r="B85">
        <v>528657.73168214201</v>
      </c>
      <c r="C85">
        <v>1328653.9113749999</v>
      </c>
      <c r="D85">
        <v>1155594.4003874899</v>
      </c>
    </row>
    <row r="86" spans="1:4">
      <c r="A86" t="s">
        <v>131</v>
      </c>
      <c r="B86">
        <v>17074.240400446401</v>
      </c>
      <c r="C86">
        <v>873319.36260937504</v>
      </c>
      <c r="D86">
        <v>757009.01772187406</v>
      </c>
    </row>
    <row r="87" spans="1:4">
      <c r="A87" t="s">
        <v>132</v>
      </c>
      <c r="B87">
        <v>528867.34757901705</v>
      </c>
      <c r="C87">
        <v>1328944.6888593701</v>
      </c>
      <c r="D87">
        <v>1155848.0309718701</v>
      </c>
    </row>
    <row r="88" spans="1:4">
      <c r="A88" t="s">
        <v>133</v>
      </c>
      <c r="B88">
        <v>661265.34717276704</v>
      </c>
      <c r="C88">
        <v>1427878.8785625</v>
      </c>
      <c r="D88">
        <v>1241589.3719500001</v>
      </c>
    </row>
    <row r="89" spans="1:4">
      <c r="A89" t="s">
        <v>134</v>
      </c>
      <c r="B89">
        <v>855729.62857142801</v>
      </c>
      <c r="C89">
        <v>1627430.68260937</v>
      </c>
      <c r="D89">
        <v>1415185.26472187</v>
      </c>
    </row>
    <row r="90" spans="1:4">
      <c r="A90" t="s">
        <v>135</v>
      </c>
      <c r="B90">
        <v>17074.1963379464</v>
      </c>
      <c r="C90">
        <v>873319.32979687501</v>
      </c>
      <c r="D90">
        <v>757008.98928437405</v>
      </c>
    </row>
    <row r="91" spans="1:4">
      <c r="A91" s="1" t="s">
        <v>136</v>
      </c>
      <c r="B91">
        <v>19333.637932232101</v>
      </c>
      <c r="C91">
        <v>874707.66184687405</v>
      </c>
      <c r="D91">
        <v>758200.66253937501</v>
      </c>
    </row>
    <row r="92" spans="1:4">
      <c r="A92" t="s">
        <v>137</v>
      </c>
      <c r="B92">
        <v>529482.58353839198</v>
      </c>
      <c r="C92">
        <v>1329440.9480625</v>
      </c>
      <c r="D92">
        <v>1156282.8878375001</v>
      </c>
    </row>
    <row r="93" spans="1:4">
      <c r="A93" t="s">
        <v>138</v>
      </c>
      <c r="B93">
        <v>877588.38298080303</v>
      </c>
      <c r="C93">
        <v>1643705.6497968701</v>
      </c>
      <c r="D93">
        <v>1429290.2362843701</v>
      </c>
    </row>
    <row r="94" spans="1:4">
      <c r="A94" t="s">
        <v>139</v>
      </c>
      <c r="B94">
        <v>528867.34757901705</v>
      </c>
      <c r="C94">
        <v>1328944.6888593701</v>
      </c>
      <c r="D94">
        <v>1155848.0309718701</v>
      </c>
    </row>
    <row r="95" spans="1:4">
      <c r="A95" t="s">
        <v>140</v>
      </c>
      <c r="B95">
        <v>15583.4838464285</v>
      </c>
      <c r="C95">
        <v>871888.20787499996</v>
      </c>
      <c r="D95">
        <v>755757.13836249895</v>
      </c>
    </row>
    <row r="96" spans="1:4">
      <c r="A96" t="s">
        <v>141</v>
      </c>
      <c r="B96">
        <v>612713.66226651706</v>
      </c>
      <c r="C96">
        <v>1445255.6497968701</v>
      </c>
      <c r="D96">
        <v>1257300.2362843701</v>
      </c>
    </row>
    <row r="97" spans="1:4">
      <c r="A97" t="s">
        <v>142</v>
      </c>
      <c r="B97">
        <v>16864.580441071401</v>
      </c>
      <c r="C97">
        <v>873028.55231249996</v>
      </c>
      <c r="D97">
        <v>756755.35869999905</v>
      </c>
    </row>
    <row r="98" spans="1:4">
      <c r="A98" t="s">
        <v>143</v>
      </c>
      <c r="B98">
        <v>528657.73168214201</v>
      </c>
      <c r="C98">
        <v>1328653.9113749999</v>
      </c>
      <c r="D98">
        <v>1155594.4003874899</v>
      </c>
    </row>
    <row r="99" spans="1:4">
      <c r="A99" t="s">
        <v>144</v>
      </c>
      <c r="B99">
        <v>528657.68761964201</v>
      </c>
      <c r="C99">
        <v>1328653.8785625</v>
      </c>
      <c r="D99">
        <v>1155594.3719500001</v>
      </c>
    </row>
    <row r="100" spans="1:4">
      <c r="A100" t="s">
        <v>145</v>
      </c>
      <c r="B100">
        <v>15583.4838464285</v>
      </c>
      <c r="C100">
        <v>871888.20787499996</v>
      </c>
      <c r="D100">
        <v>755757.13836249895</v>
      </c>
    </row>
    <row r="101" spans="1:4">
      <c r="A101" t="s">
        <v>146</v>
      </c>
      <c r="B101">
        <v>661519.26333794603</v>
      </c>
      <c r="C101">
        <v>1428191.5268437399</v>
      </c>
      <c r="D101">
        <v>1241860.33379375</v>
      </c>
    </row>
    <row r="102" spans="1:4">
      <c r="A102" t="s">
        <v>147</v>
      </c>
      <c r="B102">
        <v>15622.465047678499</v>
      </c>
      <c r="C102">
        <v>871919.15491875005</v>
      </c>
      <c r="D102">
        <v>755784.26137624902</v>
      </c>
    </row>
    <row r="103" spans="1:4">
      <c r="A103" t="s">
        <v>148</v>
      </c>
      <c r="B103">
        <v>528867.30351651704</v>
      </c>
      <c r="C103">
        <v>1328944.6560468699</v>
      </c>
      <c r="D103">
        <v>1155848.0025343699</v>
      </c>
    </row>
    <row r="104" spans="1:4">
      <c r="A104" t="s">
        <v>149</v>
      </c>
      <c r="B104">
        <v>16864.580441071401</v>
      </c>
      <c r="C104">
        <v>873028.55231249996</v>
      </c>
      <c r="D104">
        <v>756755.35869999905</v>
      </c>
    </row>
    <row r="105" spans="1:4">
      <c r="A105" t="s">
        <v>150</v>
      </c>
      <c r="B105">
        <v>661519.30740044604</v>
      </c>
      <c r="C105">
        <v>1428191.6613749899</v>
      </c>
      <c r="D105">
        <v>1241860.4503875</v>
      </c>
    </row>
    <row r="106" spans="1:4">
      <c r="A106" t="s">
        <v>151</v>
      </c>
      <c r="B106">
        <v>661519.30740044604</v>
      </c>
      <c r="C106">
        <v>1428191.6613749899</v>
      </c>
      <c r="D106">
        <v>1241860.4503875</v>
      </c>
    </row>
    <row r="107" spans="1:4">
      <c r="A107" t="s">
        <v>152</v>
      </c>
      <c r="B107">
        <v>19332.3030014285</v>
      </c>
      <c r="C107">
        <v>874706.61254999903</v>
      </c>
      <c r="D107">
        <v>758199.74349249899</v>
      </c>
    </row>
    <row r="108" spans="1:4">
      <c r="A108" t="s">
        <v>153</v>
      </c>
      <c r="B108">
        <v>19331.967453303499</v>
      </c>
      <c r="C108">
        <v>874706.03370937495</v>
      </c>
      <c r="D108">
        <v>758199.239231874</v>
      </c>
    </row>
    <row r="109" spans="1:4">
      <c r="A109" t="s">
        <v>154</v>
      </c>
      <c r="B109">
        <v>529340.58567276702</v>
      </c>
      <c r="C109">
        <v>1329195.9932343699</v>
      </c>
      <c r="D109">
        <v>1156069.4939093699</v>
      </c>
    </row>
    <row r="110" spans="1:4">
      <c r="A110" t="s">
        <v>155</v>
      </c>
      <c r="B110">
        <v>20816.632815624998</v>
      </c>
      <c r="C110">
        <v>876047.64182812499</v>
      </c>
      <c r="D110">
        <v>759373.46469062404</v>
      </c>
    </row>
    <row r="111" spans="1:4">
      <c r="A111" t="s">
        <v>156</v>
      </c>
      <c r="B111">
        <v>15622.465047678499</v>
      </c>
      <c r="C111">
        <v>871919.15491875005</v>
      </c>
      <c r="D111">
        <v>755784.26137624902</v>
      </c>
    </row>
    <row r="112" spans="1:4">
      <c r="A112" t="s">
        <v>157</v>
      </c>
      <c r="B112">
        <v>15583.439783928499</v>
      </c>
      <c r="C112">
        <v>871888.17506250006</v>
      </c>
      <c r="D112">
        <v>755757.109925</v>
      </c>
    </row>
    <row r="113" spans="1:4">
      <c r="A113" t="s">
        <v>158</v>
      </c>
      <c r="B113">
        <v>15583.439783928499</v>
      </c>
      <c r="C113">
        <v>871888.17506250006</v>
      </c>
      <c r="D113">
        <v>755757.109925</v>
      </c>
    </row>
    <row r="114" spans="1:4">
      <c r="A114" t="s">
        <v>159</v>
      </c>
      <c r="B114">
        <v>15583.5279089285</v>
      </c>
      <c r="C114">
        <v>871888.24068749906</v>
      </c>
      <c r="D114">
        <v>755757.16680000001</v>
      </c>
    </row>
    <row r="115" spans="1:4">
      <c r="A115" t="s">
        <v>160</v>
      </c>
      <c r="B115">
        <v>16909.814556249901</v>
      </c>
      <c r="C115">
        <v>873071.7024375</v>
      </c>
      <c r="D115">
        <v>756793.10546250001</v>
      </c>
    </row>
    <row r="116" spans="1:4">
      <c r="A116" t="s">
        <v>161</v>
      </c>
      <c r="B116">
        <v>17074.240400446401</v>
      </c>
      <c r="C116">
        <v>873319.36260937504</v>
      </c>
      <c r="D116">
        <v>757009.01772187499</v>
      </c>
    </row>
    <row r="117" spans="1:4">
      <c r="A117" t="s">
        <v>162</v>
      </c>
      <c r="B117">
        <v>15583.104235803499</v>
      </c>
      <c r="C117">
        <v>871887.59622187505</v>
      </c>
      <c r="D117">
        <v>755756.60566437501</v>
      </c>
    </row>
    <row r="118" spans="1:4">
      <c r="A118" t="s">
        <v>163</v>
      </c>
      <c r="B118">
        <v>661266.11386026698</v>
      </c>
      <c r="C118">
        <v>1427879.4495000001</v>
      </c>
      <c r="D118">
        <v>1241589.8667625</v>
      </c>
    </row>
    <row r="119" spans="1:4">
      <c r="A119" t="s">
        <v>164</v>
      </c>
      <c r="B119">
        <v>661266.11386026698</v>
      </c>
      <c r="C119">
        <v>1427879.4495000001</v>
      </c>
      <c r="D119">
        <v>1241589.8667625</v>
      </c>
    </row>
    <row r="120" spans="1:4">
      <c r="A120" t="s">
        <v>165</v>
      </c>
      <c r="B120">
        <v>17043.945681249901</v>
      </c>
      <c r="C120">
        <v>873303.17306249996</v>
      </c>
      <c r="D120">
        <v>756994.75283749995</v>
      </c>
    </row>
    <row r="121" spans="1:4">
      <c r="A121" t="s">
        <v>166</v>
      </c>
      <c r="B121">
        <v>19333.9294178571</v>
      </c>
      <c r="C121">
        <v>874708.20787499903</v>
      </c>
      <c r="D121">
        <v>758201.13836249895</v>
      </c>
    </row>
    <row r="122" spans="1:4">
      <c r="A122" t="s">
        <v>167</v>
      </c>
      <c r="B122">
        <v>16864.5363785714</v>
      </c>
      <c r="C122">
        <v>873028.51950000005</v>
      </c>
      <c r="D122">
        <v>756755.33026249905</v>
      </c>
    </row>
    <row r="123" spans="1:4">
      <c r="A123" t="s">
        <v>168</v>
      </c>
      <c r="B123">
        <v>21026.336837499901</v>
      </c>
      <c r="C123">
        <v>876338.48493749998</v>
      </c>
      <c r="D123">
        <v>759627.15214999905</v>
      </c>
    </row>
    <row r="124" spans="1:4">
      <c r="A124" s="1" t="s">
        <v>169</v>
      </c>
      <c r="B124">
        <v>16901.947815625001</v>
      </c>
      <c r="C124">
        <v>873058.218234375</v>
      </c>
      <c r="D124">
        <v>756781.35890937503</v>
      </c>
    </row>
    <row r="125" spans="1:4">
      <c r="A125" t="s">
        <v>170</v>
      </c>
      <c r="B125">
        <v>855729.62857142801</v>
      </c>
      <c r="C125">
        <v>1627430.6497968701</v>
      </c>
      <c r="D125">
        <v>1415185.2362843701</v>
      </c>
    </row>
    <row r="126" spans="1:4">
      <c r="A126" t="s">
        <v>171</v>
      </c>
      <c r="B126">
        <v>661475.77381964203</v>
      </c>
      <c r="C126">
        <v>1428170.2597968699</v>
      </c>
      <c r="D126">
        <v>1241843.52578437</v>
      </c>
    </row>
    <row r="127" spans="1:4">
      <c r="A127" t="s">
        <v>172</v>
      </c>
      <c r="B127">
        <v>16864.5363785714</v>
      </c>
      <c r="C127">
        <v>873028.51950000005</v>
      </c>
      <c r="D127">
        <v>756755.33026249905</v>
      </c>
    </row>
    <row r="128" spans="1:4">
      <c r="A128" t="s">
        <v>173</v>
      </c>
      <c r="B128">
        <v>661266.61719464196</v>
      </c>
      <c r="C128">
        <v>1427880.0204375</v>
      </c>
      <c r="D128">
        <v>1241590.361575</v>
      </c>
    </row>
    <row r="129" spans="1:4">
      <c r="A129" t="s">
        <v>174</v>
      </c>
      <c r="B129">
        <v>661265.48511964199</v>
      </c>
      <c r="C129">
        <v>1427878.8785625</v>
      </c>
      <c r="D129">
        <v>1241589.3719500001</v>
      </c>
    </row>
    <row r="130" spans="1:4">
      <c r="A130" t="s">
        <v>175</v>
      </c>
      <c r="B130">
        <v>19333.549807232099</v>
      </c>
      <c r="C130">
        <v>874707.59622187505</v>
      </c>
      <c r="D130">
        <v>758200.60566437501</v>
      </c>
    </row>
    <row r="131" spans="1:4">
      <c r="A131" t="s">
        <v>176</v>
      </c>
      <c r="B131">
        <v>661266.61719464196</v>
      </c>
      <c r="C131">
        <v>1427880.0204375</v>
      </c>
      <c r="D131">
        <v>1241590.361575</v>
      </c>
    </row>
    <row r="132" spans="1:4">
      <c r="A132" t="s">
        <v>177</v>
      </c>
      <c r="B132">
        <v>16864.580441071401</v>
      </c>
      <c r="C132">
        <v>873028.55231249996</v>
      </c>
      <c r="D132">
        <v>756755.35869999905</v>
      </c>
    </row>
    <row r="133" spans="1:4">
      <c r="A133" t="s">
        <v>178</v>
      </c>
      <c r="B133">
        <v>15622.5091101785</v>
      </c>
      <c r="C133">
        <v>871919.18773124903</v>
      </c>
      <c r="D133">
        <v>755784.28981374903</v>
      </c>
    </row>
    <row r="134" spans="1:4">
      <c r="A134" t="s">
        <v>179</v>
      </c>
      <c r="B134">
        <v>16864.5363785714</v>
      </c>
      <c r="C134">
        <v>873028.51950000005</v>
      </c>
      <c r="D134">
        <v>756755.33026249998</v>
      </c>
    </row>
    <row r="135" spans="1:4">
      <c r="A135" t="s">
        <v>180</v>
      </c>
      <c r="B135">
        <v>661519.26333794603</v>
      </c>
      <c r="C135">
        <v>1428191.6285625</v>
      </c>
      <c r="D135">
        <v>1241860.4219500001</v>
      </c>
    </row>
    <row r="136" spans="1:4">
      <c r="A136" t="s">
        <v>181</v>
      </c>
      <c r="B136">
        <v>19333.973480357101</v>
      </c>
      <c r="C136">
        <v>874708.24068749906</v>
      </c>
      <c r="D136">
        <v>758201.16680000001</v>
      </c>
    </row>
    <row r="137" spans="1:4">
      <c r="A137" t="s">
        <v>182</v>
      </c>
      <c r="B137">
        <v>16864.580441071401</v>
      </c>
      <c r="C137">
        <v>873028.55231249996</v>
      </c>
      <c r="D137">
        <v>756755.35869999905</v>
      </c>
    </row>
    <row r="138" spans="1:4">
      <c r="A138" t="s">
        <v>183</v>
      </c>
      <c r="B138">
        <v>529482.67166339199</v>
      </c>
      <c r="C138">
        <v>1329441.0136875</v>
      </c>
      <c r="D138">
        <v>1156282.9447125001</v>
      </c>
    </row>
    <row r="139" spans="1:4">
      <c r="A139" t="s">
        <v>184</v>
      </c>
      <c r="B139">
        <v>661265.43529776705</v>
      </c>
      <c r="C139">
        <v>1427878.9441875</v>
      </c>
      <c r="D139">
        <v>1241589.4288250001</v>
      </c>
    </row>
    <row r="140" spans="1:4">
      <c r="A140" s="1" t="s">
        <v>185</v>
      </c>
      <c r="B140">
        <v>661475.10101651703</v>
      </c>
      <c r="C140">
        <v>1428169.6560468699</v>
      </c>
      <c r="D140">
        <v>1241843.0025343699</v>
      </c>
    </row>
    <row r="141" spans="1:4">
      <c r="A141" t="s">
        <v>186</v>
      </c>
      <c r="B141">
        <v>20615.0260124999</v>
      </c>
      <c r="C141">
        <v>875848.55231249996</v>
      </c>
      <c r="D141">
        <v>759199.35869999905</v>
      </c>
    </row>
    <row r="142" spans="1:4">
      <c r="A142" t="s">
        <v>187</v>
      </c>
      <c r="B142">
        <v>19333.973480357101</v>
      </c>
      <c r="C142">
        <v>874708.24068749906</v>
      </c>
      <c r="D142">
        <v>758201.16680000001</v>
      </c>
    </row>
    <row r="143" spans="1:4">
      <c r="A143" t="s">
        <v>188</v>
      </c>
      <c r="B143">
        <v>661265.13364151702</v>
      </c>
      <c r="C143">
        <v>1427878.8129375</v>
      </c>
      <c r="D143">
        <v>1241589.315075</v>
      </c>
    </row>
    <row r="144" spans="1:4">
      <c r="A144" t="s">
        <v>189</v>
      </c>
      <c r="B144">
        <v>15583.192360803499</v>
      </c>
      <c r="C144">
        <v>871887.66184687405</v>
      </c>
      <c r="D144">
        <v>755756.66253937501</v>
      </c>
    </row>
    <row r="145" spans="1:4">
      <c r="A145" t="s">
        <v>190</v>
      </c>
      <c r="B145">
        <v>19333.885355357099</v>
      </c>
      <c r="C145">
        <v>874708.17506250006</v>
      </c>
      <c r="D145">
        <v>758201.109925</v>
      </c>
    </row>
    <row r="146" spans="1:4">
      <c r="A146" t="s">
        <v>191</v>
      </c>
      <c r="B146">
        <v>15630.3317883035</v>
      </c>
      <c r="C146">
        <v>871932.639121874</v>
      </c>
      <c r="D146">
        <v>755796.007929374</v>
      </c>
    </row>
    <row r="147" spans="1:4">
      <c r="A147" t="s">
        <v>192</v>
      </c>
      <c r="B147">
        <v>633931.45976651704</v>
      </c>
      <c r="C147">
        <v>1461530.6497968701</v>
      </c>
      <c r="D147">
        <v>1271405.2362843701</v>
      </c>
    </row>
    <row r="148" spans="1:4">
      <c r="A148" t="s">
        <v>193</v>
      </c>
      <c r="B148">
        <v>15622.553172678499</v>
      </c>
      <c r="C148">
        <v>871919.22054374998</v>
      </c>
      <c r="D148">
        <v>755784.31825124903</v>
      </c>
    </row>
    <row r="149" spans="1:4">
      <c r="A149" t="s">
        <v>194</v>
      </c>
      <c r="B149">
        <v>528657.643557142</v>
      </c>
      <c r="C149">
        <v>1328653.8457499901</v>
      </c>
      <c r="D149">
        <v>1155594.3435124899</v>
      </c>
    </row>
    <row r="150" spans="1:4">
      <c r="A150" t="s">
        <v>195</v>
      </c>
      <c r="B150">
        <v>16901.991878125002</v>
      </c>
      <c r="C150">
        <v>873058.25104687503</v>
      </c>
      <c r="D150">
        <v>756781.38734687399</v>
      </c>
    </row>
    <row r="151" spans="1:4">
      <c r="A151" t="s">
        <v>196</v>
      </c>
      <c r="B151">
        <v>17111.607775</v>
      </c>
      <c r="C151">
        <v>873349.02853124996</v>
      </c>
      <c r="D151">
        <v>757035.01793124899</v>
      </c>
    </row>
    <row r="152" spans="1:4">
      <c r="A152" t="s">
        <v>197</v>
      </c>
      <c r="B152">
        <v>17074.240400446401</v>
      </c>
      <c r="C152">
        <v>873319.36260937504</v>
      </c>
      <c r="D152">
        <v>757009.01772187499</v>
      </c>
    </row>
    <row r="153" spans="1:4">
      <c r="A153" t="s">
        <v>198</v>
      </c>
      <c r="B153">
        <v>661265.81898526696</v>
      </c>
      <c r="C153">
        <v>1427879.4166875</v>
      </c>
      <c r="D153">
        <v>1241589.8383249899</v>
      </c>
    </row>
    <row r="154" spans="1:4">
      <c r="A154" t="s">
        <v>199</v>
      </c>
      <c r="B154">
        <v>528657.643557142</v>
      </c>
      <c r="C154">
        <v>1328653.8457499901</v>
      </c>
      <c r="D154">
        <v>1155594.3435124899</v>
      </c>
    </row>
    <row r="155" spans="1:4">
      <c r="A155" t="s">
        <v>200</v>
      </c>
      <c r="B155">
        <v>16864.5363785714</v>
      </c>
      <c r="C155">
        <v>873028.51950000005</v>
      </c>
      <c r="D155">
        <v>756755.33026249998</v>
      </c>
    </row>
    <row r="156" spans="1:4">
      <c r="A156" t="s">
        <v>201</v>
      </c>
      <c r="B156">
        <v>613396.64844464196</v>
      </c>
      <c r="C156">
        <v>1445797.83009375</v>
      </c>
      <c r="D156">
        <v>1257775.41511875</v>
      </c>
    </row>
    <row r="157" spans="1:4">
      <c r="A157" t="s">
        <v>202</v>
      </c>
      <c r="B157">
        <v>16864.5363785714</v>
      </c>
      <c r="C157">
        <v>873028.51950000005</v>
      </c>
      <c r="D157">
        <v>756755.33026249905</v>
      </c>
    </row>
    <row r="158" spans="1:4">
      <c r="A158" t="s">
        <v>203</v>
      </c>
      <c r="B158">
        <v>20614.981950000001</v>
      </c>
      <c r="C158">
        <v>875848.51950000005</v>
      </c>
      <c r="D158">
        <v>759199.33026249998</v>
      </c>
    </row>
    <row r="159" spans="1:4">
      <c r="A159" t="s">
        <v>204</v>
      </c>
      <c r="B159">
        <v>16864.624503571398</v>
      </c>
      <c r="C159">
        <v>873028.58512499998</v>
      </c>
      <c r="D159">
        <v>756755.38713749906</v>
      </c>
    </row>
    <row r="160" spans="1:4">
      <c r="A160" t="s">
        <v>205</v>
      </c>
      <c r="B160">
        <v>16901.947815625001</v>
      </c>
      <c r="C160">
        <v>873058.218234375</v>
      </c>
      <c r="D160">
        <v>756781.35890937503</v>
      </c>
    </row>
    <row r="161" spans="1:4">
      <c r="A161" t="s">
        <v>206</v>
      </c>
      <c r="B161">
        <v>529340.67379776703</v>
      </c>
      <c r="C161">
        <v>1329196.05885937</v>
      </c>
      <c r="D161">
        <v>1156069.5507843699</v>
      </c>
    </row>
    <row r="162" spans="1:4">
      <c r="A162" t="s">
        <v>207</v>
      </c>
      <c r="B162">
        <v>19333.791470982102</v>
      </c>
      <c r="C162">
        <v>874708.20787499903</v>
      </c>
      <c r="D162">
        <v>758201.13836249895</v>
      </c>
    </row>
    <row r="163" spans="1:4">
      <c r="A163" t="s">
        <v>208</v>
      </c>
      <c r="B163">
        <v>877585.07834017801</v>
      </c>
      <c r="C163">
        <v>1643705.6497968701</v>
      </c>
      <c r="D163">
        <v>1429290.2362843701</v>
      </c>
    </row>
    <row r="164" spans="1:4">
      <c r="A164" t="s">
        <v>209</v>
      </c>
      <c r="B164">
        <v>529340.67379776703</v>
      </c>
      <c r="C164">
        <v>1329196.05885937</v>
      </c>
      <c r="D164">
        <v>1156069.5507843699</v>
      </c>
    </row>
    <row r="165" spans="1:4">
      <c r="A165" t="s">
        <v>210</v>
      </c>
      <c r="B165">
        <v>19332.347063928501</v>
      </c>
      <c r="C165">
        <v>874706.64536249905</v>
      </c>
      <c r="D165">
        <v>758199.77193000005</v>
      </c>
    </row>
    <row r="166" spans="1:4">
      <c r="A166" t="s">
        <v>211</v>
      </c>
      <c r="B166">
        <v>528657.68761964201</v>
      </c>
      <c r="C166">
        <v>1328653.8785625</v>
      </c>
      <c r="D166">
        <v>1155594.3719500001</v>
      </c>
    </row>
    <row r="167" spans="1:4">
      <c r="A167" t="s">
        <v>212</v>
      </c>
      <c r="B167">
        <v>16864.624503571398</v>
      </c>
      <c r="C167">
        <v>873028.58512499998</v>
      </c>
      <c r="D167">
        <v>756755.38713749906</v>
      </c>
    </row>
    <row r="168" spans="1:4">
      <c r="A168" t="s">
        <v>213</v>
      </c>
      <c r="B168">
        <v>15583.104235803499</v>
      </c>
      <c r="C168">
        <v>871887.59622187505</v>
      </c>
      <c r="D168">
        <v>755756.60566437501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D168"/>
  <sheetViews>
    <sheetView topLeftCell="A135" workbookViewId="0">
      <selection activeCell="B118" sqref="B118"/>
    </sheetView>
  </sheetViews>
  <sheetFormatPr baseColWidth="10" defaultRowHeight="15" x14ac:dyDescent="0"/>
  <cols>
    <col min="1" max="1" width="33.83203125" bestFit="1" customWidth="1"/>
    <col min="2" max="4" width="12.1640625" bestFit="1" customWidth="1"/>
    <col min="8" max="8" width="11.1640625" bestFit="1" customWidth="1"/>
  </cols>
  <sheetData>
    <row r="1" spans="1:4">
      <c r="A1" s="12" t="s">
        <v>368</v>
      </c>
      <c r="B1" s="12" t="s">
        <v>2</v>
      </c>
      <c r="C1" s="12" t="s">
        <v>3</v>
      </c>
      <c r="D1" s="12" t="s">
        <v>4</v>
      </c>
    </row>
    <row r="2" spans="1:4">
      <c r="A2" t="s">
        <v>47</v>
      </c>
      <c r="B2">
        <v>22232014988</v>
      </c>
      <c r="C2">
        <v>5454156725.25</v>
      </c>
      <c r="D2">
        <v>3204421028.8499899</v>
      </c>
    </row>
    <row r="3" spans="1:4">
      <c r="A3" t="s">
        <v>48</v>
      </c>
      <c r="B3">
        <v>22231704296</v>
      </c>
      <c r="C3">
        <v>5454098525.25</v>
      </c>
      <c r="D3">
        <v>3204386108.8499899</v>
      </c>
    </row>
    <row r="4" spans="1:4">
      <c r="A4" t="s">
        <v>49</v>
      </c>
      <c r="B4">
        <v>32193297920</v>
      </c>
      <c r="C4">
        <v>8185960095.25</v>
      </c>
      <c r="D4">
        <v>4833039486.8500004</v>
      </c>
    </row>
    <row r="5" spans="1:4">
      <c r="A5" t="s">
        <v>50</v>
      </c>
      <c r="B5">
        <v>22255252524</v>
      </c>
      <c r="C5">
        <v>5458319082.75</v>
      </c>
      <c r="D5">
        <v>3206918443.3499899</v>
      </c>
    </row>
    <row r="6" spans="1:4">
      <c r="A6" t="s">
        <v>51</v>
      </c>
      <c r="B6">
        <v>33658325464</v>
      </c>
      <c r="C6">
        <v>8447564495.25</v>
      </c>
      <c r="D6">
        <v>4990002126.8500004</v>
      </c>
    </row>
    <row r="7" spans="1:4">
      <c r="A7" t="s">
        <v>52</v>
      </c>
      <c r="B7">
        <v>14686317926.1</v>
      </c>
      <c r="C7">
        <v>5053964495.25</v>
      </c>
      <c r="D7">
        <v>2953842126.8499899</v>
      </c>
    </row>
    <row r="8" spans="1:4">
      <c r="A8" t="s">
        <v>53</v>
      </c>
      <c r="B8">
        <v>116791548.099999</v>
      </c>
      <c r="C8">
        <v>49471866.916666597</v>
      </c>
      <c r="D8">
        <v>29058323.850000001</v>
      </c>
    </row>
    <row r="9" spans="1:4">
      <c r="A9" t="s">
        <v>54</v>
      </c>
      <c r="B9">
        <v>127769152.099999</v>
      </c>
      <c r="C9">
        <v>58325276.916666597</v>
      </c>
      <c r="D9">
        <v>34311797.850000001</v>
      </c>
    </row>
    <row r="10" spans="1:4">
      <c r="A10" t="s">
        <v>55</v>
      </c>
      <c r="B10">
        <v>6018203.5133333299</v>
      </c>
      <c r="C10">
        <v>16551336.1166666</v>
      </c>
      <c r="D10">
        <v>9898376.1966666598</v>
      </c>
    </row>
    <row r="11" spans="1:4">
      <c r="A11" t="s">
        <v>56</v>
      </c>
      <c r="B11">
        <v>12823905682.1</v>
      </c>
      <c r="C11">
        <v>3788606185.25</v>
      </c>
      <c r="D11">
        <v>2204586432.8499899</v>
      </c>
    </row>
    <row r="12" spans="1:4">
      <c r="A12" t="s">
        <v>57</v>
      </c>
      <c r="B12">
        <v>123601296.099999</v>
      </c>
      <c r="C12">
        <v>57935236.916666597</v>
      </c>
      <c r="D12">
        <v>34100061.850000001</v>
      </c>
    </row>
    <row r="13" spans="1:4">
      <c r="A13" t="s">
        <v>58</v>
      </c>
      <c r="B13">
        <v>69418267.700000003</v>
      </c>
      <c r="C13">
        <v>35182829.25</v>
      </c>
      <c r="D13">
        <v>20738150.449999999</v>
      </c>
    </row>
    <row r="14" spans="1:4">
      <c r="A14" t="s">
        <v>59</v>
      </c>
      <c r="B14">
        <v>79136255.699999899</v>
      </c>
      <c r="C14">
        <v>41615199.25</v>
      </c>
      <c r="D14">
        <v>24545688.449999999</v>
      </c>
    </row>
    <row r="15" spans="1:4">
      <c r="A15" t="s">
        <v>60</v>
      </c>
      <c r="B15">
        <v>22232055308</v>
      </c>
      <c r="C15">
        <v>5454163925.25</v>
      </c>
      <c r="D15">
        <v>3204425348.8499899</v>
      </c>
    </row>
    <row r="16" spans="1:4">
      <c r="A16" t="s">
        <v>61</v>
      </c>
      <c r="B16">
        <v>22232063580</v>
      </c>
      <c r="C16">
        <v>5454163925.25</v>
      </c>
      <c r="D16">
        <v>3204425348.8499899</v>
      </c>
    </row>
    <row r="17" spans="1:4">
      <c r="A17" t="s">
        <v>62</v>
      </c>
      <c r="B17">
        <v>83096133.599999905</v>
      </c>
      <c r="C17">
        <v>42323599.25</v>
      </c>
      <c r="D17">
        <v>24970728.449999899</v>
      </c>
    </row>
    <row r="18" spans="1:4">
      <c r="A18" t="s">
        <v>63</v>
      </c>
      <c r="B18">
        <v>5937461.8499999903</v>
      </c>
      <c r="C18">
        <v>16531402.7083333</v>
      </c>
      <c r="D18">
        <v>9886764.0749999899</v>
      </c>
    </row>
    <row r="19" spans="1:4">
      <c r="A19" t="s">
        <v>64</v>
      </c>
      <c r="B19">
        <v>79160895.699999899</v>
      </c>
      <c r="C19">
        <v>41619599.25</v>
      </c>
      <c r="D19">
        <v>24548328.449999999</v>
      </c>
    </row>
    <row r="20" spans="1:4">
      <c r="A20" t="s">
        <v>65</v>
      </c>
      <c r="B20">
        <v>73369185.599999905</v>
      </c>
      <c r="C20">
        <v>35889629.25</v>
      </c>
      <c r="D20">
        <v>21162230.449999899</v>
      </c>
    </row>
    <row r="21" spans="1:4">
      <c r="A21" t="s">
        <v>66</v>
      </c>
      <c r="B21">
        <v>5941986.0033333302</v>
      </c>
      <c r="C21">
        <v>16496509.508333299</v>
      </c>
      <c r="D21">
        <v>9865803.9616666604</v>
      </c>
    </row>
    <row r="22" spans="1:4">
      <c r="A22" t="s">
        <v>67</v>
      </c>
      <c r="B22">
        <v>14686293286.1</v>
      </c>
      <c r="C22">
        <v>5053960095.25</v>
      </c>
      <c r="D22">
        <v>2953839486.8499899</v>
      </c>
    </row>
    <row r="23" spans="1:4">
      <c r="A23" t="s">
        <v>68</v>
      </c>
      <c r="B23">
        <v>22231679656</v>
      </c>
      <c r="C23">
        <v>5454094125.25</v>
      </c>
      <c r="D23">
        <v>3204383468.8499899</v>
      </c>
    </row>
    <row r="24" spans="1:4">
      <c r="A24" t="s">
        <v>69</v>
      </c>
      <c r="B24">
        <v>16151270764</v>
      </c>
      <c r="C24">
        <v>5315564495.25</v>
      </c>
      <c r="D24">
        <v>3110802126.8499899</v>
      </c>
    </row>
    <row r="25" spans="1:4">
      <c r="A25" t="s">
        <v>70</v>
      </c>
      <c r="B25">
        <v>6042843.5133333299</v>
      </c>
      <c r="C25">
        <v>16555736.1166666</v>
      </c>
      <c r="D25">
        <v>9901016.1966666598</v>
      </c>
    </row>
    <row r="26" spans="1:4">
      <c r="A26" t="s">
        <v>71</v>
      </c>
      <c r="B26">
        <v>5982306.0033333302</v>
      </c>
      <c r="C26">
        <v>16503709.508333299</v>
      </c>
      <c r="D26">
        <v>9870123.9616666604</v>
      </c>
    </row>
    <row r="27" spans="1:4">
      <c r="A27" t="s">
        <v>72</v>
      </c>
      <c r="B27">
        <v>22255252524</v>
      </c>
      <c r="C27">
        <v>5458308182.75</v>
      </c>
      <c r="D27">
        <v>3206911903.3499899</v>
      </c>
    </row>
    <row r="28" spans="1:4">
      <c r="A28" t="s">
        <v>73</v>
      </c>
      <c r="B28">
        <v>12729591138.1</v>
      </c>
      <c r="C28">
        <v>3757291325.25</v>
      </c>
      <c r="D28">
        <v>2186301788.8499899</v>
      </c>
    </row>
    <row r="29" spans="1:4">
      <c r="A29" t="s">
        <v>74</v>
      </c>
      <c r="B29">
        <v>12823930322.1</v>
      </c>
      <c r="C29">
        <v>3788610585.25</v>
      </c>
      <c r="D29">
        <v>2204589072.8499899</v>
      </c>
    </row>
    <row r="30" spans="1:4">
      <c r="A30" t="s">
        <v>75</v>
      </c>
      <c r="B30">
        <v>22232055308</v>
      </c>
      <c r="C30">
        <v>5454172025.25</v>
      </c>
      <c r="D30">
        <v>3204430208.8499899</v>
      </c>
    </row>
    <row r="31" spans="1:4">
      <c r="A31" t="s">
        <v>76</v>
      </c>
      <c r="B31">
        <v>5952033.5133333299</v>
      </c>
      <c r="C31">
        <v>16505144.449999999</v>
      </c>
      <c r="D31">
        <v>9870931.1966666598</v>
      </c>
    </row>
    <row r="32" spans="1:4">
      <c r="A32" t="s">
        <v>77</v>
      </c>
      <c r="B32">
        <v>22255636448</v>
      </c>
      <c r="C32">
        <v>5458399782.75</v>
      </c>
      <c r="D32">
        <v>3206966863.3499899</v>
      </c>
    </row>
    <row r="33" spans="1:4">
      <c r="A33" t="s">
        <v>78</v>
      </c>
      <c r="B33">
        <v>9888379.75</v>
      </c>
      <c r="C33">
        <v>17238202.708333299</v>
      </c>
      <c r="D33">
        <v>10310844.074999999</v>
      </c>
    </row>
    <row r="34" spans="1:4">
      <c r="A34" t="s">
        <v>79</v>
      </c>
      <c r="B34">
        <v>22231663976</v>
      </c>
      <c r="C34">
        <v>5454091325.25</v>
      </c>
      <c r="D34">
        <v>3204381788.8499899</v>
      </c>
    </row>
    <row r="35" spans="1:4">
      <c r="A35" t="s">
        <v>80</v>
      </c>
      <c r="B35">
        <v>12807680814.1</v>
      </c>
      <c r="C35">
        <v>3777854215.25</v>
      </c>
      <c r="D35">
        <v>2198222014.8499899</v>
      </c>
    </row>
    <row r="36" spans="1:4">
      <c r="A36" t="s">
        <v>81</v>
      </c>
      <c r="B36">
        <v>69433947.700000003</v>
      </c>
      <c r="C36">
        <v>35185629.25</v>
      </c>
      <c r="D36">
        <v>20739830.449999999</v>
      </c>
    </row>
    <row r="37" spans="1:4">
      <c r="A37" t="s">
        <v>82</v>
      </c>
      <c r="B37">
        <v>33658875244</v>
      </c>
      <c r="C37">
        <v>8447564495.25</v>
      </c>
      <c r="D37">
        <v>4990002126.8500004</v>
      </c>
    </row>
    <row r="38" spans="1:4">
      <c r="A38" t="s">
        <v>83</v>
      </c>
      <c r="B38">
        <v>73353505.599999905</v>
      </c>
      <c r="C38">
        <v>35886829.25</v>
      </c>
      <c r="D38">
        <v>21160550.449999899</v>
      </c>
    </row>
    <row r="39" spans="1:4">
      <c r="A39" t="s">
        <v>84</v>
      </c>
      <c r="B39">
        <v>79136255.699999899</v>
      </c>
      <c r="C39">
        <v>41615199.25</v>
      </c>
      <c r="D39">
        <v>24545688.449999999</v>
      </c>
    </row>
    <row r="40" spans="1:4">
      <c r="A40" t="s">
        <v>85</v>
      </c>
      <c r="B40">
        <v>12812952718.1</v>
      </c>
      <c r="C40">
        <v>3779757175.25</v>
      </c>
      <c r="D40">
        <v>2199335598.8499899</v>
      </c>
    </row>
    <row r="41" spans="1:4">
      <c r="A41" t="s">
        <v>86</v>
      </c>
      <c r="B41">
        <v>116775868.099999</v>
      </c>
      <c r="C41">
        <v>49469066.916666597</v>
      </c>
      <c r="D41">
        <v>29056643.850000001</v>
      </c>
    </row>
    <row r="42" spans="1:4">
      <c r="A42" t="s">
        <v>87</v>
      </c>
      <c r="B42">
        <v>73704517.599999905</v>
      </c>
      <c r="C42">
        <v>35952229.25</v>
      </c>
      <c r="D42">
        <v>21199790.449999899</v>
      </c>
    </row>
    <row r="43" spans="1:4">
      <c r="A43" t="s">
        <v>88</v>
      </c>
      <c r="B43">
        <v>73393825.599999905</v>
      </c>
      <c r="C43">
        <v>35894029.25</v>
      </c>
      <c r="D43">
        <v>21164870.449999899</v>
      </c>
    </row>
    <row r="44" spans="1:4">
      <c r="A44" t="s">
        <v>89</v>
      </c>
      <c r="B44">
        <v>22232055308</v>
      </c>
      <c r="C44">
        <v>5454172025.25</v>
      </c>
      <c r="D44">
        <v>3204430208.8499899</v>
      </c>
    </row>
    <row r="45" spans="1:4">
      <c r="A45" t="s">
        <v>90</v>
      </c>
      <c r="B45">
        <v>14686317926.1</v>
      </c>
      <c r="C45">
        <v>5053964495.25</v>
      </c>
      <c r="D45">
        <v>2953842126.8499899</v>
      </c>
    </row>
    <row r="46" spans="1:4">
      <c r="A46" t="s">
        <v>91</v>
      </c>
      <c r="B46">
        <v>12807665134.1</v>
      </c>
      <c r="C46">
        <v>3777851415.25</v>
      </c>
      <c r="D46">
        <v>2198220334.8499899</v>
      </c>
    </row>
    <row r="47" spans="1:4">
      <c r="A47" t="s">
        <v>92</v>
      </c>
      <c r="B47">
        <v>5977781.8499999903</v>
      </c>
      <c r="C47">
        <v>16538602.7083333</v>
      </c>
      <c r="D47">
        <v>9891084.0749999899</v>
      </c>
    </row>
    <row r="48" spans="1:4">
      <c r="A48" t="s">
        <v>93</v>
      </c>
      <c r="B48">
        <v>82811164.299999893</v>
      </c>
      <c r="C48">
        <v>42220736</v>
      </c>
      <c r="D48">
        <v>24910534.399999902</v>
      </c>
    </row>
    <row r="49" spans="1:4">
      <c r="A49" t="s">
        <v>94</v>
      </c>
      <c r="B49">
        <v>83071493.599999905</v>
      </c>
      <c r="C49">
        <v>42319199.25</v>
      </c>
      <c r="D49">
        <v>24968088.449999899</v>
      </c>
    </row>
    <row r="50" spans="1:4">
      <c r="A50" t="s">
        <v>95</v>
      </c>
      <c r="B50">
        <v>69433947.700000003</v>
      </c>
      <c r="C50">
        <v>35185629.25</v>
      </c>
      <c r="D50">
        <v>20739830.449999999</v>
      </c>
    </row>
    <row r="51" spans="1:4">
      <c r="A51" t="s">
        <v>96</v>
      </c>
      <c r="B51">
        <v>69458587.700000003</v>
      </c>
      <c r="C51">
        <v>35190029.25</v>
      </c>
      <c r="D51">
        <v>20742470.449999999</v>
      </c>
    </row>
    <row r="52" spans="1:4">
      <c r="A52" t="s">
        <v>97</v>
      </c>
      <c r="B52">
        <v>69458587.700000003</v>
      </c>
      <c r="C52">
        <v>35190029.25</v>
      </c>
      <c r="D52">
        <v>20742470.449999999</v>
      </c>
    </row>
    <row r="53" spans="1:4">
      <c r="A53" t="s">
        <v>98</v>
      </c>
      <c r="B53">
        <v>12729631458.1</v>
      </c>
      <c r="C53">
        <v>3757298525.25</v>
      </c>
      <c r="D53">
        <v>2186306108.8499899</v>
      </c>
    </row>
    <row r="54" spans="1:4">
      <c r="A54" t="s">
        <v>99</v>
      </c>
      <c r="B54">
        <v>22255277164</v>
      </c>
      <c r="C54">
        <v>5458312582.75</v>
      </c>
      <c r="D54">
        <v>3206914543.3499899</v>
      </c>
    </row>
    <row r="55" spans="1:4">
      <c r="A55" t="s">
        <v>100</v>
      </c>
      <c r="B55">
        <v>12729591138.1</v>
      </c>
      <c r="C55">
        <v>3757291325.25</v>
      </c>
      <c r="D55">
        <v>2186301788.8499899</v>
      </c>
    </row>
    <row r="56" spans="1:4">
      <c r="A56" t="s">
        <v>101</v>
      </c>
      <c r="B56">
        <v>12807680814.1</v>
      </c>
      <c r="C56">
        <v>3777854215.25</v>
      </c>
      <c r="D56">
        <v>2198222014.8499899</v>
      </c>
    </row>
    <row r="57" spans="1:4">
      <c r="A57" t="s">
        <v>102</v>
      </c>
      <c r="B57">
        <v>69458587.700000003</v>
      </c>
      <c r="C57">
        <v>35190029.25</v>
      </c>
      <c r="D57">
        <v>20742470.449999999</v>
      </c>
    </row>
    <row r="58" spans="1:4">
      <c r="A58" t="s">
        <v>103</v>
      </c>
      <c r="B58">
        <v>5977781.8499999903</v>
      </c>
      <c r="C58">
        <v>16538602.7083333</v>
      </c>
      <c r="D58">
        <v>9891084.0749999899</v>
      </c>
    </row>
    <row r="59" spans="1:4">
      <c r="A59" t="s">
        <v>104</v>
      </c>
      <c r="B59">
        <v>22255636448</v>
      </c>
      <c r="C59">
        <v>5458399782.75</v>
      </c>
      <c r="D59">
        <v>3206966863.3499899</v>
      </c>
    </row>
    <row r="60" spans="1:4">
      <c r="A60" t="s">
        <v>105</v>
      </c>
      <c r="B60">
        <v>5953141.8499999903</v>
      </c>
      <c r="C60">
        <v>16534202.7083333</v>
      </c>
      <c r="D60">
        <v>9888444.0749999899</v>
      </c>
    </row>
    <row r="61" spans="1:4">
      <c r="A61" t="s">
        <v>106</v>
      </c>
      <c r="B61">
        <v>5917244.3399999896</v>
      </c>
      <c r="C61">
        <v>16486576.1</v>
      </c>
      <c r="D61">
        <v>9860191.8399999905</v>
      </c>
    </row>
    <row r="62" spans="1:4">
      <c r="A62" t="s">
        <v>107</v>
      </c>
      <c r="B62">
        <v>69458587.700000003</v>
      </c>
      <c r="C62">
        <v>35190029.25</v>
      </c>
      <c r="D62">
        <v>20742470.449999999</v>
      </c>
    </row>
    <row r="63" spans="1:4">
      <c r="A63" t="s">
        <v>108</v>
      </c>
      <c r="B63">
        <v>22232034364</v>
      </c>
      <c r="C63">
        <v>5454161125.25</v>
      </c>
      <c r="D63">
        <v>3204423668.8499899</v>
      </c>
    </row>
    <row r="64" spans="1:4">
      <c r="A64" t="s">
        <v>109</v>
      </c>
      <c r="B64">
        <v>111519644.099999</v>
      </c>
      <c r="C64">
        <v>47568906.916666597</v>
      </c>
      <c r="D64">
        <v>27944739.850000001</v>
      </c>
    </row>
    <row r="65" spans="1:4">
      <c r="A65" t="s">
        <v>110</v>
      </c>
      <c r="B65">
        <v>79136255.699999899</v>
      </c>
      <c r="C65">
        <v>41615199.25</v>
      </c>
      <c r="D65">
        <v>24545688.449999999</v>
      </c>
    </row>
    <row r="66" spans="1:4">
      <c r="A66" t="s">
        <v>111</v>
      </c>
      <c r="B66">
        <v>22232398912</v>
      </c>
      <c r="C66">
        <v>5454226525.25</v>
      </c>
      <c r="D66">
        <v>3204462908.8499899</v>
      </c>
    </row>
    <row r="67" spans="1:4">
      <c r="A67" t="s">
        <v>112</v>
      </c>
      <c r="B67">
        <v>22255636448</v>
      </c>
      <c r="C67">
        <v>5458399782.75</v>
      </c>
      <c r="D67">
        <v>3206966863.3499899</v>
      </c>
    </row>
    <row r="68" spans="1:4">
      <c r="A68" t="s">
        <v>113</v>
      </c>
      <c r="B68">
        <v>22231663976</v>
      </c>
      <c r="C68">
        <v>5454091325.25</v>
      </c>
      <c r="D68">
        <v>3204381788.8499899</v>
      </c>
    </row>
    <row r="69" spans="1:4">
      <c r="A69" t="s">
        <v>114</v>
      </c>
      <c r="B69">
        <v>111544284.099999</v>
      </c>
      <c r="C69">
        <v>47573306.916666597</v>
      </c>
      <c r="D69">
        <v>27947379.850000001</v>
      </c>
    </row>
    <row r="70" spans="1:4">
      <c r="A70" t="s">
        <v>115</v>
      </c>
      <c r="B70">
        <v>12812937038.1</v>
      </c>
      <c r="C70">
        <v>3779754375.25</v>
      </c>
      <c r="D70">
        <v>2199333918.8499899</v>
      </c>
    </row>
    <row r="71" spans="1:4">
      <c r="A71" t="s">
        <v>116</v>
      </c>
      <c r="B71">
        <v>5977781.8499999903</v>
      </c>
      <c r="C71">
        <v>16538602.7083333</v>
      </c>
      <c r="D71">
        <v>9891084.0749999899</v>
      </c>
    </row>
    <row r="72" spans="1:4">
      <c r="A72" t="s">
        <v>117</v>
      </c>
      <c r="B72">
        <v>22231624108</v>
      </c>
      <c r="C72">
        <v>5454086925.25</v>
      </c>
      <c r="D72">
        <v>3204379148.8499899</v>
      </c>
    </row>
    <row r="73" spans="1:4">
      <c r="A73" t="s">
        <v>118</v>
      </c>
      <c r="B73">
        <v>22241765888</v>
      </c>
      <c r="C73">
        <v>5460593495.25</v>
      </c>
      <c r="D73">
        <v>3208231206.8499899</v>
      </c>
    </row>
    <row r="74" spans="1:4">
      <c r="A74" t="s">
        <v>119</v>
      </c>
      <c r="B74">
        <v>111544284.099999</v>
      </c>
      <c r="C74">
        <v>47573306.916666597</v>
      </c>
      <c r="D74">
        <v>27947379.850000001</v>
      </c>
    </row>
    <row r="75" spans="1:4">
      <c r="A75" t="s">
        <v>120</v>
      </c>
      <c r="B75">
        <v>12739309126.1</v>
      </c>
      <c r="C75">
        <v>3763723695.25</v>
      </c>
      <c r="D75">
        <v>2190109326.8499899</v>
      </c>
    </row>
    <row r="76" spans="1:4">
      <c r="A76" t="s">
        <v>121</v>
      </c>
      <c r="B76">
        <v>82811164.299999893</v>
      </c>
      <c r="C76">
        <v>42220736</v>
      </c>
      <c r="D76">
        <v>24910534.399999902</v>
      </c>
    </row>
    <row r="77" spans="1:4">
      <c r="A77" t="s">
        <v>122</v>
      </c>
      <c r="B77">
        <v>73068536.299999997</v>
      </c>
      <c r="C77">
        <v>35783966</v>
      </c>
      <c r="D77">
        <v>21100356.399999902</v>
      </c>
    </row>
    <row r="78" spans="1:4">
      <c r="A78" t="s">
        <v>123</v>
      </c>
      <c r="B78">
        <v>9872699.75</v>
      </c>
      <c r="C78">
        <v>17235402.708333299</v>
      </c>
      <c r="D78">
        <v>10309164.074999999</v>
      </c>
    </row>
    <row r="79" spans="1:4">
      <c r="A79" t="s">
        <v>124</v>
      </c>
      <c r="B79">
        <v>73393825.599999905</v>
      </c>
      <c r="C79">
        <v>35894029.25</v>
      </c>
      <c r="D79">
        <v>21164870.449999899</v>
      </c>
    </row>
    <row r="80" spans="1:4">
      <c r="A80" t="s">
        <v>125</v>
      </c>
      <c r="B80">
        <v>22232014988</v>
      </c>
      <c r="C80">
        <v>5454156725.25</v>
      </c>
      <c r="D80">
        <v>3204421028.8499899</v>
      </c>
    </row>
    <row r="81" spans="1:4">
      <c r="A81" t="s">
        <v>126</v>
      </c>
      <c r="B81">
        <v>22231704296</v>
      </c>
      <c r="C81">
        <v>5454098525.25</v>
      </c>
      <c r="D81">
        <v>3204386108.8499899</v>
      </c>
    </row>
    <row r="82" spans="1:4">
      <c r="A82" t="s">
        <v>127</v>
      </c>
      <c r="B82">
        <v>5937461.8499999903</v>
      </c>
      <c r="C82">
        <v>16531402.7083333</v>
      </c>
      <c r="D82">
        <v>9886764.0749999899</v>
      </c>
    </row>
    <row r="83" spans="1:4">
      <c r="A83" s="1" t="s">
        <v>128</v>
      </c>
      <c r="B83">
        <v>22241406604</v>
      </c>
      <c r="C83">
        <v>5460528095.25</v>
      </c>
      <c r="D83">
        <v>3208191966.8499899</v>
      </c>
    </row>
    <row r="84" spans="1:4">
      <c r="A84" t="s">
        <v>129</v>
      </c>
      <c r="B84">
        <v>5953141.8499999903</v>
      </c>
      <c r="C84">
        <v>16534202.7083333</v>
      </c>
      <c r="D84">
        <v>9888444.0749999899</v>
      </c>
    </row>
    <row r="85" spans="1:4">
      <c r="A85" t="s">
        <v>130</v>
      </c>
      <c r="B85">
        <v>12729631458.1</v>
      </c>
      <c r="C85">
        <v>3757298525.25</v>
      </c>
      <c r="D85">
        <v>2186306108.8499899</v>
      </c>
    </row>
    <row r="86" spans="1:4">
      <c r="A86" t="s">
        <v>131</v>
      </c>
      <c r="B86">
        <v>79160895.699999899</v>
      </c>
      <c r="C86">
        <v>41619599.25</v>
      </c>
      <c r="D86">
        <v>24548328.449999999</v>
      </c>
    </row>
    <row r="87" spans="1:4">
      <c r="A87" t="s">
        <v>132</v>
      </c>
      <c r="B87">
        <v>12739333766.1</v>
      </c>
      <c r="C87">
        <v>3763728095.25</v>
      </c>
      <c r="D87">
        <v>2190111966.8499899</v>
      </c>
    </row>
    <row r="88" spans="1:4">
      <c r="A88" t="s">
        <v>133</v>
      </c>
      <c r="B88">
        <v>22231681660</v>
      </c>
      <c r="C88">
        <v>5454095725.25</v>
      </c>
      <c r="D88">
        <v>3204384428.8499899</v>
      </c>
    </row>
    <row r="89" spans="1:4">
      <c r="A89" t="s">
        <v>134</v>
      </c>
      <c r="B89">
        <v>32193297920</v>
      </c>
      <c r="C89">
        <v>8185964495.25</v>
      </c>
      <c r="D89">
        <v>4833042126.8500004</v>
      </c>
    </row>
    <row r="90" spans="1:4">
      <c r="A90" t="s">
        <v>135</v>
      </c>
      <c r="B90">
        <v>79136255.699999899</v>
      </c>
      <c r="C90">
        <v>41615199.25</v>
      </c>
      <c r="D90">
        <v>24545688.449999999</v>
      </c>
    </row>
    <row r="91" spans="1:4">
      <c r="A91" s="1" t="s">
        <v>136</v>
      </c>
      <c r="B91">
        <v>9852482.2400000002</v>
      </c>
      <c r="C91">
        <v>17190576.100000001</v>
      </c>
      <c r="D91">
        <v>10282591.84</v>
      </c>
    </row>
    <row r="92" spans="1:4">
      <c r="A92" t="s">
        <v>137</v>
      </c>
      <c r="B92">
        <v>12819722146.1</v>
      </c>
      <c r="C92">
        <v>3788213345.25</v>
      </c>
      <c r="D92">
        <v>2204373016.8499899</v>
      </c>
    </row>
    <row r="93" spans="1:4">
      <c r="A93" t="s">
        <v>138</v>
      </c>
      <c r="B93">
        <v>33658850604</v>
      </c>
      <c r="C93">
        <v>8447560095.25</v>
      </c>
      <c r="D93">
        <v>4989999486.8500004</v>
      </c>
    </row>
    <row r="94" spans="1:4">
      <c r="A94" t="s">
        <v>139</v>
      </c>
      <c r="B94">
        <v>12739333766.1</v>
      </c>
      <c r="C94">
        <v>3763728095.25</v>
      </c>
      <c r="D94">
        <v>2190111966.8499899</v>
      </c>
    </row>
    <row r="95" spans="1:4">
      <c r="A95" t="s">
        <v>140</v>
      </c>
      <c r="B95">
        <v>5953141.8499999903</v>
      </c>
      <c r="C95">
        <v>16534202.7083333</v>
      </c>
      <c r="D95">
        <v>9888444.0749999899</v>
      </c>
    </row>
    <row r="96" spans="1:4">
      <c r="A96" t="s">
        <v>141</v>
      </c>
      <c r="B96">
        <v>14686293286.1</v>
      </c>
      <c r="C96">
        <v>5053960095.25</v>
      </c>
      <c r="D96">
        <v>2953839486.8499899</v>
      </c>
    </row>
    <row r="97" spans="1:4">
      <c r="A97" t="s">
        <v>142</v>
      </c>
      <c r="B97">
        <v>69433947.700000003</v>
      </c>
      <c r="C97">
        <v>35185629.25</v>
      </c>
      <c r="D97">
        <v>20739830.449999999</v>
      </c>
    </row>
    <row r="98" spans="1:4">
      <c r="A98" t="s">
        <v>143</v>
      </c>
      <c r="B98">
        <v>12729631458.1</v>
      </c>
      <c r="C98">
        <v>3757298525.25</v>
      </c>
      <c r="D98">
        <v>2186306108.8499899</v>
      </c>
    </row>
    <row r="99" spans="1:4">
      <c r="A99" t="s">
        <v>144</v>
      </c>
      <c r="B99">
        <v>12729606818.1</v>
      </c>
      <c r="C99">
        <v>3757294125.25</v>
      </c>
      <c r="D99">
        <v>2186303468.8499899</v>
      </c>
    </row>
    <row r="100" spans="1:4">
      <c r="A100" t="s">
        <v>145</v>
      </c>
      <c r="B100">
        <v>5953141.8499999903</v>
      </c>
      <c r="C100">
        <v>16534202.7083333</v>
      </c>
      <c r="D100">
        <v>9888444.0749999899</v>
      </c>
    </row>
    <row r="101" spans="1:4">
      <c r="A101" t="s">
        <v>146</v>
      </c>
      <c r="B101">
        <v>22255252524</v>
      </c>
      <c r="C101">
        <v>5458308182.75</v>
      </c>
      <c r="D101">
        <v>3206911903.3499899</v>
      </c>
    </row>
    <row r="102" spans="1:4">
      <c r="A102" t="s">
        <v>147</v>
      </c>
      <c r="B102">
        <v>6002523.5133333299</v>
      </c>
      <c r="C102">
        <v>16548536.1166666</v>
      </c>
      <c r="D102">
        <v>9896696.1966666598</v>
      </c>
    </row>
    <row r="103" spans="1:4">
      <c r="A103" t="s">
        <v>148</v>
      </c>
      <c r="B103">
        <v>12739309126.1</v>
      </c>
      <c r="C103">
        <v>3763723695.25</v>
      </c>
      <c r="D103">
        <v>2190109326.8499899</v>
      </c>
    </row>
    <row r="104" spans="1:4">
      <c r="A104" t="s">
        <v>149</v>
      </c>
      <c r="B104">
        <v>69433947.700000003</v>
      </c>
      <c r="C104">
        <v>35185629.25</v>
      </c>
      <c r="D104">
        <v>20739830.449999999</v>
      </c>
    </row>
    <row r="105" spans="1:4">
      <c r="A105" t="s">
        <v>150</v>
      </c>
      <c r="B105">
        <v>22255277164</v>
      </c>
      <c r="C105">
        <v>5458323482.75</v>
      </c>
      <c r="D105">
        <v>3206921083.3499899</v>
      </c>
    </row>
    <row r="106" spans="1:4">
      <c r="A106" t="s">
        <v>151</v>
      </c>
      <c r="B106">
        <v>22255277164</v>
      </c>
      <c r="C106">
        <v>5458323482.75</v>
      </c>
      <c r="D106">
        <v>3206921083.3499899</v>
      </c>
    </row>
    <row r="107" spans="1:4">
      <c r="A107" t="s">
        <v>152</v>
      </c>
      <c r="B107">
        <v>9609426.8133333307</v>
      </c>
      <c r="C107">
        <v>17140371.033333302</v>
      </c>
      <c r="D107">
        <v>10253552.9466666</v>
      </c>
    </row>
    <row r="108" spans="1:4">
      <c r="A108" t="s">
        <v>153</v>
      </c>
      <c r="B108">
        <v>9548889.3033333309</v>
      </c>
      <c r="C108">
        <v>17088344.425000001</v>
      </c>
      <c r="D108">
        <v>10222660.711666601</v>
      </c>
    </row>
    <row r="109" spans="1:4">
      <c r="A109" t="s">
        <v>154</v>
      </c>
      <c r="B109">
        <v>12807665134.1</v>
      </c>
      <c r="C109">
        <v>3777851415.25</v>
      </c>
      <c r="D109">
        <v>2198220334.8499899</v>
      </c>
    </row>
    <row r="110" spans="1:4">
      <c r="A110" t="s">
        <v>155</v>
      </c>
      <c r="B110">
        <v>73068536.299999997</v>
      </c>
      <c r="C110">
        <v>35783966</v>
      </c>
      <c r="D110">
        <v>21100356.399999902</v>
      </c>
    </row>
    <row r="111" spans="1:4">
      <c r="A111" t="s">
        <v>156</v>
      </c>
      <c r="B111">
        <v>6002523.5133333299</v>
      </c>
      <c r="C111">
        <v>16548536.1166666</v>
      </c>
      <c r="D111">
        <v>9896696.1966666598</v>
      </c>
    </row>
    <row r="112" spans="1:4">
      <c r="A112" t="s">
        <v>157</v>
      </c>
      <c r="B112">
        <v>5937461.8499999903</v>
      </c>
      <c r="C112">
        <v>16531402.7083333</v>
      </c>
      <c r="D112">
        <v>9886764.0749999899</v>
      </c>
    </row>
    <row r="113" spans="1:4">
      <c r="A113" t="s">
        <v>158</v>
      </c>
      <c r="B113">
        <v>5937461.8499999903</v>
      </c>
      <c r="C113">
        <v>16531402.7083333</v>
      </c>
      <c r="D113">
        <v>9886764.0749999899</v>
      </c>
    </row>
    <row r="114" spans="1:4">
      <c r="A114" t="s">
        <v>159</v>
      </c>
      <c r="B114">
        <v>5977781.8499999903</v>
      </c>
      <c r="C114">
        <v>16538602.7083333</v>
      </c>
      <c r="D114">
        <v>9891084.0749999899</v>
      </c>
    </row>
    <row r="115" spans="1:4">
      <c r="A115" t="s">
        <v>160</v>
      </c>
      <c r="B115">
        <v>111493794.099999</v>
      </c>
      <c r="C115">
        <v>47529915.25</v>
      </c>
      <c r="D115">
        <v>27921614.850000001</v>
      </c>
    </row>
    <row r="116" spans="1:4">
      <c r="A116" t="s">
        <v>161</v>
      </c>
      <c r="B116">
        <v>79160895.699999899</v>
      </c>
      <c r="C116">
        <v>41619599.25</v>
      </c>
      <c r="D116">
        <v>24548328.449999999</v>
      </c>
    </row>
    <row r="117" spans="1:4">
      <c r="A117" t="s">
        <v>162</v>
      </c>
      <c r="B117">
        <v>5876924.3399999896</v>
      </c>
      <c r="C117">
        <v>16479376.1</v>
      </c>
      <c r="D117">
        <v>9855871.8399999905</v>
      </c>
    </row>
    <row r="118" spans="1:4">
      <c r="A118" t="s">
        <v>163</v>
      </c>
      <c r="B118">
        <v>22232047900</v>
      </c>
      <c r="C118">
        <v>5454161125.25</v>
      </c>
      <c r="D118">
        <v>3204423668.8499899</v>
      </c>
    </row>
    <row r="119" spans="1:4">
      <c r="A119" t="s">
        <v>164</v>
      </c>
      <c r="B119">
        <v>22232047900</v>
      </c>
      <c r="C119">
        <v>5454161125.25</v>
      </c>
      <c r="D119">
        <v>3204423668.8499899</v>
      </c>
    </row>
    <row r="120" spans="1:4">
      <c r="A120" t="s">
        <v>165</v>
      </c>
      <c r="B120">
        <v>123560976.099999</v>
      </c>
      <c r="C120">
        <v>57928036.916666597</v>
      </c>
      <c r="D120">
        <v>34095741.850000001</v>
      </c>
    </row>
    <row r="121" spans="1:4">
      <c r="A121" t="s">
        <v>166</v>
      </c>
      <c r="B121">
        <v>9888379.75</v>
      </c>
      <c r="C121">
        <v>17238202.708333299</v>
      </c>
      <c r="D121">
        <v>10310844.074999999</v>
      </c>
    </row>
    <row r="122" spans="1:4">
      <c r="A122" t="s">
        <v>167</v>
      </c>
      <c r="B122">
        <v>69418267.700000003</v>
      </c>
      <c r="C122">
        <v>35182829.25</v>
      </c>
      <c r="D122">
        <v>20738150.449999999</v>
      </c>
    </row>
    <row r="123" spans="1:4">
      <c r="A123" t="s">
        <v>168</v>
      </c>
      <c r="B123">
        <v>82811164.299999893</v>
      </c>
      <c r="C123">
        <v>42220736</v>
      </c>
      <c r="D123">
        <v>24910534.399999902</v>
      </c>
    </row>
    <row r="124" spans="1:4">
      <c r="A124" s="1" t="s">
        <v>169</v>
      </c>
      <c r="B124">
        <v>111503964.099999</v>
      </c>
      <c r="C124">
        <v>47566106.916666597</v>
      </c>
      <c r="D124">
        <v>27943059.850000001</v>
      </c>
    </row>
    <row r="125" spans="1:4">
      <c r="A125" t="s">
        <v>170</v>
      </c>
      <c r="B125">
        <v>32193297920</v>
      </c>
      <c r="C125">
        <v>8185960095.25</v>
      </c>
      <c r="D125">
        <v>4833039486.8500004</v>
      </c>
    </row>
    <row r="126" spans="1:4">
      <c r="A126" t="s">
        <v>171</v>
      </c>
      <c r="B126">
        <v>22241765888</v>
      </c>
      <c r="C126">
        <v>5460593495.25</v>
      </c>
      <c r="D126">
        <v>3208231206.8499899</v>
      </c>
    </row>
    <row r="127" spans="1:4">
      <c r="A127" t="s">
        <v>172</v>
      </c>
      <c r="B127">
        <v>69418267.700000003</v>
      </c>
      <c r="C127">
        <v>35182829.25</v>
      </c>
      <c r="D127">
        <v>20738150.449999999</v>
      </c>
    </row>
    <row r="128" spans="1:4">
      <c r="A128" t="s">
        <v>173</v>
      </c>
      <c r="B128">
        <v>22232398912</v>
      </c>
      <c r="C128">
        <v>5454226525.25</v>
      </c>
      <c r="D128">
        <v>3204462908.8499899</v>
      </c>
    </row>
    <row r="129" spans="1:4">
      <c r="A129" t="s">
        <v>174</v>
      </c>
      <c r="B129">
        <v>22231679656</v>
      </c>
      <c r="C129">
        <v>5454094125.25</v>
      </c>
      <c r="D129">
        <v>3204383468.8499899</v>
      </c>
    </row>
    <row r="130" spans="1:4">
      <c r="A130" t="s">
        <v>175</v>
      </c>
      <c r="B130">
        <v>9812162.2400000002</v>
      </c>
      <c r="C130">
        <v>17183376.100000001</v>
      </c>
      <c r="D130">
        <v>10278271.84</v>
      </c>
    </row>
    <row r="131" spans="1:4">
      <c r="A131" t="s">
        <v>176</v>
      </c>
      <c r="B131">
        <v>22232398912</v>
      </c>
      <c r="C131">
        <v>5454226525.25</v>
      </c>
      <c r="D131">
        <v>3204462908.8499899</v>
      </c>
    </row>
    <row r="132" spans="1:4">
      <c r="A132" t="s">
        <v>177</v>
      </c>
      <c r="B132">
        <v>69433947.700000003</v>
      </c>
      <c r="C132">
        <v>35185629.25</v>
      </c>
      <c r="D132">
        <v>20739830.449999999</v>
      </c>
    </row>
    <row r="133" spans="1:4">
      <c r="A133" t="s">
        <v>178</v>
      </c>
      <c r="B133">
        <v>6018203.5133333299</v>
      </c>
      <c r="C133">
        <v>16551336.1166666</v>
      </c>
      <c r="D133">
        <v>9898376.1966666598</v>
      </c>
    </row>
    <row r="134" spans="1:4">
      <c r="A134" t="s">
        <v>179</v>
      </c>
      <c r="B134">
        <v>69418267.700000003</v>
      </c>
      <c r="C134">
        <v>35182829.25</v>
      </c>
      <c r="D134">
        <v>20738150.449999999</v>
      </c>
    </row>
    <row r="135" spans="1:4">
      <c r="A135" t="s">
        <v>180</v>
      </c>
      <c r="B135">
        <v>22255252524</v>
      </c>
      <c r="C135">
        <v>5458319082.75</v>
      </c>
      <c r="D135">
        <v>3206918443.3499899</v>
      </c>
    </row>
    <row r="136" spans="1:4">
      <c r="A136" t="s">
        <v>181</v>
      </c>
      <c r="B136">
        <v>9913019.75</v>
      </c>
      <c r="C136">
        <v>17242602.708333299</v>
      </c>
      <c r="D136">
        <v>10313484.074999999</v>
      </c>
    </row>
    <row r="137" spans="1:4">
      <c r="A137" t="s">
        <v>182</v>
      </c>
      <c r="B137">
        <v>69433947.700000003</v>
      </c>
      <c r="C137">
        <v>35185629.25</v>
      </c>
      <c r="D137">
        <v>20739830.449999999</v>
      </c>
    </row>
    <row r="138" spans="1:4">
      <c r="A138" t="s">
        <v>183</v>
      </c>
      <c r="B138">
        <v>12819762466.1</v>
      </c>
      <c r="C138">
        <v>3788220545.25</v>
      </c>
      <c r="D138">
        <v>2204377336.8499899</v>
      </c>
    </row>
    <row r="139" spans="1:4">
      <c r="A139" t="s">
        <v>184</v>
      </c>
      <c r="B139">
        <v>22231713020</v>
      </c>
      <c r="C139">
        <v>5454101325.25</v>
      </c>
      <c r="D139">
        <v>3204387788.8499899</v>
      </c>
    </row>
    <row r="140" spans="1:4">
      <c r="A140" s="1" t="s">
        <v>185</v>
      </c>
      <c r="B140">
        <v>22241381964</v>
      </c>
      <c r="C140">
        <v>5460523695.25</v>
      </c>
      <c r="D140">
        <v>3208189326.8499899</v>
      </c>
    </row>
    <row r="141" spans="1:4">
      <c r="A141" t="s">
        <v>186</v>
      </c>
      <c r="B141">
        <v>73369185.599999905</v>
      </c>
      <c r="C141">
        <v>35889629.25</v>
      </c>
      <c r="D141">
        <v>21162230.449999899</v>
      </c>
    </row>
    <row r="142" spans="1:4">
      <c r="A142" t="s">
        <v>187</v>
      </c>
      <c r="B142">
        <v>9913019.75</v>
      </c>
      <c r="C142">
        <v>17242602.708333299</v>
      </c>
      <c r="D142">
        <v>10313484.074999999</v>
      </c>
    </row>
    <row r="143" spans="1:4">
      <c r="A143" t="s">
        <v>188</v>
      </c>
      <c r="B143">
        <v>22231624108</v>
      </c>
      <c r="C143">
        <v>5454086925.25</v>
      </c>
      <c r="D143">
        <v>3204379148.8499899</v>
      </c>
    </row>
    <row r="144" spans="1:4">
      <c r="A144" t="s">
        <v>189</v>
      </c>
      <c r="B144">
        <v>5917244.3399999896</v>
      </c>
      <c r="C144">
        <v>16486576.1</v>
      </c>
      <c r="D144">
        <v>9860191.8399999905</v>
      </c>
    </row>
    <row r="145" spans="1:4">
      <c r="A145" t="s">
        <v>190</v>
      </c>
      <c r="B145">
        <v>9872699.75</v>
      </c>
      <c r="C145">
        <v>17235402.708333299</v>
      </c>
      <c r="D145">
        <v>10309164.074999999</v>
      </c>
    </row>
    <row r="146" spans="1:4">
      <c r="A146" t="s">
        <v>191</v>
      </c>
      <c r="B146">
        <v>5992353.5133333299</v>
      </c>
      <c r="C146">
        <v>16512344.449999999</v>
      </c>
      <c r="D146">
        <v>9875251.1966666598</v>
      </c>
    </row>
    <row r="147" spans="1:4">
      <c r="A147" t="s">
        <v>192</v>
      </c>
      <c r="B147">
        <v>16151246124</v>
      </c>
      <c r="C147">
        <v>5315560095.25</v>
      </c>
      <c r="D147">
        <v>3110799486.8499899</v>
      </c>
    </row>
    <row r="148" spans="1:4">
      <c r="A148" t="s">
        <v>193</v>
      </c>
      <c r="B148">
        <v>6042843.5133333299</v>
      </c>
      <c r="C148">
        <v>16555736.1166666</v>
      </c>
      <c r="D148">
        <v>9901016.1966666598</v>
      </c>
    </row>
    <row r="149" spans="1:4">
      <c r="A149" t="s">
        <v>194</v>
      </c>
      <c r="B149">
        <v>12729591138.1</v>
      </c>
      <c r="C149">
        <v>3757291325.25</v>
      </c>
      <c r="D149">
        <v>2186301788.8499899</v>
      </c>
    </row>
    <row r="150" spans="1:4">
      <c r="A150" t="s">
        <v>195</v>
      </c>
      <c r="B150">
        <v>111519644.099999</v>
      </c>
      <c r="C150">
        <v>47568906.916666597</v>
      </c>
      <c r="D150">
        <v>27944739.850000001</v>
      </c>
    </row>
    <row r="151" spans="1:4">
      <c r="A151" t="s">
        <v>196</v>
      </c>
      <c r="B151">
        <v>127744512.099999</v>
      </c>
      <c r="C151">
        <v>58320876.916666597</v>
      </c>
      <c r="D151">
        <v>34309157.850000001</v>
      </c>
    </row>
    <row r="152" spans="1:4">
      <c r="A152" t="s">
        <v>197</v>
      </c>
      <c r="B152">
        <v>79160895.699999899</v>
      </c>
      <c r="C152">
        <v>41619599.25</v>
      </c>
      <c r="D152">
        <v>24548328.449999999</v>
      </c>
    </row>
    <row r="153" spans="1:4">
      <c r="A153" t="s">
        <v>198</v>
      </c>
      <c r="B153">
        <v>22232009724</v>
      </c>
      <c r="C153">
        <v>5454156725.25</v>
      </c>
      <c r="D153">
        <v>3204421028.8499899</v>
      </c>
    </row>
    <row r="154" spans="1:4">
      <c r="A154" t="s">
        <v>199</v>
      </c>
      <c r="B154">
        <v>12729591138.1</v>
      </c>
      <c r="C154">
        <v>3757291325.25</v>
      </c>
      <c r="D154">
        <v>2186301788.8499899</v>
      </c>
    </row>
    <row r="155" spans="1:4">
      <c r="A155" t="s">
        <v>200</v>
      </c>
      <c r="B155">
        <v>69418267.700000003</v>
      </c>
      <c r="C155">
        <v>35182829.25</v>
      </c>
      <c r="D155">
        <v>20738150.449999999</v>
      </c>
    </row>
    <row r="156" spans="1:4">
      <c r="A156" t="s">
        <v>201</v>
      </c>
      <c r="B156">
        <v>14764391922.1</v>
      </c>
      <c r="C156">
        <v>5074524585.25</v>
      </c>
      <c r="D156">
        <v>2965760672.8499899</v>
      </c>
    </row>
    <row r="157" spans="1:4">
      <c r="A157" t="s">
        <v>202</v>
      </c>
      <c r="B157">
        <v>69418267.700000003</v>
      </c>
      <c r="C157">
        <v>35182829.25</v>
      </c>
      <c r="D157">
        <v>20738150.449999999</v>
      </c>
    </row>
    <row r="158" spans="1:4">
      <c r="A158" t="s">
        <v>203</v>
      </c>
      <c r="B158">
        <v>73353505.599999905</v>
      </c>
      <c r="C158">
        <v>35886829.25</v>
      </c>
      <c r="D158">
        <v>21160550.449999899</v>
      </c>
    </row>
    <row r="159" spans="1:4">
      <c r="A159" t="s">
        <v>204</v>
      </c>
      <c r="B159">
        <v>69458587.700000003</v>
      </c>
      <c r="C159">
        <v>35190029.25</v>
      </c>
      <c r="D159">
        <v>20742470.449999999</v>
      </c>
    </row>
    <row r="160" spans="1:4">
      <c r="A160" t="s">
        <v>205</v>
      </c>
      <c r="B160">
        <v>111503964.099999</v>
      </c>
      <c r="C160">
        <v>47566106.916666597</v>
      </c>
      <c r="D160">
        <v>27943059.850000001</v>
      </c>
    </row>
    <row r="161" spans="1:4">
      <c r="A161" t="s">
        <v>206</v>
      </c>
      <c r="B161">
        <v>12807705454.1</v>
      </c>
      <c r="C161">
        <v>3777858615.25</v>
      </c>
      <c r="D161">
        <v>2198224654.8499899</v>
      </c>
    </row>
    <row r="162" spans="1:4">
      <c r="A162" t="s">
        <v>207</v>
      </c>
      <c r="B162">
        <v>9890383.75</v>
      </c>
      <c r="C162">
        <v>17239802.708333299</v>
      </c>
      <c r="D162">
        <v>10311804.074999999</v>
      </c>
    </row>
    <row r="163" spans="1:4">
      <c r="A163" t="s">
        <v>208</v>
      </c>
      <c r="B163">
        <v>33658300824</v>
      </c>
      <c r="C163">
        <v>8447560095.25</v>
      </c>
      <c r="D163">
        <v>4989999486.8500004</v>
      </c>
    </row>
    <row r="164" spans="1:4">
      <c r="A164" t="s">
        <v>209</v>
      </c>
      <c r="B164">
        <v>12807705454.1</v>
      </c>
      <c r="C164">
        <v>3777858615.25</v>
      </c>
      <c r="D164">
        <v>2198224654.8499899</v>
      </c>
    </row>
    <row r="165" spans="1:4">
      <c r="A165" t="s">
        <v>210</v>
      </c>
      <c r="B165">
        <v>9625106.8133333307</v>
      </c>
      <c r="C165">
        <v>17143171.033333302</v>
      </c>
      <c r="D165">
        <v>10255232.9466666</v>
      </c>
    </row>
    <row r="166" spans="1:4">
      <c r="A166" t="s">
        <v>211</v>
      </c>
      <c r="B166">
        <v>12729606818.1</v>
      </c>
      <c r="C166">
        <v>3757294125.25</v>
      </c>
      <c r="D166">
        <v>2186303468.8499899</v>
      </c>
    </row>
    <row r="167" spans="1:4">
      <c r="A167" t="s">
        <v>212</v>
      </c>
      <c r="B167">
        <v>69458587.700000003</v>
      </c>
      <c r="C167">
        <v>35190029.25</v>
      </c>
      <c r="D167">
        <v>20742470.449999999</v>
      </c>
    </row>
    <row r="168" spans="1:4">
      <c r="A168" t="s">
        <v>213</v>
      </c>
      <c r="B168">
        <v>5876924.3399999896</v>
      </c>
      <c r="C168">
        <v>16479376.1</v>
      </c>
      <c r="D168">
        <v>9855871.8399999905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 enableFormatConditionsCalculation="0"/>
  <dimension ref="A8:A10"/>
  <sheetViews>
    <sheetView topLeftCell="A2" workbookViewId="0">
      <selection activeCell="A2" sqref="A1:P1048576"/>
    </sheetView>
  </sheetViews>
  <sheetFormatPr baseColWidth="10" defaultRowHeight="15" x14ac:dyDescent="0"/>
  <sheetData>
    <row r="8" ht="22" customHeight="1"/>
    <row r="9" ht="22" customHeight="1"/>
    <row r="10" ht="22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</vt:lpstr>
      <vt:lpstr>Distances</vt:lpstr>
      <vt:lpstr>buildtime</vt:lpstr>
      <vt:lpstr>partialcf</vt:lpstr>
      <vt:lpstr>fullcf</vt:lpstr>
      <vt:lpstr>df</vt:lpstr>
      <vt:lpstr>SLA</vt:lpstr>
    </vt:vector>
  </TitlesOfParts>
  <Company>UDLAP/IMAG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Manuel López Enríquez</dc:creator>
  <cp:lastModifiedBy>Carlos Manuel López Enríquez</cp:lastModifiedBy>
  <dcterms:created xsi:type="dcterms:W3CDTF">2014-06-01T17:58:56Z</dcterms:created>
  <dcterms:modified xsi:type="dcterms:W3CDTF">2014-07-07T18:49:12Z</dcterms:modified>
</cp:coreProperties>
</file>