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defaultThemeVersion="124226"/>
  <bookViews>
    <workbookView xWindow="0" yWindow="0" windowWidth="9495" windowHeight="10860" tabRatio="617" firstSheet="1" activeTab="4"/>
  </bookViews>
  <sheets>
    <sheet name="HDSD" sheetId="15" state="hidden" r:id="rId1"/>
    <sheet name="MENU" sheetId="7" r:id="rId2"/>
    <sheet name="NHAP XUAT" sheetId="4" r:id="rId3"/>
    <sheet name="Ghi So" sheetId="18" r:id="rId4"/>
    <sheet name="TongHop" sheetId="10" r:id="rId5"/>
    <sheet name="Check Phong" sheetId="20" r:id="rId6"/>
    <sheet name="In" sheetId="21" r:id="rId7"/>
    <sheet name="DMHH" sheetId="2" r:id="rId8"/>
    <sheet name="DK" sheetId="5" state="hidden" r:id="rId9"/>
  </sheets>
  <definedNames>
    <definedName name="_xlnm._FilterDatabase" localSheetId="7" hidden="1">DMHH!$B$7:$H$7</definedName>
    <definedName name="_xlnm._FilterDatabase" localSheetId="3" hidden="1">'Ghi So'!$B$13:$T$13</definedName>
    <definedName name="_xlnm._FilterDatabase" localSheetId="2" hidden="1">'NHAP XUAT'!$C$9:$J$9</definedName>
    <definedName name="_xlnm._FilterDatabase" localSheetId="4" hidden="1">TongHop!$O$14:$O$543</definedName>
    <definedName name="A1_GHI_SO">'Ghi So'!$B$14:$T$1014</definedName>
    <definedName name="A1_NHAP_XUAT">'NHAP XUAT'!$D$8:$K$1011</definedName>
    <definedName name="DanhMucHangHoa">DMHH!$C$8:$H$507</definedName>
    <definedName name="DG_ngay">MENU!$E$27</definedName>
    <definedName name="DG_nghigio">MENU!$E$25</definedName>
    <definedName name="DG_quadem">MENU!$E$26</definedName>
    <definedName name="DG_themgio">MENU!$H$25</definedName>
    <definedName name="DS_phong">'Check Phong'!$J$6:$J$20</definedName>
    <definedName name="GHISO">'Ghi So'!$C$12:$T$1014</definedName>
    <definedName name="GS_giatui">'Ghi So'!$T$9</definedName>
    <definedName name="GS_tienphong">'Ghi So'!$O$9</definedName>
    <definedName name="List_mahang">DMHH!$C$8:$C$198</definedName>
    <definedName name="List_phong">'Check Phong'!$J$6:$L$20</definedName>
    <definedName name="List_phong_cot_giatla">'Check Phong'!$L$5</definedName>
    <definedName name="List_phong_cot_tienphong">'Check Phong'!$K$6:$K$20</definedName>
    <definedName name="Loc_NX">'NHAP XUAT'!$B$10:$J$1011</definedName>
    <definedName name="NX_cot_SLNhap">'NHAP XUAT'!$F$6</definedName>
    <definedName name="NX_cot_SLXuat">'NHAP XUAT'!$H$6</definedName>
    <definedName name="_xlnm.Print_Area" localSheetId="6">In!$B$3:$E$28</definedName>
    <definedName name="_xlnm.Print_Area" localSheetId="4">TongHop!$B$5:$N$543</definedName>
    <definedName name="_xlnm.Print_Titles" localSheetId="4">TongHop!$14:$14</definedName>
    <definedName name="ps_hang001">DK!$C$5:$E$6</definedName>
    <definedName name="ps_hang002">DK!$C$7:$E$8</definedName>
    <definedName name="ps_hang003">DK!$C$9:$E$10</definedName>
    <definedName name="ps_hang004">DK!$C$11:$E$12</definedName>
    <definedName name="ps_hang005">DK!$C$13:$E$14</definedName>
    <definedName name="ps_hang006">DK!$C$15:$E$16</definedName>
    <definedName name="ps_hang007">DK!$C$17:$E$18</definedName>
    <definedName name="ps_hang008">DK!$C$19:$E$20</definedName>
    <definedName name="ps_hang009">DK!$C$21:$E$22</definedName>
    <definedName name="ps_hang010">DK!$C$23:$E$24</definedName>
    <definedName name="ps_hang011">DK!$C$25:$E$26</definedName>
    <definedName name="ps_hang012">DK!$C$27:$E$28</definedName>
    <definedName name="ps_hang013">DK!$C$29:$E$30</definedName>
    <definedName name="ps_hang014">DK!$C$31:$E$32</definedName>
    <definedName name="ps_hang015">DK!$C$33:$E$34</definedName>
    <definedName name="ps_hang016">DK!$C$35:$E$36</definedName>
    <definedName name="ps_hang017">DK!$C$37:$E$38</definedName>
    <definedName name="ps_hang018">DK!$C$39:$E$40</definedName>
    <definedName name="ps_hang019">DK!$C$41:$E$42</definedName>
    <definedName name="ps_hang020">DK!$C$43:$E$44</definedName>
    <definedName name="ps_hang021">DK!$C$45:$E$46</definedName>
    <definedName name="ps_hang022">DK!$C$47:$E$48</definedName>
    <definedName name="ps_hang023">DK!$C$49:$E$50</definedName>
    <definedName name="ps_hang024">DK!$C$51:$E$52</definedName>
    <definedName name="ps_hang025">DK!$C$53:$E$54</definedName>
    <definedName name="ps_hang026">DK!$C$55:$E$56</definedName>
    <definedName name="ps_hang027">DK!$C$57:$E$58</definedName>
    <definedName name="ps_hang028">DK!$C$59:$E$60</definedName>
    <definedName name="ps_hang029">DK!$C$61:$E$62</definedName>
    <definedName name="ps_hang030">DK!$C$63:$E$64</definedName>
    <definedName name="ps_hang031">DK!$C$65:$E$66</definedName>
    <definedName name="ps_hang032">DK!$C$67:$E$68</definedName>
    <definedName name="ps_hang033">DK!$C$69:$E$70</definedName>
    <definedName name="ps_hang034">DK!$C$71:$E$72</definedName>
    <definedName name="ps_hang035">DK!$C$73:$E$74</definedName>
    <definedName name="ps_hang036">DK!$C$75:$E$76</definedName>
    <definedName name="ps_hang037">DK!$C$77:$E$78</definedName>
    <definedName name="ps_hang038">DK!$C$79:$E$80</definedName>
    <definedName name="ps_hang039">DK!$C$81:$E$82</definedName>
    <definedName name="ps_hang040">DK!$C$83:$E$84</definedName>
    <definedName name="ps_hang041">DK!$C$85:$E$86</definedName>
    <definedName name="ps_hang042">DK!$C$87:$E$88</definedName>
    <definedName name="ps_hang043">DK!$C$89:$E$90</definedName>
    <definedName name="ps_hang044">DK!$C$91:$E$92</definedName>
    <definedName name="ps_hang045">DK!$C$93:$E$94</definedName>
    <definedName name="ps_hang046">DK!$C$95:$E$96</definedName>
    <definedName name="ps_hang047">DK!$C$97:$E$98</definedName>
    <definedName name="ps_hang048">DK!$C$99:$E$100</definedName>
    <definedName name="ps_hang049">DK!$C$101:$E$102</definedName>
    <definedName name="ps_hang050">DK!$C$103:$E$104</definedName>
    <definedName name="ps_hang051">DK!$C$105:$E$106</definedName>
    <definedName name="ps_hang052">DK!$C$107:$E$108</definedName>
    <definedName name="ps_hang053">DK!$C$109:$E$110</definedName>
    <definedName name="ps_hang054">DK!$C$111:$E$112</definedName>
    <definedName name="ps_hang055">DK!$C$113:$E$114</definedName>
    <definedName name="ps_hang056">DK!$C$115:$E$116</definedName>
    <definedName name="ps_hang057">DK!$C$117:$E$118</definedName>
    <definedName name="ps_hang058">DK!$C$119:$E$120</definedName>
    <definedName name="ps_hang059">DK!$C$121:$E$122</definedName>
    <definedName name="ps_hang060">DK!$C$123:$E$124</definedName>
    <definedName name="ps_hang061">DK!$C$125:$E$126</definedName>
    <definedName name="ps_hang062">DK!$C$127:$E$128</definedName>
    <definedName name="ps_hang063">DK!$C$129:$E$130</definedName>
    <definedName name="ps_hang064">DK!$C$131:$E$132</definedName>
    <definedName name="ps_hang065">DK!$C$133:$E$134</definedName>
    <definedName name="ps_hang066">DK!$C$135:$E$136</definedName>
    <definedName name="ps_hang067">DK!$C$137:$E$138</definedName>
    <definedName name="ps_hang068">DK!$C$139:$E$140</definedName>
    <definedName name="ps_hang069">DK!$C$141:$E$142</definedName>
    <definedName name="ps_hang070">DK!$C$143:$E$144</definedName>
    <definedName name="ps_hang071">DK!$C$145:$E$146</definedName>
    <definedName name="ps_hang072">DK!$C$147:$E$148</definedName>
    <definedName name="ps_hang073">DK!$C$149:$E$150</definedName>
    <definedName name="ps_hang074">DK!$C$151:$E$152</definedName>
    <definedName name="ps_hang075">DK!$C$153:$E$154</definedName>
    <definedName name="ps_hang076">DK!$C$155:$E$156</definedName>
    <definedName name="ps_hang077">DK!$C$157:$E$158</definedName>
    <definedName name="ps_hang078">DK!$C$159:$E$160</definedName>
    <definedName name="ps_hang079">DK!$C$161:$E$162</definedName>
    <definedName name="ps_hang080">DK!$C$163:$E$164</definedName>
    <definedName name="ps_hang081">DK!$C$165:$E$166</definedName>
    <definedName name="ps_hang082">DK!$C$167:$E$168</definedName>
    <definedName name="ps_hang083">DK!$C$169:$E$170</definedName>
    <definedName name="ps_hang084">DK!$C$171:$E$172</definedName>
    <definedName name="ps_hang085">DK!$C$173:$E$174</definedName>
    <definedName name="ps_hang086">DK!$C$175:$E$176</definedName>
    <definedName name="ps_hang087">DK!$C$177:$E$178</definedName>
    <definedName name="ps_hang088">DK!$C$179:$E$180</definedName>
    <definedName name="ps_hang089">DK!$C$181:$E$182</definedName>
    <definedName name="ps_hang090">DK!$C$183:$E$184</definedName>
    <definedName name="ps_hang091">DK!$C$185:$E$186</definedName>
    <definedName name="ps_hang092">DK!$C$187:$E$188</definedName>
    <definedName name="ps_hang093">DK!$C$189:$E$190</definedName>
    <definedName name="ps_hang094">DK!$C$191:$E$192</definedName>
    <definedName name="ps_hang095">DK!$C$193:$E$194</definedName>
    <definedName name="ps_hang096">DK!$C$195:$E$196</definedName>
    <definedName name="ps_hang097">DK!$C$197:$E$198</definedName>
    <definedName name="ps_hang098">DK!$C$199:$E$200</definedName>
    <definedName name="ps_hang099">DK!$C$201:$E$202</definedName>
    <definedName name="ps_hang100">DK!$C$203:$E$204</definedName>
    <definedName name="ps_hang101">DK!$C$205:$E$206</definedName>
    <definedName name="ps_hang102">DK!$C$207:$E$208</definedName>
    <definedName name="ps_hang103">DK!$C$209:$E$210</definedName>
    <definedName name="ps_hang104">DK!$C$211:$E$212</definedName>
    <definedName name="ps_hang105">DK!$C$213:$E$214</definedName>
    <definedName name="ps_hang106">DK!$C$215:$E$216</definedName>
    <definedName name="ps_hang107">DK!$C$217:$E$218</definedName>
    <definedName name="ps_hang108">DK!$C$219:$E$220</definedName>
    <definedName name="ps_hang109">DK!$C$221:$E$222</definedName>
    <definedName name="ps_hang110">DK!$C$223:$E$224</definedName>
    <definedName name="ps_hang111">DK!$C$225:$E$226</definedName>
    <definedName name="ps_hang112">DK!$C$227:$E$228</definedName>
    <definedName name="ps_hang113">DK!$C$229:$E$230</definedName>
    <definedName name="ps_hang114">DK!$C$231:$E$232</definedName>
    <definedName name="ps_hang115">DK!$C$233:$E$234</definedName>
    <definedName name="ps_hang116">DK!$C$235:$E$236</definedName>
    <definedName name="ps_hang117">DK!$C$237:$E$238</definedName>
    <definedName name="ps_hang118">DK!$C$239:$E$240</definedName>
    <definedName name="ps_hang119">DK!$C$241:$E$242</definedName>
    <definedName name="ps_hang120">DK!$C$243:$E$244</definedName>
    <definedName name="ps_hang121">DK!$C$245:$E$246</definedName>
    <definedName name="ps_hang122">DK!$C$247:$E$248</definedName>
    <definedName name="ps_hang123">DK!$C$249:$E$250</definedName>
    <definedName name="ps_hang124">DK!$C$251:$E$252</definedName>
    <definedName name="ps_hang125">DK!$C$253:$E$254</definedName>
    <definedName name="ps_hang126">DK!$C$255:$E$256</definedName>
    <definedName name="ps_hang127">DK!$C$257:$E$258</definedName>
    <definedName name="ps_hang128">DK!$C$259:$E$260</definedName>
    <definedName name="ps_hang129">DK!$C$261:$E$262</definedName>
    <definedName name="ps_hang130">DK!$C$263:$E$264</definedName>
    <definedName name="ps_hang131">DK!$C$265:$E$266</definedName>
    <definedName name="ps_hang132">DK!$C$267:$E$268</definedName>
    <definedName name="ps_hang133">DK!$C$269:$E$270</definedName>
    <definedName name="ps_hang134">DK!$C$271:$E$272</definedName>
    <definedName name="ps_hang135">DK!$C$273:$E$274</definedName>
    <definedName name="ps_hang136">DK!$C$275:$E$276</definedName>
    <definedName name="ps_hang137">DK!$C$277:$E$278</definedName>
    <definedName name="ps_hang138">DK!$C$279:$E$280</definedName>
    <definedName name="ps_hang139">DK!$C$281:$E$282</definedName>
    <definedName name="ps_hang140">DK!$C$283:$E$284</definedName>
    <definedName name="ps_hang141">DK!$C$285:$E$286</definedName>
    <definedName name="ps_hang142">DK!$C$287:$E$288</definedName>
    <definedName name="ps_hang143">DK!$C$289:$E$290</definedName>
    <definedName name="ps_hang144">DK!$C$291:$E$292</definedName>
    <definedName name="ps_hang145">DK!$C$293:$E$294</definedName>
    <definedName name="ps_hang146">DK!$C$295:$E$296</definedName>
    <definedName name="ps_hang147">DK!$C$297:$E$298</definedName>
    <definedName name="ps_hang148">DK!$C$299:$E$300</definedName>
    <definedName name="ps_hang149">DK!$C$301:$E$302</definedName>
    <definedName name="ps_hang150">DK!$C$303:$E$304</definedName>
    <definedName name="ps_hang151">DK!$C$305:$E$306</definedName>
    <definedName name="ps_hang152">DK!$C$307:$E$308</definedName>
    <definedName name="ps_hang153">DK!$C$309:$E$310</definedName>
    <definedName name="ps_hang154">DK!$C$311:$E$312</definedName>
    <definedName name="ps_hang155">DK!$C$313:$E$314</definedName>
    <definedName name="ps_hang156">DK!$C$315:$E$316</definedName>
    <definedName name="ps_hang157">DK!$C$317:$E$318</definedName>
    <definedName name="ps_hang158">DK!$C$319:$E$320</definedName>
    <definedName name="ps_hang159">DK!$C$321:$E$322</definedName>
    <definedName name="ps_hang160">DK!$C$323:$E$324</definedName>
    <definedName name="ps_hang161">DK!$C$325:$E$326</definedName>
    <definedName name="ps_hang162">DK!$C$327:$E$328</definedName>
    <definedName name="ps_hang163">DK!$C$329:$E$330</definedName>
    <definedName name="ps_hang164">DK!$C$331:$E$332</definedName>
    <definedName name="ps_hang165">DK!$C$333:$E$334</definedName>
    <definedName name="ps_hang166">DK!$C$335:$E$336</definedName>
    <definedName name="ps_hang167">DK!$C$337:$E$338</definedName>
    <definedName name="ps_hang168">DK!$C$339:$E$340</definedName>
    <definedName name="ps_hang169">DK!$C$341:$E$342</definedName>
    <definedName name="ps_hang170">DK!$C$343:$E$344</definedName>
    <definedName name="ps_hang171">DK!$C$345:$E$346</definedName>
    <definedName name="ps_hang172">DK!$C$347:$E$348</definedName>
    <definedName name="ps_hang173">DK!$C$349:$E$350</definedName>
    <definedName name="ps_hang174">DK!$C$351:$E$352</definedName>
    <definedName name="ps_hang175">DK!$C$353:$E$354</definedName>
    <definedName name="ps_hang176">DK!$C$355:$E$356</definedName>
    <definedName name="ps_hang177">DK!$C$357:$E$358</definedName>
    <definedName name="ps_hang178">DK!$C$359:$E$360</definedName>
    <definedName name="ps_hang179">DK!$C$361:$E$362</definedName>
    <definedName name="ps_hang180">DK!$C$363:$E$364</definedName>
    <definedName name="ps_hang181">DK!$C$365:$E$366</definedName>
    <definedName name="ps_hang182">DK!$C$367:$E$368</definedName>
    <definedName name="ps_hang183">DK!$C$369:$E$370</definedName>
    <definedName name="ps_hang184">DK!$C$371:$E$372</definedName>
    <definedName name="ps_hang185">DK!$C$373:$E$374</definedName>
    <definedName name="ps_hang186">DK!$C$375:$E$376</definedName>
    <definedName name="ps_hang187">DK!$C$377:$E$378</definedName>
    <definedName name="ps_hang188">DK!$C$379:$E$380</definedName>
    <definedName name="ps_hang189">DK!$C$381:$E$382</definedName>
    <definedName name="ps_hang190">DK!$C$383:$E$384</definedName>
    <definedName name="ps_hang191">DK!$C$385:$E$386</definedName>
    <definedName name="ps_hang192">DK!$C$387:$E$388</definedName>
    <definedName name="ps_hang193">DK!$C$389:$E$390</definedName>
    <definedName name="ps_hang194">DK!$C$391:$E$392</definedName>
    <definedName name="ps_hang195">DK!$C$393:$E$394</definedName>
    <definedName name="ps_hang196">DK!$C$395:$E$396</definedName>
    <definedName name="ps_hang197">DK!$C$397:$E$398</definedName>
    <definedName name="ps_hang198">DK!$C$399:$E$400</definedName>
    <definedName name="ps_hang199">DK!$C$401:$E$402</definedName>
    <definedName name="ps_hang200">DK!$C$403:$E$404</definedName>
    <definedName name="ps_hang201">DK!$C$405:$E$406</definedName>
    <definedName name="ps_hang202">DK!$C$407:$E$408</definedName>
    <definedName name="ps_hang203">DK!$C$409:$E$410</definedName>
    <definedName name="ps_hang204">DK!$C$411:$E$412</definedName>
    <definedName name="ps_hang205">DK!$C$413:$E$414</definedName>
    <definedName name="ps_hang206">DK!$C$415:$E$416</definedName>
    <definedName name="ps_hang207">DK!$C$417:$E$418</definedName>
    <definedName name="ps_hang208">DK!$C$419:$E$420</definedName>
    <definedName name="ps_hang209">DK!$C$421:$E$422</definedName>
    <definedName name="ps_hang210">DK!$C$423:$E$424</definedName>
    <definedName name="ps_hang211">DK!$C$425:$E$426</definedName>
    <definedName name="ps_hang212">DK!$C$427:$E$428</definedName>
    <definedName name="ps_hang213">DK!$C$429:$E$430</definedName>
    <definedName name="ps_hang214">DK!$C$431:$E$432</definedName>
    <definedName name="ps_hang215">DK!$C$433:$E$434</definedName>
    <definedName name="ps_hang216">DK!$C$435:$E$436</definedName>
    <definedName name="ps_hang217">DK!$C$437:$E$438</definedName>
    <definedName name="ps_hang218">DK!$C$439:$E$440</definedName>
    <definedName name="ps_hang219">DK!$C$441:$E$442</definedName>
    <definedName name="ps_hang220">DK!$C$443:$E$444</definedName>
    <definedName name="ps_hang221">DK!$C$445:$E$446</definedName>
    <definedName name="ps_hang222">DK!$C$447:$E$448</definedName>
    <definedName name="ps_hang223">DK!$C$449:$E$450</definedName>
    <definedName name="ps_hang224">DK!$C$451:$E$452</definedName>
    <definedName name="ps_hang225">DK!$C$453:$E$454</definedName>
    <definedName name="ps_hang226">DK!$C$455:$E$456</definedName>
    <definedName name="ps_hang227">DK!$C$457:$E$458</definedName>
    <definedName name="ps_hang228">DK!$C$459:$E$460</definedName>
    <definedName name="ps_hang229">DK!$C$461:$E$462</definedName>
    <definedName name="ps_hang230">DK!$C$463:$E$464</definedName>
    <definedName name="ps_hang231">DK!$C$465:$E$466</definedName>
    <definedName name="ps_hang232">DK!$C$467:$E$468</definedName>
    <definedName name="ps_hang233">DK!$C$469:$E$470</definedName>
    <definedName name="ps_hang234">DK!$C$471:$E$472</definedName>
    <definedName name="ps_hang235">DK!$C$473:$E$474</definedName>
    <definedName name="ps_hang236">DK!$C$475:$E$476</definedName>
    <definedName name="ps_hang237">DK!$C$477:$E$478</definedName>
    <definedName name="ps_hang238">DK!$C$479:$E$480</definedName>
    <definedName name="ps_hang239">DK!$C$481:$E$482</definedName>
    <definedName name="ps_hang240">DK!$C$483:$E$484</definedName>
    <definedName name="ps_hang241">DK!$C$485:$E$486</definedName>
    <definedName name="ps_hang242">DK!$C$487:$E$488</definedName>
    <definedName name="ps_hang243">DK!$C$489:$E$490</definedName>
    <definedName name="ps_hang244">DK!$C$491:$E$492</definedName>
    <definedName name="ps_hang245">DK!$C$493:$E$494</definedName>
    <definedName name="ps_hang246">DK!$C$495:$E$496</definedName>
    <definedName name="ps_hang247">DK!$C$497:$E$498</definedName>
    <definedName name="ps_hang248">DK!$C$499:$E$500</definedName>
    <definedName name="ps_hang249">DK!$C$501:$E$502</definedName>
    <definedName name="ps_hang250">DK!$C$503:$E$504</definedName>
    <definedName name="ps_hang251">DK!$C$505:$E$506</definedName>
    <definedName name="ps_hang252">DK!$C$507:$E$508</definedName>
    <definedName name="ps_hang253">DK!$C$509:$E$510</definedName>
    <definedName name="ps_hang254">DK!$C$511:$E$512</definedName>
    <definedName name="ps_hang255">DK!$C$513:$E$514</definedName>
    <definedName name="ps_hang256">DK!$C$515:$E$516</definedName>
    <definedName name="ps_hang257">DK!$C$517:$E$518</definedName>
    <definedName name="ps_hang258">DK!$C$519:$E$520</definedName>
    <definedName name="ps_hang259">DK!$C$521:$E$522</definedName>
    <definedName name="ps_hang260">DK!$C$523:$E$524</definedName>
    <definedName name="ps_hang261">DK!$C$525:$E$526</definedName>
    <definedName name="ps_hang262">DK!$C$527:$E$528</definedName>
    <definedName name="ps_hang263">DK!$C$529:$E$530</definedName>
    <definedName name="ps_hang264">DK!$C$531:$E$532</definedName>
    <definedName name="ps_hang265">DK!$C$533:$E$534</definedName>
    <definedName name="ps_hang266">DK!$C$535:$E$536</definedName>
    <definedName name="ps_hang267">DK!$C$537:$E$538</definedName>
    <definedName name="ps_hang268">DK!$C$539:$E$540</definedName>
    <definedName name="ps_hang269">DK!$C$541:$E$542</definedName>
    <definedName name="ps_hang270">DK!$C$543:$E$544</definedName>
    <definedName name="ps_hang271">DK!$C$545:$E$546</definedName>
    <definedName name="ps_hang272">DK!$C$547:$E$548</definedName>
    <definedName name="ps_hang273">DK!$C$549:$E$550</definedName>
    <definedName name="ps_hang274">DK!$C$551:$E$552</definedName>
    <definedName name="ps_hang275">DK!$C$553:$E$554</definedName>
    <definedName name="ps_hang276">DK!$C$555:$E$556</definedName>
    <definedName name="ps_hang277">DK!$C$557:$E$558</definedName>
    <definedName name="ps_hang278">DK!$C$559:$E$560</definedName>
    <definedName name="ps_hang279">DK!$C$561:$E$562</definedName>
    <definedName name="ps_hang280">DK!$C$563:$E$564</definedName>
    <definedName name="ps_hang281">DK!$C$565:$E$566</definedName>
    <definedName name="ps_hang282">DK!$C$567:$E$568</definedName>
    <definedName name="ps_hang283">DK!$C$569:$E$570</definedName>
    <definedName name="ps_hang284">DK!$C$571:$E$572</definedName>
    <definedName name="ps_hang285">DK!$C$573:$E$574</definedName>
    <definedName name="ps_hang286">DK!$C$575:$E$576</definedName>
    <definedName name="ps_hang287">DK!$C$577:$E$578</definedName>
    <definedName name="ps_hang288">DK!$C$579:$E$580</definedName>
    <definedName name="ps_hang289">DK!$C$581:$E$582</definedName>
    <definedName name="ps_hang290">DK!$C$583:$E$584</definedName>
    <definedName name="ps_hang291">DK!$C$585:$E$586</definedName>
    <definedName name="ps_hang292">DK!$C$587:$E$588</definedName>
    <definedName name="ps_hang293">DK!$C$589:$E$590</definedName>
    <definedName name="ps_hang294">DK!$C$591:$E$592</definedName>
    <definedName name="ps_hang295">DK!$C$593:$E$594</definedName>
    <definedName name="ps_hang296">DK!$C$595:$E$596</definedName>
    <definedName name="ps_hang297">DK!$C$597:$E$598</definedName>
    <definedName name="ps_hang298">DK!$C$599:$E$600</definedName>
    <definedName name="ps_hang299">DK!$C$601:$E$602</definedName>
    <definedName name="ps_hang300">DK!$C$603:$E$604</definedName>
    <definedName name="ps_hang301">DK!$C$605:$E$606</definedName>
    <definedName name="ps_hang302">DK!$C$607:$E$608</definedName>
    <definedName name="ps_hang303">DK!$C$609:$E$610</definedName>
    <definedName name="ps_hang304">DK!$C$611:$E$612</definedName>
    <definedName name="ps_hang305">DK!$C$613:$E$614</definedName>
    <definedName name="ps_hang306">DK!$C$615:$E$616</definedName>
    <definedName name="ps_hang307">DK!$C$617:$E$618</definedName>
    <definedName name="ps_hang308">DK!$C$619:$E$620</definedName>
    <definedName name="ps_hang309">DK!$C$621:$E$622</definedName>
    <definedName name="ps_hang310">DK!$C$623:$E$624</definedName>
    <definedName name="ps_hang311">DK!$C$625:$E$626</definedName>
    <definedName name="ps_hang312">DK!$C$627:$E$628</definedName>
    <definedName name="ps_hang313">DK!$C$629:$E$630</definedName>
    <definedName name="ps_hang314">DK!$C$631:$E$632</definedName>
    <definedName name="ps_hang315">DK!$C$633:$E$634</definedName>
    <definedName name="ps_hang316">DK!$C$635:$E$636</definedName>
    <definedName name="ps_hang317">DK!$C$637:$E$638</definedName>
    <definedName name="ps_hang318">DK!$C$639:$E$640</definedName>
    <definedName name="ps_hang319">DK!$C$641:$E$642</definedName>
    <definedName name="ps_hang320">DK!$C$643:$E$644</definedName>
    <definedName name="ps_hang321">DK!$C$645:$E$646</definedName>
    <definedName name="ps_hang322">DK!$C$647:$E$648</definedName>
    <definedName name="ps_hang323">DK!$C$649:$E$650</definedName>
    <definedName name="ps_hang324">DK!$C$651:$E$652</definedName>
    <definedName name="ps_hang325">DK!$C$653:$E$654</definedName>
    <definedName name="ps_hang326">DK!$C$655:$E$656</definedName>
    <definedName name="ps_hang327">DK!$C$657:$E$658</definedName>
    <definedName name="ps_hang328">DK!$C$659:$E$660</definedName>
    <definedName name="ps_hang329">DK!$C$661:$E$662</definedName>
    <definedName name="ps_hang330">DK!$C$663:$E$664</definedName>
    <definedName name="ps_hang331">DK!$C$665:$E$666</definedName>
    <definedName name="ps_hang332">DK!$C$667:$E$668</definedName>
    <definedName name="ps_hang333">DK!$C$669:$E$670</definedName>
    <definedName name="ps_hang334">DK!$C$671:$E$672</definedName>
    <definedName name="ps_hang335">DK!$C$673:$E$674</definedName>
    <definedName name="ps_hang336">DK!$C$675:$E$676</definedName>
    <definedName name="ps_hang337">DK!$C$677:$E$678</definedName>
    <definedName name="ps_hang338">DK!$C$679:$E$680</definedName>
    <definedName name="ps_hang339">DK!$C$681:$E$682</definedName>
    <definedName name="ps_hang340">DK!$C$683:$E$684</definedName>
    <definedName name="ps_hang341">DK!$C$685:$E$686</definedName>
    <definedName name="ps_hang342">DK!$C$687:$E$688</definedName>
    <definedName name="ps_hang343">DK!$C$689:$E$690</definedName>
    <definedName name="ps_hang344">DK!$C$691:$E$692</definedName>
    <definedName name="ps_hang345">DK!$C$693:$E$694</definedName>
    <definedName name="ps_hang346">DK!$C$695:$E$696</definedName>
    <definedName name="ps_hang347">DK!$C$697:$E$698</definedName>
    <definedName name="ps_hang348">DK!$C$699:$E$700</definedName>
    <definedName name="ps_hang349">DK!$C$701:$E$702</definedName>
    <definedName name="ps_hang350">DK!$C$703:$E$704</definedName>
    <definedName name="ps_hang351">DK!$C$705:$E$706</definedName>
    <definedName name="ps_hang352">DK!$C$707:$E$708</definedName>
    <definedName name="ps_hang353">DK!$C$709:$E$710</definedName>
    <definedName name="ps_hang354">DK!$C$711:$E$712</definedName>
    <definedName name="ps_hang355">DK!$C$713:$E$714</definedName>
    <definedName name="ps_hang356">DK!$C$715:$E$716</definedName>
    <definedName name="ps_hang357">DK!$C$717:$E$718</definedName>
    <definedName name="ps_hang358">DK!$C$719:$E$720</definedName>
    <definedName name="ps_hang359">DK!$C$721:$E$722</definedName>
    <definedName name="ps_hang360">DK!$C$723:$E$724</definedName>
    <definedName name="ps_hang361">DK!$C$725:$E$726</definedName>
    <definedName name="ps_hang362">DK!$C$727:$E$728</definedName>
    <definedName name="ps_hang363">DK!$C$729:$E$730</definedName>
    <definedName name="ps_hang364">DK!$C$731:$E$732</definedName>
    <definedName name="ps_hang365">DK!$C$733:$E$734</definedName>
    <definedName name="ps_hang366">DK!$C$735:$E$736</definedName>
    <definedName name="ps_hang367">DK!$C$737:$E$738</definedName>
    <definedName name="ps_hang368">DK!$C$739:$E$740</definedName>
    <definedName name="ps_hang369">DK!$C$741:$E$742</definedName>
    <definedName name="ps_hang370">DK!$C$743:$E$744</definedName>
    <definedName name="ps_hang371">DK!$C$745:$E$746</definedName>
    <definedName name="ps_hang372">DK!$C$747:$E$748</definedName>
    <definedName name="ps_hang373">DK!$C$749:$E$750</definedName>
    <definedName name="ps_hang374">DK!$C$751:$E$752</definedName>
    <definedName name="ps_hang375">DK!$C$753:$E$754</definedName>
    <definedName name="ps_hang376">DK!$C$755:$E$756</definedName>
    <definedName name="ps_hang377">DK!$C$757:$E$758</definedName>
    <definedName name="ps_hang378">DK!$C$759:$E$760</definedName>
    <definedName name="ps_hang379">DK!$C$761:$E$762</definedName>
    <definedName name="ps_hang380">DK!$C$763:$E$764</definedName>
    <definedName name="ps_hang381">DK!$C$765:$E$766</definedName>
    <definedName name="ps_hang382">DK!$C$767:$E$768</definedName>
    <definedName name="ps_hang383">DK!$C$769:$E$770</definedName>
    <definedName name="ps_hang384">DK!$C$771:$E$772</definedName>
    <definedName name="ps_hang385">DK!$C$773:$E$774</definedName>
    <definedName name="ps_hang386">DK!$C$775:$E$776</definedName>
    <definedName name="ps_hang387">DK!$C$777:$E$778</definedName>
    <definedName name="ps_hang388">DK!$C$779:$E$780</definedName>
    <definedName name="ps_hang389">DK!$C$781:$E$782</definedName>
    <definedName name="ps_hang390">DK!$C$783:$E$784</definedName>
    <definedName name="ps_hang391">DK!$C$785:$E$786</definedName>
    <definedName name="ps_hang392">DK!$C$787:$E$788</definedName>
    <definedName name="ps_hang393">DK!$C$789:$E$790</definedName>
    <definedName name="ps_hang394">DK!$C$791:$E$792</definedName>
    <definedName name="ps_hang395">DK!$C$793:$E$794</definedName>
    <definedName name="ps_hang396">DK!$C$795:$E$796</definedName>
    <definedName name="ps_hang397">DK!$C$797:$E$798</definedName>
    <definedName name="ps_hang398">DK!$C$799:$E$800</definedName>
    <definedName name="ps_hang399">DK!$C$801:$E$802</definedName>
    <definedName name="ps_hang400">DK!$C$803:$E$804</definedName>
    <definedName name="ps_hang401">DK!$C$805:$E$806</definedName>
    <definedName name="ps_hang402">DK!$C$807:$E$808</definedName>
    <definedName name="ps_hang403">DK!$C$809:$E$810</definedName>
    <definedName name="ps_hang404">DK!$C$811:$E$812</definedName>
    <definedName name="ps_hang405">DK!$C$813:$E$814</definedName>
    <definedName name="ps_hang406">DK!$C$815:$E$816</definedName>
    <definedName name="ps_hang407">DK!$C$817:$E$818</definedName>
    <definedName name="ps_hang408">DK!$C$819:$E$820</definedName>
    <definedName name="ps_hang409">DK!$C$821:$E$822</definedName>
    <definedName name="ps_hang410">DK!$C$823:$E$824</definedName>
    <definedName name="ps_hang411">DK!$C$825:$E$826</definedName>
    <definedName name="ps_hang412">DK!$C$827:$E$828</definedName>
    <definedName name="ps_hang413">DK!$C$829:$E$830</definedName>
    <definedName name="ps_hang414">DK!$C$831:$E$832</definedName>
    <definedName name="ps_hang415">DK!$C$833:$E$834</definedName>
    <definedName name="ps_hang416">DK!$C$835:$E$836</definedName>
    <definedName name="ps_hang417">DK!$C$837:$E$838</definedName>
    <definedName name="ps_hang418">DK!$C$839:$E$840</definedName>
    <definedName name="ps_hang419">DK!$C$841:$E$842</definedName>
    <definedName name="ps_hang420">DK!$C$843:$E$844</definedName>
    <definedName name="ps_hang421">DK!$C$845:$E$846</definedName>
    <definedName name="ps_hang422">DK!$C$847:$E$848</definedName>
    <definedName name="ps_hang423">DK!$C$849:$E$850</definedName>
    <definedName name="ps_hang424">DK!$C$851:$E$852</definedName>
    <definedName name="ps_hang425">DK!$C$853:$E$854</definedName>
    <definedName name="ps_hang426">DK!$C$855:$E$856</definedName>
    <definedName name="ps_hang427">DK!$C$857:$E$858</definedName>
    <definedName name="ps_hang428">DK!$C$859:$E$860</definedName>
    <definedName name="ps_hang429">DK!$C$861:$E$862</definedName>
    <definedName name="ps_hang430">DK!$C$863:$E$864</definedName>
    <definedName name="ps_hang431">DK!$C$865:$E$866</definedName>
    <definedName name="ps_hang432">DK!$C$867:$E$868</definedName>
    <definedName name="ps_hang433">DK!$C$869:$E$870</definedName>
    <definedName name="ps_hang434">DK!$C$871:$E$872</definedName>
    <definedName name="ps_hang435">DK!$C$873:$E$874</definedName>
    <definedName name="ps_hang436">DK!$C$875:$E$876</definedName>
    <definedName name="ps_hang437">DK!$C$877:$E$878</definedName>
    <definedName name="ps_hang438">DK!$C$879:$E$880</definedName>
    <definedName name="ps_hang439">DK!$C$881:$E$882</definedName>
    <definedName name="ps_hang440">DK!$C$883:$E$884</definedName>
    <definedName name="ps_hang441">DK!$C$885:$E$886</definedName>
    <definedName name="ps_hang442">DK!$C$887:$E$888</definedName>
    <definedName name="ps_hang443">DK!$C$889:$E$890</definedName>
    <definedName name="ps_hang444">DK!$C$891:$E$892</definedName>
    <definedName name="ps_hang445">DK!$C$893:$E$894</definedName>
    <definedName name="ps_hang446">DK!$C$895:$E$896</definedName>
    <definedName name="ps_hang447">DK!$C$897:$E$898</definedName>
    <definedName name="ps_hang448">DK!$C$899:$E$900</definedName>
    <definedName name="ps_hang449">DK!$C$901:$E$902</definedName>
    <definedName name="ps_hang450">DK!$C$903:$E$904</definedName>
    <definedName name="ps_hang451">DK!$C$905:$E$906</definedName>
    <definedName name="ps_hang452">DK!$C$907:$E$908</definedName>
    <definedName name="ps_hang453">DK!$C$909:$E$910</definedName>
    <definedName name="ps_hang454">DK!$C$911:$E$912</definedName>
    <definedName name="ps_hang455">DK!$C$913:$E$914</definedName>
    <definedName name="ps_hang456">DK!$C$915:$E$916</definedName>
    <definedName name="ps_hang457">DK!$C$917:$E$918</definedName>
    <definedName name="ps_hang458">DK!$C$919:$E$920</definedName>
    <definedName name="ps_hang459">DK!$C$921:$E$922</definedName>
    <definedName name="ps_hang460">DK!$C$923:$E$924</definedName>
    <definedName name="ps_hang461">DK!$C$925:$E$926</definedName>
    <definedName name="ps_hang462">DK!$C$927:$E$928</definedName>
    <definedName name="ps_hang463">DK!$C$929:$E$930</definedName>
    <definedName name="ps_hang464">DK!$C$931:$E$932</definedName>
    <definedName name="ps_hang465">DK!$C$933:$E$934</definedName>
    <definedName name="ps_hang466">DK!$C$935:$E$936</definedName>
    <definedName name="ps_hang467">DK!$C$937:$E$938</definedName>
    <definedName name="ps_hang468">DK!$C$939:$E$940</definedName>
    <definedName name="ps_hang469">DK!$C$941:$E$942</definedName>
    <definedName name="ps_hang470">DK!$C$943:$E$944</definedName>
    <definedName name="ps_hang471">DK!$C$945:$E$946</definedName>
    <definedName name="ps_hang472">DK!$C$947:$E$948</definedName>
    <definedName name="ps_hang473">DK!$C$949:$E$950</definedName>
    <definedName name="ps_hang474">DK!$C$951:$E$952</definedName>
    <definedName name="ps_hang475">DK!$C$953:$E$954</definedName>
    <definedName name="ps_hang476">DK!$C$955:$E$956</definedName>
    <definedName name="ps_hang477">DK!$C$957:$E$958</definedName>
    <definedName name="ps_hang478">DK!$C$959:$E$960</definedName>
    <definedName name="ps_hang479">DK!$C$961:$E$962</definedName>
    <definedName name="ps_hang480">DK!$C$963:$E$964</definedName>
    <definedName name="ps_hang481">DK!$C$965:$E$966</definedName>
    <definedName name="ps_hang482">DK!$C$967:$E$968</definedName>
    <definedName name="ps_hang483">DK!$C$969:$E$970</definedName>
    <definedName name="ps_hang484">DK!$C$971:$E$972</definedName>
    <definedName name="ps_hang485">DK!$C$973:$E$974</definedName>
    <definedName name="ps_hang486">DK!$C$975:$E$976</definedName>
    <definedName name="ps_hang487">DK!$C$977:$E$978</definedName>
    <definedName name="ps_hang488">DK!$C$979:$E$980</definedName>
    <definedName name="ps_hang489">DK!$C$981:$E$982</definedName>
    <definedName name="ps_hang490">DK!$C$983:$E$984</definedName>
    <definedName name="ps_hang491">DK!$C$985:$E$986</definedName>
    <definedName name="ps_hang492">DK!$C$987:$E$988</definedName>
    <definedName name="ps_hang493">DK!$C$989:$E$990</definedName>
    <definedName name="ps_hang494">DK!$C$991:$E$992</definedName>
    <definedName name="ps_hang495">DK!$C$993:$E$994</definedName>
    <definedName name="ps_hang496">DK!$C$995:$E$996</definedName>
    <definedName name="ps_hang497">DK!$C$997:$E$998</definedName>
    <definedName name="ps_hang498">DK!$C$999:$E$1000</definedName>
    <definedName name="ps_hang499">DK!$C$1001:$E$1002</definedName>
    <definedName name="ps_hang500">DK!$C$1003:$E$1004</definedName>
    <definedName name="ps_phong01">DK!$I$5:$K$6</definedName>
    <definedName name="ps_phong02">DK!$I$7:$K$8</definedName>
    <definedName name="ps_phong03">DK!$I$9:$K$10</definedName>
    <definedName name="ps_phong04">DK!$I$11:$K$12</definedName>
    <definedName name="ps_phong05">DK!$I$13:$K$14</definedName>
    <definedName name="ps_phong06">DK!$I$15:$K$16</definedName>
    <definedName name="ps_phong07">DK!$I$17:$K$18</definedName>
    <definedName name="ps_phong08">DK!$I$19:$K$20</definedName>
    <definedName name="ps_phong09">DK!$I$21:$K$22</definedName>
    <definedName name="ps_phong10">DK!$I$23:$K$24</definedName>
    <definedName name="ps_phong11">DK!$I$25:$K$26</definedName>
    <definedName name="ps_phong12">DK!$I$27:$K$28</definedName>
    <definedName name="ps_phong13">DK!$I$29:$K$30</definedName>
    <definedName name="ps_phong14">DK!$I$31:$K$32</definedName>
    <definedName name="ps_phong15">DK!$I$33:$K$34</definedName>
    <definedName name="QuanLyHangHoa">DMHH!$D$8:$K$507</definedName>
    <definedName name="td_hang001">DK!$E$5:$G$6</definedName>
    <definedName name="td_hang002">DK!$E$7:$G$8</definedName>
    <definedName name="td_hang003">DK!$E$9:$G$10</definedName>
    <definedName name="td_hang004">DK!$E$11:$G$12</definedName>
    <definedName name="td_hang005">DK!$E$13:$G$14</definedName>
    <definedName name="td_hang006">DK!$E$15:$G$16</definedName>
    <definedName name="td_hang007">DK!$E$17:$G$18</definedName>
    <definedName name="td_hang008">DK!$E$19:$G$20</definedName>
    <definedName name="td_hang009">DK!$E$21:$G$22</definedName>
    <definedName name="td_hang010">DK!$E$23:$G$24</definedName>
    <definedName name="td_hang011">DK!$E$25:$G$26</definedName>
    <definedName name="td_hang012">DK!$E$27:$G$28</definedName>
    <definedName name="td_hang013">DK!$E$29:$G$30</definedName>
    <definedName name="td_hang014">DK!$E$31:$G$32</definedName>
    <definedName name="td_hang015">DK!$E$33:$G$34</definedName>
    <definedName name="td_hang016">DK!$E$35:$G$36</definedName>
    <definedName name="td_hang017">DK!$E$37:$G$38</definedName>
    <definedName name="td_hang018">DK!$E$39:$G$40</definedName>
    <definedName name="td_hang019">DK!$E$41:$G$42</definedName>
    <definedName name="td_hang020">DK!$E$43:$G$44</definedName>
    <definedName name="td_hang021">DK!$E$45:$G$46</definedName>
    <definedName name="td_hang022">DK!$E$47:$G$48</definedName>
    <definedName name="td_hang023">DK!$E$49:$G$50</definedName>
    <definedName name="td_hang024">DK!$E$51:$G$52</definedName>
    <definedName name="td_hang025">DK!$E$53:$G$54</definedName>
    <definedName name="td_hang026">DK!$E$55:$G$56</definedName>
    <definedName name="td_hang027">DK!$E$57:$G$58</definedName>
    <definedName name="td_hang028">DK!$E$59:$G$60</definedName>
    <definedName name="td_hang029">DK!$E$61:$G$62</definedName>
    <definedName name="td_hang030">DK!$E$63:$G$64</definedName>
    <definedName name="td_hang031">DK!$E$65:$G$66</definedName>
    <definedName name="td_hang032">DK!$E$67:$G$68</definedName>
    <definedName name="td_hang033">DK!$E$69:$G$70</definedName>
    <definedName name="td_hang034">DK!$E$71:$G$72</definedName>
    <definedName name="td_hang035">DK!$E$73:$G$74</definedName>
    <definedName name="td_hang036">DK!$E$75:$G$76</definedName>
    <definedName name="td_hang037">DK!$E$77:$G$78</definedName>
    <definedName name="td_hang038">DK!$E$79:$G$80</definedName>
    <definedName name="td_hang039">DK!$E$81:$G$82</definedName>
    <definedName name="td_hang040">DK!$E$83:$G$84</definedName>
    <definedName name="td_hang041">DK!$E$85:$G$86</definedName>
    <definedName name="td_hang042">DK!$E$87:$G$88</definedName>
    <definedName name="td_hang043">DK!$E$89:$G$90</definedName>
    <definedName name="td_hang044">DK!$E$91:$G$92</definedName>
    <definedName name="td_hang045">DK!$E$93:$G$94</definedName>
    <definedName name="td_hang046">DK!$E$95:$G$96</definedName>
    <definedName name="td_hang047">DK!$E$97:$G$98</definedName>
    <definedName name="td_hang048">DK!$E$99:$G$100</definedName>
    <definedName name="td_hang049">DK!$E$101:$G$102</definedName>
    <definedName name="td_hang050">DK!$E$103:$G$104</definedName>
    <definedName name="td_hang051">DK!$E$105:$G$106</definedName>
    <definedName name="td_hang052">DK!$E$107:$G$108</definedName>
    <definedName name="td_hang053">DK!$E$109:$G$110</definedName>
    <definedName name="td_hang054">DK!$E$111:$G$112</definedName>
    <definedName name="td_hang055">DK!$E$113:$G$114</definedName>
    <definedName name="td_hang056">DK!$E$115:$G$116</definedName>
    <definedName name="td_hang057">DK!$E$117:$G$118</definedName>
    <definedName name="td_hang058">DK!$E$119:$G$120</definedName>
    <definedName name="td_hang059">DK!$E$121:$G$122</definedName>
    <definedName name="td_hang060">DK!$E$123:$G$124</definedName>
    <definedName name="td_hang061">DK!$E$125:$G$126</definedName>
    <definedName name="td_hang062">DK!$E$127:$G$128</definedName>
    <definedName name="td_hang063">DK!$E$129:$G$130</definedName>
    <definedName name="td_hang064">DK!$E$131:$G$132</definedName>
    <definedName name="td_hang065">DK!$E$133:$G$134</definedName>
    <definedName name="td_hang066">DK!$E$135:$G$136</definedName>
    <definedName name="td_hang067">DK!$E$137:$G$138</definedName>
    <definedName name="td_hang068">DK!$E$139:$G$140</definedName>
    <definedName name="td_hang069">DK!$E$141:$G$142</definedName>
    <definedName name="td_hang070">DK!$E$143:$G$144</definedName>
    <definedName name="td_hang071">DK!$E$145:$G$146</definedName>
    <definedName name="td_hang072">DK!$E$147:$G$148</definedName>
    <definedName name="td_hang073">DK!$E$149:$G$150</definedName>
    <definedName name="td_hang074">DK!$E$151:$G$152</definedName>
    <definedName name="td_hang075">DK!$E$153:$G$154</definedName>
    <definedName name="td_hang076">DK!$E$155:$G$156</definedName>
    <definedName name="td_hang077">DK!$E$157:$G$158</definedName>
    <definedName name="td_hang078">DK!$E$159:$G$160</definedName>
    <definedName name="td_hang079">DK!$E$161:$G$162</definedName>
    <definedName name="td_hang080">DK!$E$163:$G$164</definedName>
    <definedName name="td_hang081">DK!$E$165:$G$166</definedName>
    <definedName name="td_hang082">DK!$E$167:$G$168</definedName>
    <definedName name="td_hang083">DK!$E$169:$G$170</definedName>
    <definedName name="td_hang084">DK!$E$171:$G$172</definedName>
    <definedName name="td_hang085">DK!$E$173:$G$174</definedName>
    <definedName name="td_hang086">DK!$E$175:$G$176</definedName>
    <definedName name="td_hang087">DK!$E$177:$G$178</definedName>
    <definedName name="td_hang088">DK!$E$179:$G$180</definedName>
    <definedName name="td_hang089">DK!$E$181:$G$182</definedName>
    <definedName name="td_hang090">DK!$E$183:$G$184</definedName>
    <definedName name="td_hang091">DK!$E$185:$G$186</definedName>
    <definedName name="td_hang092">DK!$E$187:$G$188</definedName>
    <definedName name="td_hang093">DK!$E$189:$G$190</definedName>
    <definedName name="td_hang094">DK!$E$191:$G$192</definedName>
    <definedName name="td_hang095">DK!$E$193:$G$194</definedName>
    <definedName name="td_hang096">DK!$E$195:$G$196</definedName>
    <definedName name="td_hang097">DK!$E$197:$G$198</definedName>
    <definedName name="td_hang098">DK!$E$199:$G$200</definedName>
    <definedName name="td_hang099">DK!$E$201:$G$202</definedName>
    <definedName name="td_hang100">DK!$E$203:$G$204</definedName>
    <definedName name="td_hang101">DK!$E$205:$G$206</definedName>
    <definedName name="td_hang102">DK!$E$207:$G$208</definedName>
    <definedName name="td_hang103">DK!$E$209:$G$210</definedName>
    <definedName name="td_hang104">DK!$E$211:$G$212</definedName>
    <definedName name="td_hang105">DK!$E$213:$G$214</definedName>
    <definedName name="td_hang106">DK!$E$215:$G$216</definedName>
    <definedName name="td_hang107">DK!$E$217:$G$218</definedName>
    <definedName name="td_hang108">DK!$E$219:$G$220</definedName>
    <definedName name="td_hang109">DK!$E$221:$G$222</definedName>
    <definedName name="td_hang110">DK!$E$223:$G$224</definedName>
    <definedName name="td_hang111">DK!$E$225:$G$226</definedName>
    <definedName name="td_hang112">DK!$E$227:$G$228</definedName>
    <definedName name="td_hang113">DK!$E$229:$G$230</definedName>
    <definedName name="td_hang114">DK!$E$231:$G$232</definedName>
    <definedName name="td_hang115">DK!$E$233:$G$234</definedName>
    <definedName name="td_hang116">DK!$E$235:$G$236</definedName>
    <definedName name="td_hang117">DK!$E$237:$G$238</definedName>
    <definedName name="td_hang118">DK!$E$239:$G$240</definedName>
    <definedName name="td_hang119">DK!$E$241:$G$242</definedName>
    <definedName name="td_hang120">DK!$E$243:$G$244</definedName>
    <definedName name="td_hang121">DK!$E$245:$G$246</definedName>
    <definedName name="td_hang122">DK!$E$247:$G$248</definedName>
    <definedName name="td_hang123">DK!$E$249:$G$250</definedName>
    <definedName name="td_hang124">DK!$E$251:$G$252</definedName>
    <definedName name="td_hang125">DK!$E$253:$G$254</definedName>
    <definedName name="td_hang126">DK!$E$255:$G$256</definedName>
    <definedName name="td_hang127">DK!$E$257:$G$258</definedName>
    <definedName name="td_hang128">DK!$E$259:$G$260</definedName>
    <definedName name="td_hang129">DK!$E$261:$G$262</definedName>
    <definedName name="td_hang130">DK!$E$263:$G$264</definedName>
    <definedName name="td_hang131">DK!$E$265:$G$266</definedName>
    <definedName name="td_hang132">DK!$E$267:$G$268</definedName>
    <definedName name="td_hang133">DK!$E$269:$G$270</definedName>
    <definedName name="td_hang134">DK!$E$271:$G$272</definedName>
    <definedName name="td_hang135">DK!$E$273:$G$274</definedName>
    <definedName name="td_hang136">DK!$E$275:$G$276</definedName>
    <definedName name="td_hang137">DK!$E$277:$G$278</definedName>
    <definedName name="td_hang138">DK!$E$279:$G$280</definedName>
    <definedName name="td_hang139">DK!$E$281:$G$282</definedName>
    <definedName name="td_hang140">DK!$E$283:$G$284</definedName>
    <definedName name="td_hang141">DK!$E$285:$G$286</definedName>
    <definedName name="td_hang142">DK!$E$287:$G$288</definedName>
    <definedName name="td_hang143">DK!$E$289:$G$290</definedName>
    <definedName name="td_hang144">DK!$E$291:$G$292</definedName>
    <definedName name="td_hang145">DK!$E$293:$G$294</definedName>
    <definedName name="td_hang146">DK!$E$295:$G$296</definedName>
    <definedName name="td_hang147">DK!$E$297:$G$298</definedName>
    <definedName name="td_hang148">DK!$E$299:$G$300</definedName>
    <definedName name="td_hang149">DK!$E$301:$G$302</definedName>
    <definedName name="td_hang150">DK!$E$303:$G$304</definedName>
    <definedName name="td_hang151">DK!$E$305:$G$306</definedName>
    <definedName name="td_hang152">DK!$E$307:$G$308</definedName>
    <definedName name="td_hang153">DK!$E$309:$G$310</definedName>
    <definedName name="td_hang154">DK!$E$311:$G$312</definedName>
    <definedName name="td_hang155">DK!$E$313:$G$314</definedName>
    <definedName name="td_hang156">DK!$E$315:$G$316</definedName>
    <definedName name="td_hang157">DK!$E$317:$G$318</definedName>
    <definedName name="td_hang158">DK!$E$319:$G$320</definedName>
    <definedName name="td_hang159">DK!$E$321:$G$322</definedName>
    <definedName name="td_hang160">DK!$E$323:$G$324</definedName>
    <definedName name="td_hang161">DK!$E$325:$G$326</definedName>
    <definedName name="td_hang162">DK!$E$327:$G$328</definedName>
    <definedName name="td_hang163">DK!$E$329:$G$330</definedName>
    <definedName name="td_hang164">DK!$E$331:$G$332</definedName>
    <definedName name="td_hang165">DK!$E$333:$G$334</definedName>
    <definedName name="td_hang166">DK!$E$335:$G$336</definedName>
    <definedName name="td_hang167">DK!$E$337:$G$338</definedName>
    <definedName name="td_hang168">DK!$E$339:$G$340</definedName>
    <definedName name="td_hang169">DK!$E$341:$G$342</definedName>
    <definedName name="td_hang170">DK!$E$343:$G$344</definedName>
    <definedName name="td_hang171">DK!$E$345:$G$346</definedName>
    <definedName name="td_hang172">DK!$E$347:$G$348</definedName>
    <definedName name="td_hang173">DK!$E$349:$G$350</definedName>
    <definedName name="td_hang174">DK!$E$351:$G$352</definedName>
    <definedName name="td_hang175">DK!$E$353:$G$354</definedName>
    <definedName name="td_hang176">DK!$E$355:$G$356</definedName>
    <definedName name="td_hang177">DK!$E$357:$G$358</definedName>
    <definedName name="td_hang178">DK!$E$359:$G$360</definedName>
    <definedName name="td_hang179">DK!$E$361:$G$362</definedName>
    <definedName name="td_hang180">DK!$E$363:$G$364</definedName>
    <definedName name="td_hang181">DK!$E$365:$G$366</definedName>
    <definedName name="td_hang182">DK!$E$367:$G$368</definedName>
    <definedName name="td_hang183">DK!$E$369:$G$370</definedName>
    <definedName name="td_hang184">DK!$E$371:$G$372</definedName>
    <definedName name="td_hang185">DK!$E$373:$G$374</definedName>
    <definedName name="td_hang186">DK!$E$375:$G$376</definedName>
    <definedName name="td_hang187">DK!$E$377:$G$378</definedName>
    <definedName name="td_hang188">DK!$E$379:$G$380</definedName>
    <definedName name="td_hang189">DK!$E$381:$G$382</definedName>
    <definedName name="td_hang190">DK!$E$383:$G$384</definedName>
    <definedName name="td_hang191">DK!$E$385:$G$386</definedName>
    <definedName name="td_hang192">DK!$E$387:$G$388</definedName>
    <definedName name="td_hang193">DK!$E$389:$G$390</definedName>
    <definedName name="td_hang194">DK!$E$391:$G$392</definedName>
    <definedName name="td_hang195">DK!$E$393:$G$394</definedName>
    <definedName name="td_hang196">DK!$E$395:$G$396</definedName>
    <definedName name="td_hang197">DK!$E$397:$G$398</definedName>
    <definedName name="td_hang198">DK!$E$399:$G$400</definedName>
    <definedName name="td_hang199">DK!$E$401:$G$402</definedName>
    <definedName name="td_hang200">DK!$E$403:$G$404</definedName>
    <definedName name="td_hang201">DK!$E$405:$G$406</definedName>
    <definedName name="td_hang202">DK!$E$407:$G$408</definedName>
    <definedName name="td_hang203">DK!$E$409:$G$410</definedName>
    <definedName name="td_hang204">DK!$E$411:$G$412</definedName>
    <definedName name="td_hang205">DK!$E$413:$G$414</definedName>
    <definedName name="td_hang206">DK!$E$415:$G$416</definedName>
    <definedName name="td_hang207">DK!$E$417:$G$418</definedName>
    <definedName name="td_hang208">DK!$E$419:$G$420</definedName>
    <definedName name="td_hang209">DK!$E$421:$G$422</definedName>
    <definedName name="td_hang210">DK!$E$423:$G$424</definedName>
    <definedName name="td_hang211">DK!$E$425:$G$426</definedName>
    <definedName name="td_hang212">DK!$E$427:$G$428</definedName>
    <definedName name="td_hang213">DK!$E$429:$G$430</definedName>
    <definedName name="td_hang214">DK!$E$431:$G$432</definedName>
    <definedName name="td_hang215">DK!$E$433:$G$434</definedName>
    <definedName name="td_hang216">DK!$E$435:$G$436</definedName>
    <definedName name="td_hang217">DK!$E$437:$G$438</definedName>
    <definedName name="td_hang218">DK!$E$439:$G$440</definedName>
    <definedName name="td_hang219">DK!$E$441:$G$442</definedName>
    <definedName name="td_hang220">DK!$E$443:$G$444</definedName>
    <definedName name="td_hang221">DK!$E$445:$G$446</definedName>
    <definedName name="td_hang222">DK!$E$447:$G$448</definedName>
    <definedName name="td_hang223">DK!$E$449:$G$450</definedName>
    <definedName name="td_hang224">DK!$E$451:$G$452</definedName>
    <definedName name="td_hang225">DK!$E$453:$G$454</definedName>
    <definedName name="td_hang226">DK!$E$455:$G$456</definedName>
    <definedName name="td_hang227">DK!$E$457:$G$458</definedName>
    <definedName name="td_hang228">DK!$E$459:$G$460</definedName>
    <definedName name="td_hang229">DK!$E$461:$G$462</definedName>
    <definedName name="td_hang230">DK!$E$463:$G$464</definedName>
    <definedName name="td_hang231">DK!$E$465:$G$466</definedName>
    <definedName name="td_hang232">DK!$E$467:$G$468</definedName>
    <definedName name="td_hang233">DK!$E$469:$G$470</definedName>
    <definedName name="td_hang234">DK!$E$471:$G$472</definedName>
    <definedName name="td_hang235">DK!$E$473:$G$474</definedName>
    <definedName name="td_hang236">DK!$E$475:$G$476</definedName>
    <definedName name="td_hang237">DK!$E$477:$G$478</definedName>
    <definedName name="td_hang238">DK!$E$479:$G$480</definedName>
    <definedName name="td_hang239">DK!$E$481:$G$482</definedName>
    <definedName name="td_hang240">DK!$E$483:$G$484</definedName>
    <definedName name="td_hang241">DK!$E$485:$G$486</definedName>
    <definedName name="td_hang242">DK!$E$487:$G$488</definedName>
    <definedName name="td_hang243">DK!$E$489:$G$490</definedName>
    <definedName name="td_hang244">DK!$E$491:$G$492</definedName>
    <definedName name="td_hang245">DK!$E$493:$G$494</definedName>
    <definedName name="td_hang246">DK!$E$495:$G$496</definedName>
    <definedName name="td_hang247">DK!$E$497:$G$498</definedName>
    <definedName name="td_hang248">DK!$E$499:$G$500</definedName>
    <definedName name="td_hang249">DK!$E$501:$G$502</definedName>
    <definedName name="td_hang250">DK!$E$503:$G$504</definedName>
    <definedName name="td_hang251">DK!$E$505:$G$506</definedName>
    <definedName name="td_hang252">DK!$E$507:$G$508</definedName>
    <definedName name="td_hang253">DK!$E$509:$G$510</definedName>
    <definedName name="td_hang254">DK!$E$511:$G$512</definedName>
    <definedName name="td_hang255">DK!$E$513:$G$514</definedName>
    <definedName name="td_hang256">DK!$E$515:$G$516</definedName>
    <definedName name="td_hang257">DK!$E$517:$G$518</definedName>
    <definedName name="td_hang258">DK!$E$519:$G$520</definedName>
    <definedName name="td_hang259">DK!$E$521:$G$522</definedName>
    <definedName name="td_hang260">DK!$E$523:$G$524</definedName>
    <definedName name="td_hang261">DK!$E$525:$G$526</definedName>
    <definedName name="td_hang262">DK!$E$527:$G$528</definedName>
    <definedName name="td_hang263">DK!$E$529:$G$530</definedName>
    <definedName name="td_hang264">DK!$E$531:$G$532</definedName>
    <definedName name="td_hang265">DK!$E$533:$G$534</definedName>
    <definedName name="td_hang266">DK!$E$535:$G$536</definedName>
    <definedName name="td_hang267">DK!$E$537:$G$538</definedName>
    <definedName name="td_hang268">DK!$E$539:$G$540</definedName>
    <definedName name="td_hang269">DK!$E$541:$G$542</definedName>
    <definedName name="td_hang270">DK!$E$543:$G$544</definedName>
    <definedName name="td_hang271">DK!$E$545:$G$546</definedName>
    <definedName name="td_hang272">DK!$E$547:$G$548</definedName>
    <definedName name="td_hang273">DK!$E$549:$G$550</definedName>
    <definedName name="td_hang274">DK!$E$551:$G$552</definedName>
    <definedName name="td_hang275">DK!$E$553:$G$554</definedName>
    <definedName name="td_hang276">DK!$E$555:$G$556</definedName>
    <definedName name="td_hang277">DK!$E$557:$G$558</definedName>
    <definedName name="td_hang278">DK!$E$559:$G$560</definedName>
    <definedName name="td_hang279">DK!$E$561:$G$562</definedName>
    <definedName name="td_hang280">DK!$E$563:$G$564</definedName>
    <definedName name="td_hang281">DK!$E$565:$G$566</definedName>
    <definedName name="td_hang282">DK!$E$567:$G$568</definedName>
    <definedName name="td_hang283">DK!$E$569:$G$570</definedName>
    <definedName name="td_hang284">DK!$E$571:$G$572</definedName>
    <definedName name="td_hang285">DK!$E$573:$G$574</definedName>
    <definedName name="td_hang286">DK!$E$575:$G$576</definedName>
    <definedName name="td_hang287">DK!$E$577:$G$578</definedName>
    <definedName name="td_hang288">DK!$E$579:$G$580</definedName>
    <definedName name="td_hang289">DK!$E$581:$G$582</definedName>
    <definedName name="td_hang290">DK!$E$583:$G$584</definedName>
    <definedName name="td_hang291">DK!$E$585:$G$586</definedName>
    <definedName name="td_hang292">DK!$E$587:$G$588</definedName>
    <definedName name="td_hang293">DK!$E$589:$G$590</definedName>
    <definedName name="td_hang294">DK!$E$591:$G$592</definedName>
    <definedName name="td_hang295">DK!$E$593:$G$594</definedName>
    <definedName name="td_hang296">DK!$E$595:$G$596</definedName>
    <definedName name="td_hang297">DK!$E$597:$G$598</definedName>
    <definedName name="td_hang298">DK!$E$599:$G$600</definedName>
    <definedName name="td_hang299">DK!$E$601:$G$602</definedName>
    <definedName name="td_hang300">DK!$E$603:$G$604</definedName>
    <definedName name="td_hang301">DK!$E$605:$G$606</definedName>
    <definedName name="td_hang302">DK!$E$607:$G$608</definedName>
    <definedName name="td_hang303">DK!$E$609:$G$610</definedName>
    <definedName name="td_hang304">DK!$E$611:$G$612</definedName>
    <definedName name="td_hang305">DK!$E$613:$G$614</definedName>
    <definedName name="td_hang306">DK!$E$615:$G$616</definedName>
    <definedName name="td_hang307">DK!$E$617:$G$618</definedName>
    <definedName name="td_hang308">DK!$E$619:$G$620</definedName>
    <definedName name="td_hang309">DK!$E$621:$G$622</definedName>
    <definedName name="td_hang310">DK!$E$623:$G$624</definedName>
    <definedName name="td_hang311">DK!$E$625:$G$626</definedName>
    <definedName name="td_hang312">DK!$E$627:$G$628</definedName>
    <definedName name="td_hang313">DK!$E$629:$G$630</definedName>
    <definedName name="td_hang314">DK!$E$631:$G$632</definedName>
    <definedName name="td_hang315">DK!$E$633:$G$634</definedName>
    <definedName name="td_hang316">DK!$E$635:$G$636</definedName>
    <definedName name="td_hang317">DK!$E$637:$G$638</definedName>
    <definedName name="td_hang318">DK!$E$639:$G$640</definedName>
    <definedName name="td_hang319">DK!$E$641:$G$642</definedName>
    <definedName name="td_hang320">DK!$E$643:$G$644</definedName>
    <definedName name="td_hang321">DK!$E$645:$G$646</definedName>
    <definedName name="td_hang322">DK!$E$647:$G$648</definedName>
    <definedName name="td_hang323">DK!$E$649:$G$650</definedName>
    <definedName name="td_hang324">DK!$E$651:$G$652</definedName>
    <definedName name="td_hang325">DK!$E$653:$G$654</definedName>
    <definedName name="td_hang326">DK!$E$655:$G$656</definedName>
    <definedName name="td_hang327">DK!$E$657:$G$658</definedName>
    <definedName name="td_hang328">DK!$E$659:$G$660</definedName>
    <definedName name="td_hang329">DK!$E$661:$G$662</definedName>
    <definedName name="td_hang330">DK!$E$663:$G$664</definedName>
    <definedName name="td_hang331">DK!$E$665:$G$666</definedName>
    <definedName name="td_hang332">DK!$E$667:$G$668</definedName>
    <definedName name="td_hang333">DK!$E$669:$G$670</definedName>
    <definedName name="td_hang334">DK!$E$671:$G$672</definedName>
    <definedName name="td_hang335">DK!$E$673:$G$674</definedName>
    <definedName name="td_hang336">DK!$E$675:$G$676</definedName>
    <definedName name="td_hang337">DK!$E$677:$G$678</definedName>
    <definedName name="td_hang338">DK!$E$679:$G$680</definedName>
    <definedName name="td_hang339">DK!$E$681:$G$682</definedName>
    <definedName name="td_hang340">DK!$E$683:$G$684</definedName>
    <definedName name="td_hang341">DK!$E$685:$G$686</definedName>
    <definedName name="td_hang342">DK!$E$687:$G$688</definedName>
    <definedName name="td_hang343">DK!$E$689:$G$690</definedName>
    <definedName name="td_hang344">DK!$E$691:$G$692</definedName>
    <definedName name="td_hang345">DK!$E$693:$G$694</definedName>
    <definedName name="td_hang346">DK!$E$695:$G$696</definedName>
    <definedName name="td_hang347">DK!$E$697:$G$698</definedName>
    <definedName name="td_hang348">DK!$E$699:$G$700</definedName>
    <definedName name="td_hang349">DK!$E$701:$G$702</definedName>
    <definedName name="td_hang350">DK!$E$703:$G$704</definedName>
    <definedName name="td_hang351">DK!$E$705:$G$706</definedName>
    <definedName name="td_hang352">DK!$E$707:$G$708</definedName>
    <definedName name="td_hang353">DK!$E$709:$G$710</definedName>
    <definedName name="td_hang354">DK!$E$711:$G$712</definedName>
    <definedName name="td_hang355">DK!$E$713:$G$714</definedName>
    <definedName name="td_hang356">DK!$E$715:$G$716</definedName>
    <definedName name="td_hang357">DK!$E$717:$G$718</definedName>
    <definedName name="td_hang358">DK!$E$719:$G$720</definedName>
    <definedName name="td_hang359">DK!$E$721:$G$722</definedName>
    <definedName name="td_hang360">DK!$E$723:$G$724</definedName>
    <definedName name="td_hang361">DK!$E$725:$G$726</definedName>
    <definedName name="td_hang362">DK!$E$727:$G$728</definedName>
    <definedName name="td_hang363">DK!$E$729:$G$730</definedName>
    <definedName name="td_hang364">DK!$E$731:$G$732</definedName>
    <definedName name="td_hang365">DK!$E$733:$G$734</definedName>
    <definedName name="td_hang366">DK!$E$735:$G$736</definedName>
    <definedName name="td_hang367">DK!$E$737:$G$738</definedName>
    <definedName name="td_hang368">DK!$E$739:$G$740</definedName>
    <definedName name="td_hang369">DK!$E$741:$G$742</definedName>
    <definedName name="td_hang370">DK!$E$743:$G$744</definedName>
    <definedName name="td_hang371">DK!$E$745:$G$746</definedName>
    <definedName name="td_hang372">DK!$E$747:$G$748</definedName>
    <definedName name="td_hang373">DK!$E$749:$G$750</definedName>
    <definedName name="td_hang374">DK!$E$751:$G$752</definedName>
    <definedName name="td_hang375">DK!$E$753:$G$754</definedName>
    <definedName name="td_hang376">DK!$E$755:$G$756</definedName>
    <definedName name="td_hang377">DK!$E$757:$G$758</definedName>
    <definedName name="td_hang378">DK!$E$759:$G$760</definedName>
    <definedName name="td_hang379">DK!$E$761:$G$762</definedName>
    <definedName name="td_hang380">DK!$E$763:$G$764</definedName>
    <definedName name="td_hang381">DK!$E$765:$G$766</definedName>
    <definedName name="td_hang382">DK!$E$767:$G$768</definedName>
    <definedName name="td_hang383">DK!$E$769:$G$770</definedName>
    <definedName name="td_hang384">DK!$E$771:$G$772</definedName>
    <definedName name="td_hang385">DK!$E$773:$G$774</definedName>
    <definedName name="td_hang386">DK!$E$775:$G$776</definedName>
    <definedName name="td_hang387">DK!$E$777:$G$778</definedName>
    <definedName name="td_hang388">DK!$E$779:$G$780</definedName>
    <definedName name="td_hang389">DK!$E$781:$G$782</definedName>
    <definedName name="td_hang390">DK!$E$783:$G$784</definedName>
    <definedName name="td_hang391">DK!$E$785:$G$786</definedName>
    <definedName name="td_hang392">DK!$E$787:$G$788</definedName>
    <definedName name="td_hang393">DK!$E$789:$G$790</definedName>
    <definedName name="td_hang394">DK!$E$791:$G$792</definedName>
    <definedName name="td_hang395">DK!$E$793:$G$794</definedName>
    <definedName name="td_hang396">DK!$E$795:$G$796</definedName>
    <definedName name="td_hang397">DK!$E$797:$G$798</definedName>
    <definedName name="td_hang398">DK!$E$799:$G$800</definedName>
    <definedName name="td_hang399">DK!$E$801:$G$802</definedName>
    <definedName name="td_hang400">DK!$E$803:$G$804</definedName>
    <definedName name="td_hang401">DK!$E$805:$G$806</definedName>
    <definedName name="td_hang402">DK!$E$807:$G$808</definedName>
    <definedName name="td_hang403">DK!$E$809:$G$810</definedName>
    <definedName name="td_hang404">DK!$E$811:$G$812</definedName>
    <definedName name="td_hang405">DK!$E$813:$G$814</definedName>
    <definedName name="td_hang406">DK!$E$815:$G$816</definedName>
    <definedName name="td_hang407">DK!$E$817:$G$818</definedName>
    <definedName name="td_hang408">DK!$E$819:$G$820</definedName>
    <definedName name="td_hang409">DK!$E$821:$G$822</definedName>
    <definedName name="td_hang410">DK!$E$823:$G$824</definedName>
    <definedName name="td_hang411">DK!$E$825:$G$826</definedName>
    <definedName name="td_hang412">DK!$E$827:$G$828</definedName>
    <definedName name="td_hang413">DK!$E$829:$G$830</definedName>
    <definedName name="td_hang414">DK!$E$831:$G$832</definedName>
    <definedName name="td_hang415">DK!$E$833:$G$834</definedName>
    <definedName name="td_hang416">DK!$E$835:$G$836</definedName>
    <definedName name="td_hang417">DK!$E$837:$G$838</definedName>
    <definedName name="td_hang418">DK!$E$839:$G$840</definedName>
    <definedName name="td_hang419">DK!$E$841:$G$842</definedName>
    <definedName name="td_hang420">DK!$E$843:$G$844</definedName>
    <definedName name="td_hang421">DK!$E$845:$G$846</definedName>
    <definedName name="td_hang422">DK!$E$847:$G$848</definedName>
    <definedName name="td_hang423">DK!$E$849:$G$850</definedName>
    <definedName name="td_hang424">DK!$E$851:$G$852</definedName>
    <definedName name="td_hang425">DK!$E$853:$G$854</definedName>
    <definedName name="td_hang426">DK!$E$855:$G$856</definedName>
    <definedName name="td_hang427">DK!$E$857:$G$858</definedName>
    <definedName name="td_hang428">DK!$E$859:$G$860</definedName>
    <definedName name="td_hang429">DK!$E$861:$G$862</definedName>
    <definedName name="td_hang430">DK!$E$863:$G$864</definedName>
    <definedName name="td_hang431">DK!$E$865:$G$866</definedName>
    <definedName name="td_hang432">DK!$E$867:$G$868</definedName>
    <definedName name="td_hang433">DK!$E$869:$G$870</definedName>
    <definedName name="td_hang434">DK!$E$871:$G$872</definedName>
    <definedName name="td_hang435">DK!$E$873:$G$874</definedName>
    <definedName name="td_hang436">DK!$E$875:$G$876</definedName>
    <definedName name="td_hang437">DK!$E$877:$G$878</definedName>
    <definedName name="td_hang438">DK!$E$879:$G$880</definedName>
    <definedName name="td_hang439">DK!$E$881:$G$882</definedName>
    <definedName name="td_hang440">DK!$E$883:$G$884</definedName>
    <definedName name="td_hang441">DK!$E$885:$G$886</definedName>
    <definedName name="td_hang442">DK!$E$887:$G$888</definedName>
    <definedName name="td_hang443">DK!$E$889:$G$890</definedName>
    <definedName name="td_hang444">DK!$E$891:$G$892</definedName>
    <definedName name="td_hang445">DK!$E$893:$G$894</definedName>
    <definedName name="td_hang446">DK!$E$895:$G$896</definedName>
    <definedName name="td_hang447">DK!$E$897:$G$898</definedName>
    <definedName name="td_hang448">DK!$E$899:$G$900</definedName>
    <definedName name="td_hang449">DK!$E$901:$G$902</definedName>
    <definedName name="td_hang450">DK!$E$903:$G$904</definedName>
    <definedName name="td_hang451">DK!$E$905:$G$906</definedName>
    <definedName name="td_hang452">DK!$E$907:$G$908</definedName>
    <definedName name="td_hang453">DK!$E$909:$G$910</definedName>
    <definedName name="td_hang454">DK!$E$911:$G$912</definedName>
    <definedName name="td_hang455">DK!$E$913:$G$914</definedName>
    <definedName name="td_hang456">DK!$E$915:$G$916</definedName>
    <definedName name="td_hang457">DK!$E$917:$G$918</definedName>
    <definedName name="td_hang458">DK!$E$919:$G$920</definedName>
    <definedName name="td_hang459">DK!$E$921:$G$922</definedName>
    <definedName name="td_hang460">DK!$E$923:$G$924</definedName>
    <definedName name="td_hang461">DK!$E$925:$G$926</definedName>
    <definedName name="td_hang462">DK!$E$927:$G$928</definedName>
    <definedName name="td_hang463">DK!$E$929:$G$930</definedName>
    <definedName name="td_hang464">DK!$E$931:$G$932</definedName>
    <definedName name="td_hang465">DK!$E$933:$G$934</definedName>
    <definedName name="td_hang466">DK!$E$935:$G$936</definedName>
    <definedName name="td_hang467">DK!$E$937:$G$938</definedName>
    <definedName name="td_hang468">DK!$E$939:$G$940</definedName>
    <definedName name="td_hang469">DK!$E$941:$G$942</definedName>
    <definedName name="td_hang470">DK!$E$943:$G$944</definedName>
    <definedName name="td_hang471">DK!$E$945:$G$946</definedName>
    <definedName name="td_hang472">DK!$E$947:$G$948</definedName>
    <definedName name="td_hang473">DK!$E$949:$G$950</definedName>
    <definedName name="td_hang474">DK!$E$951:$G$952</definedName>
    <definedName name="td_hang475">DK!$E$953:$G$954</definedName>
    <definedName name="td_hang476">DK!$E$955:$G$956</definedName>
    <definedName name="td_hang477">DK!$E$957:$G$958</definedName>
    <definedName name="td_hang478">DK!$E$959:$G$960</definedName>
    <definedName name="td_hang479">DK!$E$961:$G$962</definedName>
    <definedName name="td_hang480">DK!$E$963:$G$964</definedName>
    <definedName name="td_hang481">DK!$E$965:$G$966</definedName>
    <definedName name="td_hang482">DK!$E$967:$G$968</definedName>
    <definedName name="td_hang483">DK!$E$969:$G$970</definedName>
    <definedName name="td_hang484">DK!$E$971:$G$972</definedName>
    <definedName name="td_hang485">DK!$E$973:$G$974</definedName>
    <definedName name="td_hang486">DK!$E$975:$G$976</definedName>
    <definedName name="td_hang487">DK!$E$977:$G$978</definedName>
    <definedName name="td_hang488">DK!$E$979:$G$980</definedName>
    <definedName name="td_hang489">DK!$E$981:$G$982</definedName>
    <definedName name="td_hang490">DK!$E$983:$G$984</definedName>
    <definedName name="td_hang491">DK!$E$985:$G$986</definedName>
    <definedName name="td_hang492">DK!$E$987:$G$988</definedName>
    <definedName name="td_hang493">DK!$E$989:$G$990</definedName>
    <definedName name="td_hang494">DK!$E$991:$G$992</definedName>
    <definedName name="td_hang495">DK!$E$993:$G$994</definedName>
    <definedName name="td_hang496">DK!$E$995:$G$996</definedName>
    <definedName name="td_hang497">DK!$E$997:$G$998</definedName>
    <definedName name="td_hang498">DK!$E$999:$G$1000</definedName>
    <definedName name="td_hang499">DK!$E$1001:$G$1002</definedName>
    <definedName name="td_hang500">DK!$E$1003:$G$1004</definedName>
    <definedName name="tinh_SLnhap">DMHH!$J$8:$J$507</definedName>
    <definedName name="tinh_SLtondau">DMHH!$I$8:$I$507</definedName>
    <definedName name="tinh_SLxuat">DMHH!$K$8:$K$507</definedName>
    <definedName name="ton_khi_bd">DMHH!$F$8:$F$507</definedName>
  </definedNames>
  <calcPr calcId="124519"/>
</workbook>
</file>

<file path=xl/calcChain.xml><?xml version="1.0" encoding="utf-8"?>
<calcChain xmlns="http://schemas.openxmlformats.org/spreadsheetml/2006/main">
  <c r="K1" i="4"/>
  <c r="B12"/>
  <c r="B13"/>
  <c r="B14"/>
  <c r="B15"/>
  <c r="B16"/>
  <c r="B17"/>
  <c r="B19"/>
  <c r="B21"/>
  <c r="B22"/>
  <c r="B23"/>
  <c r="B24"/>
  <c r="B25"/>
  <c r="B11"/>
  <c r="B10"/>
  <c r="E9" i="21"/>
  <c r="E10" s="1"/>
  <c r="C25" s="1"/>
  <c r="C10"/>
  <c r="C9"/>
  <c r="C8"/>
  <c r="B29" i="18"/>
  <c r="M29"/>
  <c r="N29" s="1"/>
  <c r="O29"/>
  <c r="P29"/>
  <c r="T29"/>
  <c r="U29"/>
  <c r="B30"/>
  <c r="M30"/>
  <c r="N30" s="1"/>
  <c r="O30"/>
  <c r="P30"/>
  <c r="T30"/>
  <c r="U30"/>
  <c r="B31"/>
  <c r="M31"/>
  <c r="N31" s="1"/>
  <c r="O31"/>
  <c r="P31"/>
  <c r="T31"/>
  <c r="U31"/>
  <c r="B32"/>
  <c r="M32"/>
  <c r="N32" s="1"/>
  <c r="O32"/>
  <c r="P32"/>
  <c r="T32"/>
  <c r="U32"/>
  <c r="B33"/>
  <c r="M33"/>
  <c r="N33" s="1"/>
  <c r="O33"/>
  <c r="P33"/>
  <c r="T33"/>
  <c r="U33"/>
  <c r="B34"/>
  <c r="M34"/>
  <c r="N34" s="1"/>
  <c r="O34"/>
  <c r="P34"/>
  <c r="T34"/>
  <c r="U34"/>
  <c r="B35"/>
  <c r="M35"/>
  <c r="N35" s="1"/>
  <c r="O35"/>
  <c r="P35"/>
  <c r="T35"/>
  <c r="U35"/>
  <c r="B36"/>
  <c r="M36"/>
  <c r="N36" s="1"/>
  <c r="O36"/>
  <c r="P36"/>
  <c r="T36"/>
  <c r="U36"/>
  <c r="B37"/>
  <c r="M37"/>
  <c r="N37" s="1"/>
  <c r="O37"/>
  <c r="P37"/>
  <c r="T37"/>
  <c r="U37"/>
  <c r="B38"/>
  <c r="M38"/>
  <c r="N38" s="1"/>
  <c r="O38"/>
  <c r="P38"/>
  <c r="T38"/>
  <c r="U38"/>
  <c r="B39"/>
  <c r="M39"/>
  <c r="N39" s="1"/>
  <c r="O39"/>
  <c r="P39"/>
  <c r="T39"/>
  <c r="U39"/>
  <c r="B40"/>
  <c r="P40" s="1"/>
  <c r="M40"/>
  <c r="N40" s="1"/>
  <c r="O40"/>
  <c r="T40"/>
  <c r="U40"/>
  <c r="B41"/>
  <c r="M41"/>
  <c r="N41" s="1"/>
  <c r="O41"/>
  <c r="P41"/>
  <c r="T41"/>
  <c r="U41"/>
  <c r="B42"/>
  <c r="M42"/>
  <c r="N42" s="1"/>
  <c r="O42"/>
  <c r="P42"/>
  <c r="T42"/>
  <c r="U42"/>
  <c r="B43"/>
  <c r="M43"/>
  <c r="N43" s="1"/>
  <c r="O43"/>
  <c r="P43"/>
  <c r="T43"/>
  <c r="U43"/>
  <c r="B44"/>
  <c r="M44"/>
  <c r="N44" s="1"/>
  <c r="O44"/>
  <c r="P44"/>
  <c r="T44"/>
  <c r="U44"/>
  <c r="B45"/>
  <c r="M45"/>
  <c r="N45" s="1"/>
  <c r="O45"/>
  <c r="P45"/>
  <c r="T45"/>
  <c r="U45"/>
  <c r="B46"/>
  <c r="M46"/>
  <c r="N46" s="1"/>
  <c r="O46"/>
  <c r="P46"/>
  <c r="T46"/>
  <c r="U46"/>
  <c r="B47"/>
  <c r="M47"/>
  <c r="N47" s="1"/>
  <c r="O47"/>
  <c r="P47"/>
  <c r="T47"/>
  <c r="U47"/>
  <c r="B48"/>
  <c r="M48"/>
  <c r="N48" s="1"/>
  <c r="O48"/>
  <c r="P48"/>
  <c r="T48"/>
  <c r="U48"/>
  <c r="B49"/>
  <c r="M49"/>
  <c r="N49" s="1"/>
  <c r="O49"/>
  <c r="P49"/>
  <c r="T49"/>
  <c r="U49"/>
  <c r="B50"/>
  <c r="P50" s="1"/>
  <c r="M50"/>
  <c r="N50" s="1"/>
  <c r="O50"/>
  <c r="T50"/>
  <c r="U50"/>
  <c r="B51"/>
  <c r="M51"/>
  <c r="N51" s="1"/>
  <c r="O51"/>
  <c r="P51"/>
  <c r="T51"/>
  <c r="U51"/>
  <c r="B52"/>
  <c r="P52" s="1"/>
  <c r="M52"/>
  <c r="N52" s="1"/>
  <c r="O52"/>
  <c r="T52"/>
  <c r="U52"/>
  <c r="B53"/>
  <c r="M53"/>
  <c r="N53" s="1"/>
  <c r="O53"/>
  <c r="P53"/>
  <c r="T53"/>
  <c r="U53"/>
  <c r="B54"/>
  <c r="P54" s="1"/>
  <c r="M54"/>
  <c r="N54" s="1"/>
  <c r="O54"/>
  <c r="T54"/>
  <c r="U54"/>
  <c r="B55"/>
  <c r="M55"/>
  <c r="N55" s="1"/>
  <c r="O55"/>
  <c r="P55"/>
  <c r="T55"/>
  <c r="U55"/>
  <c r="B56"/>
  <c r="P56" s="1"/>
  <c r="M56"/>
  <c r="N56" s="1"/>
  <c r="O56"/>
  <c r="T56"/>
  <c r="U56"/>
  <c r="B57"/>
  <c r="M57"/>
  <c r="N57" s="1"/>
  <c r="O57"/>
  <c r="P57"/>
  <c r="T57"/>
  <c r="U57"/>
  <c r="B58"/>
  <c r="P58" s="1"/>
  <c r="M58"/>
  <c r="N58" s="1"/>
  <c r="O58"/>
  <c r="T58"/>
  <c r="U58"/>
  <c r="B59"/>
  <c r="M59"/>
  <c r="N59" s="1"/>
  <c r="O59"/>
  <c r="P59"/>
  <c r="T59"/>
  <c r="U59"/>
  <c r="B60"/>
  <c r="M60"/>
  <c r="N60" s="1"/>
  <c r="O60"/>
  <c r="P60"/>
  <c r="T60"/>
  <c r="U60"/>
  <c r="B61"/>
  <c r="M61"/>
  <c r="N61" s="1"/>
  <c r="O61"/>
  <c r="P61"/>
  <c r="T61"/>
  <c r="U61"/>
  <c r="B62"/>
  <c r="P62" s="1"/>
  <c r="M62"/>
  <c r="N62" s="1"/>
  <c r="O62"/>
  <c r="T62"/>
  <c r="U62"/>
  <c r="B63"/>
  <c r="M63"/>
  <c r="N63" s="1"/>
  <c r="O63"/>
  <c r="P63"/>
  <c r="T63"/>
  <c r="U63"/>
  <c r="B64"/>
  <c r="P64" s="1"/>
  <c r="M64"/>
  <c r="N64" s="1"/>
  <c r="O64"/>
  <c r="T64"/>
  <c r="U64"/>
  <c r="B65"/>
  <c r="M65"/>
  <c r="N65" s="1"/>
  <c r="O65"/>
  <c r="P65"/>
  <c r="T65"/>
  <c r="U65"/>
  <c r="B66"/>
  <c r="P66" s="1"/>
  <c r="M66"/>
  <c r="N66" s="1"/>
  <c r="O66"/>
  <c r="T66"/>
  <c r="U66"/>
  <c r="B67"/>
  <c r="M67"/>
  <c r="N67" s="1"/>
  <c r="O67"/>
  <c r="P67"/>
  <c r="T67"/>
  <c r="U67"/>
  <c r="B68"/>
  <c r="P68" s="1"/>
  <c r="M68"/>
  <c r="N68" s="1"/>
  <c r="O68"/>
  <c r="T68"/>
  <c r="U68"/>
  <c r="B69"/>
  <c r="M69"/>
  <c r="N69" s="1"/>
  <c r="O69"/>
  <c r="P69"/>
  <c r="T69"/>
  <c r="U69"/>
  <c r="B70"/>
  <c r="P70" s="1"/>
  <c r="M70"/>
  <c r="N70" s="1"/>
  <c r="O70"/>
  <c r="T70"/>
  <c r="U70"/>
  <c r="B71"/>
  <c r="M71"/>
  <c r="N71" s="1"/>
  <c r="O71"/>
  <c r="P71"/>
  <c r="T71"/>
  <c r="U71"/>
  <c r="B72"/>
  <c r="P72" s="1"/>
  <c r="M72"/>
  <c r="N72" s="1"/>
  <c r="O72"/>
  <c r="T72"/>
  <c r="U72"/>
  <c r="B73"/>
  <c r="M73"/>
  <c r="N73" s="1"/>
  <c r="O73"/>
  <c r="P73"/>
  <c r="T73"/>
  <c r="U73"/>
  <c r="B74"/>
  <c r="P74" s="1"/>
  <c r="M74"/>
  <c r="N74" s="1"/>
  <c r="O74"/>
  <c r="T74"/>
  <c r="U74"/>
  <c r="B75"/>
  <c r="M75"/>
  <c r="N75" s="1"/>
  <c r="O75"/>
  <c r="P75"/>
  <c r="T75"/>
  <c r="U75"/>
  <c r="B76"/>
  <c r="P76" s="1"/>
  <c r="M76"/>
  <c r="N76" s="1"/>
  <c r="O76"/>
  <c r="T76"/>
  <c r="U76"/>
  <c r="B77"/>
  <c r="M77"/>
  <c r="N77" s="1"/>
  <c r="O77"/>
  <c r="P77"/>
  <c r="T77"/>
  <c r="U77"/>
  <c r="B78"/>
  <c r="P78" s="1"/>
  <c r="M78"/>
  <c r="N78" s="1"/>
  <c r="O78"/>
  <c r="T78"/>
  <c r="U78"/>
  <c r="B79"/>
  <c r="M79"/>
  <c r="N79" s="1"/>
  <c r="O79"/>
  <c r="P79"/>
  <c r="T79"/>
  <c r="U79"/>
  <c r="B80"/>
  <c r="P80" s="1"/>
  <c r="M80"/>
  <c r="N80" s="1"/>
  <c r="O80"/>
  <c r="T80"/>
  <c r="U80"/>
  <c r="B81"/>
  <c r="M81"/>
  <c r="N81" s="1"/>
  <c r="O81"/>
  <c r="P81"/>
  <c r="T81"/>
  <c r="U81"/>
  <c r="B82"/>
  <c r="P82" s="1"/>
  <c r="M82"/>
  <c r="N82" s="1"/>
  <c r="O82"/>
  <c r="T82"/>
  <c r="U82"/>
  <c r="B83"/>
  <c r="M83"/>
  <c r="N83" s="1"/>
  <c r="O83"/>
  <c r="P83"/>
  <c r="T83"/>
  <c r="U83"/>
  <c r="B84"/>
  <c r="P84" s="1"/>
  <c r="M84"/>
  <c r="N84" s="1"/>
  <c r="O84"/>
  <c r="T84"/>
  <c r="U84"/>
  <c r="B85"/>
  <c r="M85"/>
  <c r="N85" s="1"/>
  <c r="O85"/>
  <c r="P85"/>
  <c r="T85"/>
  <c r="U85"/>
  <c r="B86"/>
  <c r="P86" s="1"/>
  <c r="M86"/>
  <c r="N86" s="1"/>
  <c r="O86"/>
  <c r="T86"/>
  <c r="U86"/>
  <c r="B87"/>
  <c r="M87"/>
  <c r="N87" s="1"/>
  <c r="O87"/>
  <c r="P87"/>
  <c r="T87"/>
  <c r="U87"/>
  <c r="B88"/>
  <c r="P88" s="1"/>
  <c r="M88"/>
  <c r="N88" s="1"/>
  <c r="O88"/>
  <c r="T88"/>
  <c r="U88"/>
  <c r="B89"/>
  <c r="M89"/>
  <c r="N89" s="1"/>
  <c r="O89"/>
  <c r="P89"/>
  <c r="T89"/>
  <c r="U89"/>
  <c r="B90"/>
  <c r="P90" s="1"/>
  <c r="M90"/>
  <c r="N90" s="1"/>
  <c r="O90"/>
  <c r="T90"/>
  <c r="U90"/>
  <c r="B91"/>
  <c r="M91"/>
  <c r="N91" s="1"/>
  <c r="O91"/>
  <c r="P91"/>
  <c r="T91"/>
  <c r="U91"/>
  <c r="B92"/>
  <c r="P92" s="1"/>
  <c r="M92"/>
  <c r="N92" s="1"/>
  <c r="O92"/>
  <c r="T92"/>
  <c r="U92"/>
  <c r="B93"/>
  <c r="M93"/>
  <c r="N93" s="1"/>
  <c r="O93"/>
  <c r="P93"/>
  <c r="T93"/>
  <c r="U93"/>
  <c r="B94"/>
  <c r="P94" s="1"/>
  <c r="M94"/>
  <c r="N94" s="1"/>
  <c r="O94"/>
  <c r="T94"/>
  <c r="U94"/>
  <c r="B95"/>
  <c r="M95"/>
  <c r="N95" s="1"/>
  <c r="O95"/>
  <c r="P95"/>
  <c r="T95"/>
  <c r="U95"/>
  <c r="B96"/>
  <c r="P96" s="1"/>
  <c r="M96"/>
  <c r="N96" s="1"/>
  <c r="O96"/>
  <c r="T96"/>
  <c r="U96"/>
  <c r="B97"/>
  <c r="M97"/>
  <c r="N97" s="1"/>
  <c r="O97"/>
  <c r="P97"/>
  <c r="T97"/>
  <c r="U97"/>
  <c r="B98"/>
  <c r="P98" s="1"/>
  <c r="M98"/>
  <c r="N98" s="1"/>
  <c r="O98"/>
  <c r="T98"/>
  <c r="U98"/>
  <c r="B99"/>
  <c r="M99"/>
  <c r="N99" s="1"/>
  <c r="O99"/>
  <c r="P99"/>
  <c r="T99"/>
  <c r="U99"/>
  <c r="B100"/>
  <c r="P100" s="1"/>
  <c r="Q100" s="1"/>
  <c r="M100"/>
  <c r="N100" s="1"/>
  <c r="O100"/>
  <c r="T100"/>
  <c r="U100"/>
  <c r="B101"/>
  <c r="M101"/>
  <c r="N101" s="1"/>
  <c r="O101"/>
  <c r="P101"/>
  <c r="T101"/>
  <c r="U101"/>
  <c r="B102"/>
  <c r="P102" s="1"/>
  <c r="M102"/>
  <c r="N102" s="1"/>
  <c r="O102"/>
  <c r="T102"/>
  <c r="U102"/>
  <c r="B103"/>
  <c r="M103"/>
  <c r="N103" s="1"/>
  <c r="O103"/>
  <c r="P103"/>
  <c r="Q103" s="1"/>
  <c r="T103"/>
  <c r="U103"/>
  <c r="B104"/>
  <c r="P104" s="1"/>
  <c r="M104"/>
  <c r="N104" s="1"/>
  <c r="O104"/>
  <c r="T104"/>
  <c r="U104"/>
  <c r="B105"/>
  <c r="M105"/>
  <c r="N105" s="1"/>
  <c r="O105"/>
  <c r="P105"/>
  <c r="T105"/>
  <c r="U105"/>
  <c r="B106"/>
  <c r="P106" s="1"/>
  <c r="M106"/>
  <c r="N106" s="1"/>
  <c r="O106"/>
  <c r="T106"/>
  <c r="U106"/>
  <c r="B107"/>
  <c r="M107"/>
  <c r="N107" s="1"/>
  <c r="O107"/>
  <c r="P107"/>
  <c r="Q107" s="1"/>
  <c r="T107"/>
  <c r="U107"/>
  <c r="B108"/>
  <c r="P108" s="1"/>
  <c r="Q108" s="1"/>
  <c r="M108"/>
  <c r="N108" s="1"/>
  <c r="O108"/>
  <c r="T108"/>
  <c r="U108"/>
  <c r="B109"/>
  <c r="M109"/>
  <c r="N109" s="1"/>
  <c r="O109"/>
  <c r="P109"/>
  <c r="T109"/>
  <c r="U109"/>
  <c r="B110"/>
  <c r="P110" s="1"/>
  <c r="M110"/>
  <c r="N110" s="1"/>
  <c r="O110"/>
  <c r="T110"/>
  <c r="U110"/>
  <c r="B111"/>
  <c r="M111"/>
  <c r="N111" s="1"/>
  <c r="O111"/>
  <c r="P111"/>
  <c r="Q111" s="1"/>
  <c r="T111"/>
  <c r="U111"/>
  <c r="B112"/>
  <c r="P112" s="1"/>
  <c r="M112"/>
  <c r="N112" s="1"/>
  <c r="O112"/>
  <c r="T112"/>
  <c r="U112"/>
  <c r="B113"/>
  <c r="M113"/>
  <c r="N113" s="1"/>
  <c r="O113"/>
  <c r="P113"/>
  <c r="T113"/>
  <c r="U113"/>
  <c r="B114"/>
  <c r="M114"/>
  <c r="N114"/>
  <c r="O114"/>
  <c r="P114"/>
  <c r="T114"/>
  <c r="U114"/>
  <c r="B115"/>
  <c r="M115"/>
  <c r="N115"/>
  <c r="O115"/>
  <c r="P115"/>
  <c r="T115"/>
  <c r="U115"/>
  <c r="B116"/>
  <c r="M116"/>
  <c r="N116"/>
  <c r="O116"/>
  <c r="P116"/>
  <c r="T116"/>
  <c r="U116"/>
  <c r="B117"/>
  <c r="P117" s="1"/>
  <c r="M117"/>
  <c r="N117"/>
  <c r="O117"/>
  <c r="T117"/>
  <c r="U117"/>
  <c r="B118"/>
  <c r="M118"/>
  <c r="N118"/>
  <c r="O118"/>
  <c r="P118"/>
  <c r="T118"/>
  <c r="U118"/>
  <c r="B119"/>
  <c r="M119"/>
  <c r="N119"/>
  <c r="O119"/>
  <c r="P119"/>
  <c r="T119"/>
  <c r="U119"/>
  <c r="B120"/>
  <c r="M120"/>
  <c r="N120"/>
  <c r="O120"/>
  <c r="P120"/>
  <c r="T120"/>
  <c r="U120"/>
  <c r="B121"/>
  <c r="P121" s="1"/>
  <c r="M121"/>
  <c r="N121"/>
  <c r="O121"/>
  <c r="T121"/>
  <c r="U121"/>
  <c r="B122"/>
  <c r="M122"/>
  <c r="N122"/>
  <c r="O122"/>
  <c r="P122"/>
  <c r="T122"/>
  <c r="U122"/>
  <c r="B123"/>
  <c r="M123"/>
  <c r="N123"/>
  <c r="O123"/>
  <c r="P123"/>
  <c r="T123"/>
  <c r="U123"/>
  <c r="B124"/>
  <c r="M124"/>
  <c r="N124"/>
  <c r="O124"/>
  <c r="P124"/>
  <c r="T124"/>
  <c r="U124"/>
  <c r="B125"/>
  <c r="P125" s="1"/>
  <c r="M125"/>
  <c r="N125"/>
  <c r="O125"/>
  <c r="T125"/>
  <c r="U125"/>
  <c r="B126"/>
  <c r="M126"/>
  <c r="N126"/>
  <c r="O126"/>
  <c r="P126"/>
  <c r="T126"/>
  <c r="U126"/>
  <c r="B127"/>
  <c r="M127"/>
  <c r="N127"/>
  <c r="O127"/>
  <c r="P127"/>
  <c r="T127"/>
  <c r="U127"/>
  <c r="B128"/>
  <c r="M128"/>
  <c r="N128"/>
  <c r="O128"/>
  <c r="P128"/>
  <c r="T128"/>
  <c r="U128"/>
  <c r="B129"/>
  <c r="P129" s="1"/>
  <c r="M129"/>
  <c r="N129"/>
  <c r="O129"/>
  <c r="T129"/>
  <c r="U129"/>
  <c r="B130"/>
  <c r="M130"/>
  <c r="N130"/>
  <c r="O130"/>
  <c r="P130"/>
  <c r="T130"/>
  <c r="U130"/>
  <c r="B131"/>
  <c r="M131"/>
  <c r="N131"/>
  <c r="O131"/>
  <c r="P131"/>
  <c r="T131"/>
  <c r="U131"/>
  <c r="B132"/>
  <c r="M132"/>
  <c r="N132"/>
  <c r="O132"/>
  <c r="P132"/>
  <c r="T132"/>
  <c r="U132"/>
  <c r="B133"/>
  <c r="P133" s="1"/>
  <c r="M133"/>
  <c r="N133"/>
  <c r="O133"/>
  <c r="T133"/>
  <c r="U133"/>
  <c r="B134"/>
  <c r="M134"/>
  <c r="N134"/>
  <c r="O134"/>
  <c r="P134"/>
  <c r="T134"/>
  <c r="U134"/>
  <c r="B135"/>
  <c r="M135"/>
  <c r="N135"/>
  <c r="O135"/>
  <c r="P135"/>
  <c r="T135"/>
  <c r="U135"/>
  <c r="B136"/>
  <c r="M136"/>
  <c r="N136"/>
  <c r="O136"/>
  <c r="P136"/>
  <c r="T136"/>
  <c r="U136"/>
  <c r="B137"/>
  <c r="M137"/>
  <c r="N137"/>
  <c r="O137"/>
  <c r="P137"/>
  <c r="T137"/>
  <c r="U137"/>
  <c r="B138"/>
  <c r="M138"/>
  <c r="N138"/>
  <c r="O138"/>
  <c r="P138"/>
  <c r="T138"/>
  <c r="U138"/>
  <c r="B139"/>
  <c r="M139"/>
  <c r="N139"/>
  <c r="O139"/>
  <c r="P139"/>
  <c r="T139"/>
  <c r="U139"/>
  <c r="B140"/>
  <c r="M140"/>
  <c r="N140"/>
  <c r="O140"/>
  <c r="P140"/>
  <c r="T140"/>
  <c r="U140"/>
  <c r="B141"/>
  <c r="P141" s="1"/>
  <c r="M141"/>
  <c r="N141"/>
  <c r="O141"/>
  <c r="T141"/>
  <c r="U141"/>
  <c r="B142"/>
  <c r="M142"/>
  <c r="N142"/>
  <c r="O142"/>
  <c r="P142"/>
  <c r="T142"/>
  <c r="U142"/>
  <c r="B143"/>
  <c r="M143"/>
  <c r="N143"/>
  <c r="O143"/>
  <c r="P143"/>
  <c r="T143"/>
  <c r="U143"/>
  <c r="B144"/>
  <c r="M144"/>
  <c r="N144"/>
  <c r="O144"/>
  <c r="P144"/>
  <c r="T144"/>
  <c r="U144"/>
  <c r="B145"/>
  <c r="P145" s="1"/>
  <c r="M145"/>
  <c r="N145"/>
  <c r="O145"/>
  <c r="T145"/>
  <c r="U145"/>
  <c r="B146"/>
  <c r="M146"/>
  <c r="N146"/>
  <c r="O146"/>
  <c r="P146"/>
  <c r="T146"/>
  <c r="U146"/>
  <c r="B147"/>
  <c r="M147"/>
  <c r="N147"/>
  <c r="O147"/>
  <c r="P147"/>
  <c r="T147"/>
  <c r="U147"/>
  <c r="B148"/>
  <c r="M148"/>
  <c r="N148"/>
  <c r="O148"/>
  <c r="P148"/>
  <c r="T148"/>
  <c r="U148"/>
  <c r="B149"/>
  <c r="P149" s="1"/>
  <c r="M149"/>
  <c r="N149"/>
  <c r="O149"/>
  <c r="T149"/>
  <c r="U149"/>
  <c r="B150"/>
  <c r="M150"/>
  <c r="N150"/>
  <c r="O150"/>
  <c r="P150"/>
  <c r="T150"/>
  <c r="U150"/>
  <c r="B151"/>
  <c r="M151"/>
  <c r="N151"/>
  <c r="O151"/>
  <c r="P151"/>
  <c r="T151"/>
  <c r="U151"/>
  <c r="B152"/>
  <c r="M152"/>
  <c r="N152"/>
  <c r="O152"/>
  <c r="P152"/>
  <c r="T152"/>
  <c r="U152"/>
  <c r="B153"/>
  <c r="P153" s="1"/>
  <c r="M153"/>
  <c r="N153"/>
  <c r="O153"/>
  <c r="T153"/>
  <c r="U153"/>
  <c r="B154"/>
  <c r="M154"/>
  <c r="N154"/>
  <c r="O154"/>
  <c r="P154"/>
  <c r="T154"/>
  <c r="U154"/>
  <c r="B155"/>
  <c r="M155"/>
  <c r="N155"/>
  <c r="O155"/>
  <c r="P155"/>
  <c r="T155"/>
  <c r="U155"/>
  <c r="B156"/>
  <c r="M156"/>
  <c r="N156"/>
  <c r="O156"/>
  <c r="P156"/>
  <c r="T156"/>
  <c r="U156"/>
  <c r="B157"/>
  <c r="P157" s="1"/>
  <c r="M157"/>
  <c r="N157"/>
  <c r="O157"/>
  <c r="T157"/>
  <c r="U157"/>
  <c r="B158"/>
  <c r="M158"/>
  <c r="N158"/>
  <c r="O158"/>
  <c r="P158"/>
  <c r="T158"/>
  <c r="U158"/>
  <c r="B159"/>
  <c r="M159"/>
  <c r="N159"/>
  <c r="O159"/>
  <c r="P159"/>
  <c r="T159"/>
  <c r="U159"/>
  <c r="B160"/>
  <c r="M160"/>
  <c r="N160"/>
  <c r="O160"/>
  <c r="P160"/>
  <c r="T160"/>
  <c r="U160"/>
  <c r="B161"/>
  <c r="P161" s="1"/>
  <c r="M161"/>
  <c r="N161"/>
  <c r="O161"/>
  <c r="T161"/>
  <c r="U161"/>
  <c r="B162"/>
  <c r="M162"/>
  <c r="N162"/>
  <c r="O162"/>
  <c r="P162"/>
  <c r="T162"/>
  <c r="U162"/>
  <c r="B163"/>
  <c r="M163"/>
  <c r="N163"/>
  <c r="O163"/>
  <c r="P163"/>
  <c r="T163"/>
  <c r="U163"/>
  <c r="B164"/>
  <c r="M164"/>
  <c r="N164"/>
  <c r="O164"/>
  <c r="P164"/>
  <c r="T164"/>
  <c r="U164"/>
  <c r="B165"/>
  <c r="P165" s="1"/>
  <c r="M165"/>
  <c r="N165"/>
  <c r="O165"/>
  <c r="T165"/>
  <c r="U165"/>
  <c r="B166"/>
  <c r="M166"/>
  <c r="N166"/>
  <c r="O166"/>
  <c r="P166"/>
  <c r="T166"/>
  <c r="U166"/>
  <c r="B167"/>
  <c r="M167"/>
  <c r="N167"/>
  <c r="O167"/>
  <c r="P167"/>
  <c r="T167"/>
  <c r="U167"/>
  <c r="B168"/>
  <c r="M168"/>
  <c r="N168"/>
  <c r="O168"/>
  <c r="P168"/>
  <c r="T168"/>
  <c r="U168"/>
  <c r="B169"/>
  <c r="P169" s="1"/>
  <c r="M169"/>
  <c r="N169"/>
  <c r="O169"/>
  <c r="T169"/>
  <c r="U169"/>
  <c r="B170"/>
  <c r="M170"/>
  <c r="N170"/>
  <c r="O170"/>
  <c r="P170"/>
  <c r="T170"/>
  <c r="U170"/>
  <c r="B171"/>
  <c r="M171"/>
  <c r="N171"/>
  <c r="O171"/>
  <c r="P171"/>
  <c r="T171"/>
  <c r="U171"/>
  <c r="B172"/>
  <c r="M172"/>
  <c r="N172"/>
  <c r="O172"/>
  <c r="P172"/>
  <c r="T172"/>
  <c r="U172"/>
  <c r="B173"/>
  <c r="P173" s="1"/>
  <c r="M173"/>
  <c r="N173"/>
  <c r="O173"/>
  <c r="T173"/>
  <c r="U173"/>
  <c r="B174"/>
  <c r="M174"/>
  <c r="N174"/>
  <c r="O174"/>
  <c r="P174"/>
  <c r="T174"/>
  <c r="U174"/>
  <c r="B175"/>
  <c r="M175"/>
  <c r="N175"/>
  <c r="O175"/>
  <c r="P175"/>
  <c r="T175"/>
  <c r="U175"/>
  <c r="B176"/>
  <c r="M176"/>
  <c r="N176"/>
  <c r="O176"/>
  <c r="P176"/>
  <c r="T176"/>
  <c r="U176"/>
  <c r="B177"/>
  <c r="P177" s="1"/>
  <c r="M177"/>
  <c r="N177"/>
  <c r="O177"/>
  <c r="T177"/>
  <c r="U177"/>
  <c r="B178"/>
  <c r="M178"/>
  <c r="N178"/>
  <c r="O178"/>
  <c r="P178"/>
  <c r="T178"/>
  <c r="U178"/>
  <c r="B179"/>
  <c r="M179"/>
  <c r="N179"/>
  <c r="O179"/>
  <c r="P179"/>
  <c r="T179"/>
  <c r="U179"/>
  <c r="B180"/>
  <c r="M180"/>
  <c r="N180"/>
  <c r="O180"/>
  <c r="P180"/>
  <c r="T180"/>
  <c r="U180"/>
  <c r="B181"/>
  <c r="P181" s="1"/>
  <c r="M181"/>
  <c r="N181"/>
  <c r="O181"/>
  <c r="T181"/>
  <c r="U181"/>
  <c r="B182"/>
  <c r="M182"/>
  <c r="N182"/>
  <c r="O182"/>
  <c r="P182"/>
  <c r="T182"/>
  <c r="U182"/>
  <c r="B183"/>
  <c r="M183"/>
  <c r="N183"/>
  <c r="O183"/>
  <c r="P183"/>
  <c r="T183"/>
  <c r="U183"/>
  <c r="B184"/>
  <c r="M184"/>
  <c r="N184"/>
  <c r="O184"/>
  <c r="P184"/>
  <c r="T184"/>
  <c r="U184"/>
  <c r="B185"/>
  <c r="P185" s="1"/>
  <c r="M185"/>
  <c r="N185"/>
  <c r="O185"/>
  <c r="T185"/>
  <c r="U185"/>
  <c r="B186"/>
  <c r="M186"/>
  <c r="N186"/>
  <c r="O186"/>
  <c r="P186"/>
  <c r="T186"/>
  <c r="U186"/>
  <c r="B187"/>
  <c r="M187"/>
  <c r="N187"/>
  <c r="O187"/>
  <c r="P187"/>
  <c r="T187"/>
  <c r="U187"/>
  <c r="B188"/>
  <c r="M188"/>
  <c r="N188"/>
  <c r="O188"/>
  <c r="P188"/>
  <c r="T188"/>
  <c r="U188"/>
  <c r="B189"/>
  <c r="P189" s="1"/>
  <c r="M189"/>
  <c r="N189"/>
  <c r="O189"/>
  <c r="T189"/>
  <c r="U189"/>
  <c r="B190"/>
  <c r="M190"/>
  <c r="N190"/>
  <c r="O190"/>
  <c r="P190"/>
  <c r="T190"/>
  <c r="U190"/>
  <c r="B191"/>
  <c r="P191" s="1"/>
  <c r="M191"/>
  <c r="N191"/>
  <c r="O191"/>
  <c r="T191"/>
  <c r="U191"/>
  <c r="B192"/>
  <c r="M192"/>
  <c r="N192"/>
  <c r="O192"/>
  <c r="P192"/>
  <c r="T192"/>
  <c r="U192"/>
  <c r="B193"/>
  <c r="P193" s="1"/>
  <c r="M193"/>
  <c r="N193"/>
  <c r="O193"/>
  <c r="T193"/>
  <c r="U193"/>
  <c r="B194"/>
  <c r="P194" s="1"/>
  <c r="M194"/>
  <c r="N194"/>
  <c r="O194"/>
  <c r="T194"/>
  <c r="U194"/>
  <c r="B195"/>
  <c r="M195"/>
  <c r="N195"/>
  <c r="O195"/>
  <c r="P195"/>
  <c r="T195"/>
  <c r="U195"/>
  <c r="B196"/>
  <c r="M196"/>
  <c r="N196"/>
  <c r="O196"/>
  <c r="P196"/>
  <c r="T196"/>
  <c r="U196"/>
  <c r="B197"/>
  <c r="P197" s="1"/>
  <c r="M197"/>
  <c r="N197"/>
  <c r="O197"/>
  <c r="T197"/>
  <c r="U197"/>
  <c r="B198"/>
  <c r="M198"/>
  <c r="N198"/>
  <c r="O198"/>
  <c r="P198"/>
  <c r="T198"/>
  <c r="U198"/>
  <c r="B199"/>
  <c r="M199"/>
  <c r="N199"/>
  <c r="O199"/>
  <c r="P199"/>
  <c r="T199"/>
  <c r="U199"/>
  <c r="B200"/>
  <c r="M200"/>
  <c r="N200"/>
  <c r="O200"/>
  <c r="P200"/>
  <c r="T200"/>
  <c r="U200"/>
  <c r="B201"/>
  <c r="P201" s="1"/>
  <c r="M201"/>
  <c r="N201"/>
  <c r="O201"/>
  <c r="T201"/>
  <c r="U201"/>
  <c r="B202"/>
  <c r="M202"/>
  <c r="N202"/>
  <c r="O202"/>
  <c r="P202"/>
  <c r="T202"/>
  <c r="U202"/>
  <c r="B203"/>
  <c r="M203"/>
  <c r="N203"/>
  <c r="O203"/>
  <c r="P203"/>
  <c r="T203"/>
  <c r="U203"/>
  <c r="B204"/>
  <c r="M204"/>
  <c r="N204"/>
  <c r="O204"/>
  <c r="P204"/>
  <c r="T204"/>
  <c r="U204"/>
  <c r="B205"/>
  <c r="P205" s="1"/>
  <c r="M205"/>
  <c r="N205"/>
  <c r="O205"/>
  <c r="T205"/>
  <c r="U205"/>
  <c r="B206"/>
  <c r="M206"/>
  <c r="N206"/>
  <c r="O206"/>
  <c r="P206"/>
  <c r="T206"/>
  <c r="U206"/>
  <c r="B207"/>
  <c r="M207"/>
  <c r="N207"/>
  <c r="O207"/>
  <c r="P207"/>
  <c r="T207"/>
  <c r="U207"/>
  <c r="B208"/>
  <c r="M208"/>
  <c r="N208"/>
  <c r="O208"/>
  <c r="P208"/>
  <c r="T208"/>
  <c r="U208"/>
  <c r="B209"/>
  <c r="P209" s="1"/>
  <c r="M209"/>
  <c r="N209"/>
  <c r="O209"/>
  <c r="T209"/>
  <c r="U209"/>
  <c r="B210"/>
  <c r="P210" s="1"/>
  <c r="M210"/>
  <c r="N210"/>
  <c r="O210"/>
  <c r="T210"/>
  <c r="U210"/>
  <c r="B211"/>
  <c r="M211"/>
  <c r="N211"/>
  <c r="O211"/>
  <c r="P211"/>
  <c r="T211"/>
  <c r="U211"/>
  <c r="B212"/>
  <c r="M212"/>
  <c r="N212"/>
  <c r="O212"/>
  <c r="P212"/>
  <c r="T212"/>
  <c r="U212"/>
  <c r="B213"/>
  <c r="P213" s="1"/>
  <c r="M213"/>
  <c r="N213"/>
  <c r="O213"/>
  <c r="T213"/>
  <c r="U213"/>
  <c r="B214"/>
  <c r="M214"/>
  <c r="N214"/>
  <c r="O214"/>
  <c r="P214"/>
  <c r="T214"/>
  <c r="U214"/>
  <c r="B215"/>
  <c r="M215"/>
  <c r="N215"/>
  <c r="O215"/>
  <c r="P215"/>
  <c r="T215"/>
  <c r="U215"/>
  <c r="B216"/>
  <c r="M216"/>
  <c r="N216"/>
  <c r="O216"/>
  <c r="P216"/>
  <c r="T216"/>
  <c r="U216"/>
  <c r="B217"/>
  <c r="P217" s="1"/>
  <c r="M217"/>
  <c r="N217"/>
  <c r="O217"/>
  <c r="T217"/>
  <c r="U217"/>
  <c r="B218"/>
  <c r="M218"/>
  <c r="N218"/>
  <c r="O218"/>
  <c r="P218"/>
  <c r="T218"/>
  <c r="U218"/>
  <c r="B219"/>
  <c r="M219"/>
  <c r="N219"/>
  <c r="O219"/>
  <c r="P219"/>
  <c r="T219"/>
  <c r="U219"/>
  <c r="B220"/>
  <c r="M220"/>
  <c r="N220"/>
  <c r="O220"/>
  <c r="P220"/>
  <c r="T220"/>
  <c r="U220"/>
  <c r="B221"/>
  <c r="P221" s="1"/>
  <c r="M221"/>
  <c r="N221"/>
  <c r="O221"/>
  <c r="T221"/>
  <c r="U221"/>
  <c r="B222"/>
  <c r="M222"/>
  <c r="N222"/>
  <c r="O222"/>
  <c r="P222"/>
  <c r="T222"/>
  <c r="U222"/>
  <c r="B223"/>
  <c r="P223" s="1"/>
  <c r="M223"/>
  <c r="N223"/>
  <c r="O223"/>
  <c r="T223"/>
  <c r="U223"/>
  <c r="B224"/>
  <c r="M224"/>
  <c r="N224"/>
  <c r="O224"/>
  <c r="P224"/>
  <c r="T224"/>
  <c r="U224"/>
  <c r="B225"/>
  <c r="M225"/>
  <c r="N225"/>
  <c r="O225"/>
  <c r="P225"/>
  <c r="T225"/>
  <c r="U225"/>
  <c r="B226"/>
  <c r="M226"/>
  <c r="N226"/>
  <c r="O226"/>
  <c r="P226"/>
  <c r="T226"/>
  <c r="U226"/>
  <c r="B227"/>
  <c r="P227" s="1"/>
  <c r="M227"/>
  <c r="N227"/>
  <c r="O227"/>
  <c r="T227"/>
  <c r="U227"/>
  <c r="B228"/>
  <c r="M228"/>
  <c r="N228"/>
  <c r="O228"/>
  <c r="P228"/>
  <c r="T228"/>
  <c r="U228"/>
  <c r="B229"/>
  <c r="P229" s="1"/>
  <c r="M229"/>
  <c r="N229"/>
  <c r="O229"/>
  <c r="T229"/>
  <c r="U229"/>
  <c r="B230"/>
  <c r="P230" s="1"/>
  <c r="M230"/>
  <c r="N230"/>
  <c r="O230"/>
  <c r="T230"/>
  <c r="U230"/>
  <c r="B231"/>
  <c r="M231"/>
  <c r="N231"/>
  <c r="O231"/>
  <c r="P231"/>
  <c r="T231"/>
  <c r="U231"/>
  <c r="B232"/>
  <c r="M232"/>
  <c r="N232"/>
  <c r="O232"/>
  <c r="P232"/>
  <c r="T232"/>
  <c r="U232"/>
  <c r="B233"/>
  <c r="M233"/>
  <c r="N233"/>
  <c r="O233"/>
  <c r="P233"/>
  <c r="T233"/>
  <c r="U233"/>
  <c r="B234"/>
  <c r="P234" s="1"/>
  <c r="M234"/>
  <c r="N234"/>
  <c r="O234"/>
  <c r="T234"/>
  <c r="U234"/>
  <c r="B235"/>
  <c r="M235"/>
  <c r="N235"/>
  <c r="O235"/>
  <c r="P235"/>
  <c r="T235"/>
  <c r="U235"/>
  <c r="B236"/>
  <c r="M236"/>
  <c r="N236"/>
  <c r="O236"/>
  <c r="P236"/>
  <c r="T236"/>
  <c r="U236"/>
  <c r="B237"/>
  <c r="P237" s="1"/>
  <c r="M237"/>
  <c r="N237"/>
  <c r="O237"/>
  <c r="T237"/>
  <c r="U237"/>
  <c r="B238"/>
  <c r="M238"/>
  <c r="N238"/>
  <c r="O238"/>
  <c r="P238"/>
  <c r="T238"/>
  <c r="U238"/>
  <c r="B239"/>
  <c r="M239"/>
  <c r="N239"/>
  <c r="O239"/>
  <c r="P239"/>
  <c r="T239"/>
  <c r="U239"/>
  <c r="B240"/>
  <c r="M240"/>
  <c r="N240"/>
  <c r="O240"/>
  <c r="P240"/>
  <c r="T240"/>
  <c r="U240"/>
  <c r="B241"/>
  <c r="P241" s="1"/>
  <c r="M241"/>
  <c r="N241"/>
  <c r="O241"/>
  <c r="T241"/>
  <c r="U241"/>
  <c r="B242"/>
  <c r="M242"/>
  <c r="N242"/>
  <c r="O242"/>
  <c r="P242"/>
  <c r="T242"/>
  <c r="U242"/>
  <c r="B243"/>
  <c r="M243"/>
  <c r="N243"/>
  <c r="O243"/>
  <c r="P243"/>
  <c r="T243"/>
  <c r="U243"/>
  <c r="B244"/>
  <c r="P244" s="1"/>
  <c r="M244"/>
  <c r="N244"/>
  <c r="O244"/>
  <c r="T244"/>
  <c r="U244"/>
  <c r="B245"/>
  <c r="P245" s="1"/>
  <c r="M245"/>
  <c r="N245"/>
  <c r="O245"/>
  <c r="T245"/>
  <c r="U245"/>
  <c r="B246"/>
  <c r="M246"/>
  <c r="N246"/>
  <c r="O246"/>
  <c r="P246"/>
  <c r="T246"/>
  <c r="U246"/>
  <c r="B247"/>
  <c r="P247" s="1"/>
  <c r="M247"/>
  <c r="N247"/>
  <c r="O247"/>
  <c r="T247"/>
  <c r="U247"/>
  <c r="B248"/>
  <c r="M248"/>
  <c r="N248"/>
  <c r="O248"/>
  <c r="P248"/>
  <c r="T248"/>
  <c r="U248"/>
  <c r="B249"/>
  <c r="P249" s="1"/>
  <c r="M249"/>
  <c r="N249"/>
  <c r="O249"/>
  <c r="T249"/>
  <c r="U249"/>
  <c r="B250"/>
  <c r="M250"/>
  <c r="N250"/>
  <c r="O250"/>
  <c r="P250"/>
  <c r="T250"/>
  <c r="U250"/>
  <c r="B251"/>
  <c r="M251"/>
  <c r="N251"/>
  <c r="O251"/>
  <c r="P251"/>
  <c r="T251"/>
  <c r="U251"/>
  <c r="B252"/>
  <c r="M252"/>
  <c r="N252"/>
  <c r="O252"/>
  <c r="P252"/>
  <c r="T252"/>
  <c r="U252"/>
  <c r="B253"/>
  <c r="P253" s="1"/>
  <c r="M253"/>
  <c r="N253"/>
  <c r="O253"/>
  <c r="T253"/>
  <c r="U253"/>
  <c r="B254"/>
  <c r="M254"/>
  <c r="N254"/>
  <c r="O254"/>
  <c r="P254"/>
  <c r="T254"/>
  <c r="U254"/>
  <c r="B255"/>
  <c r="M255"/>
  <c r="N255"/>
  <c r="O255"/>
  <c r="P255"/>
  <c r="T255"/>
  <c r="U255"/>
  <c r="B256"/>
  <c r="M256"/>
  <c r="N256"/>
  <c r="O256"/>
  <c r="P256"/>
  <c r="T256"/>
  <c r="U256"/>
  <c r="B257"/>
  <c r="P257" s="1"/>
  <c r="M257"/>
  <c r="N257"/>
  <c r="O257"/>
  <c r="T257"/>
  <c r="U257"/>
  <c r="B258"/>
  <c r="M258"/>
  <c r="N258"/>
  <c r="O258"/>
  <c r="P258"/>
  <c r="T258"/>
  <c r="U258"/>
  <c r="B259"/>
  <c r="M259"/>
  <c r="N259"/>
  <c r="O259"/>
  <c r="P259"/>
  <c r="T259"/>
  <c r="U259"/>
  <c r="B260"/>
  <c r="P260" s="1"/>
  <c r="M260"/>
  <c r="N260"/>
  <c r="O260"/>
  <c r="T260"/>
  <c r="U260"/>
  <c r="B261"/>
  <c r="P261" s="1"/>
  <c r="M261"/>
  <c r="N261"/>
  <c r="O261"/>
  <c r="T261"/>
  <c r="U261"/>
  <c r="B262"/>
  <c r="M262"/>
  <c r="N262"/>
  <c r="O262"/>
  <c r="P262"/>
  <c r="T262"/>
  <c r="U262"/>
  <c r="B263"/>
  <c r="M263"/>
  <c r="N263"/>
  <c r="O263"/>
  <c r="P263"/>
  <c r="T263"/>
  <c r="U263"/>
  <c r="B264"/>
  <c r="M264"/>
  <c r="N264"/>
  <c r="O264"/>
  <c r="P264"/>
  <c r="T264"/>
  <c r="U264"/>
  <c r="B265"/>
  <c r="P265" s="1"/>
  <c r="M265"/>
  <c r="N265"/>
  <c r="O265"/>
  <c r="T265"/>
  <c r="U265"/>
  <c r="B266"/>
  <c r="M266"/>
  <c r="N266"/>
  <c r="O266"/>
  <c r="P266"/>
  <c r="T266"/>
  <c r="U266"/>
  <c r="B267"/>
  <c r="M267"/>
  <c r="N267"/>
  <c r="O267"/>
  <c r="P267"/>
  <c r="T267"/>
  <c r="U267"/>
  <c r="B268"/>
  <c r="M268"/>
  <c r="N268"/>
  <c r="O268"/>
  <c r="P268"/>
  <c r="T268"/>
  <c r="U268"/>
  <c r="B269"/>
  <c r="M269"/>
  <c r="N269"/>
  <c r="O269"/>
  <c r="P269"/>
  <c r="T269"/>
  <c r="U269"/>
  <c r="B270"/>
  <c r="P270" s="1"/>
  <c r="M270"/>
  <c r="N270"/>
  <c r="O270"/>
  <c r="T270"/>
  <c r="U270"/>
  <c r="B271"/>
  <c r="M271"/>
  <c r="N271"/>
  <c r="O271"/>
  <c r="P271"/>
  <c r="T271"/>
  <c r="U271"/>
  <c r="B272"/>
  <c r="M272"/>
  <c r="N272"/>
  <c r="O272"/>
  <c r="P272"/>
  <c r="T272"/>
  <c r="U272"/>
  <c r="B273"/>
  <c r="P273" s="1"/>
  <c r="M273"/>
  <c r="N273"/>
  <c r="O273"/>
  <c r="T273"/>
  <c r="U273"/>
  <c r="B274"/>
  <c r="M274"/>
  <c r="N274"/>
  <c r="O274"/>
  <c r="P274"/>
  <c r="T274"/>
  <c r="U274"/>
  <c r="B275"/>
  <c r="M275"/>
  <c r="N275"/>
  <c r="O275"/>
  <c r="P275"/>
  <c r="Q275" s="1"/>
  <c r="T275"/>
  <c r="U275"/>
  <c r="B276"/>
  <c r="M276"/>
  <c r="N276"/>
  <c r="O276"/>
  <c r="P276"/>
  <c r="T276"/>
  <c r="U276"/>
  <c r="B277"/>
  <c r="P277" s="1"/>
  <c r="M277"/>
  <c r="N277"/>
  <c r="O277"/>
  <c r="T277"/>
  <c r="U277"/>
  <c r="B278"/>
  <c r="M278"/>
  <c r="N278"/>
  <c r="O278"/>
  <c r="P278"/>
  <c r="T278"/>
  <c r="U278"/>
  <c r="B279"/>
  <c r="M279"/>
  <c r="N279"/>
  <c r="O279"/>
  <c r="P279"/>
  <c r="T279"/>
  <c r="U279"/>
  <c r="B280"/>
  <c r="P280" s="1"/>
  <c r="Q280" s="1"/>
  <c r="M280"/>
  <c r="N280"/>
  <c r="O280"/>
  <c r="T280"/>
  <c r="U280"/>
  <c r="B281"/>
  <c r="M281"/>
  <c r="N281"/>
  <c r="O281"/>
  <c r="P281"/>
  <c r="T281"/>
  <c r="U281"/>
  <c r="B282"/>
  <c r="M282"/>
  <c r="N282"/>
  <c r="O282"/>
  <c r="P282"/>
  <c r="T282"/>
  <c r="U282"/>
  <c r="B283"/>
  <c r="M283"/>
  <c r="N283"/>
  <c r="O283"/>
  <c r="P283"/>
  <c r="T283"/>
  <c r="U283"/>
  <c r="B284"/>
  <c r="P284" s="1"/>
  <c r="M284"/>
  <c r="N284"/>
  <c r="O284"/>
  <c r="T284"/>
  <c r="U284"/>
  <c r="B285"/>
  <c r="P285" s="1"/>
  <c r="M285"/>
  <c r="N285"/>
  <c r="O285"/>
  <c r="T285"/>
  <c r="U285"/>
  <c r="B286"/>
  <c r="M286"/>
  <c r="N286"/>
  <c r="O286"/>
  <c r="P286"/>
  <c r="T286"/>
  <c r="U286"/>
  <c r="B287"/>
  <c r="P287" s="1"/>
  <c r="M287"/>
  <c r="N287"/>
  <c r="O287"/>
  <c r="T287"/>
  <c r="U287"/>
  <c r="B288"/>
  <c r="M288"/>
  <c r="N288"/>
  <c r="O288"/>
  <c r="P288"/>
  <c r="T288"/>
  <c r="U288"/>
  <c r="B289"/>
  <c r="M289"/>
  <c r="N289"/>
  <c r="O289"/>
  <c r="P289"/>
  <c r="T289"/>
  <c r="U289"/>
  <c r="B290"/>
  <c r="M290"/>
  <c r="N290"/>
  <c r="O290"/>
  <c r="P290"/>
  <c r="T290"/>
  <c r="U290"/>
  <c r="B291"/>
  <c r="P291" s="1"/>
  <c r="M291"/>
  <c r="N291"/>
  <c r="O291"/>
  <c r="T291"/>
  <c r="U291"/>
  <c r="B292"/>
  <c r="M292"/>
  <c r="N292"/>
  <c r="O292"/>
  <c r="P292"/>
  <c r="T292"/>
  <c r="U292"/>
  <c r="B293"/>
  <c r="P293" s="1"/>
  <c r="M293"/>
  <c r="N293"/>
  <c r="O293"/>
  <c r="T293"/>
  <c r="U293"/>
  <c r="B294"/>
  <c r="P294" s="1"/>
  <c r="M294"/>
  <c r="N294"/>
  <c r="O294"/>
  <c r="T294"/>
  <c r="U294"/>
  <c r="B295"/>
  <c r="M295"/>
  <c r="N295"/>
  <c r="O295"/>
  <c r="P295"/>
  <c r="T295"/>
  <c r="U295"/>
  <c r="B296"/>
  <c r="M296"/>
  <c r="N296"/>
  <c r="O296"/>
  <c r="P296"/>
  <c r="T296"/>
  <c r="U296"/>
  <c r="B297"/>
  <c r="P297" s="1"/>
  <c r="M297"/>
  <c r="N297"/>
  <c r="O297"/>
  <c r="T297"/>
  <c r="U297"/>
  <c r="B298"/>
  <c r="M298"/>
  <c r="N298"/>
  <c r="O298"/>
  <c r="P298"/>
  <c r="T298"/>
  <c r="U298"/>
  <c r="B299"/>
  <c r="M299"/>
  <c r="N299"/>
  <c r="O299"/>
  <c r="P299"/>
  <c r="T299"/>
  <c r="U299"/>
  <c r="B300"/>
  <c r="M300"/>
  <c r="N300"/>
  <c r="O300"/>
  <c r="P300"/>
  <c r="T300"/>
  <c r="U300"/>
  <c r="B301"/>
  <c r="P301" s="1"/>
  <c r="M301"/>
  <c r="N301"/>
  <c r="O301"/>
  <c r="T301"/>
  <c r="U301"/>
  <c r="B302"/>
  <c r="M302"/>
  <c r="N302"/>
  <c r="O302"/>
  <c r="P302"/>
  <c r="T302"/>
  <c r="U302"/>
  <c r="B303"/>
  <c r="M303"/>
  <c r="N303"/>
  <c r="O303"/>
  <c r="P303"/>
  <c r="T303"/>
  <c r="U303"/>
  <c r="B304"/>
  <c r="P304" s="1"/>
  <c r="M304"/>
  <c r="N304"/>
  <c r="O304"/>
  <c r="T304"/>
  <c r="U304"/>
  <c r="B305"/>
  <c r="P305" s="1"/>
  <c r="M305"/>
  <c r="N305"/>
  <c r="O305"/>
  <c r="T305"/>
  <c r="U305"/>
  <c r="B306"/>
  <c r="M306"/>
  <c r="N306"/>
  <c r="O306"/>
  <c r="P306"/>
  <c r="T306"/>
  <c r="U306"/>
  <c r="B307"/>
  <c r="P307" s="1"/>
  <c r="M307"/>
  <c r="N307"/>
  <c r="O307"/>
  <c r="T307"/>
  <c r="U307"/>
  <c r="B308"/>
  <c r="M308"/>
  <c r="N308"/>
  <c r="O308"/>
  <c r="P308"/>
  <c r="T308"/>
  <c r="U308"/>
  <c r="B309"/>
  <c r="P309" s="1"/>
  <c r="M309"/>
  <c r="N309"/>
  <c r="O309"/>
  <c r="T309"/>
  <c r="U309"/>
  <c r="B310"/>
  <c r="P310" s="1"/>
  <c r="M310"/>
  <c r="N310"/>
  <c r="O310"/>
  <c r="T310"/>
  <c r="U310"/>
  <c r="B311"/>
  <c r="M311"/>
  <c r="N311"/>
  <c r="O311"/>
  <c r="P311"/>
  <c r="T311"/>
  <c r="U311"/>
  <c r="B312"/>
  <c r="M312"/>
  <c r="N312"/>
  <c r="O312"/>
  <c r="P312"/>
  <c r="T312"/>
  <c r="U312"/>
  <c r="B313"/>
  <c r="P313" s="1"/>
  <c r="M313"/>
  <c r="N313"/>
  <c r="O313"/>
  <c r="T313"/>
  <c r="U313"/>
  <c r="B314"/>
  <c r="M314"/>
  <c r="N314"/>
  <c r="O314"/>
  <c r="P314"/>
  <c r="T314"/>
  <c r="U314"/>
  <c r="B315"/>
  <c r="M315"/>
  <c r="N315"/>
  <c r="O315"/>
  <c r="P315"/>
  <c r="T315"/>
  <c r="U315"/>
  <c r="B316"/>
  <c r="M316"/>
  <c r="N316"/>
  <c r="O316"/>
  <c r="P316"/>
  <c r="T316"/>
  <c r="U316"/>
  <c r="B317"/>
  <c r="M317"/>
  <c r="N317"/>
  <c r="O317"/>
  <c r="P317"/>
  <c r="T317"/>
  <c r="U317"/>
  <c r="B318"/>
  <c r="P318" s="1"/>
  <c r="M318"/>
  <c r="N318" s="1"/>
  <c r="O318"/>
  <c r="T318"/>
  <c r="U318"/>
  <c r="B319"/>
  <c r="M319"/>
  <c r="N319" s="1"/>
  <c r="O319"/>
  <c r="P319"/>
  <c r="T319"/>
  <c r="U319"/>
  <c r="B320"/>
  <c r="P320" s="1"/>
  <c r="M320"/>
  <c r="N320" s="1"/>
  <c r="O320"/>
  <c r="T320"/>
  <c r="U320"/>
  <c r="B321"/>
  <c r="P321" s="1"/>
  <c r="M321"/>
  <c r="N321" s="1"/>
  <c r="O321"/>
  <c r="T321"/>
  <c r="U321"/>
  <c r="B322"/>
  <c r="M322"/>
  <c r="N322" s="1"/>
  <c r="O322"/>
  <c r="P322"/>
  <c r="T322"/>
  <c r="U322"/>
  <c r="B323"/>
  <c r="P323" s="1"/>
  <c r="M323"/>
  <c r="N323" s="1"/>
  <c r="O323"/>
  <c r="T323"/>
  <c r="U323"/>
  <c r="B324"/>
  <c r="M324"/>
  <c r="N324" s="1"/>
  <c r="O324"/>
  <c r="P324"/>
  <c r="Q324" s="1"/>
  <c r="T324"/>
  <c r="U324"/>
  <c r="B325"/>
  <c r="P325" s="1"/>
  <c r="M325"/>
  <c r="N325" s="1"/>
  <c r="O325"/>
  <c r="T325"/>
  <c r="U325"/>
  <c r="B326"/>
  <c r="P326" s="1"/>
  <c r="M326"/>
  <c r="N326" s="1"/>
  <c r="O326"/>
  <c r="T326"/>
  <c r="U326"/>
  <c r="B327"/>
  <c r="M327"/>
  <c r="N327" s="1"/>
  <c r="O327"/>
  <c r="P327"/>
  <c r="T327"/>
  <c r="U327"/>
  <c r="B328"/>
  <c r="P328" s="1"/>
  <c r="M328"/>
  <c r="N328" s="1"/>
  <c r="O328"/>
  <c r="T328"/>
  <c r="U328"/>
  <c r="B329"/>
  <c r="P329" s="1"/>
  <c r="M329"/>
  <c r="N329" s="1"/>
  <c r="O329"/>
  <c r="T329"/>
  <c r="U329"/>
  <c r="B330"/>
  <c r="M330"/>
  <c r="N330" s="1"/>
  <c r="O330"/>
  <c r="P330"/>
  <c r="T330"/>
  <c r="U330"/>
  <c r="B331"/>
  <c r="P331" s="1"/>
  <c r="M331"/>
  <c r="N331" s="1"/>
  <c r="O331"/>
  <c r="T331"/>
  <c r="U331"/>
  <c r="B332"/>
  <c r="M332"/>
  <c r="N332" s="1"/>
  <c r="O332"/>
  <c r="P332"/>
  <c r="T332"/>
  <c r="U332"/>
  <c r="B333"/>
  <c r="P333" s="1"/>
  <c r="M333"/>
  <c r="N333" s="1"/>
  <c r="O333"/>
  <c r="T333"/>
  <c r="U333"/>
  <c r="B334"/>
  <c r="P334" s="1"/>
  <c r="M334"/>
  <c r="N334" s="1"/>
  <c r="O334"/>
  <c r="T334"/>
  <c r="U334"/>
  <c r="B335"/>
  <c r="M335"/>
  <c r="N335" s="1"/>
  <c r="O335"/>
  <c r="P335"/>
  <c r="T335"/>
  <c r="U335"/>
  <c r="B336"/>
  <c r="P336" s="1"/>
  <c r="M336"/>
  <c r="N336" s="1"/>
  <c r="O336"/>
  <c r="T336"/>
  <c r="U336"/>
  <c r="B337"/>
  <c r="P337" s="1"/>
  <c r="M337"/>
  <c r="N337" s="1"/>
  <c r="O337"/>
  <c r="T337"/>
  <c r="U337"/>
  <c r="B338"/>
  <c r="M338"/>
  <c r="N338" s="1"/>
  <c r="O338"/>
  <c r="P338"/>
  <c r="T338"/>
  <c r="U338"/>
  <c r="B339"/>
  <c r="P339" s="1"/>
  <c r="M339"/>
  <c r="N339" s="1"/>
  <c r="O339"/>
  <c r="T339"/>
  <c r="U339"/>
  <c r="B340"/>
  <c r="M340"/>
  <c r="N340" s="1"/>
  <c r="O340"/>
  <c r="P340"/>
  <c r="Q340" s="1"/>
  <c r="T340"/>
  <c r="U340"/>
  <c r="B341"/>
  <c r="P341" s="1"/>
  <c r="Q341" s="1"/>
  <c r="M341"/>
  <c r="N341" s="1"/>
  <c r="O341"/>
  <c r="T341"/>
  <c r="U341"/>
  <c r="B342"/>
  <c r="P342" s="1"/>
  <c r="M342"/>
  <c r="N342" s="1"/>
  <c r="O342"/>
  <c r="T342"/>
  <c r="U342"/>
  <c r="B343"/>
  <c r="M343"/>
  <c r="N343" s="1"/>
  <c r="O343"/>
  <c r="P343"/>
  <c r="T343"/>
  <c r="U343"/>
  <c r="B344"/>
  <c r="P344" s="1"/>
  <c r="Q344" s="1"/>
  <c r="M344"/>
  <c r="N344" s="1"/>
  <c r="O344"/>
  <c r="T344"/>
  <c r="U344"/>
  <c r="B345"/>
  <c r="M345"/>
  <c r="N345" s="1"/>
  <c r="O345"/>
  <c r="P345"/>
  <c r="T345"/>
  <c r="U345"/>
  <c r="B346"/>
  <c r="M346"/>
  <c r="N346" s="1"/>
  <c r="O346"/>
  <c r="P346"/>
  <c r="T346"/>
  <c r="U346"/>
  <c r="B347"/>
  <c r="P347" s="1"/>
  <c r="M347"/>
  <c r="N347" s="1"/>
  <c r="O347"/>
  <c r="T347"/>
  <c r="U347"/>
  <c r="B348"/>
  <c r="M348"/>
  <c r="N348" s="1"/>
  <c r="O348"/>
  <c r="P348"/>
  <c r="T348"/>
  <c r="U348"/>
  <c r="B349"/>
  <c r="P349" s="1"/>
  <c r="Q349" s="1"/>
  <c r="M349"/>
  <c r="N349" s="1"/>
  <c r="O349"/>
  <c r="T349"/>
  <c r="U349"/>
  <c r="B350"/>
  <c r="P350" s="1"/>
  <c r="M350"/>
  <c r="N350" s="1"/>
  <c r="O350"/>
  <c r="T350"/>
  <c r="U350"/>
  <c r="B351"/>
  <c r="M351"/>
  <c r="N351" s="1"/>
  <c r="O351"/>
  <c r="P351"/>
  <c r="T351"/>
  <c r="U351"/>
  <c r="B352"/>
  <c r="P352" s="1"/>
  <c r="Q352" s="1"/>
  <c r="M352"/>
  <c r="N352" s="1"/>
  <c r="O352"/>
  <c r="T352"/>
  <c r="U352"/>
  <c r="B353"/>
  <c r="M353"/>
  <c r="N353" s="1"/>
  <c r="O353"/>
  <c r="P353"/>
  <c r="T353"/>
  <c r="U353"/>
  <c r="B354"/>
  <c r="M354"/>
  <c r="N354" s="1"/>
  <c r="O354"/>
  <c r="P354"/>
  <c r="T354"/>
  <c r="U354"/>
  <c r="B355"/>
  <c r="P355" s="1"/>
  <c r="M355"/>
  <c r="N355" s="1"/>
  <c r="O355"/>
  <c r="T355"/>
  <c r="U355"/>
  <c r="B356"/>
  <c r="M356"/>
  <c r="N356" s="1"/>
  <c r="O356"/>
  <c r="P356"/>
  <c r="T356"/>
  <c r="U356"/>
  <c r="B357"/>
  <c r="P357" s="1"/>
  <c r="Q357" s="1"/>
  <c r="M357"/>
  <c r="N357" s="1"/>
  <c r="O357"/>
  <c r="T357"/>
  <c r="U357"/>
  <c r="B358"/>
  <c r="P358" s="1"/>
  <c r="M358"/>
  <c r="N358" s="1"/>
  <c r="O358"/>
  <c r="T358"/>
  <c r="U358"/>
  <c r="B359"/>
  <c r="M359"/>
  <c r="N359" s="1"/>
  <c r="O359"/>
  <c r="P359"/>
  <c r="T359"/>
  <c r="U359"/>
  <c r="B360"/>
  <c r="P360" s="1"/>
  <c r="Q360" s="1"/>
  <c r="M360"/>
  <c r="N360" s="1"/>
  <c r="O360"/>
  <c r="T360"/>
  <c r="U360"/>
  <c r="B361"/>
  <c r="M361"/>
  <c r="N361" s="1"/>
  <c r="O361"/>
  <c r="P361"/>
  <c r="T361"/>
  <c r="U361"/>
  <c r="B362"/>
  <c r="M362"/>
  <c r="N362" s="1"/>
  <c r="O362"/>
  <c r="P362"/>
  <c r="T362"/>
  <c r="U362"/>
  <c r="B363"/>
  <c r="P363" s="1"/>
  <c r="M363"/>
  <c r="N363" s="1"/>
  <c r="O363"/>
  <c r="T363"/>
  <c r="U363"/>
  <c r="B364"/>
  <c r="M364"/>
  <c r="N364" s="1"/>
  <c r="O364"/>
  <c r="P364"/>
  <c r="T364"/>
  <c r="U364"/>
  <c r="B365"/>
  <c r="P365" s="1"/>
  <c r="Q365" s="1"/>
  <c r="M365"/>
  <c r="N365" s="1"/>
  <c r="O365"/>
  <c r="T365"/>
  <c r="U365"/>
  <c r="B366"/>
  <c r="P366" s="1"/>
  <c r="M366"/>
  <c r="N366" s="1"/>
  <c r="O366"/>
  <c r="T366"/>
  <c r="U366"/>
  <c r="B367"/>
  <c r="M367"/>
  <c r="N367" s="1"/>
  <c r="O367"/>
  <c r="P367"/>
  <c r="T367"/>
  <c r="U367"/>
  <c r="B368"/>
  <c r="P368" s="1"/>
  <c r="Q368" s="1"/>
  <c r="M368"/>
  <c r="N368" s="1"/>
  <c r="O368"/>
  <c r="T368"/>
  <c r="U368"/>
  <c r="B369"/>
  <c r="M369"/>
  <c r="N369" s="1"/>
  <c r="O369"/>
  <c r="P369"/>
  <c r="T369"/>
  <c r="U369"/>
  <c r="B370"/>
  <c r="M370"/>
  <c r="N370" s="1"/>
  <c r="O370"/>
  <c r="P370"/>
  <c r="T370"/>
  <c r="U370"/>
  <c r="B371"/>
  <c r="P371" s="1"/>
  <c r="M371"/>
  <c r="N371" s="1"/>
  <c r="O371"/>
  <c r="T371"/>
  <c r="U371"/>
  <c r="B372"/>
  <c r="M372"/>
  <c r="N372" s="1"/>
  <c r="O372"/>
  <c r="P372"/>
  <c r="T372"/>
  <c r="U372"/>
  <c r="B373"/>
  <c r="P373" s="1"/>
  <c r="Q373" s="1"/>
  <c r="M373"/>
  <c r="N373" s="1"/>
  <c r="O373"/>
  <c r="T373"/>
  <c r="U373"/>
  <c r="B374"/>
  <c r="P374" s="1"/>
  <c r="M374"/>
  <c r="N374" s="1"/>
  <c r="O374"/>
  <c r="T374"/>
  <c r="U374"/>
  <c r="B375"/>
  <c r="M375"/>
  <c r="N375" s="1"/>
  <c r="O375"/>
  <c r="P375"/>
  <c r="T375"/>
  <c r="U375"/>
  <c r="B376"/>
  <c r="M376"/>
  <c r="N376" s="1"/>
  <c r="O376"/>
  <c r="P376"/>
  <c r="Q376" s="1"/>
  <c r="T376"/>
  <c r="U376"/>
  <c r="B377"/>
  <c r="P377" s="1"/>
  <c r="M377"/>
  <c r="N377" s="1"/>
  <c r="O377"/>
  <c r="T377"/>
  <c r="U377"/>
  <c r="B378"/>
  <c r="M378"/>
  <c r="N378" s="1"/>
  <c r="O378"/>
  <c r="P378"/>
  <c r="T378"/>
  <c r="U378"/>
  <c r="B379"/>
  <c r="M379"/>
  <c r="N379" s="1"/>
  <c r="O379"/>
  <c r="P379"/>
  <c r="T379"/>
  <c r="U379"/>
  <c r="B380"/>
  <c r="M380"/>
  <c r="N380" s="1"/>
  <c r="O380"/>
  <c r="P380"/>
  <c r="T380"/>
  <c r="U380"/>
  <c r="B381"/>
  <c r="P381" s="1"/>
  <c r="M381"/>
  <c r="N381" s="1"/>
  <c r="O381"/>
  <c r="T381"/>
  <c r="U381"/>
  <c r="B382"/>
  <c r="M382"/>
  <c r="N382" s="1"/>
  <c r="O382"/>
  <c r="P382"/>
  <c r="T382"/>
  <c r="U382"/>
  <c r="B383"/>
  <c r="M383"/>
  <c r="N383" s="1"/>
  <c r="O383"/>
  <c r="P383"/>
  <c r="T383"/>
  <c r="U383"/>
  <c r="B384"/>
  <c r="M384"/>
  <c r="N384" s="1"/>
  <c r="O384"/>
  <c r="P384"/>
  <c r="T384"/>
  <c r="U384"/>
  <c r="B385"/>
  <c r="P385" s="1"/>
  <c r="Q385" s="1"/>
  <c r="M385"/>
  <c r="N385" s="1"/>
  <c r="O385"/>
  <c r="T385"/>
  <c r="U385"/>
  <c r="B386"/>
  <c r="M386"/>
  <c r="N386" s="1"/>
  <c r="O386"/>
  <c r="P386"/>
  <c r="T386"/>
  <c r="U386"/>
  <c r="B387"/>
  <c r="M387"/>
  <c r="N387" s="1"/>
  <c r="O387"/>
  <c r="P387"/>
  <c r="T387"/>
  <c r="U387"/>
  <c r="B388"/>
  <c r="M388"/>
  <c r="N388" s="1"/>
  <c r="O388"/>
  <c r="P388"/>
  <c r="T388"/>
  <c r="U388"/>
  <c r="B389"/>
  <c r="P389" s="1"/>
  <c r="M389"/>
  <c r="N389" s="1"/>
  <c r="O389"/>
  <c r="T389"/>
  <c r="U389"/>
  <c r="B390"/>
  <c r="M390"/>
  <c r="N390" s="1"/>
  <c r="O390"/>
  <c r="P390"/>
  <c r="T390"/>
  <c r="U390"/>
  <c r="B391"/>
  <c r="M391"/>
  <c r="N391" s="1"/>
  <c r="O391"/>
  <c r="P391"/>
  <c r="T391"/>
  <c r="U391"/>
  <c r="B392"/>
  <c r="M392"/>
  <c r="N392" s="1"/>
  <c r="O392"/>
  <c r="P392"/>
  <c r="Q392" s="1"/>
  <c r="T392"/>
  <c r="U392"/>
  <c r="B393"/>
  <c r="P393" s="1"/>
  <c r="M393"/>
  <c r="N393" s="1"/>
  <c r="O393"/>
  <c r="T393"/>
  <c r="U393"/>
  <c r="B394"/>
  <c r="M394"/>
  <c r="N394" s="1"/>
  <c r="O394"/>
  <c r="P394"/>
  <c r="T394"/>
  <c r="U394"/>
  <c r="B395"/>
  <c r="M395"/>
  <c r="N395" s="1"/>
  <c r="O395"/>
  <c r="P395"/>
  <c r="T395"/>
  <c r="U395"/>
  <c r="B396"/>
  <c r="M396"/>
  <c r="N396" s="1"/>
  <c r="O396"/>
  <c r="P396"/>
  <c r="T396"/>
  <c r="U396"/>
  <c r="B397"/>
  <c r="P397" s="1"/>
  <c r="M397"/>
  <c r="N397" s="1"/>
  <c r="O397"/>
  <c r="T397"/>
  <c r="U397"/>
  <c r="B398"/>
  <c r="M398"/>
  <c r="N398" s="1"/>
  <c r="O398"/>
  <c r="P398"/>
  <c r="T398"/>
  <c r="U398"/>
  <c r="B399"/>
  <c r="M399"/>
  <c r="N399" s="1"/>
  <c r="O399"/>
  <c r="P399"/>
  <c r="T399"/>
  <c r="U399"/>
  <c r="B400"/>
  <c r="M400"/>
  <c r="N400" s="1"/>
  <c r="O400"/>
  <c r="P400"/>
  <c r="T400"/>
  <c r="U400"/>
  <c r="B401"/>
  <c r="P401" s="1"/>
  <c r="Q401" s="1"/>
  <c r="M401"/>
  <c r="N401" s="1"/>
  <c r="O401"/>
  <c r="T401"/>
  <c r="U401"/>
  <c r="B402"/>
  <c r="M402"/>
  <c r="N402" s="1"/>
  <c r="O402"/>
  <c r="P402"/>
  <c r="T402"/>
  <c r="U402"/>
  <c r="B403"/>
  <c r="M403"/>
  <c r="N403" s="1"/>
  <c r="O403"/>
  <c r="P403"/>
  <c r="T403"/>
  <c r="U403"/>
  <c r="B404"/>
  <c r="M404"/>
  <c r="N404" s="1"/>
  <c r="O404"/>
  <c r="P404"/>
  <c r="T404"/>
  <c r="U404"/>
  <c r="B405"/>
  <c r="P405" s="1"/>
  <c r="M405"/>
  <c r="N405" s="1"/>
  <c r="O405"/>
  <c r="Q405" s="1"/>
  <c r="T405"/>
  <c r="U405"/>
  <c r="B406"/>
  <c r="M406"/>
  <c r="N406" s="1"/>
  <c r="O406"/>
  <c r="P406"/>
  <c r="T406"/>
  <c r="U406"/>
  <c r="B407"/>
  <c r="M407"/>
  <c r="N407" s="1"/>
  <c r="O407"/>
  <c r="P407"/>
  <c r="T407"/>
  <c r="U407"/>
  <c r="B408"/>
  <c r="M408"/>
  <c r="N408" s="1"/>
  <c r="O408"/>
  <c r="P408"/>
  <c r="T408"/>
  <c r="U408"/>
  <c r="B409"/>
  <c r="P409" s="1"/>
  <c r="M409"/>
  <c r="N409" s="1"/>
  <c r="O409"/>
  <c r="T409"/>
  <c r="U409"/>
  <c r="B410"/>
  <c r="M410"/>
  <c r="N410" s="1"/>
  <c r="O410"/>
  <c r="P410"/>
  <c r="T410"/>
  <c r="U410"/>
  <c r="B411"/>
  <c r="M411"/>
  <c r="N411" s="1"/>
  <c r="O411"/>
  <c r="P411"/>
  <c r="T411"/>
  <c r="U411"/>
  <c r="B412"/>
  <c r="M412"/>
  <c r="N412" s="1"/>
  <c r="O412"/>
  <c r="P412"/>
  <c r="T412"/>
  <c r="U412"/>
  <c r="B413"/>
  <c r="P413" s="1"/>
  <c r="M413"/>
  <c r="N413" s="1"/>
  <c r="O413"/>
  <c r="T413"/>
  <c r="U413"/>
  <c r="B414"/>
  <c r="M414"/>
  <c r="N414" s="1"/>
  <c r="O414"/>
  <c r="P414"/>
  <c r="T414"/>
  <c r="U414"/>
  <c r="B415"/>
  <c r="M415"/>
  <c r="N415" s="1"/>
  <c r="O415"/>
  <c r="P415"/>
  <c r="T415"/>
  <c r="U415"/>
  <c r="B416"/>
  <c r="M416"/>
  <c r="N416" s="1"/>
  <c r="O416"/>
  <c r="P416"/>
  <c r="T416"/>
  <c r="U416"/>
  <c r="B417"/>
  <c r="P417" s="1"/>
  <c r="M417"/>
  <c r="N417" s="1"/>
  <c r="O417"/>
  <c r="T417"/>
  <c r="U417"/>
  <c r="B418"/>
  <c r="M418"/>
  <c r="N418" s="1"/>
  <c r="O418"/>
  <c r="P418"/>
  <c r="T418"/>
  <c r="U418"/>
  <c r="B419"/>
  <c r="M419"/>
  <c r="N419" s="1"/>
  <c r="O419"/>
  <c r="P419"/>
  <c r="T419"/>
  <c r="U419"/>
  <c r="B420"/>
  <c r="M420"/>
  <c r="N420" s="1"/>
  <c r="O420"/>
  <c r="P420"/>
  <c r="T420"/>
  <c r="U420"/>
  <c r="B421"/>
  <c r="P421" s="1"/>
  <c r="M421"/>
  <c r="N421" s="1"/>
  <c r="O421"/>
  <c r="T421"/>
  <c r="U421"/>
  <c r="B422"/>
  <c r="M422"/>
  <c r="N422" s="1"/>
  <c r="O422"/>
  <c r="P422"/>
  <c r="T422"/>
  <c r="U422"/>
  <c r="B423"/>
  <c r="M423"/>
  <c r="N423" s="1"/>
  <c r="O423"/>
  <c r="P423"/>
  <c r="T423"/>
  <c r="U423"/>
  <c r="B424"/>
  <c r="M424"/>
  <c r="N424" s="1"/>
  <c r="O424"/>
  <c r="P424"/>
  <c r="T424"/>
  <c r="U424"/>
  <c r="B425"/>
  <c r="P425" s="1"/>
  <c r="M425"/>
  <c r="N425" s="1"/>
  <c r="O425"/>
  <c r="T425"/>
  <c r="U425"/>
  <c r="B426"/>
  <c r="M426"/>
  <c r="N426" s="1"/>
  <c r="O426"/>
  <c r="P426"/>
  <c r="T426"/>
  <c r="U426"/>
  <c r="B427"/>
  <c r="M427"/>
  <c r="N427" s="1"/>
  <c r="O427"/>
  <c r="P427"/>
  <c r="T427"/>
  <c r="U427"/>
  <c r="B428"/>
  <c r="M428"/>
  <c r="N428" s="1"/>
  <c r="O428"/>
  <c r="P428"/>
  <c r="T428"/>
  <c r="U428"/>
  <c r="B429"/>
  <c r="P429" s="1"/>
  <c r="M429"/>
  <c r="N429" s="1"/>
  <c r="O429"/>
  <c r="T429"/>
  <c r="U429"/>
  <c r="B430"/>
  <c r="M430"/>
  <c r="N430" s="1"/>
  <c r="O430"/>
  <c r="P430"/>
  <c r="T430"/>
  <c r="U430"/>
  <c r="B431"/>
  <c r="M431"/>
  <c r="N431" s="1"/>
  <c r="O431"/>
  <c r="P431"/>
  <c r="T431"/>
  <c r="U431"/>
  <c r="B432"/>
  <c r="M432"/>
  <c r="N432" s="1"/>
  <c r="O432"/>
  <c r="P432"/>
  <c r="T432"/>
  <c r="U432"/>
  <c r="B433"/>
  <c r="P433" s="1"/>
  <c r="M433"/>
  <c r="N433" s="1"/>
  <c r="O433"/>
  <c r="T433"/>
  <c r="U433"/>
  <c r="B434"/>
  <c r="M434"/>
  <c r="N434" s="1"/>
  <c r="O434"/>
  <c r="P434"/>
  <c r="T434"/>
  <c r="U434"/>
  <c r="B435"/>
  <c r="M435"/>
  <c r="N435" s="1"/>
  <c r="O435"/>
  <c r="P435"/>
  <c r="T435"/>
  <c r="U435"/>
  <c r="B436"/>
  <c r="M436"/>
  <c r="N436" s="1"/>
  <c r="O436"/>
  <c r="P436"/>
  <c r="T436"/>
  <c r="U436"/>
  <c r="B437"/>
  <c r="P437" s="1"/>
  <c r="M437"/>
  <c r="N437" s="1"/>
  <c r="O437"/>
  <c r="T437"/>
  <c r="U437"/>
  <c r="B438"/>
  <c r="M438"/>
  <c r="N438" s="1"/>
  <c r="O438"/>
  <c r="P438"/>
  <c r="T438"/>
  <c r="U438"/>
  <c r="B439"/>
  <c r="M439"/>
  <c r="N439" s="1"/>
  <c r="O439"/>
  <c r="P439"/>
  <c r="T439"/>
  <c r="U439"/>
  <c r="B440"/>
  <c r="M440"/>
  <c r="N440" s="1"/>
  <c r="O440"/>
  <c r="P440"/>
  <c r="T440"/>
  <c r="U440"/>
  <c r="B441"/>
  <c r="M441"/>
  <c r="N441" s="1"/>
  <c r="O441"/>
  <c r="P441"/>
  <c r="T441"/>
  <c r="U441"/>
  <c r="B442"/>
  <c r="M442"/>
  <c r="N442" s="1"/>
  <c r="O442"/>
  <c r="P442"/>
  <c r="T442"/>
  <c r="U442"/>
  <c r="B443"/>
  <c r="M443"/>
  <c r="N443" s="1"/>
  <c r="O443"/>
  <c r="P443"/>
  <c r="T443"/>
  <c r="U443"/>
  <c r="B444"/>
  <c r="M444"/>
  <c r="N444" s="1"/>
  <c r="O444"/>
  <c r="P444"/>
  <c r="T444"/>
  <c r="U444"/>
  <c r="B445"/>
  <c r="P445" s="1"/>
  <c r="M445"/>
  <c r="N445" s="1"/>
  <c r="O445"/>
  <c r="T445"/>
  <c r="U445"/>
  <c r="B446"/>
  <c r="M446"/>
  <c r="N446" s="1"/>
  <c r="O446"/>
  <c r="P446"/>
  <c r="T446"/>
  <c r="U446"/>
  <c r="B447"/>
  <c r="P447" s="1"/>
  <c r="M447"/>
  <c r="N447" s="1"/>
  <c r="O447"/>
  <c r="T447"/>
  <c r="U447"/>
  <c r="B448"/>
  <c r="M448"/>
  <c r="N448" s="1"/>
  <c r="O448"/>
  <c r="P448"/>
  <c r="T448"/>
  <c r="U448"/>
  <c r="B449"/>
  <c r="P449" s="1"/>
  <c r="M449"/>
  <c r="N449" s="1"/>
  <c r="O449"/>
  <c r="T449"/>
  <c r="U449"/>
  <c r="B450"/>
  <c r="M450"/>
  <c r="N450" s="1"/>
  <c r="O450"/>
  <c r="P450"/>
  <c r="T450"/>
  <c r="U450"/>
  <c r="B451"/>
  <c r="P451" s="1"/>
  <c r="M451"/>
  <c r="N451" s="1"/>
  <c r="O451"/>
  <c r="T451"/>
  <c r="U451"/>
  <c r="B452"/>
  <c r="P452" s="1"/>
  <c r="M452"/>
  <c r="N452" s="1"/>
  <c r="O452"/>
  <c r="T452"/>
  <c r="U452"/>
  <c r="B453"/>
  <c r="P453" s="1"/>
  <c r="M453"/>
  <c r="N453" s="1"/>
  <c r="O453"/>
  <c r="T453"/>
  <c r="U453"/>
  <c r="B454"/>
  <c r="P454" s="1"/>
  <c r="M454"/>
  <c r="N454" s="1"/>
  <c r="O454"/>
  <c r="T454"/>
  <c r="U454"/>
  <c r="B455"/>
  <c r="P455" s="1"/>
  <c r="M455"/>
  <c r="N455" s="1"/>
  <c r="O455"/>
  <c r="T455"/>
  <c r="U455"/>
  <c r="B456"/>
  <c r="M456"/>
  <c r="N456" s="1"/>
  <c r="O456"/>
  <c r="P456"/>
  <c r="T456"/>
  <c r="U456"/>
  <c r="B457"/>
  <c r="P457" s="1"/>
  <c r="M457"/>
  <c r="N457" s="1"/>
  <c r="O457"/>
  <c r="T457"/>
  <c r="U457"/>
  <c r="B458"/>
  <c r="M458"/>
  <c r="N458" s="1"/>
  <c r="O458"/>
  <c r="P458"/>
  <c r="T458"/>
  <c r="U458"/>
  <c r="B459"/>
  <c r="P459" s="1"/>
  <c r="M459"/>
  <c r="N459" s="1"/>
  <c r="O459"/>
  <c r="T459"/>
  <c r="U459"/>
  <c r="B460"/>
  <c r="M460"/>
  <c r="N460" s="1"/>
  <c r="O460"/>
  <c r="P460"/>
  <c r="T460"/>
  <c r="U460"/>
  <c r="B461"/>
  <c r="P461" s="1"/>
  <c r="M461"/>
  <c r="N461" s="1"/>
  <c r="O461"/>
  <c r="T461"/>
  <c r="U461"/>
  <c r="B462"/>
  <c r="M462"/>
  <c r="N462" s="1"/>
  <c r="O462"/>
  <c r="P462"/>
  <c r="T462"/>
  <c r="U462"/>
  <c r="B463"/>
  <c r="P463" s="1"/>
  <c r="M463"/>
  <c r="N463" s="1"/>
  <c r="O463"/>
  <c r="T463"/>
  <c r="U463"/>
  <c r="B464"/>
  <c r="P464" s="1"/>
  <c r="M464"/>
  <c r="N464" s="1"/>
  <c r="O464"/>
  <c r="T464"/>
  <c r="U464"/>
  <c r="B465"/>
  <c r="P465" s="1"/>
  <c r="M465"/>
  <c r="N465" s="1"/>
  <c r="O465"/>
  <c r="T465"/>
  <c r="U465"/>
  <c r="B466"/>
  <c r="P466" s="1"/>
  <c r="M466"/>
  <c r="N466" s="1"/>
  <c r="O466"/>
  <c r="T466"/>
  <c r="U466"/>
  <c r="B467"/>
  <c r="P467" s="1"/>
  <c r="M467"/>
  <c r="N467" s="1"/>
  <c r="O467"/>
  <c r="T467"/>
  <c r="U467"/>
  <c r="B468"/>
  <c r="P468" s="1"/>
  <c r="M468"/>
  <c r="N468" s="1"/>
  <c r="O468"/>
  <c r="T468"/>
  <c r="U468"/>
  <c r="B469"/>
  <c r="P469" s="1"/>
  <c r="M469"/>
  <c r="N469" s="1"/>
  <c r="O469"/>
  <c r="T469"/>
  <c r="U469"/>
  <c r="B470"/>
  <c r="M470"/>
  <c r="N470" s="1"/>
  <c r="O470"/>
  <c r="P470"/>
  <c r="T470"/>
  <c r="U470"/>
  <c r="B471"/>
  <c r="P471" s="1"/>
  <c r="M471"/>
  <c r="N471" s="1"/>
  <c r="O471"/>
  <c r="T471"/>
  <c r="U471"/>
  <c r="B472"/>
  <c r="M472"/>
  <c r="N472" s="1"/>
  <c r="O472"/>
  <c r="P472"/>
  <c r="T472"/>
  <c r="U472"/>
  <c r="B473"/>
  <c r="P473" s="1"/>
  <c r="M473"/>
  <c r="N473" s="1"/>
  <c r="O473"/>
  <c r="T473"/>
  <c r="U473"/>
  <c r="B474"/>
  <c r="P474" s="1"/>
  <c r="M474"/>
  <c r="N474" s="1"/>
  <c r="O474"/>
  <c r="T474"/>
  <c r="U474"/>
  <c r="B475"/>
  <c r="P475" s="1"/>
  <c r="M475"/>
  <c r="N475" s="1"/>
  <c r="O475"/>
  <c r="T475"/>
  <c r="U475"/>
  <c r="B476"/>
  <c r="P476" s="1"/>
  <c r="M476"/>
  <c r="N476" s="1"/>
  <c r="O476"/>
  <c r="T476"/>
  <c r="U476"/>
  <c r="B477"/>
  <c r="P477" s="1"/>
  <c r="M477"/>
  <c r="N477" s="1"/>
  <c r="O477"/>
  <c r="T477"/>
  <c r="U477"/>
  <c r="B478"/>
  <c r="P478" s="1"/>
  <c r="M478"/>
  <c r="N478" s="1"/>
  <c r="O478"/>
  <c r="T478"/>
  <c r="U478"/>
  <c r="B479"/>
  <c r="M479"/>
  <c r="N479"/>
  <c r="O479"/>
  <c r="P479"/>
  <c r="T479"/>
  <c r="U479"/>
  <c r="B480"/>
  <c r="M480"/>
  <c r="N480"/>
  <c r="O480"/>
  <c r="P480"/>
  <c r="T480"/>
  <c r="U480"/>
  <c r="B481"/>
  <c r="M481"/>
  <c r="N481"/>
  <c r="O481"/>
  <c r="P481"/>
  <c r="T481"/>
  <c r="U481"/>
  <c r="B482"/>
  <c r="M482"/>
  <c r="N482"/>
  <c r="O482"/>
  <c r="P482"/>
  <c r="T482"/>
  <c r="U482"/>
  <c r="B483"/>
  <c r="M483"/>
  <c r="N483"/>
  <c r="O483"/>
  <c r="P483"/>
  <c r="T483"/>
  <c r="U483"/>
  <c r="B484"/>
  <c r="M484"/>
  <c r="N484"/>
  <c r="O484"/>
  <c r="P484"/>
  <c r="T484"/>
  <c r="U484"/>
  <c r="B485"/>
  <c r="M485"/>
  <c r="N485"/>
  <c r="O485"/>
  <c r="P485"/>
  <c r="T485"/>
  <c r="U485"/>
  <c r="B486"/>
  <c r="M486"/>
  <c r="N486"/>
  <c r="O486"/>
  <c r="P486"/>
  <c r="T486"/>
  <c r="U486"/>
  <c r="B487"/>
  <c r="M487"/>
  <c r="N487"/>
  <c r="O487"/>
  <c r="P487"/>
  <c r="T487"/>
  <c r="U487"/>
  <c r="B488"/>
  <c r="M488"/>
  <c r="N488"/>
  <c r="O488"/>
  <c r="P488"/>
  <c r="T488"/>
  <c r="U488"/>
  <c r="B489"/>
  <c r="M489"/>
  <c r="N489"/>
  <c r="O489"/>
  <c r="P489"/>
  <c r="T489"/>
  <c r="U489"/>
  <c r="B490"/>
  <c r="M490"/>
  <c r="N490"/>
  <c r="O490"/>
  <c r="P490"/>
  <c r="T490"/>
  <c r="U490"/>
  <c r="B491"/>
  <c r="M491"/>
  <c r="N491"/>
  <c r="O491"/>
  <c r="P491"/>
  <c r="T491"/>
  <c r="U491"/>
  <c r="B492"/>
  <c r="M492"/>
  <c r="N492"/>
  <c r="O492"/>
  <c r="P492"/>
  <c r="T492"/>
  <c r="U492"/>
  <c r="B493"/>
  <c r="M493"/>
  <c r="N493"/>
  <c r="O493"/>
  <c r="P493"/>
  <c r="T493"/>
  <c r="U493"/>
  <c r="B494"/>
  <c r="M494"/>
  <c r="N494"/>
  <c r="O494"/>
  <c r="P494"/>
  <c r="T494"/>
  <c r="U494"/>
  <c r="B495"/>
  <c r="M495"/>
  <c r="N495"/>
  <c r="O495"/>
  <c r="P495"/>
  <c r="T495"/>
  <c r="U495"/>
  <c r="B496"/>
  <c r="M496"/>
  <c r="N496"/>
  <c r="O496"/>
  <c r="P496"/>
  <c r="T496"/>
  <c r="U496"/>
  <c r="B497"/>
  <c r="M497"/>
  <c r="N497"/>
  <c r="O497"/>
  <c r="P497"/>
  <c r="T497"/>
  <c r="U497"/>
  <c r="B498"/>
  <c r="M498"/>
  <c r="N498"/>
  <c r="O498"/>
  <c r="P498"/>
  <c r="T498"/>
  <c r="U498"/>
  <c r="B499"/>
  <c r="M499"/>
  <c r="N499"/>
  <c r="O499"/>
  <c r="P499"/>
  <c r="T499"/>
  <c r="U499"/>
  <c r="B500"/>
  <c r="M500"/>
  <c r="N500"/>
  <c r="O500"/>
  <c r="P500"/>
  <c r="T500"/>
  <c r="U500"/>
  <c r="B501"/>
  <c r="M501"/>
  <c r="N501"/>
  <c r="O501"/>
  <c r="P501"/>
  <c r="T501"/>
  <c r="U501"/>
  <c r="B502"/>
  <c r="M502"/>
  <c r="N502"/>
  <c r="O502"/>
  <c r="P502"/>
  <c r="T502"/>
  <c r="U502"/>
  <c r="B503"/>
  <c r="M503"/>
  <c r="N503"/>
  <c r="O503"/>
  <c r="P503"/>
  <c r="T503"/>
  <c r="U503"/>
  <c r="B504"/>
  <c r="M504"/>
  <c r="N504"/>
  <c r="O504"/>
  <c r="P504"/>
  <c r="T504"/>
  <c r="U504"/>
  <c r="B505"/>
  <c r="M505"/>
  <c r="N505"/>
  <c r="O505"/>
  <c r="P505"/>
  <c r="T505"/>
  <c r="U505"/>
  <c r="B506"/>
  <c r="M506"/>
  <c r="N506"/>
  <c r="O506"/>
  <c r="P506"/>
  <c r="T506"/>
  <c r="U506"/>
  <c r="B507"/>
  <c r="M507"/>
  <c r="N507"/>
  <c r="O507"/>
  <c r="P507"/>
  <c r="T507"/>
  <c r="U507"/>
  <c r="B508"/>
  <c r="M508"/>
  <c r="N508"/>
  <c r="O508"/>
  <c r="P508"/>
  <c r="T508"/>
  <c r="U508"/>
  <c r="B509"/>
  <c r="M509"/>
  <c r="N509"/>
  <c r="O509"/>
  <c r="P509"/>
  <c r="T509"/>
  <c r="U509"/>
  <c r="B510"/>
  <c r="M510"/>
  <c r="N510"/>
  <c r="O510"/>
  <c r="P510"/>
  <c r="T510"/>
  <c r="U510"/>
  <c r="B511"/>
  <c r="M511"/>
  <c r="N511"/>
  <c r="O511"/>
  <c r="P511"/>
  <c r="T511"/>
  <c r="U511"/>
  <c r="B512"/>
  <c r="M512"/>
  <c r="N512"/>
  <c r="O512"/>
  <c r="P512"/>
  <c r="T512"/>
  <c r="U512"/>
  <c r="B513"/>
  <c r="M513"/>
  <c r="N513"/>
  <c r="O513"/>
  <c r="P513"/>
  <c r="T513"/>
  <c r="U513"/>
  <c r="B514"/>
  <c r="M514"/>
  <c r="N514"/>
  <c r="O514"/>
  <c r="P514"/>
  <c r="T514"/>
  <c r="U514"/>
  <c r="B515"/>
  <c r="M515"/>
  <c r="N515"/>
  <c r="O515"/>
  <c r="P515"/>
  <c r="T515"/>
  <c r="U515"/>
  <c r="B516"/>
  <c r="M516"/>
  <c r="N516"/>
  <c r="O516"/>
  <c r="P516"/>
  <c r="T516"/>
  <c r="U516"/>
  <c r="B517"/>
  <c r="M517"/>
  <c r="N517"/>
  <c r="O517"/>
  <c r="P517"/>
  <c r="T517"/>
  <c r="U517"/>
  <c r="B518"/>
  <c r="M518"/>
  <c r="N518"/>
  <c r="O518"/>
  <c r="P518"/>
  <c r="T518"/>
  <c r="U518"/>
  <c r="B519"/>
  <c r="M519"/>
  <c r="N519"/>
  <c r="O519"/>
  <c r="P519"/>
  <c r="T519"/>
  <c r="U519"/>
  <c r="B520"/>
  <c r="M520"/>
  <c r="N520"/>
  <c r="O520"/>
  <c r="P520"/>
  <c r="T520"/>
  <c r="U520"/>
  <c r="B521"/>
  <c r="M521"/>
  <c r="N521"/>
  <c r="O521"/>
  <c r="P521"/>
  <c r="T521"/>
  <c r="U521"/>
  <c r="B522"/>
  <c r="M522"/>
  <c r="N522"/>
  <c r="O522"/>
  <c r="P522"/>
  <c r="T522"/>
  <c r="U522"/>
  <c r="B523"/>
  <c r="M523"/>
  <c r="N523"/>
  <c r="O523"/>
  <c r="P523"/>
  <c r="T523"/>
  <c r="U523"/>
  <c r="B524"/>
  <c r="M524"/>
  <c r="N524"/>
  <c r="O524"/>
  <c r="P524"/>
  <c r="T524"/>
  <c r="U524"/>
  <c r="B525"/>
  <c r="M525"/>
  <c r="N525"/>
  <c r="O525"/>
  <c r="P525"/>
  <c r="T525"/>
  <c r="U525"/>
  <c r="B526"/>
  <c r="M526"/>
  <c r="N526"/>
  <c r="O526"/>
  <c r="P526"/>
  <c r="T526"/>
  <c r="U526"/>
  <c r="B527"/>
  <c r="M527"/>
  <c r="N527"/>
  <c r="O527"/>
  <c r="P527"/>
  <c r="T527"/>
  <c r="U527"/>
  <c r="B528"/>
  <c r="M528"/>
  <c r="N528"/>
  <c r="O528"/>
  <c r="P528"/>
  <c r="T528"/>
  <c r="U528"/>
  <c r="B529"/>
  <c r="M529"/>
  <c r="N529"/>
  <c r="O529"/>
  <c r="P529"/>
  <c r="T529"/>
  <c r="U529"/>
  <c r="B530"/>
  <c r="M530"/>
  <c r="N530"/>
  <c r="O530"/>
  <c r="P530"/>
  <c r="T530"/>
  <c r="U530"/>
  <c r="B531"/>
  <c r="M531"/>
  <c r="N531"/>
  <c r="O531"/>
  <c r="P531"/>
  <c r="T531"/>
  <c r="U531"/>
  <c r="B532"/>
  <c r="M532"/>
  <c r="N532"/>
  <c r="O532"/>
  <c r="P532"/>
  <c r="T532"/>
  <c r="U532"/>
  <c r="B533"/>
  <c r="M533"/>
  <c r="N533"/>
  <c r="O533"/>
  <c r="P533"/>
  <c r="T533"/>
  <c r="U533"/>
  <c r="B534"/>
  <c r="M534"/>
  <c r="N534"/>
  <c r="O534"/>
  <c r="P534"/>
  <c r="T534"/>
  <c r="U534"/>
  <c r="B535"/>
  <c r="M535"/>
  <c r="N535"/>
  <c r="O535"/>
  <c r="P535"/>
  <c r="T535"/>
  <c r="U535"/>
  <c r="B536"/>
  <c r="M536"/>
  <c r="N536"/>
  <c r="O536"/>
  <c r="P536"/>
  <c r="T536"/>
  <c r="U536"/>
  <c r="B537"/>
  <c r="M537"/>
  <c r="N537"/>
  <c r="O537"/>
  <c r="P537"/>
  <c r="T537"/>
  <c r="U537"/>
  <c r="B538"/>
  <c r="M538"/>
  <c r="N538"/>
  <c r="O538"/>
  <c r="P538"/>
  <c r="T538"/>
  <c r="U538"/>
  <c r="B539"/>
  <c r="M539"/>
  <c r="N539"/>
  <c r="O539"/>
  <c r="P539"/>
  <c r="T539"/>
  <c r="U539"/>
  <c r="B540"/>
  <c r="M540"/>
  <c r="N540"/>
  <c r="O540"/>
  <c r="P540"/>
  <c r="T540"/>
  <c r="U540"/>
  <c r="B541"/>
  <c r="M541"/>
  <c r="N541"/>
  <c r="O541"/>
  <c r="P541"/>
  <c r="T541"/>
  <c r="U541"/>
  <c r="B542"/>
  <c r="M542"/>
  <c r="N542"/>
  <c r="O542"/>
  <c r="P542"/>
  <c r="T542"/>
  <c r="U542"/>
  <c r="B543"/>
  <c r="M543"/>
  <c r="N543"/>
  <c r="O543"/>
  <c r="P543"/>
  <c r="T543"/>
  <c r="U543"/>
  <c r="B544"/>
  <c r="M544"/>
  <c r="N544"/>
  <c r="O544"/>
  <c r="P544"/>
  <c r="T544"/>
  <c r="U544"/>
  <c r="B545"/>
  <c r="M545"/>
  <c r="N545"/>
  <c r="O545"/>
  <c r="P545"/>
  <c r="T545"/>
  <c r="U545"/>
  <c r="B546"/>
  <c r="M546"/>
  <c r="N546"/>
  <c r="O546"/>
  <c r="P546"/>
  <c r="T546"/>
  <c r="U546"/>
  <c r="B547"/>
  <c r="M547"/>
  <c r="N547"/>
  <c r="O547"/>
  <c r="P547"/>
  <c r="T547"/>
  <c r="U547"/>
  <c r="B548"/>
  <c r="M548"/>
  <c r="N548"/>
  <c r="O548"/>
  <c r="P548"/>
  <c r="T548"/>
  <c r="U548"/>
  <c r="B549"/>
  <c r="M549"/>
  <c r="N549"/>
  <c r="O549"/>
  <c r="P549"/>
  <c r="T549"/>
  <c r="U549"/>
  <c r="B550"/>
  <c r="M550"/>
  <c r="N550"/>
  <c r="O550"/>
  <c r="P550"/>
  <c r="T550"/>
  <c r="U550"/>
  <c r="B551"/>
  <c r="M551"/>
  <c r="N551"/>
  <c r="O551"/>
  <c r="P551"/>
  <c r="T551"/>
  <c r="U551"/>
  <c r="B552"/>
  <c r="M552"/>
  <c r="N552"/>
  <c r="O552"/>
  <c r="P552"/>
  <c r="T552"/>
  <c r="U552"/>
  <c r="B553"/>
  <c r="M553"/>
  <c r="N553"/>
  <c r="O553"/>
  <c r="P553"/>
  <c r="T553"/>
  <c r="U553"/>
  <c r="B554"/>
  <c r="M554"/>
  <c r="N554"/>
  <c r="O554"/>
  <c r="P554"/>
  <c r="T554"/>
  <c r="U554"/>
  <c r="B555"/>
  <c r="M555"/>
  <c r="N555"/>
  <c r="O555"/>
  <c r="P555"/>
  <c r="T555"/>
  <c r="U555"/>
  <c r="B556"/>
  <c r="M556"/>
  <c r="N556"/>
  <c r="O556"/>
  <c r="P556"/>
  <c r="T556"/>
  <c r="U556"/>
  <c r="B557"/>
  <c r="M557"/>
  <c r="N557"/>
  <c r="O557"/>
  <c r="P557"/>
  <c r="T557"/>
  <c r="U557"/>
  <c r="B558"/>
  <c r="M558"/>
  <c r="N558"/>
  <c r="O558"/>
  <c r="P558"/>
  <c r="T558"/>
  <c r="U558"/>
  <c r="B559"/>
  <c r="M559"/>
  <c r="N559"/>
  <c r="O559"/>
  <c r="P559"/>
  <c r="T559"/>
  <c r="U559"/>
  <c r="B560"/>
  <c r="M560"/>
  <c r="N560"/>
  <c r="O560"/>
  <c r="P560"/>
  <c r="T560"/>
  <c r="U560"/>
  <c r="B561"/>
  <c r="M561"/>
  <c r="N561"/>
  <c r="O561"/>
  <c r="P561"/>
  <c r="T561"/>
  <c r="U561"/>
  <c r="B562"/>
  <c r="M562"/>
  <c r="N562"/>
  <c r="O562"/>
  <c r="P562"/>
  <c r="T562"/>
  <c r="U562"/>
  <c r="B563"/>
  <c r="M563"/>
  <c r="N563"/>
  <c r="O563"/>
  <c r="P563"/>
  <c r="T563"/>
  <c r="U563"/>
  <c r="B564"/>
  <c r="M564"/>
  <c r="N564"/>
  <c r="O564"/>
  <c r="P564"/>
  <c r="T564"/>
  <c r="U564"/>
  <c r="B565"/>
  <c r="M565"/>
  <c r="N565"/>
  <c r="O565"/>
  <c r="P565"/>
  <c r="T565"/>
  <c r="U565"/>
  <c r="B566"/>
  <c r="M566"/>
  <c r="N566"/>
  <c r="O566"/>
  <c r="P566"/>
  <c r="T566"/>
  <c r="U566"/>
  <c r="B567"/>
  <c r="M567"/>
  <c r="N567"/>
  <c r="O567"/>
  <c r="P567"/>
  <c r="T567"/>
  <c r="U567"/>
  <c r="B568"/>
  <c r="M568"/>
  <c r="N568"/>
  <c r="O568"/>
  <c r="P568"/>
  <c r="T568"/>
  <c r="U568"/>
  <c r="B569"/>
  <c r="M569"/>
  <c r="N569"/>
  <c r="O569"/>
  <c r="P569"/>
  <c r="T569"/>
  <c r="U569"/>
  <c r="B570"/>
  <c r="M570"/>
  <c r="N570"/>
  <c r="O570"/>
  <c r="P570"/>
  <c r="T570"/>
  <c r="U570"/>
  <c r="B571"/>
  <c r="M571"/>
  <c r="N571"/>
  <c r="O571"/>
  <c r="P571"/>
  <c r="T571"/>
  <c r="U571"/>
  <c r="B572"/>
  <c r="M572"/>
  <c r="N572"/>
  <c r="O572"/>
  <c r="P572"/>
  <c r="T572"/>
  <c r="U572"/>
  <c r="B573"/>
  <c r="M573"/>
  <c r="N573"/>
  <c r="O573"/>
  <c r="P573"/>
  <c r="T573"/>
  <c r="U573"/>
  <c r="B574"/>
  <c r="M574"/>
  <c r="N574"/>
  <c r="O574"/>
  <c r="P574"/>
  <c r="T574"/>
  <c r="U574"/>
  <c r="B575"/>
  <c r="M575"/>
  <c r="N575"/>
  <c r="O575"/>
  <c r="P575"/>
  <c r="T575"/>
  <c r="U575"/>
  <c r="B576"/>
  <c r="M576"/>
  <c r="N576"/>
  <c r="O576"/>
  <c r="P576"/>
  <c r="T576"/>
  <c r="U576"/>
  <c r="B577"/>
  <c r="M577"/>
  <c r="N577"/>
  <c r="O577"/>
  <c r="P577"/>
  <c r="T577"/>
  <c r="U577"/>
  <c r="B578"/>
  <c r="M578"/>
  <c r="N578"/>
  <c r="O578"/>
  <c r="P578"/>
  <c r="T578"/>
  <c r="U578"/>
  <c r="B579"/>
  <c r="M579"/>
  <c r="N579"/>
  <c r="O579"/>
  <c r="P579"/>
  <c r="T579"/>
  <c r="U579"/>
  <c r="B580"/>
  <c r="M580"/>
  <c r="N580"/>
  <c r="O580"/>
  <c r="P580"/>
  <c r="T580"/>
  <c r="U580"/>
  <c r="B581"/>
  <c r="M581"/>
  <c r="N581"/>
  <c r="O581"/>
  <c r="P581"/>
  <c r="T581"/>
  <c r="U581"/>
  <c r="B582"/>
  <c r="M582"/>
  <c r="N582"/>
  <c r="O582"/>
  <c r="P582"/>
  <c r="T582"/>
  <c r="U582"/>
  <c r="B583"/>
  <c r="M583"/>
  <c r="N583"/>
  <c r="O583"/>
  <c r="P583"/>
  <c r="T583"/>
  <c r="U583"/>
  <c r="B584"/>
  <c r="M584"/>
  <c r="N584"/>
  <c r="O584"/>
  <c r="P584"/>
  <c r="T584"/>
  <c r="U584"/>
  <c r="B585"/>
  <c r="M585"/>
  <c r="N585"/>
  <c r="O585"/>
  <c r="P585"/>
  <c r="T585"/>
  <c r="U585"/>
  <c r="B586"/>
  <c r="M586"/>
  <c r="N586"/>
  <c r="O586"/>
  <c r="P586"/>
  <c r="T586"/>
  <c r="U586"/>
  <c r="B587"/>
  <c r="M587"/>
  <c r="N587"/>
  <c r="O587"/>
  <c r="P587"/>
  <c r="T587"/>
  <c r="U587"/>
  <c r="B588"/>
  <c r="M588"/>
  <c r="N588"/>
  <c r="O588"/>
  <c r="P588"/>
  <c r="T588"/>
  <c r="U588"/>
  <c r="B589"/>
  <c r="M589"/>
  <c r="N589"/>
  <c r="O589"/>
  <c r="P589"/>
  <c r="T589"/>
  <c r="U589"/>
  <c r="B590"/>
  <c r="M590"/>
  <c r="N590"/>
  <c r="O590"/>
  <c r="P590"/>
  <c r="T590"/>
  <c r="U590"/>
  <c r="B591"/>
  <c r="M591"/>
  <c r="N591"/>
  <c r="O591"/>
  <c r="P591"/>
  <c r="T591"/>
  <c r="U591"/>
  <c r="B592"/>
  <c r="M592"/>
  <c r="N592"/>
  <c r="O592"/>
  <c r="P592"/>
  <c r="T592"/>
  <c r="U592"/>
  <c r="B593"/>
  <c r="M593"/>
  <c r="N593"/>
  <c r="O593"/>
  <c r="P593"/>
  <c r="T593"/>
  <c r="U593"/>
  <c r="B594"/>
  <c r="M594"/>
  <c r="N594"/>
  <c r="O594"/>
  <c r="P594"/>
  <c r="T594"/>
  <c r="U594"/>
  <c r="B595"/>
  <c r="M595"/>
  <c r="N595"/>
  <c r="O595"/>
  <c r="P595"/>
  <c r="T595"/>
  <c r="U595"/>
  <c r="B596"/>
  <c r="M596"/>
  <c r="N596"/>
  <c r="O596"/>
  <c r="P596"/>
  <c r="T596"/>
  <c r="U596"/>
  <c r="B597"/>
  <c r="M597"/>
  <c r="N597"/>
  <c r="O597"/>
  <c r="P597"/>
  <c r="T597"/>
  <c r="U597"/>
  <c r="B598"/>
  <c r="M598"/>
  <c r="N598"/>
  <c r="O598"/>
  <c r="P598"/>
  <c r="T598"/>
  <c r="U598"/>
  <c r="B599"/>
  <c r="M599"/>
  <c r="N599"/>
  <c r="O599"/>
  <c r="P599"/>
  <c r="T599"/>
  <c r="U599"/>
  <c r="B600"/>
  <c r="M600"/>
  <c r="N600"/>
  <c r="O600"/>
  <c r="P600"/>
  <c r="T600"/>
  <c r="U600"/>
  <c r="B601"/>
  <c r="M601"/>
  <c r="N601"/>
  <c r="O601"/>
  <c r="P601"/>
  <c r="T601"/>
  <c r="U601"/>
  <c r="B602"/>
  <c r="M602"/>
  <c r="N602"/>
  <c r="O602"/>
  <c r="P602"/>
  <c r="T602"/>
  <c r="U602"/>
  <c r="B603"/>
  <c r="M603"/>
  <c r="N603"/>
  <c r="O603"/>
  <c r="P603"/>
  <c r="T603"/>
  <c r="U603"/>
  <c r="B604"/>
  <c r="M604"/>
  <c r="N604"/>
  <c r="O604"/>
  <c r="P604"/>
  <c r="T604"/>
  <c r="U604"/>
  <c r="B605"/>
  <c r="M605"/>
  <c r="N605"/>
  <c r="O605"/>
  <c r="P605"/>
  <c r="T605"/>
  <c r="U605"/>
  <c r="B606"/>
  <c r="M606"/>
  <c r="N606"/>
  <c r="O606"/>
  <c r="P606"/>
  <c r="T606"/>
  <c r="U606"/>
  <c r="B607"/>
  <c r="M607"/>
  <c r="N607"/>
  <c r="O607"/>
  <c r="P607"/>
  <c r="T607"/>
  <c r="U607"/>
  <c r="B608"/>
  <c r="M608"/>
  <c r="N608"/>
  <c r="O608"/>
  <c r="P608"/>
  <c r="T608"/>
  <c r="U608"/>
  <c r="B609"/>
  <c r="M609"/>
  <c r="N609"/>
  <c r="O609"/>
  <c r="P609"/>
  <c r="T609"/>
  <c r="U609"/>
  <c r="B610"/>
  <c r="M610"/>
  <c r="N610"/>
  <c r="O610"/>
  <c r="P610"/>
  <c r="T610"/>
  <c r="U610"/>
  <c r="B611"/>
  <c r="M611"/>
  <c r="N611"/>
  <c r="O611"/>
  <c r="P611"/>
  <c r="T611"/>
  <c r="U611"/>
  <c r="B612"/>
  <c r="M612"/>
  <c r="N612"/>
  <c r="O612"/>
  <c r="P612"/>
  <c r="T612"/>
  <c r="U612"/>
  <c r="B613"/>
  <c r="M613"/>
  <c r="N613"/>
  <c r="O613"/>
  <c r="P613"/>
  <c r="T613"/>
  <c r="U613"/>
  <c r="B614"/>
  <c r="M614"/>
  <c r="N614"/>
  <c r="O614"/>
  <c r="P614"/>
  <c r="T614"/>
  <c r="U614"/>
  <c r="B615"/>
  <c r="M615"/>
  <c r="N615"/>
  <c r="O615"/>
  <c r="P615"/>
  <c r="T615"/>
  <c r="U615"/>
  <c r="B616"/>
  <c r="M616"/>
  <c r="N616"/>
  <c r="O616"/>
  <c r="P616"/>
  <c r="T616"/>
  <c r="U616"/>
  <c r="B617"/>
  <c r="M617"/>
  <c r="N617"/>
  <c r="O617"/>
  <c r="P617"/>
  <c r="T617"/>
  <c r="U617"/>
  <c r="B618"/>
  <c r="M618"/>
  <c r="N618"/>
  <c r="O618"/>
  <c r="P618"/>
  <c r="T618"/>
  <c r="U618"/>
  <c r="B619"/>
  <c r="M619"/>
  <c r="N619"/>
  <c r="O619"/>
  <c r="P619"/>
  <c r="T619"/>
  <c r="U619"/>
  <c r="B620"/>
  <c r="M620"/>
  <c r="N620"/>
  <c r="O620"/>
  <c r="P620"/>
  <c r="T620"/>
  <c r="U620"/>
  <c r="B621"/>
  <c r="M621"/>
  <c r="N621"/>
  <c r="O621"/>
  <c r="P621"/>
  <c r="T621"/>
  <c r="U621"/>
  <c r="B622"/>
  <c r="M622"/>
  <c r="N622"/>
  <c r="O622"/>
  <c r="P622"/>
  <c r="T622"/>
  <c r="U622"/>
  <c r="B623"/>
  <c r="M623"/>
  <c r="N623"/>
  <c r="O623"/>
  <c r="P623"/>
  <c r="T623"/>
  <c r="U623"/>
  <c r="B624"/>
  <c r="M624"/>
  <c r="N624"/>
  <c r="O624"/>
  <c r="P624"/>
  <c r="T624"/>
  <c r="U624"/>
  <c r="B625"/>
  <c r="M625"/>
  <c r="N625"/>
  <c r="O625"/>
  <c r="P625"/>
  <c r="T625"/>
  <c r="U625"/>
  <c r="B626"/>
  <c r="M626"/>
  <c r="N626"/>
  <c r="O626"/>
  <c r="P626"/>
  <c r="T626"/>
  <c r="U626"/>
  <c r="B627"/>
  <c r="M627"/>
  <c r="N627"/>
  <c r="O627"/>
  <c r="P627"/>
  <c r="T627"/>
  <c r="U627"/>
  <c r="B628"/>
  <c r="M628"/>
  <c r="N628"/>
  <c r="O628"/>
  <c r="P628"/>
  <c r="T628"/>
  <c r="U628"/>
  <c r="B629"/>
  <c r="M629"/>
  <c r="N629"/>
  <c r="O629"/>
  <c r="P629"/>
  <c r="T629"/>
  <c r="U629"/>
  <c r="B630"/>
  <c r="M630"/>
  <c r="N630"/>
  <c r="O630"/>
  <c r="P630"/>
  <c r="T630"/>
  <c r="U630"/>
  <c r="B631"/>
  <c r="M631"/>
  <c r="N631"/>
  <c r="O631"/>
  <c r="P631"/>
  <c r="T631"/>
  <c r="U631"/>
  <c r="B632"/>
  <c r="M632"/>
  <c r="N632"/>
  <c r="O632"/>
  <c r="P632"/>
  <c r="T632"/>
  <c r="U632"/>
  <c r="B633"/>
  <c r="M633"/>
  <c r="N633"/>
  <c r="O633"/>
  <c r="P633"/>
  <c r="T633"/>
  <c r="U633"/>
  <c r="B634"/>
  <c r="M634"/>
  <c r="N634"/>
  <c r="O634"/>
  <c r="P634"/>
  <c r="T634"/>
  <c r="U634"/>
  <c r="B635"/>
  <c r="M635"/>
  <c r="N635"/>
  <c r="O635"/>
  <c r="P635"/>
  <c r="T635"/>
  <c r="U635"/>
  <c r="B636"/>
  <c r="M636"/>
  <c r="N636"/>
  <c r="O636"/>
  <c r="P636"/>
  <c r="T636"/>
  <c r="U636"/>
  <c r="B637"/>
  <c r="M637"/>
  <c r="N637"/>
  <c r="O637"/>
  <c r="P637"/>
  <c r="T637"/>
  <c r="U637"/>
  <c r="B638"/>
  <c r="M638"/>
  <c r="N638"/>
  <c r="O638"/>
  <c r="P638"/>
  <c r="T638"/>
  <c r="U638"/>
  <c r="B639"/>
  <c r="M639"/>
  <c r="N639"/>
  <c r="O639"/>
  <c r="P639"/>
  <c r="T639"/>
  <c r="U639"/>
  <c r="B640"/>
  <c r="M640"/>
  <c r="N640"/>
  <c r="O640"/>
  <c r="P640"/>
  <c r="T640"/>
  <c r="U640"/>
  <c r="B641"/>
  <c r="M641"/>
  <c r="N641"/>
  <c r="O641"/>
  <c r="P641"/>
  <c r="T641"/>
  <c r="U641"/>
  <c r="B642"/>
  <c r="M642"/>
  <c r="N642"/>
  <c r="O642"/>
  <c r="P642"/>
  <c r="T642"/>
  <c r="U642"/>
  <c r="B643"/>
  <c r="P643" s="1"/>
  <c r="M643"/>
  <c r="N643"/>
  <c r="O643"/>
  <c r="T643"/>
  <c r="U643"/>
  <c r="B644"/>
  <c r="M644"/>
  <c r="N644"/>
  <c r="O644"/>
  <c r="P644"/>
  <c r="T644"/>
  <c r="U644"/>
  <c r="B645"/>
  <c r="M645"/>
  <c r="N645"/>
  <c r="O645"/>
  <c r="P645"/>
  <c r="T645"/>
  <c r="U645"/>
  <c r="B646"/>
  <c r="M646"/>
  <c r="N646"/>
  <c r="O646"/>
  <c r="P646"/>
  <c r="T646"/>
  <c r="U646"/>
  <c r="B647"/>
  <c r="P647" s="1"/>
  <c r="M647"/>
  <c r="N647"/>
  <c r="O647"/>
  <c r="T647"/>
  <c r="U647"/>
  <c r="B648"/>
  <c r="M648"/>
  <c r="N648"/>
  <c r="O648"/>
  <c r="P648"/>
  <c r="T648"/>
  <c r="U648"/>
  <c r="B649"/>
  <c r="M649"/>
  <c r="N649"/>
  <c r="O649"/>
  <c r="P649"/>
  <c r="T649"/>
  <c r="U649"/>
  <c r="B650"/>
  <c r="M650"/>
  <c r="N650"/>
  <c r="O650"/>
  <c r="P650"/>
  <c r="T650"/>
  <c r="U650"/>
  <c r="B651"/>
  <c r="P651" s="1"/>
  <c r="M651"/>
  <c r="N651"/>
  <c r="O651"/>
  <c r="T651"/>
  <c r="U651"/>
  <c r="B652"/>
  <c r="P652" s="1"/>
  <c r="M652"/>
  <c r="N652"/>
  <c r="O652"/>
  <c r="T652"/>
  <c r="U652"/>
  <c r="B653"/>
  <c r="M653"/>
  <c r="N653"/>
  <c r="O653"/>
  <c r="P653"/>
  <c r="T653"/>
  <c r="U653"/>
  <c r="B654"/>
  <c r="P654" s="1"/>
  <c r="M654"/>
  <c r="N654"/>
  <c r="O654"/>
  <c r="T654"/>
  <c r="U654"/>
  <c r="B655"/>
  <c r="M655"/>
  <c r="N655"/>
  <c r="O655"/>
  <c r="P655"/>
  <c r="T655"/>
  <c r="U655"/>
  <c r="B656"/>
  <c r="M656"/>
  <c r="N656"/>
  <c r="O656"/>
  <c r="P656"/>
  <c r="T656"/>
  <c r="U656"/>
  <c r="B657"/>
  <c r="M657"/>
  <c r="N657"/>
  <c r="O657"/>
  <c r="P657"/>
  <c r="T657"/>
  <c r="U657"/>
  <c r="B658"/>
  <c r="P658" s="1"/>
  <c r="M658"/>
  <c r="N658"/>
  <c r="O658"/>
  <c r="T658"/>
  <c r="U658"/>
  <c r="B659"/>
  <c r="M659"/>
  <c r="N659"/>
  <c r="O659"/>
  <c r="P659"/>
  <c r="T659"/>
  <c r="U659"/>
  <c r="B660"/>
  <c r="P660" s="1"/>
  <c r="M660"/>
  <c r="N660"/>
  <c r="O660"/>
  <c r="T660"/>
  <c r="U660"/>
  <c r="B661"/>
  <c r="P661" s="1"/>
  <c r="M661"/>
  <c r="N661"/>
  <c r="O661"/>
  <c r="T661"/>
  <c r="U661"/>
  <c r="B662"/>
  <c r="M662"/>
  <c r="N662"/>
  <c r="O662"/>
  <c r="P662"/>
  <c r="T662"/>
  <c r="U662"/>
  <c r="B663"/>
  <c r="M663"/>
  <c r="N663"/>
  <c r="O663"/>
  <c r="P663"/>
  <c r="T663"/>
  <c r="U663"/>
  <c r="B664"/>
  <c r="M664"/>
  <c r="N664"/>
  <c r="O664"/>
  <c r="P664"/>
  <c r="T664"/>
  <c r="U664"/>
  <c r="B665"/>
  <c r="P665" s="1"/>
  <c r="M665"/>
  <c r="N665"/>
  <c r="O665"/>
  <c r="T665"/>
  <c r="U665"/>
  <c r="B666"/>
  <c r="M666"/>
  <c r="N666"/>
  <c r="O666"/>
  <c r="P666"/>
  <c r="T666"/>
  <c r="U666"/>
  <c r="B667"/>
  <c r="M667"/>
  <c r="N667"/>
  <c r="O667"/>
  <c r="P667"/>
  <c r="T667"/>
  <c r="U667"/>
  <c r="B668"/>
  <c r="P668" s="1"/>
  <c r="M668"/>
  <c r="N668"/>
  <c r="O668"/>
  <c r="T668"/>
  <c r="U668"/>
  <c r="B669"/>
  <c r="M669"/>
  <c r="N669"/>
  <c r="O669"/>
  <c r="P669"/>
  <c r="T669"/>
  <c r="U669"/>
  <c r="B670"/>
  <c r="M670"/>
  <c r="N670"/>
  <c r="O670"/>
  <c r="P670"/>
  <c r="T670"/>
  <c r="U670"/>
  <c r="B671"/>
  <c r="M671"/>
  <c r="N671"/>
  <c r="O671"/>
  <c r="P671"/>
  <c r="T671"/>
  <c r="U671"/>
  <c r="B672"/>
  <c r="P672" s="1"/>
  <c r="M672"/>
  <c r="N672"/>
  <c r="O672"/>
  <c r="T672"/>
  <c r="U672"/>
  <c r="B673"/>
  <c r="M673"/>
  <c r="N673"/>
  <c r="O673"/>
  <c r="P673"/>
  <c r="T673"/>
  <c r="U673"/>
  <c r="B674"/>
  <c r="M674"/>
  <c r="N674"/>
  <c r="O674"/>
  <c r="P674"/>
  <c r="T674"/>
  <c r="U674"/>
  <c r="B675"/>
  <c r="M675"/>
  <c r="N675"/>
  <c r="O675"/>
  <c r="P675"/>
  <c r="T675"/>
  <c r="U675"/>
  <c r="B676"/>
  <c r="P676" s="1"/>
  <c r="M676"/>
  <c r="N676"/>
  <c r="O676"/>
  <c r="T676"/>
  <c r="U676"/>
  <c r="B677"/>
  <c r="M677"/>
  <c r="N677"/>
  <c r="O677"/>
  <c r="P677"/>
  <c r="T677"/>
  <c r="U677"/>
  <c r="B678"/>
  <c r="M678"/>
  <c r="N678"/>
  <c r="O678"/>
  <c r="P678"/>
  <c r="T678"/>
  <c r="U678"/>
  <c r="B679"/>
  <c r="M679"/>
  <c r="N679"/>
  <c r="O679"/>
  <c r="P679"/>
  <c r="T679"/>
  <c r="U679"/>
  <c r="B680"/>
  <c r="P680" s="1"/>
  <c r="M680"/>
  <c r="N680"/>
  <c r="O680"/>
  <c r="T680"/>
  <c r="U680"/>
  <c r="B681"/>
  <c r="M681"/>
  <c r="N681"/>
  <c r="O681"/>
  <c r="P681"/>
  <c r="T681"/>
  <c r="U681"/>
  <c r="B682"/>
  <c r="M682"/>
  <c r="N682"/>
  <c r="O682"/>
  <c r="P682"/>
  <c r="T682"/>
  <c r="U682"/>
  <c r="B683"/>
  <c r="P683" s="1"/>
  <c r="M683"/>
  <c r="N683"/>
  <c r="O683"/>
  <c r="T683"/>
  <c r="U683"/>
  <c r="B684"/>
  <c r="P684" s="1"/>
  <c r="M684"/>
  <c r="N684"/>
  <c r="O684"/>
  <c r="T684"/>
  <c r="U684"/>
  <c r="B685"/>
  <c r="M685"/>
  <c r="N685"/>
  <c r="O685"/>
  <c r="P685"/>
  <c r="T685"/>
  <c r="U685"/>
  <c r="B686"/>
  <c r="P686" s="1"/>
  <c r="M686"/>
  <c r="N686"/>
  <c r="O686"/>
  <c r="T686"/>
  <c r="U686"/>
  <c r="B687"/>
  <c r="M687"/>
  <c r="N687"/>
  <c r="O687"/>
  <c r="P687"/>
  <c r="T687"/>
  <c r="U687"/>
  <c r="B688"/>
  <c r="M688"/>
  <c r="N688"/>
  <c r="O688"/>
  <c r="P688"/>
  <c r="T688"/>
  <c r="U688"/>
  <c r="B689"/>
  <c r="M689"/>
  <c r="N689"/>
  <c r="O689"/>
  <c r="P689"/>
  <c r="T689"/>
  <c r="U689"/>
  <c r="B690"/>
  <c r="P690" s="1"/>
  <c r="M690"/>
  <c r="N690"/>
  <c r="O690"/>
  <c r="T690"/>
  <c r="U690"/>
  <c r="B691"/>
  <c r="M691"/>
  <c r="N691"/>
  <c r="O691"/>
  <c r="P691"/>
  <c r="T691"/>
  <c r="U691"/>
  <c r="B692"/>
  <c r="M692"/>
  <c r="N692"/>
  <c r="O692"/>
  <c r="P692"/>
  <c r="T692"/>
  <c r="U692"/>
  <c r="B693"/>
  <c r="M693"/>
  <c r="N693"/>
  <c r="O693"/>
  <c r="P693"/>
  <c r="T693"/>
  <c r="U693"/>
  <c r="B694"/>
  <c r="P694" s="1"/>
  <c r="M694"/>
  <c r="N694"/>
  <c r="O694"/>
  <c r="T694"/>
  <c r="U694"/>
  <c r="B695"/>
  <c r="M695"/>
  <c r="N695"/>
  <c r="O695"/>
  <c r="P695"/>
  <c r="T695"/>
  <c r="U695"/>
  <c r="B696"/>
  <c r="M696"/>
  <c r="N696"/>
  <c r="O696"/>
  <c r="P696"/>
  <c r="T696"/>
  <c r="U696"/>
  <c r="B697"/>
  <c r="M697"/>
  <c r="N697"/>
  <c r="O697"/>
  <c r="P697"/>
  <c r="T697"/>
  <c r="U697"/>
  <c r="B698"/>
  <c r="P698" s="1"/>
  <c r="M698"/>
  <c r="N698"/>
  <c r="O698"/>
  <c r="T698"/>
  <c r="U698"/>
  <c r="B699"/>
  <c r="M699"/>
  <c r="N699"/>
  <c r="O699"/>
  <c r="P699"/>
  <c r="T699"/>
  <c r="U699"/>
  <c r="B700"/>
  <c r="M700"/>
  <c r="N700"/>
  <c r="O700"/>
  <c r="P700"/>
  <c r="T700"/>
  <c r="U700"/>
  <c r="B701"/>
  <c r="M701"/>
  <c r="N701"/>
  <c r="O701"/>
  <c r="P701"/>
  <c r="T701"/>
  <c r="U701"/>
  <c r="B702"/>
  <c r="P702" s="1"/>
  <c r="M702"/>
  <c r="N702"/>
  <c r="O702"/>
  <c r="T702"/>
  <c r="U702"/>
  <c r="B703"/>
  <c r="M703"/>
  <c r="N703"/>
  <c r="O703"/>
  <c r="P703"/>
  <c r="T703"/>
  <c r="U703"/>
  <c r="B704"/>
  <c r="M704"/>
  <c r="N704"/>
  <c r="O704"/>
  <c r="P704"/>
  <c r="T704"/>
  <c r="U704"/>
  <c r="B705"/>
  <c r="M705"/>
  <c r="N705"/>
  <c r="O705"/>
  <c r="P705"/>
  <c r="T705"/>
  <c r="U705"/>
  <c r="B706"/>
  <c r="P706" s="1"/>
  <c r="M706"/>
  <c r="N706"/>
  <c r="O706"/>
  <c r="T706"/>
  <c r="U706"/>
  <c r="B707"/>
  <c r="M707"/>
  <c r="N707"/>
  <c r="O707"/>
  <c r="P707"/>
  <c r="T707"/>
  <c r="U707"/>
  <c r="B708"/>
  <c r="M708"/>
  <c r="N708"/>
  <c r="O708"/>
  <c r="P708"/>
  <c r="T708"/>
  <c r="U708"/>
  <c r="B709"/>
  <c r="M709"/>
  <c r="N709"/>
  <c r="O709"/>
  <c r="P709"/>
  <c r="T709"/>
  <c r="U709"/>
  <c r="B710"/>
  <c r="P710" s="1"/>
  <c r="M710"/>
  <c r="N710"/>
  <c r="O710"/>
  <c r="T710"/>
  <c r="U710"/>
  <c r="B711"/>
  <c r="M711"/>
  <c r="N711"/>
  <c r="O711"/>
  <c r="P711"/>
  <c r="T711"/>
  <c r="U711"/>
  <c r="B712"/>
  <c r="P712" s="1"/>
  <c r="M712"/>
  <c r="N712"/>
  <c r="O712"/>
  <c r="T712"/>
  <c r="U712"/>
  <c r="B713"/>
  <c r="M713"/>
  <c r="N713"/>
  <c r="O713"/>
  <c r="P713"/>
  <c r="T713"/>
  <c r="U713"/>
  <c r="B714"/>
  <c r="M714"/>
  <c r="N714"/>
  <c r="O714"/>
  <c r="P714"/>
  <c r="T714"/>
  <c r="U714"/>
  <c r="B715"/>
  <c r="M715"/>
  <c r="N715"/>
  <c r="O715"/>
  <c r="P715"/>
  <c r="T715"/>
  <c r="U715"/>
  <c r="B716"/>
  <c r="M716"/>
  <c r="N716"/>
  <c r="O716"/>
  <c r="P716"/>
  <c r="T716"/>
  <c r="U716"/>
  <c r="B717"/>
  <c r="P717" s="1"/>
  <c r="M717"/>
  <c r="N717"/>
  <c r="O717"/>
  <c r="T717"/>
  <c r="U717"/>
  <c r="B718"/>
  <c r="M718"/>
  <c r="N718"/>
  <c r="O718"/>
  <c r="P718"/>
  <c r="T718"/>
  <c r="U718"/>
  <c r="B719"/>
  <c r="M719"/>
  <c r="N719"/>
  <c r="O719"/>
  <c r="P719"/>
  <c r="T719"/>
  <c r="U719"/>
  <c r="B720"/>
  <c r="M720"/>
  <c r="N720"/>
  <c r="O720"/>
  <c r="P720"/>
  <c r="T720"/>
  <c r="U720"/>
  <c r="B721"/>
  <c r="P721" s="1"/>
  <c r="M721"/>
  <c r="N721"/>
  <c r="O721"/>
  <c r="T721"/>
  <c r="U721"/>
  <c r="B722"/>
  <c r="M722"/>
  <c r="N722"/>
  <c r="O722"/>
  <c r="P722"/>
  <c r="T722"/>
  <c r="U722"/>
  <c r="B723"/>
  <c r="M723"/>
  <c r="N723"/>
  <c r="O723"/>
  <c r="P723"/>
  <c r="T723"/>
  <c r="U723"/>
  <c r="B724"/>
  <c r="M724"/>
  <c r="N724"/>
  <c r="O724"/>
  <c r="P724"/>
  <c r="T724"/>
  <c r="U724"/>
  <c r="B725"/>
  <c r="P725" s="1"/>
  <c r="M725"/>
  <c r="N725"/>
  <c r="O725"/>
  <c r="T725"/>
  <c r="U725"/>
  <c r="B726"/>
  <c r="M726"/>
  <c r="N726"/>
  <c r="O726"/>
  <c r="P726"/>
  <c r="T726"/>
  <c r="U726"/>
  <c r="B727"/>
  <c r="M727"/>
  <c r="N727"/>
  <c r="O727"/>
  <c r="P727"/>
  <c r="T727"/>
  <c r="U727"/>
  <c r="B728"/>
  <c r="M728"/>
  <c r="N728"/>
  <c r="O728"/>
  <c r="P728"/>
  <c r="T728"/>
  <c r="U728"/>
  <c r="B729"/>
  <c r="P729" s="1"/>
  <c r="M729"/>
  <c r="N729"/>
  <c r="O729"/>
  <c r="T729"/>
  <c r="U729"/>
  <c r="B730"/>
  <c r="M730"/>
  <c r="N730"/>
  <c r="O730"/>
  <c r="P730"/>
  <c r="T730"/>
  <c r="U730"/>
  <c r="B731"/>
  <c r="M731"/>
  <c r="N731"/>
  <c r="O731"/>
  <c r="P731"/>
  <c r="T731"/>
  <c r="U731"/>
  <c r="B732"/>
  <c r="M732"/>
  <c r="N732"/>
  <c r="O732"/>
  <c r="P732"/>
  <c r="T732"/>
  <c r="U732"/>
  <c r="B733"/>
  <c r="P733" s="1"/>
  <c r="M733"/>
  <c r="N733"/>
  <c r="O733"/>
  <c r="T733"/>
  <c r="U733"/>
  <c r="B734"/>
  <c r="M734"/>
  <c r="N734"/>
  <c r="O734"/>
  <c r="P734"/>
  <c r="T734"/>
  <c r="U734"/>
  <c r="B735"/>
  <c r="M735"/>
  <c r="N735"/>
  <c r="O735"/>
  <c r="P735"/>
  <c r="T735"/>
  <c r="U735"/>
  <c r="B736"/>
  <c r="M736"/>
  <c r="N736"/>
  <c r="O736"/>
  <c r="P736"/>
  <c r="T736"/>
  <c r="U736"/>
  <c r="B737"/>
  <c r="P737" s="1"/>
  <c r="M737"/>
  <c r="N737"/>
  <c r="O737"/>
  <c r="T737"/>
  <c r="U737"/>
  <c r="B738"/>
  <c r="M738"/>
  <c r="N738"/>
  <c r="O738"/>
  <c r="P738"/>
  <c r="T738"/>
  <c r="U738"/>
  <c r="B739"/>
  <c r="M739"/>
  <c r="N739"/>
  <c r="O739"/>
  <c r="P739"/>
  <c r="T739"/>
  <c r="U739"/>
  <c r="B740"/>
  <c r="M740"/>
  <c r="N740"/>
  <c r="O740"/>
  <c r="P740"/>
  <c r="T740"/>
  <c r="U740"/>
  <c r="B741"/>
  <c r="P741" s="1"/>
  <c r="M741"/>
  <c r="N741"/>
  <c r="O741"/>
  <c r="T741"/>
  <c r="U741"/>
  <c r="B742"/>
  <c r="M742"/>
  <c r="N742"/>
  <c r="O742"/>
  <c r="P742"/>
  <c r="T742"/>
  <c r="U742"/>
  <c r="B743"/>
  <c r="M743"/>
  <c r="N743"/>
  <c r="O743"/>
  <c r="P743"/>
  <c r="T743"/>
  <c r="U743"/>
  <c r="B744"/>
  <c r="M744"/>
  <c r="N744"/>
  <c r="O744"/>
  <c r="P744"/>
  <c r="T744"/>
  <c r="U744"/>
  <c r="B745"/>
  <c r="P745" s="1"/>
  <c r="M745"/>
  <c r="N745"/>
  <c r="O745"/>
  <c r="T745"/>
  <c r="U745"/>
  <c r="B746"/>
  <c r="M746"/>
  <c r="N746"/>
  <c r="O746"/>
  <c r="P746"/>
  <c r="T746"/>
  <c r="U746"/>
  <c r="B747"/>
  <c r="M747"/>
  <c r="N747"/>
  <c r="O747"/>
  <c r="P747"/>
  <c r="T747"/>
  <c r="U747"/>
  <c r="B748"/>
  <c r="P748" s="1"/>
  <c r="M748"/>
  <c r="N748"/>
  <c r="O748"/>
  <c r="T748"/>
  <c r="U748"/>
  <c r="B749"/>
  <c r="M749"/>
  <c r="N749"/>
  <c r="O749"/>
  <c r="P749"/>
  <c r="T749"/>
  <c r="U749"/>
  <c r="B750"/>
  <c r="M750"/>
  <c r="N750"/>
  <c r="O750"/>
  <c r="P750"/>
  <c r="T750"/>
  <c r="U750"/>
  <c r="B751"/>
  <c r="M751"/>
  <c r="N751"/>
  <c r="O751"/>
  <c r="P751"/>
  <c r="T751"/>
  <c r="U751"/>
  <c r="B752"/>
  <c r="P752" s="1"/>
  <c r="M752"/>
  <c r="N752"/>
  <c r="O752"/>
  <c r="T752"/>
  <c r="U752"/>
  <c r="B753"/>
  <c r="M753"/>
  <c r="N753"/>
  <c r="O753"/>
  <c r="P753"/>
  <c r="T753"/>
  <c r="U753"/>
  <c r="B754"/>
  <c r="M754"/>
  <c r="N754"/>
  <c r="O754"/>
  <c r="P754"/>
  <c r="T754"/>
  <c r="U754"/>
  <c r="B755"/>
  <c r="P755" s="1"/>
  <c r="M755"/>
  <c r="N755"/>
  <c r="O755"/>
  <c r="T755"/>
  <c r="U755"/>
  <c r="B756"/>
  <c r="P756" s="1"/>
  <c r="M756"/>
  <c r="N756"/>
  <c r="O756"/>
  <c r="T756"/>
  <c r="U756"/>
  <c r="B757"/>
  <c r="M757"/>
  <c r="N757"/>
  <c r="O757"/>
  <c r="P757"/>
  <c r="T757"/>
  <c r="U757"/>
  <c r="B758"/>
  <c r="P758" s="1"/>
  <c r="M758"/>
  <c r="N758"/>
  <c r="O758"/>
  <c r="T758"/>
  <c r="U758"/>
  <c r="B759"/>
  <c r="M759"/>
  <c r="N759"/>
  <c r="O759"/>
  <c r="P759"/>
  <c r="T759"/>
  <c r="U759"/>
  <c r="B760"/>
  <c r="M760"/>
  <c r="N760"/>
  <c r="O760"/>
  <c r="P760"/>
  <c r="T760"/>
  <c r="U760"/>
  <c r="B761"/>
  <c r="M761"/>
  <c r="N761"/>
  <c r="O761"/>
  <c r="P761"/>
  <c r="T761"/>
  <c r="U761"/>
  <c r="B762"/>
  <c r="M762"/>
  <c r="N762"/>
  <c r="O762"/>
  <c r="P762"/>
  <c r="T762"/>
  <c r="U762"/>
  <c r="B763"/>
  <c r="M763"/>
  <c r="N763"/>
  <c r="O763"/>
  <c r="P763"/>
  <c r="T763"/>
  <c r="U763"/>
  <c r="B764"/>
  <c r="M764"/>
  <c r="N764"/>
  <c r="O764"/>
  <c r="P764"/>
  <c r="T764"/>
  <c r="U764"/>
  <c r="B765"/>
  <c r="M765"/>
  <c r="N765"/>
  <c r="O765"/>
  <c r="P765"/>
  <c r="T765"/>
  <c r="U765"/>
  <c r="B766"/>
  <c r="P766" s="1"/>
  <c r="M766"/>
  <c r="N766"/>
  <c r="O766"/>
  <c r="T766"/>
  <c r="U766"/>
  <c r="B767"/>
  <c r="M767"/>
  <c r="N767"/>
  <c r="O767"/>
  <c r="P767"/>
  <c r="T767"/>
  <c r="U767"/>
  <c r="B768"/>
  <c r="P768" s="1"/>
  <c r="M768"/>
  <c r="N768"/>
  <c r="O768"/>
  <c r="T768"/>
  <c r="U768"/>
  <c r="B769"/>
  <c r="P769" s="1"/>
  <c r="M769"/>
  <c r="N769"/>
  <c r="O769"/>
  <c r="T769"/>
  <c r="U769"/>
  <c r="B770"/>
  <c r="M770"/>
  <c r="N770"/>
  <c r="O770"/>
  <c r="P770"/>
  <c r="T770"/>
  <c r="U770"/>
  <c r="B771"/>
  <c r="P771" s="1"/>
  <c r="M771"/>
  <c r="N771" s="1"/>
  <c r="O771"/>
  <c r="T771"/>
  <c r="U771"/>
  <c r="B772"/>
  <c r="P772" s="1"/>
  <c r="M772"/>
  <c r="N772" s="1"/>
  <c r="O772"/>
  <c r="T772"/>
  <c r="U772"/>
  <c r="B773"/>
  <c r="P773" s="1"/>
  <c r="M773"/>
  <c r="N773" s="1"/>
  <c r="O773"/>
  <c r="T773"/>
  <c r="U773"/>
  <c r="B774"/>
  <c r="P774" s="1"/>
  <c r="M774"/>
  <c r="N774" s="1"/>
  <c r="O774"/>
  <c r="T774"/>
  <c r="U774"/>
  <c r="B775"/>
  <c r="P775" s="1"/>
  <c r="M775"/>
  <c r="N775" s="1"/>
  <c r="O775"/>
  <c r="T775"/>
  <c r="U775"/>
  <c r="B776"/>
  <c r="P776" s="1"/>
  <c r="M776"/>
  <c r="N776" s="1"/>
  <c r="O776"/>
  <c r="T776"/>
  <c r="U776"/>
  <c r="B777"/>
  <c r="P777" s="1"/>
  <c r="M777"/>
  <c r="N777" s="1"/>
  <c r="O777"/>
  <c r="T777"/>
  <c r="U777"/>
  <c r="B778"/>
  <c r="P778" s="1"/>
  <c r="M778"/>
  <c r="N778" s="1"/>
  <c r="O778"/>
  <c r="T778"/>
  <c r="U778"/>
  <c r="B779"/>
  <c r="P779" s="1"/>
  <c r="M779"/>
  <c r="N779" s="1"/>
  <c r="O779"/>
  <c r="T779"/>
  <c r="U779"/>
  <c r="B780"/>
  <c r="P780" s="1"/>
  <c r="M780"/>
  <c r="N780" s="1"/>
  <c r="O780"/>
  <c r="T780"/>
  <c r="U780"/>
  <c r="B781"/>
  <c r="P781" s="1"/>
  <c r="M781"/>
  <c r="N781" s="1"/>
  <c r="O781"/>
  <c r="T781"/>
  <c r="U781"/>
  <c r="B782"/>
  <c r="P782" s="1"/>
  <c r="M782"/>
  <c r="N782" s="1"/>
  <c r="O782"/>
  <c r="T782"/>
  <c r="U782"/>
  <c r="B783"/>
  <c r="P783" s="1"/>
  <c r="M783"/>
  <c r="N783" s="1"/>
  <c r="O783"/>
  <c r="T783"/>
  <c r="U783"/>
  <c r="B784"/>
  <c r="P784" s="1"/>
  <c r="M784"/>
  <c r="N784" s="1"/>
  <c r="O784"/>
  <c r="T784"/>
  <c r="U784"/>
  <c r="B785"/>
  <c r="P785" s="1"/>
  <c r="M785"/>
  <c r="N785" s="1"/>
  <c r="O785"/>
  <c r="T785"/>
  <c r="U785"/>
  <c r="B786"/>
  <c r="P786" s="1"/>
  <c r="M786"/>
  <c r="N786" s="1"/>
  <c r="O786"/>
  <c r="T786"/>
  <c r="U786"/>
  <c r="B787"/>
  <c r="P787" s="1"/>
  <c r="M787"/>
  <c r="N787" s="1"/>
  <c r="O787"/>
  <c r="T787"/>
  <c r="U787"/>
  <c r="B788"/>
  <c r="P788" s="1"/>
  <c r="M788"/>
  <c r="N788" s="1"/>
  <c r="O788"/>
  <c r="T788"/>
  <c r="U788"/>
  <c r="B789"/>
  <c r="P789" s="1"/>
  <c r="M789"/>
  <c r="N789" s="1"/>
  <c r="O789"/>
  <c r="T789"/>
  <c r="U789"/>
  <c r="B790"/>
  <c r="P790" s="1"/>
  <c r="M790"/>
  <c r="N790" s="1"/>
  <c r="O790"/>
  <c r="T790"/>
  <c r="U790"/>
  <c r="B791"/>
  <c r="P791" s="1"/>
  <c r="M791"/>
  <c r="N791" s="1"/>
  <c r="O791"/>
  <c r="T791"/>
  <c r="U791"/>
  <c r="B792"/>
  <c r="P792" s="1"/>
  <c r="M792"/>
  <c r="N792" s="1"/>
  <c r="O792"/>
  <c r="T792"/>
  <c r="U792"/>
  <c r="B793"/>
  <c r="P793" s="1"/>
  <c r="M793"/>
  <c r="N793" s="1"/>
  <c r="O793"/>
  <c r="T793"/>
  <c r="U793"/>
  <c r="B794"/>
  <c r="P794" s="1"/>
  <c r="M794"/>
  <c r="N794" s="1"/>
  <c r="O794"/>
  <c r="T794"/>
  <c r="U794"/>
  <c r="B795"/>
  <c r="P795" s="1"/>
  <c r="M795"/>
  <c r="N795" s="1"/>
  <c r="O795"/>
  <c r="T795"/>
  <c r="U795"/>
  <c r="B796"/>
  <c r="P796" s="1"/>
  <c r="M796"/>
  <c r="N796" s="1"/>
  <c r="O796"/>
  <c r="T796"/>
  <c r="U796"/>
  <c r="B797"/>
  <c r="P797" s="1"/>
  <c r="M797"/>
  <c r="N797" s="1"/>
  <c r="O797"/>
  <c r="T797"/>
  <c r="U797"/>
  <c r="B798"/>
  <c r="P798" s="1"/>
  <c r="M798"/>
  <c r="N798" s="1"/>
  <c r="O798"/>
  <c r="T798"/>
  <c r="U798"/>
  <c r="B799"/>
  <c r="P799" s="1"/>
  <c r="M799"/>
  <c r="N799" s="1"/>
  <c r="O799"/>
  <c r="T799"/>
  <c r="U799"/>
  <c r="B800"/>
  <c r="P800" s="1"/>
  <c r="M800"/>
  <c r="N800" s="1"/>
  <c r="O800"/>
  <c r="T800"/>
  <c r="U800"/>
  <c r="B801"/>
  <c r="P801" s="1"/>
  <c r="M801"/>
  <c r="N801" s="1"/>
  <c r="O801"/>
  <c r="T801"/>
  <c r="U801"/>
  <c r="B802"/>
  <c r="P802" s="1"/>
  <c r="M802"/>
  <c r="N802" s="1"/>
  <c r="O802"/>
  <c r="T802"/>
  <c r="U802"/>
  <c r="B803"/>
  <c r="P803" s="1"/>
  <c r="M803"/>
  <c r="N803" s="1"/>
  <c r="O803"/>
  <c r="T803"/>
  <c r="U803"/>
  <c r="B804"/>
  <c r="P804" s="1"/>
  <c r="M804"/>
  <c r="N804" s="1"/>
  <c r="O804"/>
  <c r="T804"/>
  <c r="U804"/>
  <c r="B805"/>
  <c r="P805" s="1"/>
  <c r="M805"/>
  <c r="N805" s="1"/>
  <c r="O805"/>
  <c r="T805"/>
  <c r="U805"/>
  <c r="B806"/>
  <c r="P806" s="1"/>
  <c r="M806"/>
  <c r="N806" s="1"/>
  <c r="O806"/>
  <c r="T806"/>
  <c r="U806"/>
  <c r="B807"/>
  <c r="P807" s="1"/>
  <c r="M807"/>
  <c r="N807" s="1"/>
  <c r="O807"/>
  <c r="T807"/>
  <c r="U807"/>
  <c r="B808"/>
  <c r="P808" s="1"/>
  <c r="M808"/>
  <c r="N808" s="1"/>
  <c r="O808"/>
  <c r="T808"/>
  <c r="U808"/>
  <c r="B809"/>
  <c r="P809" s="1"/>
  <c r="M809"/>
  <c r="N809" s="1"/>
  <c r="O809"/>
  <c r="T809"/>
  <c r="U809"/>
  <c r="B810"/>
  <c r="P810" s="1"/>
  <c r="M810"/>
  <c r="N810" s="1"/>
  <c r="O810"/>
  <c r="T810"/>
  <c r="U810"/>
  <c r="B811"/>
  <c r="P811" s="1"/>
  <c r="M811"/>
  <c r="N811" s="1"/>
  <c r="O811"/>
  <c r="T811"/>
  <c r="U811"/>
  <c r="B812"/>
  <c r="P812" s="1"/>
  <c r="M812"/>
  <c r="N812" s="1"/>
  <c r="O812"/>
  <c r="T812"/>
  <c r="U812"/>
  <c r="B813"/>
  <c r="P813" s="1"/>
  <c r="M813"/>
  <c r="N813" s="1"/>
  <c r="O813"/>
  <c r="T813"/>
  <c r="U813"/>
  <c r="B814"/>
  <c r="P814" s="1"/>
  <c r="M814"/>
  <c r="N814" s="1"/>
  <c r="O814"/>
  <c r="T814"/>
  <c r="U814"/>
  <c r="B815"/>
  <c r="P815" s="1"/>
  <c r="M815"/>
  <c r="N815" s="1"/>
  <c r="O815"/>
  <c r="T815"/>
  <c r="U815"/>
  <c r="B816"/>
  <c r="P816" s="1"/>
  <c r="M816"/>
  <c r="N816" s="1"/>
  <c r="O816"/>
  <c r="T816"/>
  <c r="U816"/>
  <c r="B817"/>
  <c r="P817" s="1"/>
  <c r="M817"/>
  <c r="N817" s="1"/>
  <c r="O817"/>
  <c r="T817"/>
  <c r="U817"/>
  <c r="B818"/>
  <c r="P818" s="1"/>
  <c r="M818"/>
  <c r="N818" s="1"/>
  <c r="O818"/>
  <c r="T818"/>
  <c r="U818"/>
  <c r="B819"/>
  <c r="P819" s="1"/>
  <c r="M819"/>
  <c r="N819" s="1"/>
  <c r="O819"/>
  <c r="T819"/>
  <c r="U819"/>
  <c r="B820"/>
  <c r="P820" s="1"/>
  <c r="M820"/>
  <c r="N820" s="1"/>
  <c r="O820"/>
  <c r="T820"/>
  <c r="U820"/>
  <c r="B821"/>
  <c r="P821" s="1"/>
  <c r="M821"/>
  <c r="N821" s="1"/>
  <c r="O821"/>
  <c r="T821"/>
  <c r="U821"/>
  <c r="B822"/>
  <c r="P822" s="1"/>
  <c r="M822"/>
  <c r="N822" s="1"/>
  <c r="O822"/>
  <c r="T822"/>
  <c r="U822"/>
  <c r="B823"/>
  <c r="P823" s="1"/>
  <c r="M823"/>
  <c r="N823" s="1"/>
  <c r="O823"/>
  <c r="T823"/>
  <c r="U823"/>
  <c r="B824"/>
  <c r="P824" s="1"/>
  <c r="M824"/>
  <c r="N824" s="1"/>
  <c r="O824"/>
  <c r="T824"/>
  <c r="U824"/>
  <c r="B825"/>
  <c r="P825" s="1"/>
  <c r="M825"/>
  <c r="N825" s="1"/>
  <c r="O825"/>
  <c r="T825"/>
  <c r="U825"/>
  <c r="B826"/>
  <c r="P826" s="1"/>
  <c r="M826"/>
  <c r="N826" s="1"/>
  <c r="O826"/>
  <c r="T826"/>
  <c r="U826"/>
  <c r="B827"/>
  <c r="P827" s="1"/>
  <c r="M827"/>
  <c r="N827" s="1"/>
  <c r="O827"/>
  <c r="T827"/>
  <c r="U827"/>
  <c r="B828"/>
  <c r="P828" s="1"/>
  <c r="M828"/>
  <c r="N828" s="1"/>
  <c r="O828"/>
  <c r="T828"/>
  <c r="U828"/>
  <c r="B829"/>
  <c r="P829" s="1"/>
  <c r="M829"/>
  <c r="N829" s="1"/>
  <c r="O829"/>
  <c r="T829"/>
  <c r="U829"/>
  <c r="B830"/>
  <c r="P830" s="1"/>
  <c r="M830"/>
  <c r="N830" s="1"/>
  <c r="O830"/>
  <c r="T830"/>
  <c r="U830"/>
  <c r="B831"/>
  <c r="P831" s="1"/>
  <c r="M831"/>
  <c r="N831" s="1"/>
  <c r="O831"/>
  <c r="T831"/>
  <c r="U831"/>
  <c r="B832"/>
  <c r="P832" s="1"/>
  <c r="M832"/>
  <c r="N832" s="1"/>
  <c r="O832"/>
  <c r="T832"/>
  <c r="U832"/>
  <c r="B833"/>
  <c r="P833" s="1"/>
  <c r="M833"/>
  <c r="N833" s="1"/>
  <c r="O833"/>
  <c r="T833"/>
  <c r="U833"/>
  <c r="B834"/>
  <c r="P834" s="1"/>
  <c r="M834"/>
  <c r="N834" s="1"/>
  <c r="O834"/>
  <c r="T834"/>
  <c r="U834"/>
  <c r="B835"/>
  <c r="P835" s="1"/>
  <c r="M835"/>
  <c r="N835" s="1"/>
  <c r="O835"/>
  <c r="T835"/>
  <c r="U835"/>
  <c r="B836"/>
  <c r="P836" s="1"/>
  <c r="M836"/>
  <c r="N836" s="1"/>
  <c r="O836"/>
  <c r="T836"/>
  <c r="U836"/>
  <c r="B837"/>
  <c r="P837" s="1"/>
  <c r="M837"/>
  <c r="N837" s="1"/>
  <c r="O837"/>
  <c r="T837"/>
  <c r="U837"/>
  <c r="B838"/>
  <c r="P838" s="1"/>
  <c r="M838"/>
  <c r="N838" s="1"/>
  <c r="O838"/>
  <c r="T838"/>
  <c r="U838"/>
  <c r="B839"/>
  <c r="P839" s="1"/>
  <c r="M839"/>
  <c r="N839" s="1"/>
  <c r="O839"/>
  <c r="T839"/>
  <c r="U839"/>
  <c r="B840"/>
  <c r="P840" s="1"/>
  <c r="M840"/>
  <c r="N840" s="1"/>
  <c r="O840"/>
  <c r="T840"/>
  <c r="U840"/>
  <c r="B841"/>
  <c r="P841" s="1"/>
  <c r="M841"/>
  <c r="N841" s="1"/>
  <c r="O841"/>
  <c r="T841"/>
  <c r="U841"/>
  <c r="B842"/>
  <c r="P842" s="1"/>
  <c r="M842"/>
  <c r="N842" s="1"/>
  <c r="O842"/>
  <c r="T842"/>
  <c r="U842"/>
  <c r="B843"/>
  <c r="P843" s="1"/>
  <c r="M843"/>
  <c r="N843" s="1"/>
  <c r="O843"/>
  <c r="T843"/>
  <c r="U843"/>
  <c r="B844"/>
  <c r="P844" s="1"/>
  <c r="M844"/>
  <c r="N844" s="1"/>
  <c r="O844"/>
  <c r="T844"/>
  <c r="U844"/>
  <c r="B845"/>
  <c r="P845" s="1"/>
  <c r="M845"/>
  <c r="N845" s="1"/>
  <c r="O845"/>
  <c r="T845"/>
  <c r="U845"/>
  <c r="B846"/>
  <c r="P846" s="1"/>
  <c r="M846"/>
  <c r="N846" s="1"/>
  <c r="O846"/>
  <c r="T846"/>
  <c r="U846"/>
  <c r="B847"/>
  <c r="P847" s="1"/>
  <c r="M847"/>
  <c r="N847" s="1"/>
  <c r="O847"/>
  <c r="T847"/>
  <c r="U847"/>
  <c r="B848"/>
  <c r="P848" s="1"/>
  <c r="M848"/>
  <c r="N848" s="1"/>
  <c r="O848"/>
  <c r="T848"/>
  <c r="U848"/>
  <c r="B849"/>
  <c r="P849" s="1"/>
  <c r="M849"/>
  <c r="N849" s="1"/>
  <c r="O849"/>
  <c r="T849"/>
  <c r="U849"/>
  <c r="B850"/>
  <c r="P850" s="1"/>
  <c r="M850"/>
  <c r="N850" s="1"/>
  <c r="O850"/>
  <c r="T850"/>
  <c r="U850"/>
  <c r="B851"/>
  <c r="P851" s="1"/>
  <c r="M851"/>
  <c r="N851" s="1"/>
  <c r="O851"/>
  <c r="T851"/>
  <c r="U851"/>
  <c r="B852"/>
  <c r="P852" s="1"/>
  <c r="M852"/>
  <c r="N852" s="1"/>
  <c r="O852"/>
  <c r="T852"/>
  <c r="U852"/>
  <c r="B853"/>
  <c r="P853" s="1"/>
  <c r="M853"/>
  <c r="N853" s="1"/>
  <c r="O853"/>
  <c r="T853"/>
  <c r="U853"/>
  <c r="B854"/>
  <c r="P854" s="1"/>
  <c r="M854"/>
  <c r="N854" s="1"/>
  <c r="O854"/>
  <c r="T854"/>
  <c r="U854"/>
  <c r="B855"/>
  <c r="P855" s="1"/>
  <c r="M855"/>
  <c r="N855" s="1"/>
  <c r="O855"/>
  <c r="T855"/>
  <c r="U855"/>
  <c r="B856"/>
  <c r="P856" s="1"/>
  <c r="M856"/>
  <c r="N856" s="1"/>
  <c r="O856"/>
  <c r="Q856" s="1"/>
  <c r="T856"/>
  <c r="U856"/>
  <c r="B857"/>
  <c r="M857"/>
  <c r="N857" s="1"/>
  <c r="O857"/>
  <c r="P857"/>
  <c r="T857"/>
  <c r="U857"/>
  <c r="B858"/>
  <c r="P858" s="1"/>
  <c r="M858"/>
  <c r="N858" s="1"/>
  <c r="O858"/>
  <c r="T858"/>
  <c r="U858"/>
  <c r="B859"/>
  <c r="P859" s="1"/>
  <c r="M859"/>
  <c r="N859" s="1"/>
  <c r="O859"/>
  <c r="T859"/>
  <c r="U859"/>
  <c r="B860"/>
  <c r="P860" s="1"/>
  <c r="M860"/>
  <c r="N860" s="1"/>
  <c r="O860"/>
  <c r="T860"/>
  <c r="U860"/>
  <c r="B861"/>
  <c r="M861"/>
  <c r="N861" s="1"/>
  <c r="O861"/>
  <c r="P861"/>
  <c r="Q861" s="1"/>
  <c r="T861"/>
  <c r="U861"/>
  <c r="B862"/>
  <c r="P862" s="1"/>
  <c r="M862"/>
  <c r="N862" s="1"/>
  <c r="O862"/>
  <c r="T862"/>
  <c r="U862"/>
  <c r="B863"/>
  <c r="P863" s="1"/>
  <c r="M863"/>
  <c r="N863" s="1"/>
  <c r="O863"/>
  <c r="T863"/>
  <c r="U863"/>
  <c r="B864"/>
  <c r="P864" s="1"/>
  <c r="M864"/>
  <c r="N864" s="1"/>
  <c r="O864"/>
  <c r="T864"/>
  <c r="U864"/>
  <c r="B865"/>
  <c r="M865"/>
  <c r="N865" s="1"/>
  <c r="O865"/>
  <c r="P865"/>
  <c r="T865"/>
  <c r="U865"/>
  <c r="B866"/>
  <c r="P866" s="1"/>
  <c r="M866"/>
  <c r="N866" s="1"/>
  <c r="O866"/>
  <c r="T866"/>
  <c r="U866"/>
  <c r="B867"/>
  <c r="P867" s="1"/>
  <c r="M867"/>
  <c r="N867" s="1"/>
  <c r="O867"/>
  <c r="T867"/>
  <c r="U867"/>
  <c r="B868"/>
  <c r="P868" s="1"/>
  <c r="M868"/>
  <c r="N868" s="1"/>
  <c r="O868"/>
  <c r="T868"/>
  <c r="U868"/>
  <c r="B869"/>
  <c r="M869"/>
  <c r="N869" s="1"/>
  <c r="O869"/>
  <c r="P869"/>
  <c r="T869"/>
  <c r="U869"/>
  <c r="B870"/>
  <c r="P870" s="1"/>
  <c r="M870"/>
  <c r="N870" s="1"/>
  <c r="O870"/>
  <c r="T870"/>
  <c r="U870"/>
  <c r="B871"/>
  <c r="P871" s="1"/>
  <c r="M871"/>
  <c r="N871" s="1"/>
  <c r="O871"/>
  <c r="T871"/>
  <c r="U871"/>
  <c r="B872"/>
  <c r="P872" s="1"/>
  <c r="M872"/>
  <c r="N872" s="1"/>
  <c r="O872"/>
  <c r="T872"/>
  <c r="U872"/>
  <c r="B873"/>
  <c r="M873"/>
  <c r="N873" s="1"/>
  <c r="O873"/>
  <c r="P873"/>
  <c r="T873"/>
  <c r="U873"/>
  <c r="B874"/>
  <c r="P874" s="1"/>
  <c r="M874"/>
  <c r="N874" s="1"/>
  <c r="O874"/>
  <c r="T874"/>
  <c r="U874"/>
  <c r="B875"/>
  <c r="P875" s="1"/>
  <c r="M875"/>
  <c r="N875" s="1"/>
  <c r="O875"/>
  <c r="T875"/>
  <c r="U875"/>
  <c r="B876"/>
  <c r="P876" s="1"/>
  <c r="M876"/>
  <c r="N876" s="1"/>
  <c r="O876"/>
  <c r="T876"/>
  <c r="U876"/>
  <c r="B877"/>
  <c r="M877"/>
  <c r="N877" s="1"/>
  <c r="O877"/>
  <c r="P877"/>
  <c r="T877"/>
  <c r="U877"/>
  <c r="B878"/>
  <c r="P878" s="1"/>
  <c r="M878"/>
  <c r="N878" s="1"/>
  <c r="O878"/>
  <c r="T878"/>
  <c r="U878"/>
  <c r="B879"/>
  <c r="P879" s="1"/>
  <c r="M879"/>
  <c r="N879" s="1"/>
  <c r="O879"/>
  <c r="T879"/>
  <c r="U879"/>
  <c r="B880"/>
  <c r="M880"/>
  <c r="N880" s="1"/>
  <c r="O880"/>
  <c r="P880"/>
  <c r="T880"/>
  <c r="U880"/>
  <c r="B881"/>
  <c r="P881" s="1"/>
  <c r="M881"/>
  <c r="N881" s="1"/>
  <c r="O881"/>
  <c r="T881"/>
  <c r="U881"/>
  <c r="B882"/>
  <c r="P882" s="1"/>
  <c r="M882"/>
  <c r="N882" s="1"/>
  <c r="O882"/>
  <c r="T882"/>
  <c r="U882"/>
  <c r="B883"/>
  <c r="P883" s="1"/>
  <c r="M883"/>
  <c r="N883" s="1"/>
  <c r="O883"/>
  <c r="T883"/>
  <c r="U883"/>
  <c r="B884"/>
  <c r="P884" s="1"/>
  <c r="M884"/>
  <c r="N884" s="1"/>
  <c r="O884"/>
  <c r="T884"/>
  <c r="U884"/>
  <c r="B885"/>
  <c r="M885"/>
  <c r="N885" s="1"/>
  <c r="O885"/>
  <c r="P885"/>
  <c r="T885"/>
  <c r="U885"/>
  <c r="B886"/>
  <c r="P886" s="1"/>
  <c r="M886"/>
  <c r="N886" s="1"/>
  <c r="O886"/>
  <c r="T886"/>
  <c r="U886"/>
  <c r="B887"/>
  <c r="P887" s="1"/>
  <c r="M887"/>
  <c r="N887" s="1"/>
  <c r="O887"/>
  <c r="T887"/>
  <c r="U887"/>
  <c r="B888"/>
  <c r="M888"/>
  <c r="N888" s="1"/>
  <c r="O888"/>
  <c r="P888"/>
  <c r="T888"/>
  <c r="U888"/>
  <c r="B889"/>
  <c r="P889" s="1"/>
  <c r="M889"/>
  <c r="N889" s="1"/>
  <c r="O889"/>
  <c r="T889"/>
  <c r="U889"/>
  <c r="B890"/>
  <c r="P890" s="1"/>
  <c r="M890"/>
  <c r="N890" s="1"/>
  <c r="O890"/>
  <c r="T890"/>
  <c r="U890"/>
  <c r="B891"/>
  <c r="P891" s="1"/>
  <c r="M891"/>
  <c r="N891" s="1"/>
  <c r="O891"/>
  <c r="T891"/>
  <c r="U891"/>
  <c r="B892"/>
  <c r="P892" s="1"/>
  <c r="M892"/>
  <c r="N892" s="1"/>
  <c r="O892"/>
  <c r="T892"/>
  <c r="U892"/>
  <c r="B893"/>
  <c r="M893"/>
  <c r="N893" s="1"/>
  <c r="O893"/>
  <c r="P893"/>
  <c r="T893"/>
  <c r="U893"/>
  <c r="B894"/>
  <c r="P894" s="1"/>
  <c r="M894"/>
  <c r="N894" s="1"/>
  <c r="O894"/>
  <c r="T894"/>
  <c r="U894"/>
  <c r="B895"/>
  <c r="P895" s="1"/>
  <c r="M895"/>
  <c r="N895" s="1"/>
  <c r="O895"/>
  <c r="T895"/>
  <c r="U895"/>
  <c r="B896"/>
  <c r="M896"/>
  <c r="N896" s="1"/>
  <c r="O896"/>
  <c r="P896"/>
  <c r="T896"/>
  <c r="U896"/>
  <c r="B897"/>
  <c r="P897" s="1"/>
  <c r="M897"/>
  <c r="N897" s="1"/>
  <c r="O897"/>
  <c r="T897"/>
  <c r="U897"/>
  <c r="B898"/>
  <c r="P898" s="1"/>
  <c r="M898"/>
  <c r="N898" s="1"/>
  <c r="O898"/>
  <c r="T898"/>
  <c r="U898"/>
  <c r="B899"/>
  <c r="P899" s="1"/>
  <c r="M899"/>
  <c r="N899" s="1"/>
  <c r="O899"/>
  <c r="T899"/>
  <c r="U899"/>
  <c r="B900"/>
  <c r="P900" s="1"/>
  <c r="M900"/>
  <c r="N900" s="1"/>
  <c r="O900"/>
  <c r="T900"/>
  <c r="U900"/>
  <c r="B901"/>
  <c r="M901"/>
  <c r="N901" s="1"/>
  <c r="O901"/>
  <c r="P901"/>
  <c r="T901"/>
  <c r="U901"/>
  <c r="B902"/>
  <c r="P902" s="1"/>
  <c r="M902"/>
  <c r="N902" s="1"/>
  <c r="O902"/>
  <c r="T902"/>
  <c r="U902"/>
  <c r="B903"/>
  <c r="P903" s="1"/>
  <c r="M903"/>
  <c r="N903" s="1"/>
  <c r="O903"/>
  <c r="T903"/>
  <c r="U903"/>
  <c r="B904"/>
  <c r="P904" s="1"/>
  <c r="M904"/>
  <c r="N904" s="1"/>
  <c r="O904"/>
  <c r="T904"/>
  <c r="U904"/>
  <c r="B905"/>
  <c r="M905"/>
  <c r="N905" s="1"/>
  <c r="O905"/>
  <c r="P905"/>
  <c r="Q905" s="1"/>
  <c r="T905"/>
  <c r="U905"/>
  <c r="B906"/>
  <c r="P906" s="1"/>
  <c r="M906"/>
  <c r="N906" s="1"/>
  <c r="O906"/>
  <c r="T906"/>
  <c r="U906"/>
  <c r="B907"/>
  <c r="P907" s="1"/>
  <c r="M907"/>
  <c r="N907" s="1"/>
  <c r="O907"/>
  <c r="T907"/>
  <c r="U907"/>
  <c r="B908"/>
  <c r="P908" s="1"/>
  <c r="M908"/>
  <c r="N908" s="1"/>
  <c r="O908"/>
  <c r="T908"/>
  <c r="U908"/>
  <c r="B909"/>
  <c r="M909"/>
  <c r="N909" s="1"/>
  <c r="O909"/>
  <c r="P909"/>
  <c r="T909"/>
  <c r="U909"/>
  <c r="B910"/>
  <c r="P910" s="1"/>
  <c r="M910"/>
  <c r="N910" s="1"/>
  <c r="O910"/>
  <c r="T910"/>
  <c r="U910"/>
  <c r="B911"/>
  <c r="P911" s="1"/>
  <c r="M911"/>
  <c r="N911" s="1"/>
  <c r="O911"/>
  <c r="T911"/>
  <c r="U911"/>
  <c r="B912"/>
  <c r="P912" s="1"/>
  <c r="M912"/>
  <c r="N912" s="1"/>
  <c r="O912"/>
  <c r="T912"/>
  <c r="U912"/>
  <c r="B913"/>
  <c r="M913"/>
  <c r="N913" s="1"/>
  <c r="O913"/>
  <c r="P913"/>
  <c r="T913"/>
  <c r="U913"/>
  <c r="B914"/>
  <c r="P914" s="1"/>
  <c r="M914"/>
  <c r="N914" s="1"/>
  <c r="O914"/>
  <c r="T914"/>
  <c r="U914"/>
  <c r="B915"/>
  <c r="P915" s="1"/>
  <c r="M915"/>
  <c r="N915" s="1"/>
  <c r="O915"/>
  <c r="T915"/>
  <c r="U915"/>
  <c r="B916"/>
  <c r="P916" s="1"/>
  <c r="M916"/>
  <c r="N916" s="1"/>
  <c r="O916"/>
  <c r="T916"/>
  <c r="U916"/>
  <c r="B917"/>
  <c r="M917"/>
  <c r="N917" s="1"/>
  <c r="O917"/>
  <c r="P917"/>
  <c r="T917"/>
  <c r="U917"/>
  <c r="B918"/>
  <c r="P918" s="1"/>
  <c r="M918"/>
  <c r="N918" s="1"/>
  <c r="O918"/>
  <c r="T918"/>
  <c r="U918"/>
  <c r="B919"/>
  <c r="P919" s="1"/>
  <c r="M919"/>
  <c r="N919" s="1"/>
  <c r="O919"/>
  <c r="T919"/>
  <c r="U919"/>
  <c r="B920"/>
  <c r="P920" s="1"/>
  <c r="M920"/>
  <c r="N920" s="1"/>
  <c r="O920"/>
  <c r="T920"/>
  <c r="U920"/>
  <c r="B921"/>
  <c r="M921"/>
  <c r="N921" s="1"/>
  <c r="O921"/>
  <c r="P921"/>
  <c r="Q921" s="1"/>
  <c r="T921"/>
  <c r="U921"/>
  <c r="B922"/>
  <c r="P922" s="1"/>
  <c r="M922"/>
  <c r="N922" s="1"/>
  <c r="O922"/>
  <c r="T922"/>
  <c r="U922"/>
  <c r="B923"/>
  <c r="P923" s="1"/>
  <c r="M923"/>
  <c r="N923" s="1"/>
  <c r="O923"/>
  <c r="T923"/>
  <c r="U923"/>
  <c r="B924"/>
  <c r="P924" s="1"/>
  <c r="M924"/>
  <c r="N924" s="1"/>
  <c r="O924"/>
  <c r="T924"/>
  <c r="U924"/>
  <c r="B925"/>
  <c r="M925"/>
  <c r="N925" s="1"/>
  <c r="O925"/>
  <c r="P925"/>
  <c r="T925"/>
  <c r="U925"/>
  <c r="B926"/>
  <c r="P926" s="1"/>
  <c r="M926"/>
  <c r="N926" s="1"/>
  <c r="O926"/>
  <c r="T926"/>
  <c r="U926"/>
  <c r="B927"/>
  <c r="P927" s="1"/>
  <c r="M927"/>
  <c r="N927" s="1"/>
  <c r="O927"/>
  <c r="T927"/>
  <c r="U927"/>
  <c r="B928"/>
  <c r="P928" s="1"/>
  <c r="M928"/>
  <c r="N928" s="1"/>
  <c r="O928"/>
  <c r="T928"/>
  <c r="U928"/>
  <c r="B929"/>
  <c r="M929"/>
  <c r="N929" s="1"/>
  <c r="O929"/>
  <c r="P929"/>
  <c r="T929"/>
  <c r="U929"/>
  <c r="B930"/>
  <c r="P930" s="1"/>
  <c r="M930"/>
  <c r="N930" s="1"/>
  <c r="O930"/>
  <c r="T930"/>
  <c r="U930"/>
  <c r="B931"/>
  <c r="P931" s="1"/>
  <c r="M931"/>
  <c r="N931" s="1"/>
  <c r="O931"/>
  <c r="T931"/>
  <c r="U931"/>
  <c r="B932"/>
  <c r="P932" s="1"/>
  <c r="M932"/>
  <c r="N932" s="1"/>
  <c r="O932"/>
  <c r="T932"/>
  <c r="U932"/>
  <c r="B933"/>
  <c r="M933"/>
  <c r="N933" s="1"/>
  <c r="O933"/>
  <c r="P933"/>
  <c r="T933"/>
  <c r="U933"/>
  <c r="B934"/>
  <c r="P934" s="1"/>
  <c r="M934"/>
  <c r="N934" s="1"/>
  <c r="O934"/>
  <c r="T934"/>
  <c r="U934"/>
  <c r="B935"/>
  <c r="P935" s="1"/>
  <c r="M935"/>
  <c r="N935" s="1"/>
  <c r="O935"/>
  <c r="T935"/>
  <c r="U935"/>
  <c r="B936"/>
  <c r="P936" s="1"/>
  <c r="M936"/>
  <c r="N936" s="1"/>
  <c r="O936"/>
  <c r="T936"/>
  <c r="U936"/>
  <c r="B937"/>
  <c r="P937" s="1"/>
  <c r="M937"/>
  <c r="N937" s="1"/>
  <c r="O937"/>
  <c r="T937"/>
  <c r="U937"/>
  <c r="B938"/>
  <c r="M938"/>
  <c r="N938" s="1"/>
  <c r="O938"/>
  <c r="P938"/>
  <c r="T938"/>
  <c r="U938"/>
  <c r="B939"/>
  <c r="P939" s="1"/>
  <c r="M939"/>
  <c r="N939" s="1"/>
  <c r="O939"/>
  <c r="T939"/>
  <c r="U939"/>
  <c r="B940"/>
  <c r="P940" s="1"/>
  <c r="M940"/>
  <c r="N940" s="1"/>
  <c r="O940"/>
  <c r="T940"/>
  <c r="U940"/>
  <c r="B941"/>
  <c r="P941" s="1"/>
  <c r="M941"/>
  <c r="N941" s="1"/>
  <c r="O941"/>
  <c r="T941"/>
  <c r="U941"/>
  <c r="B942"/>
  <c r="M942"/>
  <c r="N942" s="1"/>
  <c r="O942"/>
  <c r="P942"/>
  <c r="T942"/>
  <c r="U942"/>
  <c r="B943"/>
  <c r="P943" s="1"/>
  <c r="M943"/>
  <c r="N943" s="1"/>
  <c r="O943"/>
  <c r="T943"/>
  <c r="U943"/>
  <c r="B944"/>
  <c r="P944" s="1"/>
  <c r="M944"/>
  <c r="N944" s="1"/>
  <c r="O944"/>
  <c r="T944"/>
  <c r="U944"/>
  <c r="B945"/>
  <c r="P945" s="1"/>
  <c r="M945"/>
  <c r="N945" s="1"/>
  <c r="O945"/>
  <c r="T945"/>
  <c r="U945"/>
  <c r="B946"/>
  <c r="M946"/>
  <c r="N946" s="1"/>
  <c r="O946"/>
  <c r="P946"/>
  <c r="T946"/>
  <c r="U946"/>
  <c r="B947"/>
  <c r="P947" s="1"/>
  <c r="M947"/>
  <c r="N947" s="1"/>
  <c r="O947"/>
  <c r="T947"/>
  <c r="U947"/>
  <c r="B948"/>
  <c r="P948" s="1"/>
  <c r="M948"/>
  <c r="N948" s="1"/>
  <c r="O948"/>
  <c r="T948"/>
  <c r="U948"/>
  <c r="B949"/>
  <c r="P949" s="1"/>
  <c r="M949"/>
  <c r="N949" s="1"/>
  <c r="O949"/>
  <c r="T949"/>
  <c r="U949"/>
  <c r="B950"/>
  <c r="M950"/>
  <c r="N950" s="1"/>
  <c r="O950"/>
  <c r="P950"/>
  <c r="T950"/>
  <c r="U950"/>
  <c r="B951"/>
  <c r="P951" s="1"/>
  <c r="M951"/>
  <c r="N951" s="1"/>
  <c r="O951"/>
  <c r="T951"/>
  <c r="U951"/>
  <c r="B952"/>
  <c r="P952" s="1"/>
  <c r="M952"/>
  <c r="N952" s="1"/>
  <c r="O952"/>
  <c r="T952"/>
  <c r="U952"/>
  <c r="B953"/>
  <c r="P953" s="1"/>
  <c r="M953"/>
  <c r="N953" s="1"/>
  <c r="O953"/>
  <c r="T953"/>
  <c r="U953"/>
  <c r="B954"/>
  <c r="M954"/>
  <c r="N954" s="1"/>
  <c r="O954"/>
  <c r="P954"/>
  <c r="T954"/>
  <c r="U954"/>
  <c r="B955"/>
  <c r="P955" s="1"/>
  <c r="M955"/>
  <c r="N955" s="1"/>
  <c r="O955"/>
  <c r="T955"/>
  <c r="U955"/>
  <c r="B956"/>
  <c r="P956" s="1"/>
  <c r="M956"/>
  <c r="N956" s="1"/>
  <c r="O956"/>
  <c r="T956"/>
  <c r="U956"/>
  <c r="B957"/>
  <c r="P957" s="1"/>
  <c r="M957"/>
  <c r="N957" s="1"/>
  <c r="O957"/>
  <c r="T957"/>
  <c r="U957"/>
  <c r="B958"/>
  <c r="M958"/>
  <c r="N958" s="1"/>
  <c r="O958"/>
  <c r="P958"/>
  <c r="T958"/>
  <c r="U958"/>
  <c r="B959"/>
  <c r="P959" s="1"/>
  <c r="M959"/>
  <c r="N959" s="1"/>
  <c r="O959"/>
  <c r="T959"/>
  <c r="U959"/>
  <c r="B960"/>
  <c r="P960" s="1"/>
  <c r="M960"/>
  <c r="N960" s="1"/>
  <c r="O960"/>
  <c r="T960"/>
  <c r="U960"/>
  <c r="B961"/>
  <c r="P961" s="1"/>
  <c r="M961"/>
  <c r="N961" s="1"/>
  <c r="O961"/>
  <c r="T961"/>
  <c r="U961"/>
  <c r="B962"/>
  <c r="M962"/>
  <c r="N962" s="1"/>
  <c r="O962"/>
  <c r="P962"/>
  <c r="T962"/>
  <c r="U962"/>
  <c r="B963"/>
  <c r="P963" s="1"/>
  <c r="M963"/>
  <c r="N963" s="1"/>
  <c r="O963"/>
  <c r="T963"/>
  <c r="U963"/>
  <c r="B964"/>
  <c r="P964" s="1"/>
  <c r="M964"/>
  <c r="N964" s="1"/>
  <c r="O964"/>
  <c r="T964"/>
  <c r="U964"/>
  <c r="B965"/>
  <c r="P965" s="1"/>
  <c r="M965"/>
  <c r="N965" s="1"/>
  <c r="O965"/>
  <c r="T965"/>
  <c r="U965"/>
  <c r="B966"/>
  <c r="M966"/>
  <c r="N966" s="1"/>
  <c r="O966"/>
  <c r="P966"/>
  <c r="T966"/>
  <c r="U966"/>
  <c r="B967"/>
  <c r="P967" s="1"/>
  <c r="M967"/>
  <c r="N967" s="1"/>
  <c r="O967"/>
  <c r="T967"/>
  <c r="U967"/>
  <c r="B968"/>
  <c r="P968" s="1"/>
  <c r="M968"/>
  <c r="N968" s="1"/>
  <c r="O968"/>
  <c r="T968"/>
  <c r="U968"/>
  <c r="B969"/>
  <c r="P969" s="1"/>
  <c r="M969"/>
  <c r="N969" s="1"/>
  <c r="O969"/>
  <c r="T969"/>
  <c r="U969"/>
  <c r="B970"/>
  <c r="M970"/>
  <c r="N970" s="1"/>
  <c r="O970"/>
  <c r="P970"/>
  <c r="T970"/>
  <c r="U970"/>
  <c r="B971"/>
  <c r="P971" s="1"/>
  <c r="M971"/>
  <c r="N971" s="1"/>
  <c r="O971"/>
  <c r="T971"/>
  <c r="U971"/>
  <c r="B972"/>
  <c r="P972" s="1"/>
  <c r="M972"/>
  <c r="N972" s="1"/>
  <c r="O972"/>
  <c r="T972"/>
  <c r="U972"/>
  <c r="B973"/>
  <c r="P973" s="1"/>
  <c r="M973"/>
  <c r="N973" s="1"/>
  <c r="O973"/>
  <c r="T973"/>
  <c r="U973"/>
  <c r="B974"/>
  <c r="M974"/>
  <c r="N974" s="1"/>
  <c r="O974"/>
  <c r="P974"/>
  <c r="T974"/>
  <c r="U974"/>
  <c r="B975"/>
  <c r="P975" s="1"/>
  <c r="M975"/>
  <c r="N975" s="1"/>
  <c r="O975"/>
  <c r="T975"/>
  <c r="U975"/>
  <c r="B976"/>
  <c r="P976" s="1"/>
  <c r="M976"/>
  <c r="N976" s="1"/>
  <c r="O976"/>
  <c r="T976"/>
  <c r="U976"/>
  <c r="B977"/>
  <c r="P977" s="1"/>
  <c r="M977"/>
  <c r="N977" s="1"/>
  <c r="O977"/>
  <c r="T977"/>
  <c r="U977"/>
  <c r="B978"/>
  <c r="M978"/>
  <c r="N978" s="1"/>
  <c r="O978"/>
  <c r="P978"/>
  <c r="T978"/>
  <c r="U978"/>
  <c r="B979"/>
  <c r="P979" s="1"/>
  <c r="M979"/>
  <c r="N979" s="1"/>
  <c r="O979"/>
  <c r="T979"/>
  <c r="U979"/>
  <c r="B980"/>
  <c r="P980" s="1"/>
  <c r="M980"/>
  <c r="N980" s="1"/>
  <c r="O980"/>
  <c r="T980"/>
  <c r="U980"/>
  <c r="B981"/>
  <c r="P981" s="1"/>
  <c r="M981"/>
  <c r="N981" s="1"/>
  <c r="O981"/>
  <c r="T981"/>
  <c r="U981"/>
  <c r="B982"/>
  <c r="M982"/>
  <c r="N982" s="1"/>
  <c r="O982"/>
  <c r="P982"/>
  <c r="T982"/>
  <c r="U982"/>
  <c r="B983"/>
  <c r="P983" s="1"/>
  <c r="M983"/>
  <c r="N983" s="1"/>
  <c r="O983"/>
  <c r="T983"/>
  <c r="U983"/>
  <c r="B984"/>
  <c r="P984" s="1"/>
  <c r="M984"/>
  <c r="N984" s="1"/>
  <c r="O984"/>
  <c r="T984"/>
  <c r="U984"/>
  <c r="B985"/>
  <c r="P985" s="1"/>
  <c r="M985"/>
  <c r="N985" s="1"/>
  <c r="O985"/>
  <c r="T985"/>
  <c r="U985"/>
  <c r="B986"/>
  <c r="M986"/>
  <c r="N986" s="1"/>
  <c r="O986"/>
  <c r="P986"/>
  <c r="T986"/>
  <c r="U986"/>
  <c r="B987"/>
  <c r="P987" s="1"/>
  <c r="M987"/>
  <c r="N987" s="1"/>
  <c r="O987"/>
  <c r="T987"/>
  <c r="U987"/>
  <c r="B988"/>
  <c r="P988" s="1"/>
  <c r="M988"/>
  <c r="N988" s="1"/>
  <c r="O988"/>
  <c r="T988"/>
  <c r="U988"/>
  <c r="B989"/>
  <c r="P989" s="1"/>
  <c r="M989"/>
  <c r="N989" s="1"/>
  <c r="O989"/>
  <c r="T989"/>
  <c r="U989"/>
  <c r="B990"/>
  <c r="M990"/>
  <c r="N990" s="1"/>
  <c r="O990"/>
  <c r="P990"/>
  <c r="T990"/>
  <c r="U990"/>
  <c r="B991"/>
  <c r="P991" s="1"/>
  <c r="M991"/>
  <c r="N991" s="1"/>
  <c r="O991"/>
  <c r="T991"/>
  <c r="U991"/>
  <c r="B992"/>
  <c r="P992" s="1"/>
  <c r="M992"/>
  <c r="N992" s="1"/>
  <c r="O992"/>
  <c r="T992"/>
  <c r="U992"/>
  <c r="B993"/>
  <c r="P993" s="1"/>
  <c r="M993"/>
  <c r="N993" s="1"/>
  <c r="O993"/>
  <c r="T993"/>
  <c r="U993"/>
  <c r="B994"/>
  <c r="M994"/>
  <c r="N994" s="1"/>
  <c r="O994"/>
  <c r="P994"/>
  <c r="T994"/>
  <c r="U994"/>
  <c r="B995"/>
  <c r="P995" s="1"/>
  <c r="M995"/>
  <c r="N995" s="1"/>
  <c r="O995"/>
  <c r="T995"/>
  <c r="U995"/>
  <c r="B996"/>
  <c r="P996" s="1"/>
  <c r="M996"/>
  <c r="N996" s="1"/>
  <c r="O996"/>
  <c r="T996"/>
  <c r="U996"/>
  <c r="B997"/>
  <c r="P997" s="1"/>
  <c r="M997"/>
  <c r="N997" s="1"/>
  <c r="O997"/>
  <c r="T997"/>
  <c r="U997"/>
  <c r="B998"/>
  <c r="M998"/>
  <c r="N998" s="1"/>
  <c r="O998"/>
  <c r="P998"/>
  <c r="T998"/>
  <c r="U998"/>
  <c r="B999"/>
  <c r="P999" s="1"/>
  <c r="M999"/>
  <c r="N999" s="1"/>
  <c r="O999"/>
  <c r="T999"/>
  <c r="U999"/>
  <c r="B1000"/>
  <c r="P1000" s="1"/>
  <c r="M1000"/>
  <c r="N1000" s="1"/>
  <c r="O1000"/>
  <c r="T1000"/>
  <c r="U1000"/>
  <c r="B1001"/>
  <c r="P1001" s="1"/>
  <c r="M1001"/>
  <c r="N1001" s="1"/>
  <c r="O1001"/>
  <c r="T1001"/>
  <c r="U1001"/>
  <c r="B1002"/>
  <c r="M1002"/>
  <c r="N1002" s="1"/>
  <c r="O1002"/>
  <c r="P1002"/>
  <c r="T1002"/>
  <c r="U1002"/>
  <c r="B1003"/>
  <c r="P1003" s="1"/>
  <c r="M1003"/>
  <c r="N1003" s="1"/>
  <c r="O1003"/>
  <c r="T1003"/>
  <c r="U1003"/>
  <c r="B1004"/>
  <c r="P1004" s="1"/>
  <c r="M1004"/>
  <c r="N1004" s="1"/>
  <c r="O1004"/>
  <c r="T1004"/>
  <c r="U1004"/>
  <c r="B1005"/>
  <c r="P1005" s="1"/>
  <c r="M1005"/>
  <c r="N1005" s="1"/>
  <c r="O1005"/>
  <c r="T1005"/>
  <c r="U1005"/>
  <c r="B1006"/>
  <c r="M1006"/>
  <c r="N1006" s="1"/>
  <c r="O1006"/>
  <c r="P1006"/>
  <c r="T1006"/>
  <c r="U1006"/>
  <c r="B1007"/>
  <c r="P1007" s="1"/>
  <c r="M1007"/>
  <c r="N1007" s="1"/>
  <c r="O1007"/>
  <c r="T1007"/>
  <c r="U1007"/>
  <c r="B1008"/>
  <c r="P1008" s="1"/>
  <c r="M1008"/>
  <c r="N1008" s="1"/>
  <c r="O1008"/>
  <c r="T1008"/>
  <c r="U1008"/>
  <c r="B1009"/>
  <c r="P1009" s="1"/>
  <c r="M1009"/>
  <c r="N1009" s="1"/>
  <c r="O1009"/>
  <c r="T1009"/>
  <c r="U1009"/>
  <c r="B1010"/>
  <c r="M1010"/>
  <c r="N1010" s="1"/>
  <c r="O1010"/>
  <c r="P1010"/>
  <c r="T1010"/>
  <c r="U1010"/>
  <c r="B1011"/>
  <c r="P1011" s="1"/>
  <c r="M1011"/>
  <c r="N1011" s="1"/>
  <c r="O1011"/>
  <c r="T1011"/>
  <c r="U1011"/>
  <c r="B1012"/>
  <c r="P1012" s="1"/>
  <c r="M1012"/>
  <c r="N1012" s="1"/>
  <c r="O1012"/>
  <c r="T1012"/>
  <c r="U1012"/>
  <c r="B1013"/>
  <c r="P1013" s="1"/>
  <c r="M1013"/>
  <c r="N1013" s="1"/>
  <c r="O1013"/>
  <c r="T1013"/>
  <c r="U1013"/>
  <c r="U15"/>
  <c r="U16"/>
  <c r="U17"/>
  <c r="U18"/>
  <c r="U19"/>
  <c r="U20"/>
  <c r="U21"/>
  <c r="U22"/>
  <c r="U23"/>
  <c r="U24"/>
  <c r="U25"/>
  <c r="U26"/>
  <c r="U27"/>
  <c r="U28"/>
  <c r="U1014"/>
  <c r="U14"/>
  <c r="F18" i="20"/>
  <c r="F15"/>
  <c r="F12"/>
  <c r="F9"/>
  <c r="D18"/>
  <c r="D15"/>
  <c r="D12"/>
  <c r="D9"/>
  <c r="B18"/>
  <c r="B15"/>
  <c r="B12"/>
  <c r="B9"/>
  <c r="F6"/>
  <c r="D6"/>
  <c r="B6"/>
  <c r="B10" i="10"/>
  <c r="O15"/>
  <c r="D17"/>
  <c r="D18"/>
  <c r="O18" s="1"/>
  <c r="D19"/>
  <c r="O19" s="1"/>
  <c r="D20"/>
  <c r="O20" s="1"/>
  <c r="D21"/>
  <c r="D22"/>
  <c r="O22" s="1"/>
  <c r="D23"/>
  <c r="O23" s="1"/>
  <c r="D24"/>
  <c r="O24" s="1"/>
  <c r="D25"/>
  <c r="D26"/>
  <c r="O26" s="1"/>
  <c r="D27"/>
  <c r="O27" s="1"/>
  <c r="D28"/>
  <c r="O28" s="1"/>
  <c r="D29"/>
  <c r="D30"/>
  <c r="O30" s="1"/>
  <c r="D16"/>
  <c r="O16" s="1"/>
  <c r="B16" s="1"/>
  <c r="K34" i="5"/>
  <c r="K32"/>
  <c r="K30"/>
  <c r="K28"/>
  <c r="K26"/>
  <c r="K24"/>
  <c r="K22"/>
  <c r="K20"/>
  <c r="K18"/>
  <c r="K16"/>
  <c r="K14"/>
  <c r="K12"/>
  <c r="K10"/>
  <c r="K8"/>
  <c r="K6"/>
  <c r="J33" i="10"/>
  <c r="K33"/>
  <c r="J34"/>
  <c r="K34"/>
  <c r="J35"/>
  <c r="K35"/>
  <c r="J36"/>
  <c r="K36"/>
  <c r="J37"/>
  <c r="K37"/>
  <c r="J38"/>
  <c r="K38"/>
  <c r="J39"/>
  <c r="K39"/>
  <c r="J40"/>
  <c r="K40"/>
  <c r="J41"/>
  <c r="K41"/>
  <c r="J42"/>
  <c r="K42"/>
  <c r="J43"/>
  <c r="K43"/>
  <c r="J44"/>
  <c r="K44"/>
  <c r="J45"/>
  <c r="K45"/>
  <c r="J46"/>
  <c r="K46"/>
  <c r="J47"/>
  <c r="K47"/>
  <c r="J48"/>
  <c r="K48"/>
  <c r="J49"/>
  <c r="K49"/>
  <c r="J50"/>
  <c r="K50"/>
  <c r="J51"/>
  <c r="K51"/>
  <c r="J52"/>
  <c r="K52"/>
  <c r="J53"/>
  <c r="K53"/>
  <c r="J54"/>
  <c r="K54"/>
  <c r="J55"/>
  <c r="K55"/>
  <c r="J56"/>
  <c r="K56"/>
  <c r="J57"/>
  <c r="K57"/>
  <c r="J58"/>
  <c r="K58"/>
  <c r="J59"/>
  <c r="K59"/>
  <c r="J60"/>
  <c r="K60"/>
  <c r="J61"/>
  <c r="K61"/>
  <c r="J62"/>
  <c r="K62"/>
  <c r="J63"/>
  <c r="K63"/>
  <c r="J64"/>
  <c r="K64"/>
  <c r="J65"/>
  <c r="K65"/>
  <c r="J66"/>
  <c r="K66"/>
  <c r="J67"/>
  <c r="K67"/>
  <c r="J68"/>
  <c r="K68"/>
  <c r="J69"/>
  <c r="K69"/>
  <c r="J70"/>
  <c r="K70"/>
  <c r="J71"/>
  <c r="K71"/>
  <c r="J72"/>
  <c r="K72"/>
  <c r="J73"/>
  <c r="K73"/>
  <c r="J74"/>
  <c r="K74"/>
  <c r="J75"/>
  <c r="K75"/>
  <c r="J76"/>
  <c r="K76"/>
  <c r="J77"/>
  <c r="K77"/>
  <c r="J78"/>
  <c r="K78"/>
  <c r="J79"/>
  <c r="K79"/>
  <c r="J80"/>
  <c r="K80"/>
  <c r="J81"/>
  <c r="K81"/>
  <c r="J82"/>
  <c r="K82"/>
  <c r="J83"/>
  <c r="K83"/>
  <c r="J84"/>
  <c r="K84"/>
  <c r="J85"/>
  <c r="K85"/>
  <c r="J86"/>
  <c r="K86"/>
  <c r="J87"/>
  <c r="K87"/>
  <c r="J88"/>
  <c r="K88"/>
  <c r="J89"/>
  <c r="K89"/>
  <c r="J90"/>
  <c r="K90"/>
  <c r="J91"/>
  <c r="K91"/>
  <c r="J92"/>
  <c r="K92"/>
  <c r="J93"/>
  <c r="K93"/>
  <c r="J94"/>
  <c r="K94"/>
  <c r="J95"/>
  <c r="K95"/>
  <c r="J96"/>
  <c r="K96"/>
  <c r="J97"/>
  <c r="K97"/>
  <c r="J98"/>
  <c r="K98"/>
  <c r="J99"/>
  <c r="K99"/>
  <c r="J100"/>
  <c r="K100"/>
  <c r="J101"/>
  <c r="K101"/>
  <c r="J102"/>
  <c r="K102"/>
  <c r="J103"/>
  <c r="K103"/>
  <c r="J104"/>
  <c r="K104"/>
  <c r="J105"/>
  <c r="K105"/>
  <c r="J106"/>
  <c r="K106"/>
  <c r="J107"/>
  <c r="K107"/>
  <c r="J108"/>
  <c r="K108"/>
  <c r="J109"/>
  <c r="K109"/>
  <c r="J110"/>
  <c r="K110"/>
  <c r="J111"/>
  <c r="K111"/>
  <c r="J112"/>
  <c r="K112"/>
  <c r="J113"/>
  <c r="K113"/>
  <c r="J114"/>
  <c r="K114"/>
  <c r="J115"/>
  <c r="K115"/>
  <c r="J116"/>
  <c r="K116"/>
  <c r="J117"/>
  <c r="K117"/>
  <c r="J118"/>
  <c r="K118"/>
  <c r="J119"/>
  <c r="K119"/>
  <c r="J120"/>
  <c r="K120"/>
  <c r="J121"/>
  <c r="K121"/>
  <c r="J122"/>
  <c r="K122"/>
  <c r="J123"/>
  <c r="K123"/>
  <c r="J124"/>
  <c r="K124"/>
  <c r="J125"/>
  <c r="K125"/>
  <c r="J126"/>
  <c r="K126"/>
  <c r="J127"/>
  <c r="K127"/>
  <c r="J128"/>
  <c r="K128"/>
  <c r="J129"/>
  <c r="K129"/>
  <c r="J130"/>
  <c r="K130"/>
  <c r="J131"/>
  <c r="K131"/>
  <c r="J132"/>
  <c r="K132"/>
  <c r="J133"/>
  <c r="K133"/>
  <c r="J134"/>
  <c r="K134"/>
  <c r="J135"/>
  <c r="K135"/>
  <c r="J136"/>
  <c r="K136"/>
  <c r="J137"/>
  <c r="K137"/>
  <c r="J138"/>
  <c r="K138"/>
  <c r="J139"/>
  <c r="K139"/>
  <c r="J140"/>
  <c r="K140"/>
  <c r="J141"/>
  <c r="K141"/>
  <c r="J142"/>
  <c r="K142"/>
  <c r="J143"/>
  <c r="K143"/>
  <c r="J144"/>
  <c r="K144"/>
  <c r="J145"/>
  <c r="K145"/>
  <c r="J146"/>
  <c r="K146"/>
  <c r="J147"/>
  <c r="K147"/>
  <c r="J148"/>
  <c r="K148"/>
  <c r="J149"/>
  <c r="K149"/>
  <c r="J150"/>
  <c r="K150"/>
  <c r="J151"/>
  <c r="K151"/>
  <c r="J152"/>
  <c r="K152"/>
  <c r="J153"/>
  <c r="K153"/>
  <c r="J154"/>
  <c r="K154"/>
  <c r="J155"/>
  <c r="K155"/>
  <c r="J156"/>
  <c r="K156"/>
  <c r="J157"/>
  <c r="K157"/>
  <c r="J158"/>
  <c r="K158"/>
  <c r="J159"/>
  <c r="K159"/>
  <c r="J160"/>
  <c r="K160"/>
  <c r="J161"/>
  <c r="K161"/>
  <c r="J162"/>
  <c r="K162"/>
  <c r="J163"/>
  <c r="K163"/>
  <c r="J164"/>
  <c r="K164"/>
  <c r="J165"/>
  <c r="K165"/>
  <c r="J166"/>
  <c r="K166"/>
  <c r="J167"/>
  <c r="K167"/>
  <c r="J168"/>
  <c r="K168"/>
  <c r="J169"/>
  <c r="K169"/>
  <c r="J170"/>
  <c r="K170"/>
  <c r="J171"/>
  <c r="K171"/>
  <c r="J172"/>
  <c r="K172"/>
  <c r="J173"/>
  <c r="K173"/>
  <c r="J174"/>
  <c r="K174"/>
  <c r="J175"/>
  <c r="K175"/>
  <c r="J176"/>
  <c r="K176"/>
  <c r="J177"/>
  <c r="K177"/>
  <c r="J178"/>
  <c r="K178"/>
  <c r="J179"/>
  <c r="K179"/>
  <c r="J180"/>
  <c r="K180"/>
  <c r="J181"/>
  <c r="K181"/>
  <c r="J182"/>
  <c r="K182"/>
  <c r="J183"/>
  <c r="K183"/>
  <c r="J184"/>
  <c r="K184"/>
  <c r="J185"/>
  <c r="K185"/>
  <c r="J186"/>
  <c r="K186"/>
  <c r="J187"/>
  <c r="K187"/>
  <c r="J188"/>
  <c r="K188"/>
  <c r="J189"/>
  <c r="K189"/>
  <c r="J190"/>
  <c r="K190"/>
  <c r="J191"/>
  <c r="K191"/>
  <c r="J192"/>
  <c r="K192"/>
  <c r="J193"/>
  <c r="K193"/>
  <c r="J194"/>
  <c r="K194"/>
  <c r="J195"/>
  <c r="K195"/>
  <c r="J196"/>
  <c r="K196"/>
  <c r="J197"/>
  <c r="K197"/>
  <c r="J198"/>
  <c r="K198"/>
  <c r="J199"/>
  <c r="K199"/>
  <c r="J200"/>
  <c r="K200"/>
  <c r="J201"/>
  <c r="K201"/>
  <c r="J202"/>
  <c r="K202"/>
  <c r="J203"/>
  <c r="K203"/>
  <c r="J204"/>
  <c r="K204"/>
  <c r="J205"/>
  <c r="K205"/>
  <c r="J206"/>
  <c r="K206"/>
  <c r="J207"/>
  <c r="K207"/>
  <c r="J208"/>
  <c r="K208"/>
  <c r="J209"/>
  <c r="K209"/>
  <c r="J210"/>
  <c r="K210"/>
  <c r="J211"/>
  <c r="K211"/>
  <c r="J212"/>
  <c r="K212"/>
  <c r="J213"/>
  <c r="K213"/>
  <c r="J214"/>
  <c r="K214"/>
  <c r="J215"/>
  <c r="K215"/>
  <c r="J216"/>
  <c r="K216"/>
  <c r="J217"/>
  <c r="K217"/>
  <c r="J218"/>
  <c r="K218"/>
  <c r="J219"/>
  <c r="K219"/>
  <c r="J220"/>
  <c r="K220"/>
  <c r="J221"/>
  <c r="K221"/>
  <c r="J222"/>
  <c r="K222"/>
  <c r="J223"/>
  <c r="K223"/>
  <c r="J224"/>
  <c r="K224"/>
  <c r="J225"/>
  <c r="K225"/>
  <c r="J226"/>
  <c r="K226"/>
  <c r="J227"/>
  <c r="K227"/>
  <c r="J228"/>
  <c r="K228"/>
  <c r="J229"/>
  <c r="K229"/>
  <c r="J230"/>
  <c r="K230"/>
  <c r="J231"/>
  <c r="K231"/>
  <c r="J232"/>
  <c r="K232"/>
  <c r="J233"/>
  <c r="K233"/>
  <c r="J234"/>
  <c r="K234"/>
  <c r="J235"/>
  <c r="K235"/>
  <c r="J236"/>
  <c r="K236"/>
  <c r="J237"/>
  <c r="K237"/>
  <c r="J238"/>
  <c r="K238"/>
  <c r="J239"/>
  <c r="K239"/>
  <c r="J240"/>
  <c r="K240"/>
  <c r="J241"/>
  <c r="K241"/>
  <c r="J242"/>
  <c r="K242"/>
  <c r="J243"/>
  <c r="K243"/>
  <c r="J244"/>
  <c r="K244"/>
  <c r="J245"/>
  <c r="K245"/>
  <c r="J246"/>
  <c r="K246"/>
  <c r="J247"/>
  <c r="K247"/>
  <c r="J248"/>
  <c r="K248"/>
  <c r="J249"/>
  <c r="K249"/>
  <c r="J250"/>
  <c r="K250"/>
  <c r="J251"/>
  <c r="K251"/>
  <c r="J252"/>
  <c r="K252"/>
  <c r="J253"/>
  <c r="K253"/>
  <c r="J254"/>
  <c r="K254"/>
  <c r="J255"/>
  <c r="K255"/>
  <c r="J256"/>
  <c r="K256"/>
  <c r="J257"/>
  <c r="K257"/>
  <c r="J258"/>
  <c r="K258"/>
  <c r="J259"/>
  <c r="K259"/>
  <c r="J260"/>
  <c r="K260"/>
  <c r="J261"/>
  <c r="K261"/>
  <c r="J262"/>
  <c r="K262"/>
  <c r="J263"/>
  <c r="K263"/>
  <c r="J264"/>
  <c r="K264"/>
  <c r="J265"/>
  <c r="K265"/>
  <c r="J266"/>
  <c r="K266"/>
  <c r="J267"/>
  <c r="K267"/>
  <c r="J268"/>
  <c r="K268"/>
  <c r="J269"/>
  <c r="K269"/>
  <c r="J270"/>
  <c r="K270"/>
  <c r="J271"/>
  <c r="K271"/>
  <c r="J272"/>
  <c r="K272"/>
  <c r="J273"/>
  <c r="K273"/>
  <c r="J274"/>
  <c r="K274"/>
  <c r="J275"/>
  <c r="K275"/>
  <c r="J276"/>
  <c r="K276"/>
  <c r="J277"/>
  <c r="K277"/>
  <c r="J278"/>
  <c r="K278"/>
  <c r="J279"/>
  <c r="K279"/>
  <c r="J280"/>
  <c r="K280"/>
  <c r="J281"/>
  <c r="K281"/>
  <c r="J282"/>
  <c r="K282"/>
  <c r="J283"/>
  <c r="K283"/>
  <c r="J284"/>
  <c r="K284"/>
  <c r="J285"/>
  <c r="K285"/>
  <c r="J286"/>
  <c r="K286"/>
  <c r="J287"/>
  <c r="K287"/>
  <c r="J288"/>
  <c r="K288"/>
  <c r="J289"/>
  <c r="K289"/>
  <c r="J290"/>
  <c r="K290"/>
  <c r="J291"/>
  <c r="K291"/>
  <c r="J292"/>
  <c r="K292"/>
  <c r="J293"/>
  <c r="K293"/>
  <c r="J294"/>
  <c r="K294"/>
  <c r="J295"/>
  <c r="K295"/>
  <c r="J296"/>
  <c r="K296"/>
  <c r="J297"/>
  <c r="K297"/>
  <c r="J298"/>
  <c r="K298"/>
  <c r="J299"/>
  <c r="K299"/>
  <c r="J300"/>
  <c r="K300"/>
  <c r="J301"/>
  <c r="K301"/>
  <c r="J302"/>
  <c r="K302"/>
  <c r="J303"/>
  <c r="K303"/>
  <c r="J304"/>
  <c r="K304"/>
  <c r="J305"/>
  <c r="K305"/>
  <c r="J306"/>
  <c r="K306"/>
  <c r="J307"/>
  <c r="K307"/>
  <c r="J308"/>
  <c r="K308"/>
  <c r="J309"/>
  <c r="K309"/>
  <c r="J310"/>
  <c r="K310"/>
  <c r="J311"/>
  <c r="K311"/>
  <c r="J312"/>
  <c r="K312"/>
  <c r="J313"/>
  <c r="K313"/>
  <c r="J314"/>
  <c r="K314"/>
  <c r="J315"/>
  <c r="K315"/>
  <c r="J316"/>
  <c r="K316"/>
  <c r="J317"/>
  <c r="K317"/>
  <c r="J318"/>
  <c r="K318"/>
  <c r="J319"/>
  <c r="K319"/>
  <c r="J320"/>
  <c r="K320"/>
  <c r="J321"/>
  <c r="K321"/>
  <c r="J322"/>
  <c r="K322"/>
  <c r="J323"/>
  <c r="K323"/>
  <c r="J324"/>
  <c r="K324"/>
  <c r="J325"/>
  <c r="K325"/>
  <c r="J326"/>
  <c r="K326"/>
  <c r="J327"/>
  <c r="K327"/>
  <c r="J328"/>
  <c r="K328"/>
  <c r="J329"/>
  <c r="K329"/>
  <c r="J330"/>
  <c r="K330"/>
  <c r="J331"/>
  <c r="K331"/>
  <c r="J332"/>
  <c r="K332"/>
  <c r="J333"/>
  <c r="K333"/>
  <c r="J334"/>
  <c r="K334"/>
  <c r="J335"/>
  <c r="K335"/>
  <c r="J336"/>
  <c r="K336"/>
  <c r="J337"/>
  <c r="K337"/>
  <c r="J338"/>
  <c r="K338"/>
  <c r="J339"/>
  <c r="K339"/>
  <c r="J340"/>
  <c r="K340"/>
  <c r="J341"/>
  <c r="K341"/>
  <c r="J342"/>
  <c r="K342"/>
  <c r="J343"/>
  <c r="K343"/>
  <c r="J344"/>
  <c r="K344"/>
  <c r="J345"/>
  <c r="K345"/>
  <c r="J346"/>
  <c r="K346"/>
  <c r="J347"/>
  <c r="K347"/>
  <c r="J348"/>
  <c r="K348"/>
  <c r="J349"/>
  <c r="K349"/>
  <c r="J350"/>
  <c r="K350"/>
  <c r="J351"/>
  <c r="K351"/>
  <c r="J352"/>
  <c r="K352"/>
  <c r="J353"/>
  <c r="K353"/>
  <c r="J354"/>
  <c r="K354"/>
  <c r="J355"/>
  <c r="K355"/>
  <c r="J356"/>
  <c r="K356"/>
  <c r="J357"/>
  <c r="K357"/>
  <c r="J358"/>
  <c r="K358"/>
  <c r="J359"/>
  <c r="K359"/>
  <c r="J360"/>
  <c r="K360"/>
  <c r="J361"/>
  <c r="K361"/>
  <c r="J362"/>
  <c r="K362"/>
  <c r="J363"/>
  <c r="K363"/>
  <c r="J364"/>
  <c r="K364"/>
  <c r="J365"/>
  <c r="K365"/>
  <c r="J366"/>
  <c r="K366"/>
  <c r="J367"/>
  <c r="K367"/>
  <c r="J368"/>
  <c r="K368"/>
  <c r="J369"/>
  <c r="K369"/>
  <c r="J370"/>
  <c r="K370"/>
  <c r="J371"/>
  <c r="K371"/>
  <c r="J372"/>
  <c r="K372"/>
  <c r="J373"/>
  <c r="K373"/>
  <c r="J374"/>
  <c r="K374"/>
  <c r="J375"/>
  <c r="K375"/>
  <c r="J376"/>
  <c r="K376"/>
  <c r="J377"/>
  <c r="K377"/>
  <c r="J378"/>
  <c r="K378"/>
  <c r="J379"/>
  <c r="K379"/>
  <c r="J380"/>
  <c r="K380"/>
  <c r="J381"/>
  <c r="K381"/>
  <c r="J382"/>
  <c r="K382"/>
  <c r="J383"/>
  <c r="K383"/>
  <c r="J384"/>
  <c r="K384"/>
  <c r="J385"/>
  <c r="K385"/>
  <c r="J386"/>
  <c r="K386"/>
  <c r="J387"/>
  <c r="K387"/>
  <c r="J388"/>
  <c r="K388"/>
  <c r="J389"/>
  <c r="K389"/>
  <c r="J390"/>
  <c r="K390"/>
  <c r="J391"/>
  <c r="K391"/>
  <c r="J392"/>
  <c r="K392"/>
  <c r="J393"/>
  <c r="K393"/>
  <c r="J394"/>
  <c r="K394"/>
  <c r="J395"/>
  <c r="K395"/>
  <c r="J396"/>
  <c r="K396"/>
  <c r="J397"/>
  <c r="K397"/>
  <c r="J398"/>
  <c r="K398"/>
  <c r="J399"/>
  <c r="K399"/>
  <c r="J400"/>
  <c r="K400"/>
  <c r="J401"/>
  <c r="K401"/>
  <c r="J402"/>
  <c r="K402"/>
  <c r="J403"/>
  <c r="K403"/>
  <c r="J404"/>
  <c r="K404"/>
  <c r="J405"/>
  <c r="K405"/>
  <c r="J406"/>
  <c r="K406"/>
  <c r="J407"/>
  <c r="K407"/>
  <c r="J408"/>
  <c r="K408"/>
  <c r="J409"/>
  <c r="K409"/>
  <c r="J410"/>
  <c r="K410"/>
  <c r="J411"/>
  <c r="K411"/>
  <c r="J412"/>
  <c r="K412"/>
  <c r="J413"/>
  <c r="K413"/>
  <c r="J414"/>
  <c r="K414"/>
  <c r="J415"/>
  <c r="K415"/>
  <c r="J416"/>
  <c r="K416"/>
  <c r="J417"/>
  <c r="K417"/>
  <c r="J418"/>
  <c r="K418"/>
  <c r="J419"/>
  <c r="K419"/>
  <c r="J420"/>
  <c r="K420"/>
  <c r="J421"/>
  <c r="K421"/>
  <c r="J422"/>
  <c r="K422"/>
  <c r="J423"/>
  <c r="K423"/>
  <c r="J424"/>
  <c r="K424"/>
  <c r="J425"/>
  <c r="K425"/>
  <c r="J426"/>
  <c r="K426"/>
  <c r="J427"/>
  <c r="K427"/>
  <c r="J428"/>
  <c r="K428"/>
  <c r="J429"/>
  <c r="K429"/>
  <c r="J430"/>
  <c r="K430"/>
  <c r="J431"/>
  <c r="K431"/>
  <c r="J432"/>
  <c r="K432"/>
  <c r="J433"/>
  <c r="K433"/>
  <c r="J434"/>
  <c r="K434"/>
  <c r="J435"/>
  <c r="K435"/>
  <c r="J436"/>
  <c r="K436"/>
  <c r="J437"/>
  <c r="K437"/>
  <c r="J438"/>
  <c r="K438"/>
  <c r="J439"/>
  <c r="K439"/>
  <c r="J440"/>
  <c r="K440"/>
  <c r="J441"/>
  <c r="K441"/>
  <c r="J442"/>
  <c r="K442"/>
  <c r="J443"/>
  <c r="K443"/>
  <c r="J444"/>
  <c r="K444"/>
  <c r="J445"/>
  <c r="K445"/>
  <c r="J446"/>
  <c r="K446"/>
  <c r="J447"/>
  <c r="K447"/>
  <c r="J448"/>
  <c r="K448"/>
  <c r="J449"/>
  <c r="K449"/>
  <c r="J450"/>
  <c r="K450"/>
  <c r="J451"/>
  <c r="K451"/>
  <c r="J452"/>
  <c r="K452"/>
  <c r="J453"/>
  <c r="K453"/>
  <c r="J454"/>
  <c r="K454"/>
  <c r="J455"/>
  <c r="K455"/>
  <c r="J456"/>
  <c r="K456"/>
  <c r="J457"/>
  <c r="K457"/>
  <c r="J458"/>
  <c r="K458"/>
  <c r="J459"/>
  <c r="K459"/>
  <c r="J460"/>
  <c r="K460"/>
  <c r="J461"/>
  <c r="K461"/>
  <c r="J462"/>
  <c r="K462"/>
  <c r="J463"/>
  <c r="K463"/>
  <c r="J464"/>
  <c r="K464"/>
  <c r="J465"/>
  <c r="K465"/>
  <c r="J466"/>
  <c r="K466"/>
  <c r="J467"/>
  <c r="K467"/>
  <c r="J468"/>
  <c r="K468"/>
  <c r="J469"/>
  <c r="K469"/>
  <c r="J470"/>
  <c r="K470"/>
  <c r="J471"/>
  <c r="K471"/>
  <c r="J472"/>
  <c r="K472"/>
  <c r="J473"/>
  <c r="K473"/>
  <c r="J474"/>
  <c r="K474"/>
  <c r="J475"/>
  <c r="K475"/>
  <c r="J476"/>
  <c r="K476"/>
  <c r="J477"/>
  <c r="K477"/>
  <c r="J478"/>
  <c r="K478"/>
  <c r="J479"/>
  <c r="K479"/>
  <c r="J480"/>
  <c r="K480"/>
  <c r="J481"/>
  <c r="K481"/>
  <c r="J482"/>
  <c r="K482"/>
  <c r="J483"/>
  <c r="K483"/>
  <c r="J484"/>
  <c r="K484"/>
  <c r="J485"/>
  <c r="K485"/>
  <c r="J486"/>
  <c r="K486"/>
  <c r="J487"/>
  <c r="K487"/>
  <c r="J488"/>
  <c r="K488"/>
  <c r="J489"/>
  <c r="K489"/>
  <c r="J490"/>
  <c r="K490"/>
  <c r="J491"/>
  <c r="K491"/>
  <c r="J492"/>
  <c r="K492"/>
  <c r="J493"/>
  <c r="K493"/>
  <c r="J494"/>
  <c r="K494"/>
  <c r="J495"/>
  <c r="K495"/>
  <c r="J496"/>
  <c r="K496"/>
  <c r="J497"/>
  <c r="K497"/>
  <c r="J498"/>
  <c r="K498"/>
  <c r="J499"/>
  <c r="K499"/>
  <c r="J500"/>
  <c r="K500"/>
  <c r="J501"/>
  <c r="K501"/>
  <c r="J502"/>
  <c r="K502"/>
  <c r="J503"/>
  <c r="K503"/>
  <c r="J504"/>
  <c r="K504"/>
  <c r="J505"/>
  <c r="K505"/>
  <c r="J506"/>
  <c r="K506"/>
  <c r="J507"/>
  <c r="K507"/>
  <c r="J508"/>
  <c r="K508"/>
  <c r="J509"/>
  <c r="K509"/>
  <c r="J510"/>
  <c r="K510"/>
  <c r="J511"/>
  <c r="K511"/>
  <c r="J512"/>
  <c r="K512"/>
  <c r="J513"/>
  <c r="K513"/>
  <c r="J514"/>
  <c r="K514"/>
  <c r="J515"/>
  <c r="K515"/>
  <c r="J516"/>
  <c r="K516"/>
  <c r="J517"/>
  <c r="K517"/>
  <c r="J518"/>
  <c r="K518"/>
  <c r="J519"/>
  <c r="K519"/>
  <c r="J520"/>
  <c r="K520"/>
  <c r="J521"/>
  <c r="K521"/>
  <c r="J522"/>
  <c r="K522"/>
  <c r="J523"/>
  <c r="K523"/>
  <c r="J524"/>
  <c r="K524"/>
  <c r="J525"/>
  <c r="K525"/>
  <c r="J526"/>
  <c r="K526"/>
  <c r="J527"/>
  <c r="K527"/>
  <c r="J528"/>
  <c r="K528"/>
  <c r="J529"/>
  <c r="K529"/>
  <c r="J530"/>
  <c r="K530"/>
  <c r="J531"/>
  <c r="K531"/>
  <c r="K32"/>
  <c r="J32"/>
  <c r="Q1008" i="18" l="1"/>
  <c r="Q1005"/>
  <c r="Q992"/>
  <c r="Q989"/>
  <c r="Q976"/>
  <c r="Q973"/>
  <c r="Q960"/>
  <c r="Q957"/>
  <c r="Q944"/>
  <c r="Q941"/>
  <c r="Q929"/>
  <c r="Q928"/>
  <c r="Q913"/>
  <c r="Q912"/>
  <c r="Q889"/>
  <c r="Q865"/>
  <c r="Q864"/>
  <c r="Q476"/>
  <c r="Q457"/>
  <c r="Q445"/>
  <c r="Q428"/>
  <c r="Q425"/>
  <c r="Q412"/>
  <c r="Q409"/>
  <c r="Q380"/>
  <c r="Q332"/>
  <c r="Q328"/>
  <c r="Q325"/>
  <c r="Q282"/>
  <c r="Q279"/>
  <c r="Q276"/>
  <c r="Q1009"/>
  <c r="Q980"/>
  <c r="Q977"/>
  <c r="Q884"/>
  <c r="Q477"/>
  <c r="Q475"/>
  <c r="Q473"/>
  <c r="Q437"/>
  <c r="Q421"/>
  <c r="Q389"/>
  <c r="Q329"/>
  <c r="Q320"/>
  <c r="Q281"/>
  <c r="Q278"/>
  <c r="Q106"/>
  <c r="Q99"/>
  <c r="Q627"/>
  <c r="Q615"/>
  <c r="Q611"/>
  <c r="Q607"/>
  <c r="Q603"/>
  <c r="Q599"/>
  <c r="Q595"/>
  <c r="Q591"/>
  <c r="Q587"/>
  <c r="Q579"/>
  <c r="Q575"/>
  <c r="Q571"/>
  <c r="Q567"/>
  <c r="Q543"/>
  <c r="Q539"/>
  <c r="Q531"/>
  <c r="Q527"/>
  <c r="Q519"/>
  <c r="Q515"/>
  <c r="Q511"/>
  <c r="Q507"/>
  <c r="Q503"/>
  <c r="Q499"/>
  <c r="Q190"/>
  <c r="Q158"/>
  <c r="Q1004"/>
  <c r="Q1001"/>
  <c r="Q988"/>
  <c r="Q985"/>
  <c r="Q972"/>
  <c r="Q969"/>
  <c r="Q956"/>
  <c r="Q953"/>
  <c r="Q940"/>
  <c r="Q937"/>
  <c r="Q925"/>
  <c r="Q924"/>
  <c r="Q909"/>
  <c r="Q908"/>
  <c r="Q896"/>
  <c r="Q893"/>
  <c r="Q892"/>
  <c r="Q880"/>
  <c r="Q877"/>
  <c r="Q876"/>
  <c r="Q860"/>
  <c r="Q469"/>
  <c r="Q465"/>
  <c r="Q460"/>
  <c r="Q453"/>
  <c r="Q448"/>
  <c r="Q441"/>
  <c r="Q432"/>
  <c r="Q429"/>
  <c r="Q416"/>
  <c r="Q413"/>
  <c r="Q396"/>
  <c r="Q393"/>
  <c r="Q377"/>
  <c r="Q337"/>
  <c r="Q273"/>
  <c r="Q1013"/>
  <c r="Q1000"/>
  <c r="Q997"/>
  <c r="Q984"/>
  <c r="Q981"/>
  <c r="Q968"/>
  <c r="Q965"/>
  <c r="Q952"/>
  <c r="Q949"/>
  <c r="Q936"/>
  <c r="Q920"/>
  <c r="Q904"/>
  <c r="Q897"/>
  <c r="Q881"/>
  <c r="Q873"/>
  <c r="Q872"/>
  <c r="Q857"/>
  <c r="Q472"/>
  <c r="Q468"/>
  <c r="Q464"/>
  <c r="Q461"/>
  <c r="Q452"/>
  <c r="Q449"/>
  <c r="Q436"/>
  <c r="Q433"/>
  <c r="Q420"/>
  <c r="Q417"/>
  <c r="Q400"/>
  <c r="Q397"/>
  <c r="Q384"/>
  <c r="Q381"/>
  <c r="Q372"/>
  <c r="Q364"/>
  <c r="Q356"/>
  <c r="Q348"/>
  <c r="Q336"/>
  <c r="Q333"/>
  <c r="Q277"/>
  <c r="Q110"/>
  <c r="Q102"/>
  <c r="Q1012"/>
  <c r="Q996"/>
  <c r="Q993"/>
  <c r="Q964"/>
  <c r="Q961"/>
  <c r="Q948"/>
  <c r="Q945"/>
  <c r="Q933"/>
  <c r="Q932"/>
  <c r="Q917"/>
  <c r="Q916"/>
  <c r="Q901"/>
  <c r="Q900"/>
  <c r="Q888"/>
  <c r="Q885"/>
  <c r="Q869"/>
  <c r="Q868"/>
  <c r="Q456"/>
  <c r="Q444"/>
  <c r="Q440"/>
  <c r="Q424"/>
  <c r="Q408"/>
  <c r="Q404"/>
  <c r="Q388"/>
  <c r="Q369"/>
  <c r="Q361"/>
  <c r="Q353"/>
  <c r="Q345"/>
  <c r="Q321"/>
  <c r="Q274"/>
  <c r="Q112"/>
  <c r="Q104"/>
  <c r="Q306"/>
  <c r="Q286"/>
  <c r="Q256"/>
  <c r="Q875"/>
  <c r="Q765"/>
  <c r="Q761"/>
  <c r="Q705"/>
  <c r="Q689"/>
  <c r="Q671"/>
  <c r="Q653"/>
  <c r="Q633"/>
  <c r="Q613"/>
  <c r="Q609"/>
  <c r="Q605"/>
  <c r="Q577"/>
  <c r="Q573"/>
  <c r="Q569"/>
  <c r="Q565"/>
  <c r="Q525"/>
  <c r="Q521"/>
  <c r="Q438"/>
  <c r="Q290"/>
  <c r="Q272"/>
  <c r="Q262"/>
  <c r="Q206"/>
  <c r="Q200"/>
  <c r="Q458"/>
  <c r="Q446"/>
  <c r="B18" i="4"/>
  <c r="B20" s="1"/>
  <c r="Q999" i="18"/>
  <c r="Q983"/>
  <c r="Q967"/>
  <c r="Q951"/>
  <c r="Q887"/>
  <c r="Q874"/>
  <c r="Q858"/>
  <c r="Q709"/>
  <c r="Q693"/>
  <c r="Q675"/>
  <c r="Q657"/>
  <c r="Q642"/>
  <c r="Q638"/>
  <c r="Q482"/>
  <c r="Q316"/>
  <c r="Q240"/>
  <c r="Q222"/>
  <c r="Q216"/>
  <c r="Q855"/>
  <c r="Q851"/>
  <c r="Q847"/>
  <c r="Q843"/>
  <c r="Q839"/>
  <c r="Q835"/>
  <c r="Q831"/>
  <c r="Q827"/>
  <c r="Q823"/>
  <c r="Q819"/>
  <c r="Q815"/>
  <c r="Q811"/>
  <c r="Q807"/>
  <c r="Q803"/>
  <c r="Q799"/>
  <c r="Q795"/>
  <c r="Q791"/>
  <c r="Q787"/>
  <c r="Q783"/>
  <c r="Q779"/>
  <c r="Q775"/>
  <c r="Q771"/>
  <c r="Q751"/>
  <c r="Q697"/>
  <c r="Q679"/>
  <c r="Q646"/>
  <c r="Q631"/>
  <c r="Q623"/>
  <c r="Q619"/>
  <c r="Q583"/>
  <c r="Q563"/>
  <c r="Q559"/>
  <c r="Q555"/>
  <c r="Q551"/>
  <c r="Q547"/>
  <c r="Q535"/>
  <c r="Q523"/>
  <c r="Q495"/>
  <c r="Q491"/>
  <c r="Q487"/>
  <c r="Q483"/>
  <c r="Q479"/>
  <c r="Q443"/>
  <c r="Q300"/>
  <c r="Q246"/>
  <c r="Q226"/>
  <c r="Q184"/>
  <c r="Q174"/>
  <c r="Q168"/>
  <c r="Q152"/>
  <c r="Q142"/>
  <c r="Q132"/>
  <c r="Q122"/>
  <c r="Q116"/>
  <c r="Q1007"/>
  <c r="Q991"/>
  <c r="Q975"/>
  <c r="Q959"/>
  <c r="Q943"/>
  <c r="Q895"/>
  <c r="Q879"/>
  <c r="Q866"/>
  <c r="Q757"/>
  <c r="Q701"/>
  <c r="Q685"/>
  <c r="Q650"/>
  <c r="Q470"/>
  <c r="Q455"/>
  <c r="Q911"/>
  <c r="Q883"/>
  <c r="Q1006"/>
  <c r="Q998"/>
  <c r="Q990"/>
  <c r="Q982"/>
  <c r="Q974"/>
  <c r="Q966"/>
  <c r="Q958"/>
  <c r="Q950"/>
  <c r="Q942"/>
  <c r="Q898"/>
  <c r="Q890"/>
  <c r="Q882"/>
  <c r="Q871"/>
  <c r="Q863"/>
  <c r="Q935"/>
  <c r="Q922"/>
  <c r="Q903"/>
  <c r="Q891"/>
  <c r="Q934"/>
  <c r="Q931"/>
  <c r="Q926"/>
  <c r="Q923"/>
  <c r="Q918"/>
  <c r="Q915"/>
  <c r="Q910"/>
  <c r="Q907"/>
  <c r="Q902"/>
  <c r="Q894"/>
  <c r="Q886"/>
  <c r="Q878"/>
  <c r="Q870"/>
  <c r="Q853"/>
  <c r="Q849"/>
  <c r="Q845"/>
  <c r="Q841"/>
  <c r="Q837"/>
  <c r="Q833"/>
  <c r="Q829"/>
  <c r="Q825"/>
  <c r="Q821"/>
  <c r="Q817"/>
  <c r="Q813"/>
  <c r="Q809"/>
  <c r="Q805"/>
  <c r="Q801"/>
  <c r="Q797"/>
  <c r="Q793"/>
  <c r="Q789"/>
  <c r="Q785"/>
  <c r="Q781"/>
  <c r="Q777"/>
  <c r="Q773"/>
  <c r="Q930"/>
  <c r="Q927"/>
  <c r="Q919"/>
  <c r="Q914"/>
  <c r="Q906"/>
  <c r="Q899"/>
  <c r="Q1010"/>
  <c r="Q1002"/>
  <c r="Q994"/>
  <c r="Q986"/>
  <c r="Q978"/>
  <c r="Q970"/>
  <c r="Q962"/>
  <c r="Q954"/>
  <c r="Q946"/>
  <c r="Q938"/>
  <c r="Q769"/>
  <c r="Q755"/>
  <c r="Q745"/>
  <c r="Q741"/>
  <c r="Q737"/>
  <c r="Q733"/>
  <c r="Q729"/>
  <c r="Q725"/>
  <c r="Q721"/>
  <c r="Q717"/>
  <c r="Q713"/>
  <c r="Q683"/>
  <c r="Q665"/>
  <c r="Q661"/>
  <c r="Q651"/>
  <c r="Q647"/>
  <c r="Q643"/>
  <c r="Q639"/>
  <c r="Q635"/>
  <c r="Q867"/>
  <c r="Q862"/>
  <c r="Q859"/>
  <c r="Q854"/>
  <c r="Q852"/>
  <c r="Q850"/>
  <c r="Q848"/>
  <c r="Q846"/>
  <c r="Q844"/>
  <c r="Q842"/>
  <c r="Q840"/>
  <c r="Q838"/>
  <c r="Q836"/>
  <c r="Q834"/>
  <c r="Q832"/>
  <c r="Q830"/>
  <c r="Q828"/>
  <c r="Q826"/>
  <c r="Q824"/>
  <c r="Q822"/>
  <c r="Q820"/>
  <c r="Q818"/>
  <c r="Q816"/>
  <c r="Q814"/>
  <c r="Q812"/>
  <c r="Q810"/>
  <c r="Q808"/>
  <c r="Q806"/>
  <c r="Q804"/>
  <c r="Q802"/>
  <c r="Q800"/>
  <c r="Q798"/>
  <c r="Q796"/>
  <c r="Q794"/>
  <c r="Q792"/>
  <c r="Q790"/>
  <c r="Q788"/>
  <c r="Q786"/>
  <c r="Q784"/>
  <c r="Q782"/>
  <c r="Q780"/>
  <c r="Q778"/>
  <c r="Q776"/>
  <c r="Q774"/>
  <c r="Q772"/>
  <c r="Q767"/>
  <c r="Q763"/>
  <c r="Q759"/>
  <c r="Q749"/>
  <c r="Q711"/>
  <c r="Q707"/>
  <c r="Q703"/>
  <c r="Q699"/>
  <c r="Q695"/>
  <c r="Q691"/>
  <c r="Q687"/>
  <c r="Q677"/>
  <c r="Q673"/>
  <c r="Q669"/>
  <c r="Q659"/>
  <c r="Q655"/>
  <c r="Q648"/>
  <c r="Q644"/>
  <c r="Q640"/>
  <c r="Q753"/>
  <c r="Q747"/>
  <c r="Q743"/>
  <c r="Q739"/>
  <c r="Q735"/>
  <c r="Q731"/>
  <c r="Q727"/>
  <c r="Q723"/>
  <c r="Q719"/>
  <c r="Q715"/>
  <c r="Q681"/>
  <c r="Q667"/>
  <c r="Q663"/>
  <c r="Q649"/>
  <c r="Q645"/>
  <c r="Q641"/>
  <c r="Q637"/>
  <c r="Q636"/>
  <c r="Q632"/>
  <c r="Q628"/>
  <c r="Q624"/>
  <c r="Q620"/>
  <c r="Q616"/>
  <c r="Q612"/>
  <c r="Q608"/>
  <c r="Q604"/>
  <c r="Q600"/>
  <c r="Q596"/>
  <c r="Q592"/>
  <c r="Q588"/>
  <c r="Q584"/>
  <c r="Q580"/>
  <c r="Q576"/>
  <c r="Q572"/>
  <c r="Q568"/>
  <c r="Q564"/>
  <c r="Q560"/>
  <c r="Q556"/>
  <c r="Q552"/>
  <c r="Q548"/>
  <c r="Q544"/>
  <c r="Q540"/>
  <c r="Q536"/>
  <c r="Q532"/>
  <c r="Q528"/>
  <c r="Q524"/>
  <c r="Q520"/>
  <c r="Q516"/>
  <c r="Q512"/>
  <c r="Q508"/>
  <c r="Q504"/>
  <c r="Q500"/>
  <c r="Q496"/>
  <c r="Q492"/>
  <c r="Q488"/>
  <c r="Q484"/>
  <c r="Q480"/>
  <c r="Q462"/>
  <c r="Q450"/>
  <c r="Q442"/>
  <c r="Q439"/>
  <c r="Q434"/>
  <c r="Q431"/>
  <c r="Q426"/>
  <c r="Q423"/>
  <c r="Q418"/>
  <c r="Q415"/>
  <c r="Q410"/>
  <c r="Q407"/>
  <c r="Q402"/>
  <c r="Q399"/>
  <c r="Q394"/>
  <c r="Q391"/>
  <c r="Q386"/>
  <c r="Q383"/>
  <c r="Q378"/>
  <c r="Q375"/>
  <c r="Q629"/>
  <c r="Q625"/>
  <c r="Q621"/>
  <c r="Q617"/>
  <c r="Q601"/>
  <c r="Q597"/>
  <c r="Q593"/>
  <c r="Q589"/>
  <c r="Q585"/>
  <c r="Q581"/>
  <c r="Q561"/>
  <c r="Q557"/>
  <c r="Q553"/>
  <c r="Q549"/>
  <c r="Q545"/>
  <c r="Q541"/>
  <c r="Q537"/>
  <c r="Q533"/>
  <c r="Q529"/>
  <c r="Q517"/>
  <c r="Q513"/>
  <c r="Q509"/>
  <c r="Q505"/>
  <c r="Q501"/>
  <c r="Q497"/>
  <c r="Q493"/>
  <c r="Q489"/>
  <c r="Q485"/>
  <c r="Q481"/>
  <c r="Q474"/>
  <c r="Q471"/>
  <c r="Q459"/>
  <c r="Q454"/>
  <c r="Q374"/>
  <c r="Q634"/>
  <c r="Q630"/>
  <c r="Q626"/>
  <c r="Q622"/>
  <c r="Q618"/>
  <c r="Q614"/>
  <c r="Q610"/>
  <c r="Q606"/>
  <c r="Q602"/>
  <c r="Q598"/>
  <c r="Q594"/>
  <c r="Q590"/>
  <c r="Q586"/>
  <c r="Q582"/>
  <c r="Q578"/>
  <c r="Q574"/>
  <c r="Q570"/>
  <c r="Q566"/>
  <c r="Q562"/>
  <c r="Q558"/>
  <c r="Q554"/>
  <c r="Q550"/>
  <c r="Q546"/>
  <c r="Q542"/>
  <c r="Q538"/>
  <c r="Q534"/>
  <c r="Q530"/>
  <c r="Q526"/>
  <c r="Q522"/>
  <c r="Q518"/>
  <c r="Q514"/>
  <c r="Q510"/>
  <c r="Q506"/>
  <c r="Q502"/>
  <c r="Q498"/>
  <c r="Q494"/>
  <c r="Q490"/>
  <c r="Q486"/>
  <c r="Q478"/>
  <c r="Q466"/>
  <c r="Q435"/>
  <c r="Q430"/>
  <c r="Q427"/>
  <c r="Q422"/>
  <c r="Q419"/>
  <c r="Q414"/>
  <c r="Q411"/>
  <c r="Q406"/>
  <c r="Q403"/>
  <c r="Q398"/>
  <c r="Q395"/>
  <c r="Q390"/>
  <c r="Q387"/>
  <c r="Q382"/>
  <c r="Q379"/>
  <c r="Q370"/>
  <c r="Q367"/>
  <c r="Q362"/>
  <c r="Q359"/>
  <c r="Q354"/>
  <c r="Q351"/>
  <c r="Q346"/>
  <c r="Q343"/>
  <c r="Q338"/>
  <c r="Q335"/>
  <c r="Q330"/>
  <c r="Q327"/>
  <c r="Q322"/>
  <c r="Q319"/>
  <c r="Q310"/>
  <c r="Q304"/>
  <c r="Q294"/>
  <c r="Q284"/>
  <c r="Q270"/>
  <c r="Q266"/>
  <c r="Q260"/>
  <c r="Q250"/>
  <c r="Q244"/>
  <c r="Q234"/>
  <c r="Q230"/>
  <c r="Q220"/>
  <c r="Q210"/>
  <c r="Q204"/>
  <c r="Q194"/>
  <c r="Q188"/>
  <c r="Q178"/>
  <c r="Q172"/>
  <c r="Q162"/>
  <c r="Q156"/>
  <c r="Q146"/>
  <c r="Q140"/>
  <c r="Q136"/>
  <c r="Q126"/>
  <c r="Q120"/>
  <c r="Q91"/>
  <c r="Q89"/>
  <c r="Q87"/>
  <c r="Q85"/>
  <c r="Q83"/>
  <c r="Q81"/>
  <c r="Q79"/>
  <c r="Q77"/>
  <c r="Q75"/>
  <c r="Q73"/>
  <c r="Q71"/>
  <c r="Q69"/>
  <c r="Q67"/>
  <c r="Q65"/>
  <c r="Q63"/>
  <c r="Q61"/>
  <c r="Q59"/>
  <c r="Q57"/>
  <c r="Q55"/>
  <c r="Q53"/>
  <c r="Q51"/>
  <c r="Q49"/>
  <c r="Q47"/>
  <c r="Q45"/>
  <c r="Q43"/>
  <c r="Q41"/>
  <c r="Q39"/>
  <c r="Q37"/>
  <c r="Q35"/>
  <c r="Q33"/>
  <c r="Q31"/>
  <c r="Q29"/>
  <c r="Q314"/>
  <c r="Q308"/>
  <c r="Q298"/>
  <c r="Q292"/>
  <c r="Q288"/>
  <c r="Q264"/>
  <c r="Q254"/>
  <c r="Q248"/>
  <c r="Q238"/>
  <c r="Q228"/>
  <c r="Q224"/>
  <c r="Q214"/>
  <c r="Q208"/>
  <c r="Q198"/>
  <c r="Q192"/>
  <c r="Q182"/>
  <c r="Q176"/>
  <c r="Q166"/>
  <c r="Q160"/>
  <c r="Q150"/>
  <c r="Q144"/>
  <c r="Q130"/>
  <c r="Q124"/>
  <c r="Q114"/>
  <c r="Q371"/>
  <c r="Q366"/>
  <c r="Q363"/>
  <c r="Q358"/>
  <c r="Q355"/>
  <c r="Q350"/>
  <c r="Q347"/>
  <c r="Q342"/>
  <c r="Q339"/>
  <c r="Q334"/>
  <c r="Q331"/>
  <c r="Q326"/>
  <c r="Q323"/>
  <c r="Q318"/>
  <c r="Q312"/>
  <c r="Q302"/>
  <c r="Q296"/>
  <c r="Q268"/>
  <c r="Q258"/>
  <c r="Q252"/>
  <c r="Q242"/>
  <c r="Q236"/>
  <c r="Q232"/>
  <c r="Q218"/>
  <c r="Q212"/>
  <c r="Q202"/>
  <c r="Q196"/>
  <c r="Q186"/>
  <c r="Q180"/>
  <c r="Q170"/>
  <c r="Q164"/>
  <c r="Q154"/>
  <c r="Q148"/>
  <c r="Q138"/>
  <c r="Q134"/>
  <c r="Q128"/>
  <c r="Q118"/>
  <c r="Q92"/>
  <c r="Q90"/>
  <c r="Q88"/>
  <c r="Q86"/>
  <c r="Q84"/>
  <c r="Q82"/>
  <c r="Q80"/>
  <c r="Q78"/>
  <c r="Q76"/>
  <c r="Q74"/>
  <c r="Q72"/>
  <c r="Q70"/>
  <c r="Q68"/>
  <c r="Q66"/>
  <c r="Q64"/>
  <c r="Q62"/>
  <c r="Q60"/>
  <c r="Q58"/>
  <c r="Q56"/>
  <c r="Q54"/>
  <c r="Q52"/>
  <c r="Q50"/>
  <c r="Q48"/>
  <c r="Q46"/>
  <c r="Q44"/>
  <c r="Q42"/>
  <c r="Q40"/>
  <c r="Q38"/>
  <c r="Q36"/>
  <c r="Q34"/>
  <c r="Q32"/>
  <c r="Q30"/>
  <c r="Q1011"/>
  <c r="Q1003"/>
  <c r="Q995"/>
  <c r="Q987"/>
  <c r="Q979"/>
  <c r="Q971"/>
  <c r="Q963"/>
  <c r="Q955"/>
  <c r="Q947"/>
  <c r="Q939"/>
  <c r="M6" i="20"/>
  <c r="B7" s="1"/>
  <c r="M9"/>
  <c r="B10" s="1"/>
  <c r="M20"/>
  <c r="F19" s="1"/>
  <c r="Q768" i="18"/>
  <c r="Q764"/>
  <c r="Q760"/>
  <c r="Q756"/>
  <c r="Q752"/>
  <c r="Q748"/>
  <c r="Q744"/>
  <c r="Q740"/>
  <c r="Q736"/>
  <c r="Q732"/>
  <c r="Q728"/>
  <c r="Q724"/>
  <c r="Q720"/>
  <c r="Q716"/>
  <c r="Q712"/>
  <c r="Q708"/>
  <c r="Q704"/>
  <c r="Q700"/>
  <c r="Q696"/>
  <c r="Q692"/>
  <c r="Q688"/>
  <c r="Q684"/>
  <c r="Q680"/>
  <c r="Q676"/>
  <c r="Q672"/>
  <c r="Q668"/>
  <c r="Q664"/>
  <c r="Q660"/>
  <c r="Q656"/>
  <c r="Q652"/>
  <c r="Q463"/>
  <c r="Q447"/>
  <c r="Q467"/>
  <c r="Q451"/>
  <c r="Q770"/>
  <c r="Q766"/>
  <c r="Q762"/>
  <c r="Q758"/>
  <c r="Q754"/>
  <c r="Q750"/>
  <c r="Q746"/>
  <c r="Q742"/>
  <c r="Q738"/>
  <c r="Q734"/>
  <c r="Q730"/>
  <c r="Q726"/>
  <c r="Q722"/>
  <c r="Q718"/>
  <c r="Q714"/>
  <c r="Q710"/>
  <c r="Q706"/>
  <c r="Q702"/>
  <c r="Q698"/>
  <c r="Q694"/>
  <c r="Q690"/>
  <c r="Q686"/>
  <c r="Q682"/>
  <c r="Q678"/>
  <c r="Q674"/>
  <c r="Q670"/>
  <c r="Q666"/>
  <c r="Q662"/>
  <c r="Q658"/>
  <c r="Q654"/>
  <c r="Q317"/>
  <c r="Q313"/>
  <c r="Q309"/>
  <c r="Q305"/>
  <c r="Q301"/>
  <c r="Q297"/>
  <c r="Q293"/>
  <c r="Q289"/>
  <c r="Q285"/>
  <c r="Q315"/>
  <c r="Q311"/>
  <c r="Q307"/>
  <c r="Q303"/>
  <c r="Q299"/>
  <c r="Q295"/>
  <c r="Q291"/>
  <c r="Q287"/>
  <c r="Q283"/>
  <c r="Q269"/>
  <c r="Q265"/>
  <c r="Q261"/>
  <c r="Q257"/>
  <c r="Q253"/>
  <c r="Q249"/>
  <c r="Q245"/>
  <c r="Q241"/>
  <c r="Q237"/>
  <c r="Q233"/>
  <c r="Q229"/>
  <c r="Q225"/>
  <c r="Q221"/>
  <c r="Q217"/>
  <c r="Q213"/>
  <c r="Q209"/>
  <c r="Q205"/>
  <c r="Q201"/>
  <c r="Q197"/>
  <c r="Q193"/>
  <c r="Q189"/>
  <c r="Q185"/>
  <c r="Q181"/>
  <c r="Q177"/>
  <c r="Q173"/>
  <c r="Q169"/>
  <c r="Q165"/>
  <c r="Q161"/>
  <c r="Q157"/>
  <c r="Q153"/>
  <c r="Q149"/>
  <c r="Q145"/>
  <c r="Q141"/>
  <c r="Q137"/>
  <c r="Q133"/>
  <c r="Q129"/>
  <c r="Q125"/>
  <c r="Q121"/>
  <c r="Q117"/>
  <c r="Q113"/>
  <c r="Q109"/>
  <c r="Q105"/>
  <c r="Q101"/>
  <c r="Q271"/>
  <c r="Q267"/>
  <c r="Q263"/>
  <c r="Q259"/>
  <c r="Q255"/>
  <c r="Q251"/>
  <c r="Q247"/>
  <c r="Q243"/>
  <c r="Q239"/>
  <c r="Q235"/>
  <c r="Q231"/>
  <c r="Q227"/>
  <c r="Q223"/>
  <c r="Q219"/>
  <c r="Q215"/>
  <c r="Q211"/>
  <c r="Q207"/>
  <c r="Q203"/>
  <c r="Q199"/>
  <c r="Q195"/>
  <c r="Q191"/>
  <c r="Q187"/>
  <c r="Q183"/>
  <c r="Q179"/>
  <c r="Q175"/>
  <c r="Q171"/>
  <c r="Q167"/>
  <c r="Q163"/>
  <c r="Q159"/>
  <c r="Q155"/>
  <c r="Q151"/>
  <c r="Q147"/>
  <c r="Q143"/>
  <c r="Q139"/>
  <c r="Q135"/>
  <c r="Q131"/>
  <c r="Q127"/>
  <c r="Q123"/>
  <c r="Q119"/>
  <c r="Q115"/>
  <c r="Q97"/>
  <c r="Q95"/>
  <c r="Q93"/>
  <c r="Q98"/>
  <c r="Q96"/>
  <c r="Q94"/>
  <c r="M12" i="20"/>
  <c r="B13" s="1"/>
  <c r="M19"/>
  <c r="D19" s="1"/>
  <c r="M15"/>
  <c r="B16" s="1"/>
  <c r="M11"/>
  <c r="F10" s="1"/>
  <c r="M7"/>
  <c r="D7" s="1"/>
  <c r="M16"/>
  <c r="D16" s="1"/>
  <c r="M18"/>
  <c r="B19" s="1"/>
  <c r="M14"/>
  <c r="F13" s="1"/>
  <c r="M10"/>
  <c r="D10" s="1"/>
  <c r="M8"/>
  <c r="F7" s="1"/>
  <c r="M17"/>
  <c r="F16" s="1"/>
  <c r="M13"/>
  <c r="D13" s="1"/>
  <c r="K31" i="10"/>
  <c r="J31"/>
  <c r="O29"/>
  <c r="O25"/>
  <c r="O21"/>
  <c r="O17"/>
  <c r="B17" s="1"/>
  <c r="B18" s="1"/>
  <c r="B19" s="1"/>
  <c r="B20" s="1"/>
  <c r="N15" i="18"/>
  <c r="N16"/>
  <c r="M15"/>
  <c r="M16"/>
  <c r="M17"/>
  <c r="N17" s="1"/>
  <c r="M18"/>
  <c r="N18" s="1"/>
  <c r="M19"/>
  <c r="N19" s="1"/>
  <c r="M20"/>
  <c r="N20" s="1"/>
  <c r="M21"/>
  <c r="N21" s="1"/>
  <c r="M22"/>
  <c r="N22" s="1"/>
  <c r="M23"/>
  <c r="N23" s="1"/>
  <c r="M24"/>
  <c r="N24" s="1"/>
  <c r="M25"/>
  <c r="N25" s="1"/>
  <c r="M26"/>
  <c r="N26" s="1"/>
  <c r="M27"/>
  <c r="N27" s="1"/>
  <c r="M28"/>
  <c r="N28" s="1"/>
  <c r="M1014"/>
  <c r="N1014" s="1"/>
  <c r="M14"/>
  <c r="N14" s="1"/>
  <c r="G537" i="10"/>
  <c r="C33"/>
  <c r="O33" s="1"/>
  <c r="D33"/>
  <c r="E33"/>
  <c r="C34"/>
  <c r="O34" s="1"/>
  <c r="D34"/>
  <c r="E34"/>
  <c r="C35"/>
  <c r="O35" s="1"/>
  <c r="D35"/>
  <c r="E35"/>
  <c r="C36"/>
  <c r="O36" s="1"/>
  <c r="D36"/>
  <c r="E36"/>
  <c r="C37"/>
  <c r="O37" s="1"/>
  <c r="D37"/>
  <c r="E37"/>
  <c r="C38"/>
  <c r="O38" s="1"/>
  <c r="D38"/>
  <c r="E38"/>
  <c r="C39"/>
  <c r="O39" s="1"/>
  <c r="D39"/>
  <c r="E39"/>
  <c r="C40"/>
  <c r="O40" s="1"/>
  <c r="B40" s="1"/>
  <c r="D40"/>
  <c r="E40"/>
  <c r="C41"/>
  <c r="O41" s="1"/>
  <c r="B41" s="1"/>
  <c r="D41"/>
  <c r="E41"/>
  <c r="C42"/>
  <c r="O42" s="1"/>
  <c r="B42" s="1"/>
  <c r="D42"/>
  <c r="E42"/>
  <c r="C43"/>
  <c r="O43" s="1"/>
  <c r="B43" s="1"/>
  <c r="D43"/>
  <c r="E43"/>
  <c r="C44"/>
  <c r="O44" s="1"/>
  <c r="B44" s="1"/>
  <c r="D44"/>
  <c r="E44"/>
  <c r="C45"/>
  <c r="O45" s="1"/>
  <c r="B45" s="1"/>
  <c r="D45"/>
  <c r="E45"/>
  <c r="C46"/>
  <c r="O46" s="1"/>
  <c r="B46" s="1"/>
  <c r="D46"/>
  <c r="E46"/>
  <c r="C47"/>
  <c r="O47" s="1"/>
  <c r="B47" s="1"/>
  <c r="D47"/>
  <c r="E47"/>
  <c r="C48"/>
  <c r="O48" s="1"/>
  <c r="B48" s="1"/>
  <c r="D48"/>
  <c r="E48"/>
  <c r="C49"/>
  <c r="O49" s="1"/>
  <c r="B49" s="1"/>
  <c r="D49"/>
  <c r="E49"/>
  <c r="C50"/>
  <c r="O50" s="1"/>
  <c r="B50" s="1"/>
  <c r="D50"/>
  <c r="E50"/>
  <c r="C51"/>
  <c r="O51" s="1"/>
  <c r="B51" s="1"/>
  <c r="D51"/>
  <c r="E51"/>
  <c r="C52"/>
  <c r="O52" s="1"/>
  <c r="B52" s="1"/>
  <c r="D52"/>
  <c r="E52"/>
  <c r="C53"/>
  <c r="O53" s="1"/>
  <c r="B53" s="1"/>
  <c r="D53"/>
  <c r="E53"/>
  <c r="C54"/>
  <c r="O54" s="1"/>
  <c r="B54" s="1"/>
  <c r="D54"/>
  <c r="E54"/>
  <c r="C55"/>
  <c r="O55" s="1"/>
  <c r="B55" s="1"/>
  <c r="D55"/>
  <c r="E55"/>
  <c r="C56"/>
  <c r="O56" s="1"/>
  <c r="B56" s="1"/>
  <c r="D56"/>
  <c r="E56"/>
  <c r="C57"/>
  <c r="O57" s="1"/>
  <c r="B57" s="1"/>
  <c r="D57"/>
  <c r="E57"/>
  <c r="C58"/>
  <c r="O58" s="1"/>
  <c r="B58" s="1"/>
  <c r="D58"/>
  <c r="E58"/>
  <c r="C59"/>
  <c r="O59" s="1"/>
  <c r="B59" s="1"/>
  <c r="D59"/>
  <c r="E59"/>
  <c r="C60"/>
  <c r="O60" s="1"/>
  <c r="B60" s="1"/>
  <c r="D60"/>
  <c r="E60"/>
  <c r="C61"/>
  <c r="O61" s="1"/>
  <c r="B61" s="1"/>
  <c r="D61"/>
  <c r="E61"/>
  <c r="C62"/>
  <c r="O62" s="1"/>
  <c r="B62" s="1"/>
  <c r="D62"/>
  <c r="E62"/>
  <c r="C63"/>
  <c r="O63" s="1"/>
  <c r="B63" s="1"/>
  <c r="D63"/>
  <c r="E63"/>
  <c r="C64"/>
  <c r="O64" s="1"/>
  <c r="B64" s="1"/>
  <c r="D64"/>
  <c r="E64"/>
  <c r="C65"/>
  <c r="O65" s="1"/>
  <c r="B65" s="1"/>
  <c r="D65"/>
  <c r="E65"/>
  <c r="C66"/>
  <c r="O66" s="1"/>
  <c r="B66" s="1"/>
  <c r="D66"/>
  <c r="E66"/>
  <c r="C67"/>
  <c r="O67" s="1"/>
  <c r="B67" s="1"/>
  <c r="D67"/>
  <c r="E67"/>
  <c r="C68"/>
  <c r="O68" s="1"/>
  <c r="B68" s="1"/>
  <c r="D68"/>
  <c r="E68"/>
  <c r="C69"/>
  <c r="O69" s="1"/>
  <c r="B69" s="1"/>
  <c r="D69"/>
  <c r="E69"/>
  <c r="C70"/>
  <c r="O70" s="1"/>
  <c r="B70" s="1"/>
  <c r="D70"/>
  <c r="E70"/>
  <c r="C71"/>
  <c r="O71" s="1"/>
  <c r="B71" s="1"/>
  <c r="D71"/>
  <c r="E71"/>
  <c r="C72"/>
  <c r="O72" s="1"/>
  <c r="B72" s="1"/>
  <c r="D72"/>
  <c r="E72"/>
  <c r="C73"/>
  <c r="O73" s="1"/>
  <c r="B73" s="1"/>
  <c r="D73"/>
  <c r="E73"/>
  <c r="C74"/>
  <c r="O74" s="1"/>
  <c r="B74" s="1"/>
  <c r="D74"/>
  <c r="E74"/>
  <c r="C75"/>
  <c r="O75" s="1"/>
  <c r="B75" s="1"/>
  <c r="D75"/>
  <c r="E75"/>
  <c r="C76"/>
  <c r="O76" s="1"/>
  <c r="B76" s="1"/>
  <c r="D76"/>
  <c r="E76"/>
  <c r="C77"/>
  <c r="O77" s="1"/>
  <c r="B77" s="1"/>
  <c r="D77"/>
  <c r="E77"/>
  <c r="C78"/>
  <c r="O78" s="1"/>
  <c r="B78" s="1"/>
  <c r="D78"/>
  <c r="E78"/>
  <c r="C79"/>
  <c r="O79" s="1"/>
  <c r="B79" s="1"/>
  <c r="D79"/>
  <c r="E79"/>
  <c r="C80"/>
  <c r="O80" s="1"/>
  <c r="B80" s="1"/>
  <c r="D80"/>
  <c r="E80"/>
  <c r="C81"/>
  <c r="O81" s="1"/>
  <c r="B81" s="1"/>
  <c r="D81"/>
  <c r="E81"/>
  <c r="C82"/>
  <c r="O82" s="1"/>
  <c r="B82" s="1"/>
  <c r="D82"/>
  <c r="E82"/>
  <c r="C83"/>
  <c r="O83" s="1"/>
  <c r="B83" s="1"/>
  <c r="D83"/>
  <c r="E83"/>
  <c r="C84"/>
  <c r="O84" s="1"/>
  <c r="B84" s="1"/>
  <c r="D84"/>
  <c r="E84"/>
  <c r="C85"/>
  <c r="O85" s="1"/>
  <c r="B85" s="1"/>
  <c r="D85"/>
  <c r="E85"/>
  <c r="C86"/>
  <c r="O86" s="1"/>
  <c r="B86" s="1"/>
  <c r="D86"/>
  <c r="E86"/>
  <c r="C87"/>
  <c r="O87" s="1"/>
  <c r="B87" s="1"/>
  <c r="D87"/>
  <c r="E87"/>
  <c r="C88"/>
  <c r="O88" s="1"/>
  <c r="B88" s="1"/>
  <c r="D88"/>
  <c r="E88"/>
  <c r="C89"/>
  <c r="O89" s="1"/>
  <c r="B89" s="1"/>
  <c r="D89"/>
  <c r="E89"/>
  <c r="C90"/>
  <c r="O90" s="1"/>
  <c r="B90" s="1"/>
  <c r="D90"/>
  <c r="E90"/>
  <c r="C91"/>
  <c r="O91" s="1"/>
  <c r="B91" s="1"/>
  <c r="D91"/>
  <c r="E91"/>
  <c r="C92"/>
  <c r="O92" s="1"/>
  <c r="B92" s="1"/>
  <c r="D92"/>
  <c r="E92"/>
  <c r="C93"/>
  <c r="O93" s="1"/>
  <c r="B93" s="1"/>
  <c r="D93"/>
  <c r="E93"/>
  <c r="C94"/>
  <c r="O94" s="1"/>
  <c r="B94" s="1"/>
  <c r="D94"/>
  <c r="E94"/>
  <c r="C95"/>
  <c r="O95" s="1"/>
  <c r="B95" s="1"/>
  <c r="D95"/>
  <c r="E95"/>
  <c r="C96"/>
  <c r="O96" s="1"/>
  <c r="B96" s="1"/>
  <c r="D96"/>
  <c r="E96"/>
  <c r="C97"/>
  <c r="O97" s="1"/>
  <c r="B97" s="1"/>
  <c r="D97"/>
  <c r="E97"/>
  <c r="C98"/>
  <c r="O98" s="1"/>
  <c r="B98" s="1"/>
  <c r="D98"/>
  <c r="E98"/>
  <c r="C99"/>
  <c r="O99" s="1"/>
  <c r="B99" s="1"/>
  <c r="D99"/>
  <c r="E99"/>
  <c r="C100"/>
  <c r="O100" s="1"/>
  <c r="B100" s="1"/>
  <c r="D100"/>
  <c r="E100"/>
  <c r="C101"/>
  <c r="O101" s="1"/>
  <c r="B101" s="1"/>
  <c r="D101"/>
  <c r="E101"/>
  <c r="C102"/>
  <c r="O102" s="1"/>
  <c r="B102" s="1"/>
  <c r="D102"/>
  <c r="E102"/>
  <c r="C103"/>
  <c r="O103" s="1"/>
  <c r="B103" s="1"/>
  <c r="D103"/>
  <c r="E103"/>
  <c r="C104"/>
  <c r="O104" s="1"/>
  <c r="B104" s="1"/>
  <c r="D104"/>
  <c r="E104"/>
  <c r="C105"/>
  <c r="O105" s="1"/>
  <c r="B105" s="1"/>
  <c r="D105"/>
  <c r="E105"/>
  <c r="C106"/>
  <c r="O106" s="1"/>
  <c r="B106" s="1"/>
  <c r="D106"/>
  <c r="E106"/>
  <c r="C107"/>
  <c r="O107" s="1"/>
  <c r="B107" s="1"/>
  <c r="D107"/>
  <c r="E107"/>
  <c r="C108"/>
  <c r="O108" s="1"/>
  <c r="B108" s="1"/>
  <c r="D108"/>
  <c r="E108"/>
  <c r="C109"/>
  <c r="O109" s="1"/>
  <c r="B109" s="1"/>
  <c r="D109"/>
  <c r="E109"/>
  <c r="C110"/>
  <c r="O110" s="1"/>
  <c r="B110" s="1"/>
  <c r="D110"/>
  <c r="E110"/>
  <c r="C111"/>
  <c r="O111" s="1"/>
  <c r="B111" s="1"/>
  <c r="D111"/>
  <c r="E111"/>
  <c r="C112"/>
  <c r="O112" s="1"/>
  <c r="B112" s="1"/>
  <c r="D112"/>
  <c r="E112"/>
  <c r="C113"/>
  <c r="O113" s="1"/>
  <c r="B113" s="1"/>
  <c r="D113"/>
  <c r="E113"/>
  <c r="C114"/>
  <c r="O114" s="1"/>
  <c r="B114" s="1"/>
  <c r="D114"/>
  <c r="E114"/>
  <c r="C115"/>
  <c r="O115" s="1"/>
  <c r="B115" s="1"/>
  <c r="D115"/>
  <c r="E115"/>
  <c r="C116"/>
  <c r="O116" s="1"/>
  <c r="B116" s="1"/>
  <c r="D116"/>
  <c r="E116"/>
  <c r="C117"/>
  <c r="O117" s="1"/>
  <c r="B117" s="1"/>
  <c r="D117"/>
  <c r="E117"/>
  <c r="C118"/>
  <c r="O118" s="1"/>
  <c r="B118" s="1"/>
  <c r="D118"/>
  <c r="E118"/>
  <c r="C119"/>
  <c r="O119" s="1"/>
  <c r="B119" s="1"/>
  <c r="D119"/>
  <c r="E119"/>
  <c r="C120"/>
  <c r="O120" s="1"/>
  <c r="B120" s="1"/>
  <c r="D120"/>
  <c r="E120"/>
  <c r="C121"/>
  <c r="O121" s="1"/>
  <c r="B121" s="1"/>
  <c r="D121"/>
  <c r="E121"/>
  <c r="C122"/>
  <c r="O122" s="1"/>
  <c r="B122" s="1"/>
  <c r="D122"/>
  <c r="E122"/>
  <c r="C123"/>
  <c r="O123" s="1"/>
  <c r="B123" s="1"/>
  <c r="D123"/>
  <c r="E123"/>
  <c r="C124"/>
  <c r="O124" s="1"/>
  <c r="B124" s="1"/>
  <c r="D124"/>
  <c r="E124"/>
  <c r="C125"/>
  <c r="O125" s="1"/>
  <c r="B125" s="1"/>
  <c r="D125"/>
  <c r="E125"/>
  <c r="C126"/>
  <c r="O126" s="1"/>
  <c r="B126" s="1"/>
  <c r="D126"/>
  <c r="E126"/>
  <c r="C127"/>
  <c r="O127" s="1"/>
  <c r="B127" s="1"/>
  <c r="D127"/>
  <c r="E127"/>
  <c r="C128"/>
  <c r="O128" s="1"/>
  <c r="B128" s="1"/>
  <c r="D128"/>
  <c r="E128"/>
  <c r="C129"/>
  <c r="O129" s="1"/>
  <c r="B129" s="1"/>
  <c r="D129"/>
  <c r="E129"/>
  <c r="C130"/>
  <c r="O130" s="1"/>
  <c r="B130" s="1"/>
  <c r="D130"/>
  <c r="E130"/>
  <c r="C131"/>
  <c r="O131" s="1"/>
  <c r="B131" s="1"/>
  <c r="D131"/>
  <c r="E131"/>
  <c r="C132"/>
  <c r="O132" s="1"/>
  <c r="B132" s="1"/>
  <c r="D132"/>
  <c r="E132"/>
  <c r="C133"/>
  <c r="O133" s="1"/>
  <c r="B133" s="1"/>
  <c r="D133"/>
  <c r="E133"/>
  <c r="C134"/>
  <c r="O134" s="1"/>
  <c r="B134" s="1"/>
  <c r="D134"/>
  <c r="E134"/>
  <c r="C135"/>
  <c r="O135" s="1"/>
  <c r="B135" s="1"/>
  <c r="D135"/>
  <c r="E135"/>
  <c r="C136"/>
  <c r="O136" s="1"/>
  <c r="B136" s="1"/>
  <c r="D136"/>
  <c r="E136"/>
  <c r="C137"/>
  <c r="O137" s="1"/>
  <c r="B137" s="1"/>
  <c r="D137"/>
  <c r="E137"/>
  <c r="C138"/>
  <c r="O138" s="1"/>
  <c r="B138" s="1"/>
  <c r="D138"/>
  <c r="E138"/>
  <c r="C139"/>
  <c r="O139" s="1"/>
  <c r="B139" s="1"/>
  <c r="D139"/>
  <c r="E139"/>
  <c r="C140"/>
  <c r="O140" s="1"/>
  <c r="B140" s="1"/>
  <c r="D140"/>
  <c r="E140"/>
  <c r="C141"/>
  <c r="O141" s="1"/>
  <c r="B141" s="1"/>
  <c r="D141"/>
  <c r="E141"/>
  <c r="C142"/>
  <c r="O142" s="1"/>
  <c r="B142" s="1"/>
  <c r="D142"/>
  <c r="E142"/>
  <c r="C143"/>
  <c r="O143" s="1"/>
  <c r="B143" s="1"/>
  <c r="D143"/>
  <c r="E143"/>
  <c r="C144"/>
  <c r="O144" s="1"/>
  <c r="B144" s="1"/>
  <c r="D144"/>
  <c r="E144"/>
  <c r="C145"/>
  <c r="O145" s="1"/>
  <c r="B145" s="1"/>
  <c r="D145"/>
  <c r="E145"/>
  <c r="C146"/>
  <c r="O146" s="1"/>
  <c r="B146" s="1"/>
  <c r="D146"/>
  <c r="E146"/>
  <c r="C147"/>
  <c r="O147" s="1"/>
  <c r="B147" s="1"/>
  <c r="D147"/>
  <c r="E147"/>
  <c r="C148"/>
  <c r="O148" s="1"/>
  <c r="B148" s="1"/>
  <c r="D148"/>
  <c r="E148"/>
  <c r="C149"/>
  <c r="O149" s="1"/>
  <c r="B149" s="1"/>
  <c r="D149"/>
  <c r="E149"/>
  <c r="C150"/>
  <c r="O150" s="1"/>
  <c r="B150" s="1"/>
  <c r="D150"/>
  <c r="E150"/>
  <c r="C151"/>
  <c r="O151" s="1"/>
  <c r="B151" s="1"/>
  <c r="D151"/>
  <c r="E151"/>
  <c r="C152"/>
  <c r="O152" s="1"/>
  <c r="B152" s="1"/>
  <c r="D152"/>
  <c r="E152"/>
  <c r="C153"/>
  <c r="O153" s="1"/>
  <c r="B153" s="1"/>
  <c r="D153"/>
  <c r="E153"/>
  <c r="C154"/>
  <c r="O154" s="1"/>
  <c r="B154" s="1"/>
  <c r="D154"/>
  <c r="E154"/>
  <c r="C155"/>
  <c r="O155" s="1"/>
  <c r="B155" s="1"/>
  <c r="D155"/>
  <c r="E155"/>
  <c r="C156"/>
  <c r="O156" s="1"/>
  <c r="B156" s="1"/>
  <c r="D156"/>
  <c r="E156"/>
  <c r="C157"/>
  <c r="O157" s="1"/>
  <c r="B157" s="1"/>
  <c r="D157"/>
  <c r="E157"/>
  <c r="C158"/>
  <c r="O158" s="1"/>
  <c r="B158" s="1"/>
  <c r="D158"/>
  <c r="E158"/>
  <c r="C159"/>
  <c r="O159" s="1"/>
  <c r="B159" s="1"/>
  <c r="D159"/>
  <c r="E159"/>
  <c r="C160"/>
  <c r="O160" s="1"/>
  <c r="B160" s="1"/>
  <c r="D160"/>
  <c r="E160"/>
  <c r="C161"/>
  <c r="O161" s="1"/>
  <c r="B161" s="1"/>
  <c r="D161"/>
  <c r="E161"/>
  <c r="C162"/>
  <c r="O162" s="1"/>
  <c r="B162" s="1"/>
  <c r="D162"/>
  <c r="E162"/>
  <c r="C163"/>
  <c r="O163" s="1"/>
  <c r="B163" s="1"/>
  <c r="D163"/>
  <c r="E163"/>
  <c r="C164"/>
  <c r="O164" s="1"/>
  <c r="B164" s="1"/>
  <c r="D164"/>
  <c r="E164"/>
  <c r="C165"/>
  <c r="O165" s="1"/>
  <c r="B165" s="1"/>
  <c r="D165"/>
  <c r="E165"/>
  <c r="C166"/>
  <c r="O166" s="1"/>
  <c r="B166" s="1"/>
  <c r="D166"/>
  <c r="E166"/>
  <c r="C167"/>
  <c r="O167" s="1"/>
  <c r="B167" s="1"/>
  <c r="D167"/>
  <c r="E167"/>
  <c r="C168"/>
  <c r="O168" s="1"/>
  <c r="B168" s="1"/>
  <c r="D168"/>
  <c r="E168"/>
  <c r="C169"/>
  <c r="O169" s="1"/>
  <c r="B169" s="1"/>
  <c r="D169"/>
  <c r="E169"/>
  <c r="C170"/>
  <c r="O170" s="1"/>
  <c r="B170" s="1"/>
  <c r="D170"/>
  <c r="E170"/>
  <c r="C171"/>
  <c r="O171" s="1"/>
  <c r="B171" s="1"/>
  <c r="D171"/>
  <c r="E171"/>
  <c r="C172"/>
  <c r="O172" s="1"/>
  <c r="B172" s="1"/>
  <c r="D172"/>
  <c r="E172"/>
  <c r="C173"/>
  <c r="O173" s="1"/>
  <c r="B173" s="1"/>
  <c r="D173"/>
  <c r="E173"/>
  <c r="C174"/>
  <c r="O174" s="1"/>
  <c r="B174" s="1"/>
  <c r="D174"/>
  <c r="E174"/>
  <c r="C175"/>
  <c r="O175" s="1"/>
  <c r="B175" s="1"/>
  <c r="D175"/>
  <c r="E175"/>
  <c r="C176"/>
  <c r="O176" s="1"/>
  <c r="B176" s="1"/>
  <c r="D176"/>
  <c r="E176"/>
  <c r="C177"/>
  <c r="O177" s="1"/>
  <c r="B177" s="1"/>
  <c r="D177"/>
  <c r="E177"/>
  <c r="C178"/>
  <c r="O178" s="1"/>
  <c r="B178" s="1"/>
  <c r="D178"/>
  <c r="E178"/>
  <c r="C179"/>
  <c r="O179" s="1"/>
  <c r="B179" s="1"/>
  <c r="D179"/>
  <c r="E179"/>
  <c r="C180"/>
  <c r="O180" s="1"/>
  <c r="B180" s="1"/>
  <c r="D180"/>
  <c r="E180"/>
  <c r="C181"/>
  <c r="O181" s="1"/>
  <c r="B181" s="1"/>
  <c r="D181"/>
  <c r="E181"/>
  <c r="C182"/>
  <c r="O182" s="1"/>
  <c r="B182" s="1"/>
  <c r="D182"/>
  <c r="E182"/>
  <c r="C183"/>
  <c r="O183" s="1"/>
  <c r="B183" s="1"/>
  <c r="D183"/>
  <c r="E183"/>
  <c r="C184"/>
  <c r="O184" s="1"/>
  <c r="B184" s="1"/>
  <c r="D184"/>
  <c r="E184"/>
  <c r="C185"/>
  <c r="O185" s="1"/>
  <c r="B185" s="1"/>
  <c r="D185"/>
  <c r="E185"/>
  <c r="C186"/>
  <c r="O186" s="1"/>
  <c r="B186" s="1"/>
  <c r="D186"/>
  <c r="E186"/>
  <c r="C187"/>
  <c r="O187" s="1"/>
  <c r="B187" s="1"/>
  <c r="D187"/>
  <c r="E187"/>
  <c r="C188"/>
  <c r="O188" s="1"/>
  <c r="B188" s="1"/>
  <c r="D188"/>
  <c r="E188"/>
  <c r="C189"/>
  <c r="O189" s="1"/>
  <c r="B189" s="1"/>
  <c r="D189"/>
  <c r="E189"/>
  <c r="C190"/>
  <c r="O190" s="1"/>
  <c r="B190" s="1"/>
  <c r="D190"/>
  <c r="E190"/>
  <c r="C191"/>
  <c r="O191" s="1"/>
  <c r="B191" s="1"/>
  <c r="D191"/>
  <c r="E191"/>
  <c r="C192"/>
  <c r="O192" s="1"/>
  <c r="B192" s="1"/>
  <c r="D192"/>
  <c r="E192"/>
  <c r="C193"/>
  <c r="O193" s="1"/>
  <c r="B193" s="1"/>
  <c r="D193"/>
  <c r="E193"/>
  <c r="C194"/>
  <c r="O194" s="1"/>
  <c r="B194" s="1"/>
  <c r="D194"/>
  <c r="E194"/>
  <c r="C195"/>
  <c r="O195" s="1"/>
  <c r="B195" s="1"/>
  <c r="D195"/>
  <c r="E195"/>
  <c r="C196"/>
  <c r="O196" s="1"/>
  <c r="B196" s="1"/>
  <c r="D196"/>
  <c r="E196"/>
  <c r="C197"/>
  <c r="O197" s="1"/>
  <c r="B197" s="1"/>
  <c r="D197"/>
  <c r="E197"/>
  <c r="C198"/>
  <c r="O198" s="1"/>
  <c r="B198" s="1"/>
  <c r="D198"/>
  <c r="E198"/>
  <c r="C199"/>
  <c r="O199" s="1"/>
  <c r="B199" s="1"/>
  <c r="D199"/>
  <c r="E199"/>
  <c r="C200"/>
  <c r="O200" s="1"/>
  <c r="B200" s="1"/>
  <c r="D200"/>
  <c r="E200"/>
  <c r="C201"/>
  <c r="O201" s="1"/>
  <c r="B201" s="1"/>
  <c r="D201"/>
  <c r="E201"/>
  <c r="C202"/>
  <c r="O202" s="1"/>
  <c r="B202" s="1"/>
  <c r="D202"/>
  <c r="E202"/>
  <c r="C203"/>
  <c r="O203" s="1"/>
  <c r="B203" s="1"/>
  <c r="D203"/>
  <c r="E203"/>
  <c r="C204"/>
  <c r="O204" s="1"/>
  <c r="B204" s="1"/>
  <c r="D204"/>
  <c r="E204"/>
  <c r="C205"/>
  <c r="O205" s="1"/>
  <c r="B205" s="1"/>
  <c r="D205"/>
  <c r="E205"/>
  <c r="C206"/>
  <c r="O206" s="1"/>
  <c r="B206" s="1"/>
  <c r="D206"/>
  <c r="E206"/>
  <c r="C207"/>
  <c r="O207" s="1"/>
  <c r="B207" s="1"/>
  <c r="D207"/>
  <c r="E207"/>
  <c r="C208"/>
  <c r="O208" s="1"/>
  <c r="B208" s="1"/>
  <c r="D208"/>
  <c r="E208"/>
  <c r="C209"/>
  <c r="O209" s="1"/>
  <c r="B209" s="1"/>
  <c r="D209"/>
  <c r="E209"/>
  <c r="C210"/>
  <c r="O210" s="1"/>
  <c r="B210" s="1"/>
  <c r="D210"/>
  <c r="E210"/>
  <c r="C211"/>
  <c r="O211" s="1"/>
  <c r="B211" s="1"/>
  <c r="D211"/>
  <c r="E211"/>
  <c r="C212"/>
  <c r="O212" s="1"/>
  <c r="B212" s="1"/>
  <c r="D212"/>
  <c r="E212"/>
  <c r="C213"/>
  <c r="O213" s="1"/>
  <c r="B213" s="1"/>
  <c r="D213"/>
  <c r="E213"/>
  <c r="C214"/>
  <c r="O214" s="1"/>
  <c r="B214" s="1"/>
  <c r="D214"/>
  <c r="E214"/>
  <c r="C215"/>
  <c r="O215" s="1"/>
  <c r="B215" s="1"/>
  <c r="D215"/>
  <c r="E215"/>
  <c r="C216"/>
  <c r="O216" s="1"/>
  <c r="B216" s="1"/>
  <c r="D216"/>
  <c r="E216"/>
  <c r="C217"/>
  <c r="O217" s="1"/>
  <c r="B217" s="1"/>
  <c r="D217"/>
  <c r="E217"/>
  <c r="C218"/>
  <c r="O218" s="1"/>
  <c r="B218" s="1"/>
  <c r="D218"/>
  <c r="E218"/>
  <c r="C219"/>
  <c r="O219" s="1"/>
  <c r="B219" s="1"/>
  <c r="D219"/>
  <c r="E219"/>
  <c r="C220"/>
  <c r="O220" s="1"/>
  <c r="B220" s="1"/>
  <c r="D220"/>
  <c r="E220"/>
  <c r="C221"/>
  <c r="O221" s="1"/>
  <c r="B221" s="1"/>
  <c r="D221"/>
  <c r="E221"/>
  <c r="C222"/>
  <c r="O222" s="1"/>
  <c r="B222" s="1"/>
  <c r="D222"/>
  <c r="E222"/>
  <c r="C223"/>
  <c r="O223" s="1"/>
  <c r="B223" s="1"/>
  <c r="D223"/>
  <c r="E223"/>
  <c r="C224"/>
  <c r="O224" s="1"/>
  <c r="B224" s="1"/>
  <c r="D224"/>
  <c r="E224"/>
  <c r="C225"/>
  <c r="O225" s="1"/>
  <c r="B225" s="1"/>
  <c r="D225"/>
  <c r="E225"/>
  <c r="C226"/>
  <c r="O226" s="1"/>
  <c r="B226" s="1"/>
  <c r="D226"/>
  <c r="E226"/>
  <c r="C227"/>
  <c r="O227" s="1"/>
  <c r="B227" s="1"/>
  <c r="D227"/>
  <c r="E227"/>
  <c r="C228"/>
  <c r="O228" s="1"/>
  <c r="B228" s="1"/>
  <c r="D228"/>
  <c r="E228"/>
  <c r="C229"/>
  <c r="O229" s="1"/>
  <c r="B229" s="1"/>
  <c r="D229"/>
  <c r="E229"/>
  <c r="C230"/>
  <c r="O230" s="1"/>
  <c r="B230" s="1"/>
  <c r="D230"/>
  <c r="E230"/>
  <c r="C231"/>
  <c r="O231" s="1"/>
  <c r="B231" s="1"/>
  <c r="D231"/>
  <c r="E231"/>
  <c r="C232"/>
  <c r="O232" s="1"/>
  <c r="B232" s="1"/>
  <c r="D232"/>
  <c r="E232"/>
  <c r="C233"/>
  <c r="O233" s="1"/>
  <c r="B233" s="1"/>
  <c r="D233"/>
  <c r="E233"/>
  <c r="C234"/>
  <c r="O234" s="1"/>
  <c r="B234" s="1"/>
  <c r="D234"/>
  <c r="E234"/>
  <c r="C235"/>
  <c r="O235" s="1"/>
  <c r="B235" s="1"/>
  <c r="D235"/>
  <c r="E235"/>
  <c r="C236"/>
  <c r="O236" s="1"/>
  <c r="B236" s="1"/>
  <c r="D236"/>
  <c r="E236"/>
  <c r="C237"/>
  <c r="O237" s="1"/>
  <c r="B237" s="1"/>
  <c r="D237"/>
  <c r="E237"/>
  <c r="C238"/>
  <c r="O238" s="1"/>
  <c r="B238" s="1"/>
  <c r="D238"/>
  <c r="E238"/>
  <c r="C239"/>
  <c r="O239" s="1"/>
  <c r="B239" s="1"/>
  <c r="D239"/>
  <c r="E239"/>
  <c r="C240"/>
  <c r="O240" s="1"/>
  <c r="B240" s="1"/>
  <c r="D240"/>
  <c r="E240"/>
  <c r="C241"/>
  <c r="O241" s="1"/>
  <c r="B241" s="1"/>
  <c r="D241"/>
  <c r="E241"/>
  <c r="C242"/>
  <c r="O242" s="1"/>
  <c r="B242" s="1"/>
  <c r="D242"/>
  <c r="E242"/>
  <c r="C243"/>
  <c r="O243" s="1"/>
  <c r="B243" s="1"/>
  <c r="D243"/>
  <c r="E243"/>
  <c r="C244"/>
  <c r="O244" s="1"/>
  <c r="B244" s="1"/>
  <c r="D244"/>
  <c r="E244"/>
  <c r="C245"/>
  <c r="O245" s="1"/>
  <c r="B245" s="1"/>
  <c r="D245"/>
  <c r="E245"/>
  <c r="C246"/>
  <c r="O246" s="1"/>
  <c r="B246" s="1"/>
  <c r="D246"/>
  <c r="E246"/>
  <c r="C247"/>
  <c r="O247" s="1"/>
  <c r="B247" s="1"/>
  <c r="D247"/>
  <c r="E247"/>
  <c r="C248"/>
  <c r="O248" s="1"/>
  <c r="B248" s="1"/>
  <c r="D248"/>
  <c r="E248"/>
  <c r="C249"/>
  <c r="O249" s="1"/>
  <c r="B249" s="1"/>
  <c r="D249"/>
  <c r="E249"/>
  <c r="C250"/>
  <c r="O250" s="1"/>
  <c r="B250" s="1"/>
  <c r="D250"/>
  <c r="E250"/>
  <c r="C251"/>
  <c r="O251" s="1"/>
  <c r="B251" s="1"/>
  <c r="D251"/>
  <c r="E251"/>
  <c r="C252"/>
  <c r="O252" s="1"/>
  <c r="B252" s="1"/>
  <c r="D252"/>
  <c r="E252"/>
  <c r="C253"/>
  <c r="O253" s="1"/>
  <c r="B253" s="1"/>
  <c r="D253"/>
  <c r="E253"/>
  <c r="C254"/>
  <c r="O254" s="1"/>
  <c r="B254" s="1"/>
  <c r="D254"/>
  <c r="E254"/>
  <c r="C255"/>
  <c r="O255" s="1"/>
  <c r="B255" s="1"/>
  <c r="D255"/>
  <c r="E255"/>
  <c r="C256"/>
  <c r="O256" s="1"/>
  <c r="B256" s="1"/>
  <c r="D256"/>
  <c r="E256"/>
  <c r="C257"/>
  <c r="O257" s="1"/>
  <c r="B257" s="1"/>
  <c r="D257"/>
  <c r="E257"/>
  <c r="C258"/>
  <c r="O258" s="1"/>
  <c r="B258" s="1"/>
  <c r="D258"/>
  <c r="E258"/>
  <c r="C259"/>
  <c r="O259" s="1"/>
  <c r="B259" s="1"/>
  <c r="D259"/>
  <c r="E259"/>
  <c r="C260"/>
  <c r="O260" s="1"/>
  <c r="B260" s="1"/>
  <c r="D260"/>
  <c r="E260"/>
  <c r="C261"/>
  <c r="O261" s="1"/>
  <c r="B261" s="1"/>
  <c r="D261"/>
  <c r="E261"/>
  <c r="C262"/>
  <c r="O262" s="1"/>
  <c r="B262" s="1"/>
  <c r="D262"/>
  <c r="E262"/>
  <c r="C263"/>
  <c r="O263" s="1"/>
  <c r="B263" s="1"/>
  <c r="D263"/>
  <c r="E263"/>
  <c r="C264"/>
  <c r="O264" s="1"/>
  <c r="B264" s="1"/>
  <c r="D264"/>
  <c r="E264"/>
  <c r="C265"/>
  <c r="O265" s="1"/>
  <c r="B265" s="1"/>
  <c r="D265"/>
  <c r="E265"/>
  <c r="C266"/>
  <c r="O266" s="1"/>
  <c r="B266" s="1"/>
  <c r="D266"/>
  <c r="E266"/>
  <c r="C267"/>
  <c r="O267" s="1"/>
  <c r="B267" s="1"/>
  <c r="D267"/>
  <c r="E267"/>
  <c r="C268"/>
  <c r="O268" s="1"/>
  <c r="B268" s="1"/>
  <c r="D268"/>
  <c r="E268"/>
  <c r="C269"/>
  <c r="O269" s="1"/>
  <c r="B269" s="1"/>
  <c r="D269"/>
  <c r="E269"/>
  <c r="C270"/>
  <c r="O270" s="1"/>
  <c r="B270" s="1"/>
  <c r="D270"/>
  <c r="E270"/>
  <c r="C271"/>
  <c r="O271" s="1"/>
  <c r="B271" s="1"/>
  <c r="D271"/>
  <c r="E271"/>
  <c r="C272"/>
  <c r="O272" s="1"/>
  <c r="B272" s="1"/>
  <c r="D272"/>
  <c r="E272"/>
  <c r="C273"/>
  <c r="O273" s="1"/>
  <c r="B273" s="1"/>
  <c r="D273"/>
  <c r="E273"/>
  <c r="C274"/>
  <c r="O274" s="1"/>
  <c r="B274" s="1"/>
  <c r="D274"/>
  <c r="E274"/>
  <c r="C275"/>
  <c r="O275" s="1"/>
  <c r="B275" s="1"/>
  <c r="D275"/>
  <c r="E275"/>
  <c r="C276"/>
  <c r="O276" s="1"/>
  <c r="B276" s="1"/>
  <c r="D276"/>
  <c r="E276"/>
  <c r="C277"/>
  <c r="O277" s="1"/>
  <c r="B277" s="1"/>
  <c r="D277"/>
  <c r="E277"/>
  <c r="C278"/>
  <c r="O278" s="1"/>
  <c r="B278" s="1"/>
  <c r="D278"/>
  <c r="E278"/>
  <c r="C279"/>
  <c r="O279" s="1"/>
  <c r="B279" s="1"/>
  <c r="D279"/>
  <c r="E279"/>
  <c r="C280"/>
  <c r="O280" s="1"/>
  <c r="B280" s="1"/>
  <c r="D280"/>
  <c r="E280"/>
  <c r="C281"/>
  <c r="O281" s="1"/>
  <c r="B281" s="1"/>
  <c r="D281"/>
  <c r="E281"/>
  <c r="C282"/>
  <c r="O282" s="1"/>
  <c r="B282" s="1"/>
  <c r="D282"/>
  <c r="E282"/>
  <c r="C283"/>
  <c r="O283" s="1"/>
  <c r="B283" s="1"/>
  <c r="D283"/>
  <c r="E283"/>
  <c r="C284"/>
  <c r="O284" s="1"/>
  <c r="B284" s="1"/>
  <c r="D284"/>
  <c r="E284"/>
  <c r="C285"/>
  <c r="O285" s="1"/>
  <c r="B285" s="1"/>
  <c r="D285"/>
  <c r="E285"/>
  <c r="C286"/>
  <c r="O286" s="1"/>
  <c r="B286" s="1"/>
  <c r="D286"/>
  <c r="E286"/>
  <c r="C287"/>
  <c r="O287" s="1"/>
  <c r="B287" s="1"/>
  <c r="D287"/>
  <c r="E287"/>
  <c r="C288"/>
  <c r="O288" s="1"/>
  <c r="B288" s="1"/>
  <c r="D288"/>
  <c r="E288"/>
  <c r="C289"/>
  <c r="O289" s="1"/>
  <c r="B289" s="1"/>
  <c r="D289"/>
  <c r="E289"/>
  <c r="C290"/>
  <c r="O290" s="1"/>
  <c r="B290" s="1"/>
  <c r="D290"/>
  <c r="E290"/>
  <c r="C291"/>
  <c r="O291" s="1"/>
  <c r="B291" s="1"/>
  <c r="D291"/>
  <c r="E291"/>
  <c r="C292"/>
  <c r="O292" s="1"/>
  <c r="B292" s="1"/>
  <c r="D292"/>
  <c r="E292"/>
  <c r="C293"/>
  <c r="O293" s="1"/>
  <c r="B293" s="1"/>
  <c r="D293"/>
  <c r="E293"/>
  <c r="C294"/>
  <c r="O294" s="1"/>
  <c r="B294" s="1"/>
  <c r="D294"/>
  <c r="E294"/>
  <c r="C295"/>
  <c r="O295" s="1"/>
  <c r="B295" s="1"/>
  <c r="D295"/>
  <c r="E295"/>
  <c r="C296"/>
  <c r="O296" s="1"/>
  <c r="B296" s="1"/>
  <c r="D296"/>
  <c r="E296"/>
  <c r="C297"/>
  <c r="O297" s="1"/>
  <c r="B297" s="1"/>
  <c r="D297"/>
  <c r="E297"/>
  <c r="C298"/>
  <c r="O298" s="1"/>
  <c r="B298" s="1"/>
  <c r="D298"/>
  <c r="E298"/>
  <c r="C299"/>
  <c r="O299" s="1"/>
  <c r="B299" s="1"/>
  <c r="D299"/>
  <c r="E299"/>
  <c r="C300"/>
  <c r="O300" s="1"/>
  <c r="B300" s="1"/>
  <c r="D300"/>
  <c r="E300"/>
  <c r="C301"/>
  <c r="O301" s="1"/>
  <c r="B301" s="1"/>
  <c r="D301"/>
  <c r="E301"/>
  <c r="C302"/>
  <c r="O302" s="1"/>
  <c r="B302" s="1"/>
  <c r="D302"/>
  <c r="E302"/>
  <c r="C303"/>
  <c r="O303" s="1"/>
  <c r="B303" s="1"/>
  <c r="D303"/>
  <c r="E303"/>
  <c r="C304"/>
  <c r="O304" s="1"/>
  <c r="B304" s="1"/>
  <c r="D304"/>
  <c r="E304"/>
  <c r="C305"/>
  <c r="O305" s="1"/>
  <c r="B305" s="1"/>
  <c r="D305"/>
  <c r="E305"/>
  <c r="C306"/>
  <c r="O306" s="1"/>
  <c r="B306" s="1"/>
  <c r="D306"/>
  <c r="E306"/>
  <c r="C307"/>
  <c r="O307" s="1"/>
  <c r="B307" s="1"/>
  <c r="D307"/>
  <c r="E307"/>
  <c r="C308"/>
  <c r="O308" s="1"/>
  <c r="B308" s="1"/>
  <c r="D308"/>
  <c r="E308"/>
  <c r="C309"/>
  <c r="O309" s="1"/>
  <c r="B309" s="1"/>
  <c r="D309"/>
  <c r="E309"/>
  <c r="C310"/>
  <c r="O310" s="1"/>
  <c r="B310" s="1"/>
  <c r="D310"/>
  <c r="E310"/>
  <c r="C311"/>
  <c r="O311" s="1"/>
  <c r="B311" s="1"/>
  <c r="D311"/>
  <c r="E311"/>
  <c r="C312"/>
  <c r="O312" s="1"/>
  <c r="B312" s="1"/>
  <c r="D312"/>
  <c r="E312"/>
  <c r="C313"/>
  <c r="O313" s="1"/>
  <c r="B313" s="1"/>
  <c r="D313"/>
  <c r="E313"/>
  <c r="C314"/>
  <c r="O314" s="1"/>
  <c r="B314" s="1"/>
  <c r="D314"/>
  <c r="E314"/>
  <c r="C315"/>
  <c r="O315" s="1"/>
  <c r="B315" s="1"/>
  <c r="D315"/>
  <c r="E315"/>
  <c r="C316"/>
  <c r="O316" s="1"/>
  <c r="B316" s="1"/>
  <c r="D316"/>
  <c r="E316"/>
  <c r="C317"/>
  <c r="O317" s="1"/>
  <c r="B317" s="1"/>
  <c r="D317"/>
  <c r="E317"/>
  <c r="C318"/>
  <c r="O318" s="1"/>
  <c r="B318" s="1"/>
  <c r="D318"/>
  <c r="E318"/>
  <c r="C319"/>
  <c r="O319" s="1"/>
  <c r="B319" s="1"/>
  <c r="D319"/>
  <c r="E319"/>
  <c r="C320"/>
  <c r="O320" s="1"/>
  <c r="B320" s="1"/>
  <c r="D320"/>
  <c r="E320"/>
  <c r="C321"/>
  <c r="O321" s="1"/>
  <c r="B321" s="1"/>
  <c r="D321"/>
  <c r="E321"/>
  <c r="C322"/>
  <c r="O322" s="1"/>
  <c r="B322" s="1"/>
  <c r="D322"/>
  <c r="E322"/>
  <c r="C323"/>
  <c r="O323" s="1"/>
  <c r="B323" s="1"/>
  <c r="D323"/>
  <c r="E323"/>
  <c r="C324"/>
  <c r="O324" s="1"/>
  <c r="B324" s="1"/>
  <c r="D324"/>
  <c r="E324"/>
  <c r="C325"/>
  <c r="O325" s="1"/>
  <c r="B325" s="1"/>
  <c r="D325"/>
  <c r="E325"/>
  <c r="C326"/>
  <c r="O326" s="1"/>
  <c r="B326" s="1"/>
  <c r="D326"/>
  <c r="E326"/>
  <c r="C327"/>
  <c r="O327" s="1"/>
  <c r="B327" s="1"/>
  <c r="D327"/>
  <c r="E327"/>
  <c r="C328"/>
  <c r="O328" s="1"/>
  <c r="B328" s="1"/>
  <c r="D328"/>
  <c r="E328"/>
  <c r="C329"/>
  <c r="O329" s="1"/>
  <c r="B329" s="1"/>
  <c r="D329"/>
  <c r="E329"/>
  <c r="C330"/>
  <c r="O330" s="1"/>
  <c r="B330" s="1"/>
  <c r="D330"/>
  <c r="E330"/>
  <c r="C331"/>
  <c r="O331" s="1"/>
  <c r="B331" s="1"/>
  <c r="D331"/>
  <c r="E331"/>
  <c r="C332"/>
  <c r="O332" s="1"/>
  <c r="B332" s="1"/>
  <c r="D332"/>
  <c r="E332"/>
  <c r="C333"/>
  <c r="O333" s="1"/>
  <c r="B333" s="1"/>
  <c r="D333"/>
  <c r="E333"/>
  <c r="C334"/>
  <c r="O334" s="1"/>
  <c r="B334" s="1"/>
  <c r="D334"/>
  <c r="E334"/>
  <c r="C335"/>
  <c r="O335" s="1"/>
  <c r="B335" s="1"/>
  <c r="D335"/>
  <c r="E335"/>
  <c r="C336"/>
  <c r="O336" s="1"/>
  <c r="B336" s="1"/>
  <c r="D336"/>
  <c r="E336"/>
  <c r="C337"/>
  <c r="O337" s="1"/>
  <c r="B337" s="1"/>
  <c r="D337"/>
  <c r="E337"/>
  <c r="C338"/>
  <c r="O338" s="1"/>
  <c r="B338" s="1"/>
  <c r="D338"/>
  <c r="E338"/>
  <c r="C339"/>
  <c r="O339" s="1"/>
  <c r="B339" s="1"/>
  <c r="D339"/>
  <c r="E339"/>
  <c r="C340"/>
  <c r="O340" s="1"/>
  <c r="B340" s="1"/>
  <c r="D340"/>
  <c r="E340"/>
  <c r="C341"/>
  <c r="O341" s="1"/>
  <c r="B341" s="1"/>
  <c r="D341"/>
  <c r="E341"/>
  <c r="C342"/>
  <c r="O342" s="1"/>
  <c r="B342" s="1"/>
  <c r="D342"/>
  <c r="E342"/>
  <c r="C343"/>
  <c r="O343" s="1"/>
  <c r="B343" s="1"/>
  <c r="D343"/>
  <c r="E343"/>
  <c r="C344"/>
  <c r="O344" s="1"/>
  <c r="B344" s="1"/>
  <c r="D344"/>
  <c r="E344"/>
  <c r="C345"/>
  <c r="O345" s="1"/>
  <c r="B345" s="1"/>
  <c r="D345"/>
  <c r="E345"/>
  <c r="C346"/>
  <c r="O346" s="1"/>
  <c r="B346" s="1"/>
  <c r="D346"/>
  <c r="E346"/>
  <c r="C347"/>
  <c r="O347" s="1"/>
  <c r="B347" s="1"/>
  <c r="D347"/>
  <c r="E347"/>
  <c r="C348"/>
  <c r="O348" s="1"/>
  <c r="B348" s="1"/>
  <c r="D348"/>
  <c r="E348"/>
  <c r="C349"/>
  <c r="O349" s="1"/>
  <c r="B349" s="1"/>
  <c r="D349"/>
  <c r="E349"/>
  <c r="C350"/>
  <c r="O350" s="1"/>
  <c r="B350" s="1"/>
  <c r="D350"/>
  <c r="E350"/>
  <c r="C351"/>
  <c r="O351" s="1"/>
  <c r="B351" s="1"/>
  <c r="D351"/>
  <c r="E351"/>
  <c r="C352"/>
  <c r="O352" s="1"/>
  <c r="B352" s="1"/>
  <c r="D352"/>
  <c r="E352"/>
  <c r="C353"/>
  <c r="O353" s="1"/>
  <c r="B353" s="1"/>
  <c r="D353"/>
  <c r="E353"/>
  <c r="C354"/>
  <c r="O354" s="1"/>
  <c r="B354" s="1"/>
  <c r="D354"/>
  <c r="E354"/>
  <c r="C355"/>
  <c r="O355" s="1"/>
  <c r="B355" s="1"/>
  <c r="D355"/>
  <c r="E355"/>
  <c r="C356"/>
  <c r="O356" s="1"/>
  <c r="B356" s="1"/>
  <c r="D356"/>
  <c r="E356"/>
  <c r="C357"/>
  <c r="O357" s="1"/>
  <c r="B357" s="1"/>
  <c r="D357"/>
  <c r="E357"/>
  <c r="C358"/>
  <c r="O358" s="1"/>
  <c r="B358" s="1"/>
  <c r="D358"/>
  <c r="E358"/>
  <c r="C359"/>
  <c r="O359" s="1"/>
  <c r="B359" s="1"/>
  <c r="D359"/>
  <c r="E359"/>
  <c r="C360"/>
  <c r="O360" s="1"/>
  <c r="B360" s="1"/>
  <c r="D360"/>
  <c r="E360"/>
  <c r="C361"/>
  <c r="O361" s="1"/>
  <c r="B361" s="1"/>
  <c r="D361"/>
  <c r="E361"/>
  <c r="C362"/>
  <c r="O362" s="1"/>
  <c r="B362" s="1"/>
  <c r="D362"/>
  <c r="E362"/>
  <c r="C363"/>
  <c r="O363" s="1"/>
  <c r="B363" s="1"/>
  <c r="D363"/>
  <c r="E363"/>
  <c r="C364"/>
  <c r="O364" s="1"/>
  <c r="B364" s="1"/>
  <c r="D364"/>
  <c r="E364"/>
  <c r="C365"/>
  <c r="O365" s="1"/>
  <c r="B365" s="1"/>
  <c r="D365"/>
  <c r="E365"/>
  <c r="C366"/>
  <c r="O366" s="1"/>
  <c r="B366" s="1"/>
  <c r="D366"/>
  <c r="E366"/>
  <c r="C367"/>
  <c r="O367" s="1"/>
  <c r="B367" s="1"/>
  <c r="D367"/>
  <c r="E367"/>
  <c r="C368"/>
  <c r="O368" s="1"/>
  <c r="B368" s="1"/>
  <c r="D368"/>
  <c r="E368"/>
  <c r="C369"/>
  <c r="O369" s="1"/>
  <c r="B369" s="1"/>
  <c r="D369"/>
  <c r="E369"/>
  <c r="C370"/>
  <c r="O370" s="1"/>
  <c r="B370" s="1"/>
  <c r="D370"/>
  <c r="E370"/>
  <c r="C371"/>
  <c r="O371" s="1"/>
  <c r="B371" s="1"/>
  <c r="D371"/>
  <c r="E371"/>
  <c r="C372"/>
  <c r="O372" s="1"/>
  <c r="B372" s="1"/>
  <c r="D372"/>
  <c r="E372"/>
  <c r="C373"/>
  <c r="O373" s="1"/>
  <c r="B373" s="1"/>
  <c r="D373"/>
  <c r="E373"/>
  <c r="C374"/>
  <c r="O374" s="1"/>
  <c r="B374" s="1"/>
  <c r="D374"/>
  <c r="E374"/>
  <c r="C375"/>
  <c r="O375" s="1"/>
  <c r="B375" s="1"/>
  <c r="D375"/>
  <c r="E375"/>
  <c r="C376"/>
  <c r="O376" s="1"/>
  <c r="B376" s="1"/>
  <c r="D376"/>
  <c r="E376"/>
  <c r="C377"/>
  <c r="O377" s="1"/>
  <c r="B377" s="1"/>
  <c r="D377"/>
  <c r="E377"/>
  <c r="C378"/>
  <c r="O378" s="1"/>
  <c r="B378" s="1"/>
  <c r="D378"/>
  <c r="E378"/>
  <c r="C379"/>
  <c r="O379" s="1"/>
  <c r="B379" s="1"/>
  <c r="D379"/>
  <c r="E379"/>
  <c r="C380"/>
  <c r="O380" s="1"/>
  <c r="B380" s="1"/>
  <c r="D380"/>
  <c r="E380"/>
  <c r="C381"/>
  <c r="O381" s="1"/>
  <c r="B381" s="1"/>
  <c r="D381"/>
  <c r="E381"/>
  <c r="C382"/>
  <c r="O382" s="1"/>
  <c r="B382" s="1"/>
  <c r="D382"/>
  <c r="E382"/>
  <c r="C383"/>
  <c r="O383" s="1"/>
  <c r="B383" s="1"/>
  <c r="D383"/>
  <c r="E383"/>
  <c r="C384"/>
  <c r="O384" s="1"/>
  <c r="B384" s="1"/>
  <c r="D384"/>
  <c r="E384"/>
  <c r="C385"/>
  <c r="O385" s="1"/>
  <c r="B385" s="1"/>
  <c r="D385"/>
  <c r="E385"/>
  <c r="C386"/>
  <c r="O386" s="1"/>
  <c r="B386" s="1"/>
  <c r="D386"/>
  <c r="E386"/>
  <c r="C387"/>
  <c r="O387" s="1"/>
  <c r="B387" s="1"/>
  <c r="D387"/>
  <c r="E387"/>
  <c r="C388"/>
  <c r="O388" s="1"/>
  <c r="B388" s="1"/>
  <c r="D388"/>
  <c r="E388"/>
  <c r="C389"/>
  <c r="O389" s="1"/>
  <c r="B389" s="1"/>
  <c r="D389"/>
  <c r="E389"/>
  <c r="C390"/>
  <c r="O390" s="1"/>
  <c r="B390" s="1"/>
  <c r="D390"/>
  <c r="E390"/>
  <c r="C391"/>
  <c r="O391" s="1"/>
  <c r="B391" s="1"/>
  <c r="D391"/>
  <c r="E391"/>
  <c r="C392"/>
  <c r="O392" s="1"/>
  <c r="B392" s="1"/>
  <c r="D392"/>
  <c r="E392"/>
  <c r="C393"/>
  <c r="O393" s="1"/>
  <c r="B393" s="1"/>
  <c r="D393"/>
  <c r="E393"/>
  <c r="C394"/>
  <c r="O394" s="1"/>
  <c r="B394" s="1"/>
  <c r="D394"/>
  <c r="E394"/>
  <c r="C395"/>
  <c r="O395" s="1"/>
  <c r="B395" s="1"/>
  <c r="D395"/>
  <c r="E395"/>
  <c r="C396"/>
  <c r="O396" s="1"/>
  <c r="B396" s="1"/>
  <c r="D396"/>
  <c r="E396"/>
  <c r="C397"/>
  <c r="O397" s="1"/>
  <c r="B397" s="1"/>
  <c r="D397"/>
  <c r="E397"/>
  <c r="C398"/>
  <c r="O398" s="1"/>
  <c r="B398" s="1"/>
  <c r="D398"/>
  <c r="E398"/>
  <c r="C399"/>
  <c r="O399" s="1"/>
  <c r="B399" s="1"/>
  <c r="D399"/>
  <c r="E399"/>
  <c r="C400"/>
  <c r="O400" s="1"/>
  <c r="B400" s="1"/>
  <c r="D400"/>
  <c r="E400"/>
  <c r="C401"/>
  <c r="O401" s="1"/>
  <c r="B401" s="1"/>
  <c r="D401"/>
  <c r="E401"/>
  <c r="C402"/>
  <c r="O402" s="1"/>
  <c r="B402" s="1"/>
  <c r="D402"/>
  <c r="E402"/>
  <c r="C403"/>
  <c r="O403" s="1"/>
  <c r="B403" s="1"/>
  <c r="D403"/>
  <c r="E403"/>
  <c r="C404"/>
  <c r="O404" s="1"/>
  <c r="B404" s="1"/>
  <c r="D404"/>
  <c r="E404"/>
  <c r="C405"/>
  <c r="O405" s="1"/>
  <c r="B405" s="1"/>
  <c r="D405"/>
  <c r="E405"/>
  <c r="C406"/>
  <c r="O406" s="1"/>
  <c r="B406" s="1"/>
  <c r="D406"/>
  <c r="E406"/>
  <c r="C407"/>
  <c r="O407" s="1"/>
  <c r="B407" s="1"/>
  <c r="D407"/>
  <c r="E407"/>
  <c r="C408"/>
  <c r="O408" s="1"/>
  <c r="B408" s="1"/>
  <c r="D408"/>
  <c r="E408"/>
  <c r="C409"/>
  <c r="O409" s="1"/>
  <c r="B409" s="1"/>
  <c r="D409"/>
  <c r="E409"/>
  <c r="C410"/>
  <c r="O410" s="1"/>
  <c r="B410" s="1"/>
  <c r="D410"/>
  <c r="E410"/>
  <c r="C411"/>
  <c r="O411" s="1"/>
  <c r="B411" s="1"/>
  <c r="D411"/>
  <c r="E411"/>
  <c r="C412"/>
  <c r="O412" s="1"/>
  <c r="B412" s="1"/>
  <c r="D412"/>
  <c r="E412"/>
  <c r="C413"/>
  <c r="O413" s="1"/>
  <c r="B413" s="1"/>
  <c r="D413"/>
  <c r="E413"/>
  <c r="C414"/>
  <c r="O414" s="1"/>
  <c r="B414" s="1"/>
  <c r="D414"/>
  <c r="E414"/>
  <c r="C415"/>
  <c r="O415" s="1"/>
  <c r="B415" s="1"/>
  <c r="D415"/>
  <c r="E415"/>
  <c r="C416"/>
  <c r="O416" s="1"/>
  <c r="B416" s="1"/>
  <c r="D416"/>
  <c r="E416"/>
  <c r="C417"/>
  <c r="O417" s="1"/>
  <c r="B417" s="1"/>
  <c r="D417"/>
  <c r="E417"/>
  <c r="C418"/>
  <c r="O418" s="1"/>
  <c r="B418" s="1"/>
  <c r="D418"/>
  <c r="E418"/>
  <c r="C419"/>
  <c r="O419" s="1"/>
  <c r="B419" s="1"/>
  <c r="D419"/>
  <c r="E419"/>
  <c r="C420"/>
  <c r="O420" s="1"/>
  <c r="B420" s="1"/>
  <c r="D420"/>
  <c r="E420"/>
  <c r="C421"/>
  <c r="O421" s="1"/>
  <c r="B421" s="1"/>
  <c r="D421"/>
  <c r="E421"/>
  <c r="C422"/>
  <c r="O422" s="1"/>
  <c r="B422" s="1"/>
  <c r="D422"/>
  <c r="E422"/>
  <c r="C423"/>
  <c r="O423" s="1"/>
  <c r="B423" s="1"/>
  <c r="D423"/>
  <c r="E423"/>
  <c r="C424"/>
  <c r="O424" s="1"/>
  <c r="B424" s="1"/>
  <c r="D424"/>
  <c r="E424"/>
  <c r="C425"/>
  <c r="O425" s="1"/>
  <c r="B425" s="1"/>
  <c r="D425"/>
  <c r="E425"/>
  <c r="C426"/>
  <c r="O426" s="1"/>
  <c r="B426" s="1"/>
  <c r="D426"/>
  <c r="E426"/>
  <c r="C427"/>
  <c r="O427" s="1"/>
  <c r="B427" s="1"/>
  <c r="D427"/>
  <c r="E427"/>
  <c r="C428"/>
  <c r="O428" s="1"/>
  <c r="B428" s="1"/>
  <c r="D428"/>
  <c r="E428"/>
  <c r="C429"/>
  <c r="O429" s="1"/>
  <c r="B429" s="1"/>
  <c r="D429"/>
  <c r="E429"/>
  <c r="C430"/>
  <c r="O430" s="1"/>
  <c r="B430" s="1"/>
  <c r="D430"/>
  <c r="E430"/>
  <c r="C431"/>
  <c r="O431" s="1"/>
  <c r="B431" s="1"/>
  <c r="D431"/>
  <c r="E431"/>
  <c r="C432"/>
  <c r="O432" s="1"/>
  <c r="B432" s="1"/>
  <c r="D432"/>
  <c r="E432"/>
  <c r="C433"/>
  <c r="O433" s="1"/>
  <c r="B433" s="1"/>
  <c r="D433"/>
  <c r="E433"/>
  <c r="C434"/>
  <c r="O434" s="1"/>
  <c r="B434" s="1"/>
  <c r="D434"/>
  <c r="E434"/>
  <c r="C435"/>
  <c r="O435" s="1"/>
  <c r="B435" s="1"/>
  <c r="D435"/>
  <c r="E435"/>
  <c r="C436"/>
  <c r="O436" s="1"/>
  <c r="B436" s="1"/>
  <c r="D436"/>
  <c r="E436"/>
  <c r="C437"/>
  <c r="O437" s="1"/>
  <c r="B437" s="1"/>
  <c r="D437"/>
  <c r="E437"/>
  <c r="C438"/>
  <c r="O438" s="1"/>
  <c r="B438" s="1"/>
  <c r="D438"/>
  <c r="E438"/>
  <c r="C439"/>
  <c r="O439" s="1"/>
  <c r="B439" s="1"/>
  <c r="D439"/>
  <c r="E439"/>
  <c r="C440"/>
  <c r="O440" s="1"/>
  <c r="B440" s="1"/>
  <c r="D440"/>
  <c r="E440"/>
  <c r="C441"/>
  <c r="O441" s="1"/>
  <c r="B441" s="1"/>
  <c r="D441"/>
  <c r="E441"/>
  <c r="C442"/>
  <c r="O442" s="1"/>
  <c r="B442" s="1"/>
  <c r="D442"/>
  <c r="E442"/>
  <c r="C443"/>
  <c r="O443" s="1"/>
  <c r="B443" s="1"/>
  <c r="D443"/>
  <c r="E443"/>
  <c r="C444"/>
  <c r="O444" s="1"/>
  <c r="B444" s="1"/>
  <c r="D444"/>
  <c r="E444"/>
  <c r="C445"/>
  <c r="O445" s="1"/>
  <c r="B445" s="1"/>
  <c r="D445"/>
  <c r="E445"/>
  <c r="C446"/>
  <c r="O446" s="1"/>
  <c r="B446" s="1"/>
  <c r="D446"/>
  <c r="E446"/>
  <c r="C447"/>
  <c r="O447" s="1"/>
  <c r="B447" s="1"/>
  <c r="D447"/>
  <c r="E447"/>
  <c r="C448"/>
  <c r="O448" s="1"/>
  <c r="B448" s="1"/>
  <c r="D448"/>
  <c r="E448"/>
  <c r="C449"/>
  <c r="O449" s="1"/>
  <c r="B449" s="1"/>
  <c r="D449"/>
  <c r="E449"/>
  <c r="C450"/>
  <c r="O450" s="1"/>
  <c r="B450" s="1"/>
  <c r="D450"/>
  <c r="E450"/>
  <c r="C451"/>
  <c r="O451" s="1"/>
  <c r="B451" s="1"/>
  <c r="D451"/>
  <c r="E451"/>
  <c r="C452"/>
  <c r="O452" s="1"/>
  <c r="B452" s="1"/>
  <c r="D452"/>
  <c r="E452"/>
  <c r="C453"/>
  <c r="O453" s="1"/>
  <c r="B453" s="1"/>
  <c r="D453"/>
  <c r="E453"/>
  <c r="C454"/>
  <c r="O454" s="1"/>
  <c r="B454" s="1"/>
  <c r="D454"/>
  <c r="E454"/>
  <c r="C455"/>
  <c r="O455" s="1"/>
  <c r="B455" s="1"/>
  <c r="D455"/>
  <c r="E455"/>
  <c r="C456"/>
  <c r="O456" s="1"/>
  <c r="B456" s="1"/>
  <c r="D456"/>
  <c r="E456"/>
  <c r="C457"/>
  <c r="O457" s="1"/>
  <c r="B457" s="1"/>
  <c r="D457"/>
  <c r="E457"/>
  <c r="C458"/>
  <c r="O458" s="1"/>
  <c r="B458" s="1"/>
  <c r="D458"/>
  <c r="E458"/>
  <c r="C459"/>
  <c r="O459" s="1"/>
  <c r="B459" s="1"/>
  <c r="D459"/>
  <c r="E459"/>
  <c r="C460"/>
  <c r="O460" s="1"/>
  <c r="B460" s="1"/>
  <c r="D460"/>
  <c r="E460"/>
  <c r="C461"/>
  <c r="O461" s="1"/>
  <c r="B461" s="1"/>
  <c r="D461"/>
  <c r="E461"/>
  <c r="C462"/>
  <c r="O462" s="1"/>
  <c r="B462" s="1"/>
  <c r="D462"/>
  <c r="E462"/>
  <c r="C463"/>
  <c r="O463" s="1"/>
  <c r="B463" s="1"/>
  <c r="D463"/>
  <c r="E463"/>
  <c r="C464"/>
  <c r="O464" s="1"/>
  <c r="B464" s="1"/>
  <c r="D464"/>
  <c r="E464"/>
  <c r="C465"/>
  <c r="O465" s="1"/>
  <c r="B465" s="1"/>
  <c r="D465"/>
  <c r="E465"/>
  <c r="C466"/>
  <c r="O466" s="1"/>
  <c r="B466" s="1"/>
  <c r="D466"/>
  <c r="E466"/>
  <c r="C467"/>
  <c r="O467" s="1"/>
  <c r="B467" s="1"/>
  <c r="D467"/>
  <c r="E467"/>
  <c r="C468"/>
  <c r="O468" s="1"/>
  <c r="B468" s="1"/>
  <c r="D468"/>
  <c r="E468"/>
  <c r="C469"/>
  <c r="O469" s="1"/>
  <c r="B469" s="1"/>
  <c r="D469"/>
  <c r="E469"/>
  <c r="C470"/>
  <c r="O470" s="1"/>
  <c r="B470" s="1"/>
  <c r="D470"/>
  <c r="E470"/>
  <c r="C471"/>
  <c r="O471" s="1"/>
  <c r="B471" s="1"/>
  <c r="D471"/>
  <c r="E471"/>
  <c r="C472"/>
  <c r="O472" s="1"/>
  <c r="B472" s="1"/>
  <c r="D472"/>
  <c r="E472"/>
  <c r="C473"/>
  <c r="O473" s="1"/>
  <c r="B473" s="1"/>
  <c r="D473"/>
  <c r="E473"/>
  <c r="C474"/>
  <c r="O474" s="1"/>
  <c r="B474" s="1"/>
  <c r="D474"/>
  <c r="E474"/>
  <c r="C475"/>
  <c r="O475" s="1"/>
  <c r="B475" s="1"/>
  <c r="D475"/>
  <c r="E475"/>
  <c r="C476"/>
  <c r="O476" s="1"/>
  <c r="B476" s="1"/>
  <c r="D476"/>
  <c r="E476"/>
  <c r="C477"/>
  <c r="O477" s="1"/>
  <c r="B477" s="1"/>
  <c r="D477"/>
  <c r="E477"/>
  <c r="C478"/>
  <c r="O478" s="1"/>
  <c r="B478" s="1"/>
  <c r="D478"/>
  <c r="E478"/>
  <c r="C479"/>
  <c r="O479" s="1"/>
  <c r="B479" s="1"/>
  <c r="D479"/>
  <c r="E479"/>
  <c r="C480"/>
  <c r="O480" s="1"/>
  <c r="B480" s="1"/>
  <c r="D480"/>
  <c r="E480"/>
  <c r="C481"/>
  <c r="O481" s="1"/>
  <c r="B481" s="1"/>
  <c r="D481"/>
  <c r="E481"/>
  <c r="C482"/>
  <c r="O482" s="1"/>
  <c r="B482" s="1"/>
  <c r="D482"/>
  <c r="E482"/>
  <c r="C483"/>
  <c r="O483" s="1"/>
  <c r="B483" s="1"/>
  <c r="D483"/>
  <c r="E483"/>
  <c r="C484"/>
  <c r="O484" s="1"/>
  <c r="B484" s="1"/>
  <c r="D484"/>
  <c r="E484"/>
  <c r="C485"/>
  <c r="O485" s="1"/>
  <c r="B485" s="1"/>
  <c r="D485"/>
  <c r="E485"/>
  <c r="C486"/>
  <c r="O486" s="1"/>
  <c r="B486" s="1"/>
  <c r="D486"/>
  <c r="E486"/>
  <c r="C487"/>
  <c r="O487" s="1"/>
  <c r="B487" s="1"/>
  <c r="D487"/>
  <c r="E487"/>
  <c r="C488"/>
  <c r="O488" s="1"/>
  <c r="B488" s="1"/>
  <c r="D488"/>
  <c r="E488"/>
  <c r="C489"/>
  <c r="O489" s="1"/>
  <c r="B489" s="1"/>
  <c r="D489"/>
  <c r="E489"/>
  <c r="C490"/>
  <c r="O490" s="1"/>
  <c r="B490" s="1"/>
  <c r="D490"/>
  <c r="E490"/>
  <c r="C491"/>
  <c r="O491" s="1"/>
  <c r="B491" s="1"/>
  <c r="D491"/>
  <c r="E491"/>
  <c r="C492"/>
  <c r="O492" s="1"/>
  <c r="B492" s="1"/>
  <c r="D492"/>
  <c r="E492"/>
  <c r="C493"/>
  <c r="O493" s="1"/>
  <c r="B493" s="1"/>
  <c r="D493"/>
  <c r="E493"/>
  <c r="C494"/>
  <c r="O494" s="1"/>
  <c r="B494" s="1"/>
  <c r="D494"/>
  <c r="E494"/>
  <c r="C495"/>
  <c r="O495" s="1"/>
  <c r="B495" s="1"/>
  <c r="D495"/>
  <c r="E495"/>
  <c r="C496"/>
  <c r="O496" s="1"/>
  <c r="B496" s="1"/>
  <c r="D496"/>
  <c r="E496"/>
  <c r="C497"/>
  <c r="O497" s="1"/>
  <c r="B497" s="1"/>
  <c r="D497"/>
  <c r="E497"/>
  <c r="C498"/>
  <c r="O498" s="1"/>
  <c r="B498" s="1"/>
  <c r="D498"/>
  <c r="E498"/>
  <c r="C499"/>
  <c r="O499" s="1"/>
  <c r="B499" s="1"/>
  <c r="D499"/>
  <c r="E499"/>
  <c r="C500"/>
  <c r="O500" s="1"/>
  <c r="B500" s="1"/>
  <c r="D500"/>
  <c r="E500"/>
  <c r="C501"/>
  <c r="O501" s="1"/>
  <c r="B501" s="1"/>
  <c r="D501"/>
  <c r="E501"/>
  <c r="C502"/>
  <c r="O502" s="1"/>
  <c r="B502" s="1"/>
  <c r="D502"/>
  <c r="E502"/>
  <c r="C503"/>
  <c r="O503" s="1"/>
  <c r="B503" s="1"/>
  <c r="D503"/>
  <c r="E503"/>
  <c r="C504"/>
  <c r="O504" s="1"/>
  <c r="B504" s="1"/>
  <c r="D504"/>
  <c r="E504"/>
  <c r="C505"/>
  <c r="O505" s="1"/>
  <c r="B505" s="1"/>
  <c r="D505"/>
  <c r="E505"/>
  <c r="C506"/>
  <c r="O506" s="1"/>
  <c r="B506" s="1"/>
  <c r="D506"/>
  <c r="E506"/>
  <c r="C507"/>
  <c r="O507" s="1"/>
  <c r="B507" s="1"/>
  <c r="D507"/>
  <c r="E507"/>
  <c r="C508"/>
  <c r="O508" s="1"/>
  <c r="B508" s="1"/>
  <c r="D508"/>
  <c r="E508"/>
  <c r="C509"/>
  <c r="O509" s="1"/>
  <c r="B509" s="1"/>
  <c r="D509"/>
  <c r="E509"/>
  <c r="C510"/>
  <c r="O510" s="1"/>
  <c r="B510" s="1"/>
  <c r="D510"/>
  <c r="E510"/>
  <c r="C511"/>
  <c r="O511" s="1"/>
  <c r="B511" s="1"/>
  <c r="D511"/>
  <c r="E511"/>
  <c r="C512"/>
  <c r="O512" s="1"/>
  <c r="B512" s="1"/>
  <c r="D512"/>
  <c r="E512"/>
  <c r="C513"/>
  <c r="O513" s="1"/>
  <c r="B513" s="1"/>
  <c r="D513"/>
  <c r="E513"/>
  <c r="C514"/>
  <c r="O514" s="1"/>
  <c r="B514" s="1"/>
  <c r="D514"/>
  <c r="E514"/>
  <c r="C515"/>
  <c r="O515" s="1"/>
  <c r="B515" s="1"/>
  <c r="D515"/>
  <c r="E515"/>
  <c r="C516"/>
  <c r="O516" s="1"/>
  <c r="B516" s="1"/>
  <c r="D516"/>
  <c r="E516"/>
  <c r="C517"/>
  <c r="O517" s="1"/>
  <c r="B517" s="1"/>
  <c r="D517"/>
  <c r="E517"/>
  <c r="C518"/>
  <c r="O518" s="1"/>
  <c r="B518" s="1"/>
  <c r="D518"/>
  <c r="E518"/>
  <c r="C519"/>
  <c r="O519" s="1"/>
  <c r="B519" s="1"/>
  <c r="D519"/>
  <c r="E519"/>
  <c r="C520"/>
  <c r="O520" s="1"/>
  <c r="B520" s="1"/>
  <c r="D520"/>
  <c r="E520"/>
  <c r="C521"/>
  <c r="O521" s="1"/>
  <c r="B521" s="1"/>
  <c r="D521"/>
  <c r="E521"/>
  <c r="C522"/>
  <c r="O522" s="1"/>
  <c r="B522" s="1"/>
  <c r="D522"/>
  <c r="E522"/>
  <c r="C523"/>
  <c r="O523" s="1"/>
  <c r="B523" s="1"/>
  <c r="D523"/>
  <c r="E523"/>
  <c r="C524"/>
  <c r="O524" s="1"/>
  <c r="B524" s="1"/>
  <c r="D524"/>
  <c r="E524"/>
  <c r="C525"/>
  <c r="O525" s="1"/>
  <c r="B525" s="1"/>
  <c r="D525"/>
  <c r="E525"/>
  <c r="C526"/>
  <c r="O526" s="1"/>
  <c r="B526" s="1"/>
  <c r="D526"/>
  <c r="E526"/>
  <c r="C527"/>
  <c r="O527" s="1"/>
  <c r="B527" s="1"/>
  <c r="D527"/>
  <c r="E527"/>
  <c r="C528"/>
  <c r="O528" s="1"/>
  <c r="B528" s="1"/>
  <c r="D528"/>
  <c r="E528"/>
  <c r="C529"/>
  <c r="O529" s="1"/>
  <c r="B529" s="1"/>
  <c r="D529"/>
  <c r="E529"/>
  <c r="C530"/>
  <c r="O530" s="1"/>
  <c r="B530" s="1"/>
  <c r="D530"/>
  <c r="E530"/>
  <c r="C531"/>
  <c r="O531" s="1"/>
  <c r="B531" s="1"/>
  <c r="D531"/>
  <c r="E531"/>
  <c r="E32"/>
  <c r="D32"/>
  <c r="C32"/>
  <c r="O32" s="1"/>
  <c r="B32" s="1"/>
  <c r="B23" i="21" l="1"/>
  <c r="B22"/>
  <c r="B21"/>
  <c r="B16"/>
  <c r="C16" s="1"/>
  <c r="B19"/>
  <c r="C19" s="1"/>
  <c r="B18"/>
  <c r="D18" s="1"/>
  <c r="B17"/>
  <c r="E17" s="1"/>
  <c r="B15"/>
  <c r="B20"/>
  <c r="B21" i="10"/>
  <c r="B22" s="1"/>
  <c r="B23" s="1"/>
  <c r="B24" s="1"/>
  <c r="B25" s="1"/>
  <c r="B26" s="1"/>
  <c r="B27" s="1"/>
  <c r="B28" s="1"/>
  <c r="B29" s="1"/>
  <c r="B30" s="1"/>
  <c r="B33"/>
  <c r="T25" i="18"/>
  <c r="T26"/>
  <c r="T27"/>
  <c r="T28"/>
  <c r="T1014"/>
  <c r="O25"/>
  <c r="O26"/>
  <c r="O27"/>
  <c r="O28"/>
  <c r="O1014"/>
  <c r="I13" i="4"/>
  <c r="J13" s="1"/>
  <c r="I14"/>
  <c r="J14" s="1"/>
  <c r="I15"/>
  <c r="J15" s="1"/>
  <c r="I16"/>
  <c r="J16" s="1"/>
  <c r="I17"/>
  <c r="J17" s="1"/>
  <c r="I18"/>
  <c r="J18" s="1"/>
  <c r="I19"/>
  <c r="J19" s="1"/>
  <c r="I20"/>
  <c r="J20" s="1"/>
  <c r="I21"/>
  <c r="J21" s="1"/>
  <c r="I22"/>
  <c r="J22" s="1"/>
  <c r="I23"/>
  <c r="J23" s="1"/>
  <c r="I24"/>
  <c r="J24" s="1"/>
  <c r="I25"/>
  <c r="J25" s="1"/>
  <c r="I26"/>
  <c r="J26" s="1"/>
  <c r="I27"/>
  <c r="J27" s="1"/>
  <c r="I28"/>
  <c r="J28" s="1"/>
  <c r="I29"/>
  <c r="J29" s="1"/>
  <c r="I30"/>
  <c r="J30" s="1"/>
  <c r="I31"/>
  <c r="J31" s="1"/>
  <c r="I32"/>
  <c r="J32"/>
  <c r="I33"/>
  <c r="J33" s="1"/>
  <c r="I34"/>
  <c r="J34" s="1"/>
  <c r="I35"/>
  <c r="J35" s="1"/>
  <c r="I36"/>
  <c r="J36" s="1"/>
  <c r="I37"/>
  <c r="J37" s="1"/>
  <c r="I38"/>
  <c r="J38" s="1"/>
  <c r="I39"/>
  <c r="J39" s="1"/>
  <c r="I40"/>
  <c r="J40" s="1"/>
  <c r="I41"/>
  <c r="J41" s="1"/>
  <c r="I42"/>
  <c r="J42" s="1"/>
  <c r="I43"/>
  <c r="J43" s="1"/>
  <c r="I44"/>
  <c r="J44" s="1"/>
  <c r="I45"/>
  <c r="J45" s="1"/>
  <c r="I46"/>
  <c r="J46" s="1"/>
  <c r="I47"/>
  <c r="J47" s="1"/>
  <c r="I48"/>
  <c r="J48" s="1"/>
  <c r="I49"/>
  <c r="J49" s="1"/>
  <c r="I50"/>
  <c r="J50" s="1"/>
  <c r="I51"/>
  <c r="J51" s="1"/>
  <c r="I52"/>
  <c r="J52" s="1"/>
  <c r="I53"/>
  <c r="J53" s="1"/>
  <c r="I54"/>
  <c r="J54" s="1"/>
  <c r="I55"/>
  <c r="J55" s="1"/>
  <c r="I56"/>
  <c r="J56" s="1"/>
  <c r="I57"/>
  <c r="J57" s="1"/>
  <c r="I58"/>
  <c r="J58" s="1"/>
  <c r="I59"/>
  <c r="J59" s="1"/>
  <c r="I60"/>
  <c r="J60" s="1"/>
  <c r="I61"/>
  <c r="J61" s="1"/>
  <c r="I62"/>
  <c r="J62" s="1"/>
  <c r="I63"/>
  <c r="J63" s="1"/>
  <c r="I64"/>
  <c r="J64" s="1"/>
  <c r="I65"/>
  <c r="J65" s="1"/>
  <c r="I66"/>
  <c r="J66" s="1"/>
  <c r="I67"/>
  <c r="J67" s="1"/>
  <c r="I68"/>
  <c r="J68" s="1"/>
  <c r="I69"/>
  <c r="J69" s="1"/>
  <c r="I70"/>
  <c r="J70"/>
  <c r="I71"/>
  <c r="J71" s="1"/>
  <c r="I72"/>
  <c r="J72" s="1"/>
  <c r="I73"/>
  <c r="J73" s="1"/>
  <c r="I74"/>
  <c r="J74" s="1"/>
  <c r="I75"/>
  <c r="J75" s="1"/>
  <c r="I76"/>
  <c r="J76" s="1"/>
  <c r="I77"/>
  <c r="J77" s="1"/>
  <c r="I78"/>
  <c r="J78" s="1"/>
  <c r="I79"/>
  <c r="J79" s="1"/>
  <c r="I80"/>
  <c r="J80" s="1"/>
  <c r="I81"/>
  <c r="J81" s="1"/>
  <c r="I82"/>
  <c r="J82" s="1"/>
  <c r="I83"/>
  <c r="J83" s="1"/>
  <c r="I84"/>
  <c r="J84" s="1"/>
  <c r="I85"/>
  <c r="J85" s="1"/>
  <c r="I86"/>
  <c r="J86" s="1"/>
  <c r="I87"/>
  <c r="J87" s="1"/>
  <c r="I88"/>
  <c r="J88" s="1"/>
  <c r="I89"/>
  <c r="J89" s="1"/>
  <c r="I90"/>
  <c r="J90" s="1"/>
  <c r="I91"/>
  <c r="J91" s="1"/>
  <c r="I92"/>
  <c r="J92" s="1"/>
  <c r="I93"/>
  <c r="J93" s="1"/>
  <c r="I94"/>
  <c r="J94" s="1"/>
  <c r="I95"/>
  <c r="J95" s="1"/>
  <c r="I96"/>
  <c r="J96"/>
  <c r="I97"/>
  <c r="J97" s="1"/>
  <c r="I98"/>
  <c r="J98" s="1"/>
  <c r="I99"/>
  <c r="J99" s="1"/>
  <c r="I100"/>
  <c r="J100" s="1"/>
  <c r="I101"/>
  <c r="J101" s="1"/>
  <c r="I102"/>
  <c r="J102" s="1"/>
  <c r="I103"/>
  <c r="J103" s="1"/>
  <c r="I104"/>
  <c r="J104" s="1"/>
  <c r="I105"/>
  <c r="J105" s="1"/>
  <c r="I106"/>
  <c r="J106" s="1"/>
  <c r="I107"/>
  <c r="J107" s="1"/>
  <c r="I108"/>
  <c r="J108" s="1"/>
  <c r="I109"/>
  <c r="J109" s="1"/>
  <c r="I110"/>
  <c r="J110" s="1"/>
  <c r="I111"/>
  <c r="J111" s="1"/>
  <c r="I112"/>
  <c r="J112" s="1"/>
  <c r="I113"/>
  <c r="J113" s="1"/>
  <c r="I114"/>
  <c r="J114" s="1"/>
  <c r="I115"/>
  <c r="J115" s="1"/>
  <c r="I116"/>
  <c r="J116" s="1"/>
  <c r="I117"/>
  <c r="J117" s="1"/>
  <c r="I118"/>
  <c r="J118" s="1"/>
  <c r="I119"/>
  <c r="J119" s="1"/>
  <c r="I120"/>
  <c r="J120" s="1"/>
  <c r="I121"/>
  <c r="J121" s="1"/>
  <c r="I122"/>
  <c r="J122" s="1"/>
  <c r="I123"/>
  <c r="J123" s="1"/>
  <c r="I124"/>
  <c r="J124" s="1"/>
  <c r="I125"/>
  <c r="J125" s="1"/>
  <c r="I126"/>
  <c r="J126" s="1"/>
  <c r="I127"/>
  <c r="J127" s="1"/>
  <c r="I128"/>
  <c r="J128" s="1"/>
  <c r="I129"/>
  <c r="J129" s="1"/>
  <c r="I130"/>
  <c r="J130" s="1"/>
  <c r="I131"/>
  <c r="J131" s="1"/>
  <c r="I132"/>
  <c r="J132" s="1"/>
  <c r="I133"/>
  <c r="J133" s="1"/>
  <c r="I134"/>
  <c r="J134" s="1"/>
  <c r="I135"/>
  <c r="J135" s="1"/>
  <c r="I136"/>
  <c r="J136" s="1"/>
  <c r="I137"/>
  <c r="J137" s="1"/>
  <c r="I138"/>
  <c r="J138" s="1"/>
  <c r="I139"/>
  <c r="J139" s="1"/>
  <c r="I140"/>
  <c r="J140" s="1"/>
  <c r="I141"/>
  <c r="J141" s="1"/>
  <c r="I142"/>
  <c r="J142" s="1"/>
  <c r="I143"/>
  <c r="J143" s="1"/>
  <c r="I144"/>
  <c r="J144" s="1"/>
  <c r="I145"/>
  <c r="J145" s="1"/>
  <c r="I146"/>
  <c r="J146" s="1"/>
  <c r="I147"/>
  <c r="J147" s="1"/>
  <c r="I148"/>
  <c r="J148" s="1"/>
  <c r="I149"/>
  <c r="J149" s="1"/>
  <c r="I150"/>
  <c r="J150" s="1"/>
  <c r="I151"/>
  <c r="J151" s="1"/>
  <c r="I152"/>
  <c r="J152" s="1"/>
  <c r="I153"/>
  <c r="J153" s="1"/>
  <c r="I154"/>
  <c r="J154" s="1"/>
  <c r="I155"/>
  <c r="J155" s="1"/>
  <c r="I156"/>
  <c r="J156" s="1"/>
  <c r="I157"/>
  <c r="J157" s="1"/>
  <c r="I158"/>
  <c r="J158" s="1"/>
  <c r="I159"/>
  <c r="J159" s="1"/>
  <c r="I160"/>
  <c r="J160" s="1"/>
  <c r="I161"/>
  <c r="J161" s="1"/>
  <c r="I162"/>
  <c r="J162" s="1"/>
  <c r="I163"/>
  <c r="J163" s="1"/>
  <c r="I164"/>
  <c r="J164" s="1"/>
  <c r="I165"/>
  <c r="J165" s="1"/>
  <c r="I166"/>
  <c r="J166" s="1"/>
  <c r="I167"/>
  <c r="J167" s="1"/>
  <c r="I168"/>
  <c r="J168"/>
  <c r="I169"/>
  <c r="J169" s="1"/>
  <c r="I170"/>
  <c r="J170" s="1"/>
  <c r="I171"/>
  <c r="J171" s="1"/>
  <c r="I172"/>
  <c r="J172" s="1"/>
  <c r="I173"/>
  <c r="J173" s="1"/>
  <c r="I174"/>
  <c r="J174" s="1"/>
  <c r="I175"/>
  <c r="J175" s="1"/>
  <c r="I176"/>
  <c r="J176" s="1"/>
  <c r="I177"/>
  <c r="J177" s="1"/>
  <c r="I178"/>
  <c r="J178" s="1"/>
  <c r="I179"/>
  <c r="J179" s="1"/>
  <c r="I180"/>
  <c r="J180" s="1"/>
  <c r="I181"/>
  <c r="J181" s="1"/>
  <c r="I182"/>
  <c r="J182" s="1"/>
  <c r="I183"/>
  <c r="J183" s="1"/>
  <c r="I184"/>
  <c r="J184" s="1"/>
  <c r="I185"/>
  <c r="J185" s="1"/>
  <c r="I186"/>
  <c r="J186" s="1"/>
  <c r="I187"/>
  <c r="J187" s="1"/>
  <c r="I188"/>
  <c r="J188" s="1"/>
  <c r="I189"/>
  <c r="J189" s="1"/>
  <c r="I190"/>
  <c r="J190" s="1"/>
  <c r="I191"/>
  <c r="J191" s="1"/>
  <c r="I192"/>
  <c r="J192" s="1"/>
  <c r="I193"/>
  <c r="J193" s="1"/>
  <c r="I194"/>
  <c r="J194" s="1"/>
  <c r="I195"/>
  <c r="J195" s="1"/>
  <c r="I196"/>
  <c r="J196" s="1"/>
  <c r="I197"/>
  <c r="J197" s="1"/>
  <c r="I198"/>
  <c r="J198" s="1"/>
  <c r="I199"/>
  <c r="J199" s="1"/>
  <c r="I200"/>
  <c r="J200" s="1"/>
  <c r="I201"/>
  <c r="J201" s="1"/>
  <c r="I202"/>
  <c r="J202" s="1"/>
  <c r="I203"/>
  <c r="J203" s="1"/>
  <c r="I204"/>
  <c r="J204" s="1"/>
  <c r="I205"/>
  <c r="J205" s="1"/>
  <c r="I206"/>
  <c r="J206" s="1"/>
  <c r="I207"/>
  <c r="J207" s="1"/>
  <c r="I208"/>
  <c r="J208" s="1"/>
  <c r="I209"/>
  <c r="J209" s="1"/>
  <c r="I210"/>
  <c r="J210" s="1"/>
  <c r="I211"/>
  <c r="J211" s="1"/>
  <c r="I212"/>
  <c r="J212" s="1"/>
  <c r="I213"/>
  <c r="J213" s="1"/>
  <c r="I214"/>
  <c r="J214" s="1"/>
  <c r="I215"/>
  <c r="J215" s="1"/>
  <c r="I216"/>
  <c r="J216" s="1"/>
  <c r="I217"/>
  <c r="J217" s="1"/>
  <c r="I218"/>
  <c r="J218" s="1"/>
  <c r="I219"/>
  <c r="J219" s="1"/>
  <c r="I220"/>
  <c r="J220" s="1"/>
  <c r="I221"/>
  <c r="J221" s="1"/>
  <c r="I222"/>
  <c r="J222" s="1"/>
  <c r="I223"/>
  <c r="J223" s="1"/>
  <c r="I224"/>
  <c r="J224" s="1"/>
  <c r="I225"/>
  <c r="J225" s="1"/>
  <c r="I226"/>
  <c r="J226" s="1"/>
  <c r="I227"/>
  <c r="J227" s="1"/>
  <c r="I228"/>
  <c r="J228" s="1"/>
  <c r="I229"/>
  <c r="J229" s="1"/>
  <c r="I230"/>
  <c r="J230" s="1"/>
  <c r="I231"/>
  <c r="J231" s="1"/>
  <c r="I232"/>
  <c r="J232" s="1"/>
  <c r="I233"/>
  <c r="J233" s="1"/>
  <c r="I234"/>
  <c r="J234" s="1"/>
  <c r="I235"/>
  <c r="J235" s="1"/>
  <c r="I236"/>
  <c r="J236" s="1"/>
  <c r="I237"/>
  <c r="J237" s="1"/>
  <c r="I238"/>
  <c r="J238"/>
  <c r="I239"/>
  <c r="J239" s="1"/>
  <c r="I240"/>
  <c r="J240" s="1"/>
  <c r="I241"/>
  <c r="J241" s="1"/>
  <c r="I242"/>
  <c r="J242" s="1"/>
  <c r="I243"/>
  <c r="J243" s="1"/>
  <c r="I244"/>
  <c r="J244" s="1"/>
  <c r="I245"/>
  <c r="J245" s="1"/>
  <c r="I246"/>
  <c r="J246" s="1"/>
  <c r="I247"/>
  <c r="J247" s="1"/>
  <c r="I248"/>
  <c r="J248" s="1"/>
  <c r="I249"/>
  <c r="J249" s="1"/>
  <c r="I250"/>
  <c r="J250" s="1"/>
  <c r="I251"/>
  <c r="J251" s="1"/>
  <c r="I252"/>
  <c r="J252" s="1"/>
  <c r="I253"/>
  <c r="J253" s="1"/>
  <c r="I254"/>
  <c r="J254" s="1"/>
  <c r="I255"/>
  <c r="J255" s="1"/>
  <c r="I256"/>
  <c r="J256" s="1"/>
  <c r="I257"/>
  <c r="J257" s="1"/>
  <c r="I258"/>
  <c r="J258" s="1"/>
  <c r="I259"/>
  <c r="J259" s="1"/>
  <c r="I260"/>
  <c r="J260" s="1"/>
  <c r="I261"/>
  <c r="J261" s="1"/>
  <c r="I262"/>
  <c r="J262" s="1"/>
  <c r="I263"/>
  <c r="J263" s="1"/>
  <c r="I264"/>
  <c r="J264" s="1"/>
  <c r="I265"/>
  <c r="J265" s="1"/>
  <c r="I266"/>
  <c r="J266" s="1"/>
  <c r="I267"/>
  <c r="J267" s="1"/>
  <c r="I268"/>
  <c r="J268" s="1"/>
  <c r="I269"/>
  <c r="J269" s="1"/>
  <c r="I270"/>
  <c r="J270" s="1"/>
  <c r="I271"/>
  <c r="J271" s="1"/>
  <c r="I272"/>
  <c r="J272" s="1"/>
  <c r="I273"/>
  <c r="J273" s="1"/>
  <c r="I274"/>
  <c r="J274" s="1"/>
  <c r="I275"/>
  <c r="J275" s="1"/>
  <c r="I276"/>
  <c r="J276" s="1"/>
  <c r="I277"/>
  <c r="J277" s="1"/>
  <c r="I278"/>
  <c r="J278" s="1"/>
  <c r="I279"/>
  <c r="J279" s="1"/>
  <c r="I280"/>
  <c r="J280" s="1"/>
  <c r="I281"/>
  <c r="J281" s="1"/>
  <c r="I282"/>
  <c r="J282" s="1"/>
  <c r="I283"/>
  <c r="J283" s="1"/>
  <c r="I284"/>
  <c r="J284" s="1"/>
  <c r="I285"/>
  <c r="J285" s="1"/>
  <c r="I286"/>
  <c r="J286" s="1"/>
  <c r="I287"/>
  <c r="J287" s="1"/>
  <c r="I288"/>
  <c r="J288" s="1"/>
  <c r="I289"/>
  <c r="J289" s="1"/>
  <c r="I290"/>
  <c r="J290" s="1"/>
  <c r="I291"/>
  <c r="J291" s="1"/>
  <c r="I292"/>
  <c r="J292" s="1"/>
  <c r="I293"/>
  <c r="J293" s="1"/>
  <c r="I294"/>
  <c r="J294" s="1"/>
  <c r="I295"/>
  <c r="J295" s="1"/>
  <c r="I296"/>
  <c r="J296" s="1"/>
  <c r="I297"/>
  <c r="J297" s="1"/>
  <c r="I298"/>
  <c r="J298" s="1"/>
  <c r="I299"/>
  <c r="J299" s="1"/>
  <c r="I300"/>
  <c r="J300" s="1"/>
  <c r="I301"/>
  <c r="J301" s="1"/>
  <c r="I302"/>
  <c r="J302" s="1"/>
  <c r="I303"/>
  <c r="J303" s="1"/>
  <c r="I304"/>
  <c r="J304" s="1"/>
  <c r="I305"/>
  <c r="J305" s="1"/>
  <c r="I306"/>
  <c r="J306" s="1"/>
  <c r="I307"/>
  <c r="J307" s="1"/>
  <c r="I308"/>
  <c r="J308" s="1"/>
  <c r="I309"/>
  <c r="J309" s="1"/>
  <c r="I310"/>
  <c r="J310" s="1"/>
  <c r="I311"/>
  <c r="J311" s="1"/>
  <c r="I312"/>
  <c r="J312" s="1"/>
  <c r="I313"/>
  <c r="J313" s="1"/>
  <c r="I314"/>
  <c r="J314" s="1"/>
  <c r="I315"/>
  <c r="J315" s="1"/>
  <c r="I316"/>
  <c r="J316" s="1"/>
  <c r="I317"/>
  <c r="J317" s="1"/>
  <c r="I318"/>
  <c r="J318" s="1"/>
  <c r="I319"/>
  <c r="J319" s="1"/>
  <c r="I320"/>
  <c r="J320" s="1"/>
  <c r="I321"/>
  <c r="J321" s="1"/>
  <c r="I322"/>
  <c r="J322" s="1"/>
  <c r="I323"/>
  <c r="J323" s="1"/>
  <c r="I324"/>
  <c r="J324" s="1"/>
  <c r="I325"/>
  <c r="J325" s="1"/>
  <c r="I326"/>
  <c r="J326" s="1"/>
  <c r="I327"/>
  <c r="J327" s="1"/>
  <c r="I328"/>
  <c r="J328" s="1"/>
  <c r="I329"/>
  <c r="J329" s="1"/>
  <c r="I330"/>
  <c r="J330" s="1"/>
  <c r="I331"/>
  <c r="J331" s="1"/>
  <c r="I332"/>
  <c r="J332" s="1"/>
  <c r="I333"/>
  <c r="J333" s="1"/>
  <c r="I334"/>
  <c r="J334" s="1"/>
  <c r="I335"/>
  <c r="J335" s="1"/>
  <c r="I336"/>
  <c r="J336" s="1"/>
  <c r="I337"/>
  <c r="J337" s="1"/>
  <c r="I338"/>
  <c r="J338" s="1"/>
  <c r="I339"/>
  <c r="J339" s="1"/>
  <c r="I340"/>
  <c r="J340" s="1"/>
  <c r="I341"/>
  <c r="J341" s="1"/>
  <c r="I342"/>
  <c r="J342" s="1"/>
  <c r="I343"/>
  <c r="J343" s="1"/>
  <c r="I344"/>
  <c r="J344" s="1"/>
  <c r="I345"/>
  <c r="J345" s="1"/>
  <c r="I346"/>
  <c r="J346" s="1"/>
  <c r="I347"/>
  <c r="J347" s="1"/>
  <c r="I348"/>
  <c r="J348" s="1"/>
  <c r="I349"/>
  <c r="J349" s="1"/>
  <c r="I350"/>
  <c r="J350" s="1"/>
  <c r="I351"/>
  <c r="J351" s="1"/>
  <c r="I352"/>
  <c r="J352" s="1"/>
  <c r="I353"/>
  <c r="J353" s="1"/>
  <c r="I354"/>
  <c r="J354" s="1"/>
  <c r="I355"/>
  <c r="J355" s="1"/>
  <c r="I356"/>
  <c r="J356" s="1"/>
  <c r="I357"/>
  <c r="J357" s="1"/>
  <c r="I358"/>
  <c r="J358" s="1"/>
  <c r="I359"/>
  <c r="J359" s="1"/>
  <c r="I360"/>
  <c r="J360" s="1"/>
  <c r="I361"/>
  <c r="J361" s="1"/>
  <c r="I362"/>
  <c r="J362" s="1"/>
  <c r="I363"/>
  <c r="J363" s="1"/>
  <c r="I364"/>
  <c r="J364" s="1"/>
  <c r="I365"/>
  <c r="J365" s="1"/>
  <c r="I366"/>
  <c r="J366" s="1"/>
  <c r="I367"/>
  <c r="J367" s="1"/>
  <c r="I368"/>
  <c r="J368" s="1"/>
  <c r="I369"/>
  <c r="J369" s="1"/>
  <c r="I370"/>
  <c r="J370" s="1"/>
  <c r="I371"/>
  <c r="J371" s="1"/>
  <c r="I372"/>
  <c r="J372" s="1"/>
  <c r="I373"/>
  <c r="J373" s="1"/>
  <c r="I374"/>
  <c r="J374" s="1"/>
  <c r="I375"/>
  <c r="J375" s="1"/>
  <c r="I376"/>
  <c r="J376" s="1"/>
  <c r="I377"/>
  <c r="J377" s="1"/>
  <c r="I378"/>
  <c r="J378" s="1"/>
  <c r="I379"/>
  <c r="J379" s="1"/>
  <c r="I380"/>
  <c r="J380" s="1"/>
  <c r="I381"/>
  <c r="J381" s="1"/>
  <c r="I382"/>
  <c r="J382" s="1"/>
  <c r="I383"/>
  <c r="J383" s="1"/>
  <c r="I384"/>
  <c r="J384" s="1"/>
  <c r="I385"/>
  <c r="J385" s="1"/>
  <c r="I386"/>
  <c r="J386" s="1"/>
  <c r="I387"/>
  <c r="J387" s="1"/>
  <c r="I388"/>
  <c r="J388" s="1"/>
  <c r="I389"/>
  <c r="J389" s="1"/>
  <c r="I390"/>
  <c r="J390" s="1"/>
  <c r="I391"/>
  <c r="J391" s="1"/>
  <c r="I392"/>
  <c r="J392" s="1"/>
  <c r="I393"/>
  <c r="J393" s="1"/>
  <c r="I394"/>
  <c r="J394" s="1"/>
  <c r="I395"/>
  <c r="J395" s="1"/>
  <c r="I396"/>
  <c r="J396" s="1"/>
  <c r="I397"/>
  <c r="J397" s="1"/>
  <c r="I398"/>
  <c r="J398" s="1"/>
  <c r="I399"/>
  <c r="J399" s="1"/>
  <c r="I400"/>
  <c r="J400" s="1"/>
  <c r="I401"/>
  <c r="J401" s="1"/>
  <c r="I402"/>
  <c r="J402" s="1"/>
  <c r="I403"/>
  <c r="J403" s="1"/>
  <c r="I404"/>
  <c r="J404" s="1"/>
  <c r="I405"/>
  <c r="J405" s="1"/>
  <c r="I406"/>
  <c r="J406" s="1"/>
  <c r="I407"/>
  <c r="J407" s="1"/>
  <c r="I408"/>
  <c r="J408" s="1"/>
  <c r="I409"/>
  <c r="J409" s="1"/>
  <c r="I410"/>
  <c r="J410" s="1"/>
  <c r="I411"/>
  <c r="J411" s="1"/>
  <c r="I412"/>
  <c r="J412" s="1"/>
  <c r="I413"/>
  <c r="J413" s="1"/>
  <c r="I414"/>
  <c r="J414" s="1"/>
  <c r="I415"/>
  <c r="J415" s="1"/>
  <c r="I416"/>
  <c r="J416" s="1"/>
  <c r="I417"/>
  <c r="J417" s="1"/>
  <c r="I418"/>
  <c r="J418" s="1"/>
  <c r="I419"/>
  <c r="J419" s="1"/>
  <c r="I420"/>
  <c r="J420" s="1"/>
  <c r="I421"/>
  <c r="J421" s="1"/>
  <c r="I422"/>
  <c r="J422" s="1"/>
  <c r="I423"/>
  <c r="J423" s="1"/>
  <c r="I424"/>
  <c r="J424" s="1"/>
  <c r="I425"/>
  <c r="J425" s="1"/>
  <c r="I426"/>
  <c r="J426" s="1"/>
  <c r="I427"/>
  <c r="J427" s="1"/>
  <c r="I428"/>
  <c r="J428" s="1"/>
  <c r="I429"/>
  <c r="J429" s="1"/>
  <c r="I430"/>
  <c r="J430" s="1"/>
  <c r="I431"/>
  <c r="J431" s="1"/>
  <c r="I432"/>
  <c r="J432" s="1"/>
  <c r="I433"/>
  <c r="J433" s="1"/>
  <c r="I434"/>
  <c r="J434" s="1"/>
  <c r="I435"/>
  <c r="J435" s="1"/>
  <c r="I436"/>
  <c r="J436" s="1"/>
  <c r="I437"/>
  <c r="J437" s="1"/>
  <c r="I438"/>
  <c r="J438" s="1"/>
  <c r="I439"/>
  <c r="J439" s="1"/>
  <c r="I440"/>
  <c r="J440" s="1"/>
  <c r="I441"/>
  <c r="J441" s="1"/>
  <c r="I442"/>
  <c r="J442" s="1"/>
  <c r="I443"/>
  <c r="J443" s="1"/>
  <c r="I444"/>
  <c r="J444" s="1"/>
  <c r="I445"/>
  <c r="J445" s="1"/>
  <c r="I446"/>
  <c r="J446" s="1"/>
  <c r="I447"/>
  <c r="J447" s="1"/>
  <c r="I448"/>
  <c r="J448" s="1"/>
  <c r="I449"/>
  <c r="J449" s="1"/>
  <c r="I450"/>
  <c r="J450" s="1"/>
  <c r="I451"/>
  <c r="J451" s="1"/>
  <c r="I452"/>
  <c r="J452" s="1"/>
  <c r="I453"/>
  <c r="J453" s="1"/>
  <c r="I454"/>
  <c r="J454" s="1"/>
  <c r="I455"/>
  <c r="J455" s="1"/>
  <c r="I456"/>
  <c r="J456" s="1"/>
  <c r="I457"/>
  <c r="J457" s="1"/>
  <c r="I458"/>
  <c r="J458" s="1"/>
  <c r="I459"/>
  <c r="J459" s="1"/>
  <c r="I460"/>
  <c r="J460" s="1"/>
  <c r="I461"/>
  <c r="J461" s="1"/>
  <c r="I462"/>
  <c r="J462" s="1"/>
  <c r="I463"/>
  <c r="J463" s="1"/>
  <c r="I464"/>
  <c r="J464" s="1"/>
  <c r="I465"/>
  <c r="J465" s="1"/>
  <c r="I466"/>
  <c r="J466" s="1"/>
  <c r="I467"/>
  <c r="J467" s="1"/>
  <c r="I468"/>
  <c r="J468" s="1"/>
  <c r="I469"/>
  <c r="J469" s="1"/>
  <c r="I470"/>
  <c r="J470" s="1"/>
  <c r="I471"/>
  <c r="J471" s="1"/>
  <c r="I472"/>
  <c r="J472" s="1"/>
  <c r="I473"/>
  <c r="J473" s="1"/>
  <c r="I474"/>
  <c r="J474" s="1"/>
  <c r="I475"/>
  <c r="J475" s="1"/>
  <c r="I476"/>
  <c r="J476" s="1"/>
  <c r="I477"/>
  <c r="J477" s="1"/>
  <c r="I478"/>
  <c r="J478" s="1"/>
  <c r="I479"/>
  <c r="J479" s="1"/>
  <c r="I480"/>
  <c r="J480" s="1"/>
  <c r="I481"/>
  <c r="J481" s="1"/>
  <c r="I482"/>
  <c r="J482" s="1"/>
  <c r="I483"/>
  <c r="J483" s="1"/>
  <c r="I484"/>
  <c r="J484" s="1"/>
  <c r="I485"/>
  <c r="J485" s="1"/>
  <c r="I486"/>
  <c r="J486" s="1"/>
  <c r="I487"/>
  <c r="J487" s="1"/>
  <c r="I488"/>
  <c r="J488" s="1"/>
  <c r="I489"/>
  <c r="J489" s="1"/>
  <c r="I490"/>
  <c r="J490" s="1"/>
  <c r="I491"/>
  <c r="J491" s="1"/>
  <c r="I492"/>
  <c r="J492" s="1"/>
  <c r="I493"/>
  <c r="J493" s="1"/>
  <c r="I494"/>
  <c r="J494" s="1"/>
  <c r="I495"/>
  <c r="J495" s="1"/>
  <c r="I496"/>
  <c r="J496" s="1"/>
  <c r="I497"/>
  <c r="J497" s="1"/>
  <c r="I498"/>
  <c r="J498" s="1"/>
  <c r="I499"/>
  <c r="J499" s="1"/>
  <c r="I500"/>
  <c r="J500" s="1"/>
  <c r="I501"/>
  <c r="J501" s="1"/>
  <c r="I502"/>
  <c r="J502" s="1"/>
  <c r="I503"/>
  <c r="J503" s="1"/>
  <c r="I504"/>
  <c r="J504" s="1"/>
  <c r="I505"/>
  <c r="J505" s="1"/>
  <c r="I506"/>
  <c r="J506" s="1"/>
  <c r="I507"/>
  <c r="J507" s="1"/>
  <c r="I508"/>
  <c r="J508" s="1"/>
  <c r="I509"/>
  <c r="J509" s="1"/>
  <c r="I510"/>
  <c r="J510" s="1"/>
  <c r="I511"/>
  <c r="J511" s="1"/>
  <c r="I512"/>
  <c r="J512" s="1"/>
  <c r="I513"/>
  <c r="J513" s="1"/>
  <c r="I514"/>
  <c r="J514" s="1"/>
  <c r="I515"/>
  <c r="J515" s="1"/>
  <c r="I516"/>
  <c r="J516" s="1"/>
  <c r="I517"/>
  <c r="J517" s="1"/>
  <c r="I518"/>
  <c r="J518" s="1"/>
  <c r="I519"/>
  <c r="J519" s="1"/>
  <c r="I520"/>
  <c r="J520" s="1"/>
  <c r="I521"/>
  <c r="J521" s="1"/>
  <c r="I522"/>
  <c r="J522" s="1"/>
  <c r="I523"/>
  <c r="J523" s="1"/>
  <c r="I524"/>
  <c r="J524" s="1"/>
  <c r="I525"/>
  <c r="J525" s="1"/>
  <c r="I526"/>
  <c r="J526" s="1"/>
  <c r="I527"/>
  <c r="J527" s="1"/>
  <c r="I528"/>
  <c r="J528" s="1"/>
  <c r="I529"/>
  <c r="J529" s="1"/>
  <c r="I530"/>
  <c r="J530" s="1"/>
  <c r="I531"/>
  <c r="J531" s="1"/>
  <c r="I532"/>
  <c r="J532" s="1"/>
  <c r="I533"/>
  <c r="J533" s="1"/>
  <c r="I534"/>
  <c r="J534" s="1"/>
  <c r="I535"/>
  <c r="J535" s="1"/>
  <c r="I536"/>
  <c r="J536" s="1"/>
  <c r="I537"/>
  <c r="J537" s="1"/>
  <c r="I538"/>
  <c r="J538" s="1"/>
  <c r="I539"/>
  <c r="J539" s="1"/>
  <c r="I540"/>
  <c r="J540" s="1"/>
  <c r="I541"/>
  <c r="J541" s="1"/>
  <c r="I542"/>
  <c r="J542" s="1"/>
  <c r="I543"/>
  <c r="J543" s="1"/>
  <c r="I544"/>
  <c r="J544" s="1"/>
  <c r="I545"/>
  <c r="J545" s="1"/>
  <c r="I546"/>
  <c r="J546" s="1"/>
  <c r="I547"/>
  <c r="J547" s="1"/>
  <c r="I548"/>
  <c r="J548" s="1"/>
  <c r="I549"/>
  <c r="J549" s="1"/>
  <c r="I550"/>
  <c r="J550" s="1"/>
  <c r="I551"/>
  <c r="J551" s="1"/>
  <c r="I552"/>
  <c r="J552" s="1"/>
  <c r="I553"/>
  <c r="J553" s="1"/>
  <c r="I554"/>
  <c r="J554" s="1"/>
  <c r="I555"/>
  <c r="J555" s="1"/>
  <c r="I556"/>
  <c r="J556" s="1"/>
  <c r="I557"/>
  <c r="J557" s="1"/>
  <c r="I558"/>
  <c r="J558" s="1"/>
  <c r="I559"/>
  <c r="J559" s="1"/>
  <c r="I560"/>
  <c r="J560" s="1"/>
  <c r="I561"/>
  <c r="J561" s="1"/>
  <c r="I562"/>
  <c r="J562" s="1"/>
  <c r="I563"/>
  <c r="J563" s="1"/>
  <c r="I564"/>
  <c r="J564" s="1"/>
  <c r="I565"/>
  <c r="J565" s="1"/>
  <c r="I566"/>
  <c r="J566" s="1"/>
  <c r="I567"/>
  <c r="J567" s="1"/>
  <c r="I568"/>
  <c r="J568" s="1"/>
  <c r="I569"/>
  <c r="J569" s="1"/>
  <c r="I570"/>
  <c r="J570" s="1"/>
  <c r="I571"/>
  <c r="J571" s="1"/>
  <c r="I572"/>
  <c r="J572" s="1"/>
  <c r="I573"/>
  <c r="J573" s="1"/>
  <c r="I574"/>
  <c r="J574" s="1"/>
  <c r="I575"/>
  <c r="J575" s="1"/>
  <c r="I576"/>
  <c r="J576" s="1"/>
  <c r="I577"/>
  <c r="J577" s="1"/>
  <c r="I578"/>
  <c r="J578" s="1"/>
  <c r="I579"/>
  <c r="J579" s="1"/>
  <c r="I580"/>
  <c r="J580" s="1"/>
  <c r="I581"/>
  <c r="J581" s="1"/>
  <c r="I582"/>
  <c r="J582" s="1"/>
  <c r="I583"/>
  <c r="J583" s="1"/>
  <c r="I584"/>
  <c r="J584" s="1"/>
  <c r="I585"/>
  <c r="J585" s="1"/>
  <c r="I586"/>
  <c r="J586" s="1"/>
  <c r="I587"/>
  <c r="J587" s="1"/>
  <c r="I588"/>
  <c r="J588" s="1"/>
  <c r="I589"/>
  <c r="J589" s="1"/>
  <c r="I590"/>
  <c r="J590" s="1"/>
  <c r="I591"/>
  <c r="J591" s="1"/>
  <c r="I592"/>
  <c r="J592" s="1"/>
  <c r="I593"/>
  <c r="J593" s="1"/>
  <c r="I594"/>
  <c r="J594" s="1"/>
  <c r="I595"/>
  <c r="J595" s="1"/>
  <c r="I596"/>
  <c r="J596" s="1"/>
  <c r="I597"/>
  <c r="J597" s="1"/>
  <c r="I598"/>
  <c r="J598" s="1"/>
  <c r="I599"/>
  <c r="J599" s="1"/>
  <c r="I600"/>
  <c r="J600" s="1"/>
  <c r="I601"/>
  <c r="J601" s="1"/>
  <c r="I602"/>
  <c r="J602" s="1"/>
  <c r="I603"/>
  <c r="J603" s="1"/>
  <c r="I604"/>
  <c r="J604" s="1"/>
  <c r="I605"/>
  <c r="J605" s="1"/>
  <c r="I606"/>
  <c r="J606" s="1"/>
  <c r="I607"/>
  <c r="J607" s="1"/>
  <c r="I608"/>
  <c r="J608" s="1"/>
  <c r="I609"/>
  <c r="J609" s="1"/>
  <c r="I610"/>
  <c r="J610" s="1"/>
  <c r="I611"/>
  <c r="J611" s="1"/>
  <c r="I612"/>
  <c r="J612" s="1"/>
  <c r="I613"/>
  <c r="J613" s="1"/>
  <c r="I614"/>
  <c r="J614" s="1"/>
  <c r="I615"/>
  <c r="J615" s="1"/>
  <c r="I616"/>
  <c r="J616" s="1"/>
  <c r="I617"/>
  <c r="J617" s="1"/>
  <c r="I618"/>
  <c r="J618" s="1"/>
  <c r="I619"/>
  <c r="J619" s="1"/>
  <c r="I620"/>
  <c r="J620" s="1"/>
  <c r="I621"/>
  <c r="J621" s="1"/>
  <c r="I622"/>
  <c r="J622" s="1"/>
  <c r="I623"/>
  <c r="J623" s="1"/>
  <c r="I624"/>
  <c r="J624" s="1"/>
  <c r="I625"/>
  <c r="J625" s="1"/>
  <c r="I626"/>
  <c r="J626" s="1"/>
  <c r="I627"/>
  <c r="J627" s="1"/>
  <c r="I628"/>
  <c r="J628" s="1"/>
  <c r="I629"/>
  <c r="J629" s="1"/>
  <c r="I630"/>
  <c r="J630" s="1"/>
  <c r="I631"/>
  <c r="J631" s="1"/>
  <c r="I632"/>
  <c r="J632" s="1"/>
  <c r="I633"/>
  <c r="J633" s="1"/>
  <c r="I634"/>
  <c r="J634" s="1"/>
  <c r="I635"/>
  <c r="J635" s="1"/>
  <c r="I636"/>
  <c r="J636" s="1"/>
  <c r="I637"/>
  <c r="J637" s="1"/>
  <c r="I638"/>
  <c r="J638" s="1"/>
  <c r="I639"/>
  <c r="J639" s="1"/>
  <c r="I640"/>
  <c r="J640" s="1"/>
  <c r="I641"/>
  <c r="J641" s="1"/>
  <c r="I642"/>
  <c r="J642" s="1"/>
  <c r="I643"/>
  <c r="J643" s="1"/>
  <c r="I644"/>
  <c r="J644" s="1"/>
  <c r="I645"/>
  <c r="J645" s="1"/>
  <c r="I646"/>
  <c r="J646" s="1"/>
  <c r="I647"/>
  <c r="J647" s="1"/>
  <c r="I648"/>
  <c r="J648" s="1"/>
  <c r="I649"/>
  <c r="J649" s="1"/>
  <c r="I650"/>
  <c r="J650" s="1"/>
  <c r="I651"/>
  <c r="J651" s="1"/>
  <c r="I652"/>
  <c r="J652" s="1"/>
  <c r="I653"/>
  <c r="J653" s="1"/>
  <c r="I654"/>
  <c r="J654" s="1"/>
  <c r="I655"/>
  <c r="J655" s="1"/>
  <c r="I656"/>
  <c r="J656" s="1"/>
  <c r="I657"/>
  <c r="J657" s="1"/>
  <c r="I658"/>
  <c r="J658" s="1"/>
  <c r="I659"/>
  <c r="J659" s="1"/>
  <c r="I660"/>
  <c r="J660" s="1"/>
  <c r="I661"/>
  <c r="J661" s="1"/>
  <c r="I662"/>
  <c r="J662" s="1"/>
  <c r="I663"/>
  <c r="J663" s="1"/>
  <c r="I664"/>
  <c r="J664" s="1"/>
  <c r="I665"/>
  <c r="J665" s="1"/>
  <c r="I666"/>
  <c r="J666" s="1"/>
  <c r="I667"/>
  <c r="J667" s="1"/>
  <c r="I668"/>
  <c r="J668" s="1"/>
  <c r="I669"/>
  <c r="J669" s="1"/>
  <c r="I670"/>
  <c r="J670" s="1"/>
  <c r="I671"/>
  <c r="J671" s="1"/>
  <c r="I672"/>
  <c r="J672" s="1"/>
  <c r="I673"/>
  <c r="J673" s="1"/>
  <c r="I674"/>
  <c r="J674" s="1"/>
  <c r="I675"/>
  <c r="J675" s="1"/>
  <c r="I676"/>
  <c r="J676" s="1"/>
  <c r="I677"/>
  <c r="J677" s="1"/>
  <c r="I678"/>
  <c r="J678" s="1"/>
  <c r="I679"/>
  <c r="J679" s="1"/>
  <c r="I680"/>
  <c r="J680" s="1"/>
  <c r="I681"/>
  <c r="J681" s="1"/>
  <c r="I682"/>
  <c r="J682" s="1"/>
  <c r="I683"/>
  <c r="J683" s="1"/>
  <c r="I684"/>
  <c r="J684" s="1"/>
  <c r="I685"/>
  <c r="J685" s="1"/>
  <c r="I686"/>
  <c r="J686" s="1"/>
  <c r="I687"/>
  <c r="J687" s="1"/>
  <c r="I688"/>
  <c r="J688" s="1"/>
  <c r="I689"/>
  <c r="J689" s="1"/>
  <c r="I690"/>
  <c r="J690" s="1"/>
  <c r="I691"/>
  <c r="J691" s="1"/>
  <c r="I692"/>
  <c r="J692" s="1"/>
  <c r="I693"/>
  <c r="J693" s="1"/>
  <c r="I694"/>
  <c r="J694" s="1"/>
  <c r="I695"/>
  <c r="J695" s="1"/>
  <c r="I696"/>
  <c r="J696" s="1"/>
  <c r="I697"/>
  <c r="J697" s="1"/>
  <c r="I698"/>
  <c r="J698" s="1"/>
  <c r="I699"/>
  <c r="J699" s="1"/>
  <c r="I700"/>
  <c r="J700" s="1"/>
  <c r="I701"/>
  <c r="J701" s="1"/>
  <c r="I702"/>
  <c r="J702" s="1"/>
  <c r="I703"/>
  <c r="J703" s="1"/>
  <c r="I704"/>
  <c r="J704" s="1"/>
  <c r="I705"/>
  <c r="J705" s="1"/>
  <c r="I706"/>
  <c r="J706" s="1"/>
  <c r="I707"/>
  <c r="J707" s="1"/>
  <c r="I708"/>
  <c r="J708" s="1"/>
  <c r="I709"/>
  <c r="J709" s="1"/>
  <c r="I710"/>
  <c r="J710" s="1"/>
  <c r="I711"/>
  <c r="J711" s="1"/>
  <c r="I712"/>
  <c r="J712" s="1"/>
  <c r="I713"/>
  <c r="J713" s="1"/>
  <c r="I714"/>
  <c r="J714" s="1"/>
  <c r="I715"/>
  <c r="J715" s="1"/>
  <c r="I716"/>
  <c r="J716" s="1"/>
  <c r="I717"/>
  <c r="J717" s="1"/>
  <c r="I718"/>
  <c r="J718" s="1"/>
  <c r="I719"/>
  <c r="J719" s="1"/>
  <c r="I720"/>
  <c r="J720" s="1"/>
  <c r="I721"/>
  <c r="J721" s="1"/>
  <c r="I722"/>
  <c r="J722" s="1"/>
  <c r="I723"/>
  <c r="J723" s="1"/>
  <c r="I724"/>
  <c r="J724" s="1"/>
  <c r="I725"/>
  <c r="J725" s="1"/>
  <c r="I726"/>
  <c r="J726" s="1"/>
  <c r="I727"/>
  <c r="J727" s="1"/>
  <c r="I728"/>
  <c r="J728" s="1"/>
  <c r="I729"/>
  <c r="J729" s="1"/>
  <c r="I730"/>
  <c r="J730" s="1"/>
  <c r="I731"/>
  <c r="J731" s="1"/>
  <c r="I732"/>
  <c r="J732" s="1"/>
  <c r="I733"/>
  <c r="J733" s="1"/>
  <c r="I734"/>
  <c r="J734" s="1"/>
  <c r="I735"/>
  <c r="J735" s="1"/>
  <c r="I736"/>
  <c r="J736" s="1"/>
  <c r="I737"/>
  <c r="J737" s="1"/>
  <c r="I738"/>
  <c r="J738" s="1"/>
  <c r="I739"/>
  <c r="J739" s="1"/>
  <c r="I740"/>
  <c r="J740" s="1"/>
  <c r="I741"/>
  <c r="J741" s="1"/>
  <c r="I742"/>
  <c r="J742" s="1"/>
  <c r="I743"/>
  <c r="J743" s="1"/>
  <c r="I744"/>
  <c r="J744" s="1"/>
  <c r="I745"/>
  <c r="J745" s="1"/>
  <c r="I746"/>
  <c r="J746" s="1"/>
  <c r="I747"/>
  <c r="J747" s="1"/>
  <c r="I748"/>
  <c r="J748" s="1"/>
  <c r="I749"/>
  <c r="J749" s="1"/>
  <c r="I750"/>
  <c r="J750" s="1"/>
  <c r="I751"/>
  <c r="J751" s="1"/>
  <c r="I752"/>
  <c r="J752" s="1"/>
  <c r="I753"/>
  <c r="J753" s="1"/>
  <c r="I754"/>
  <c r="J754" s="1"/>
  <c r="I755"/>
  <c r="J755" s="1"/>
  <c r="I756"/>
  <c r="J756" s="1"/>
  <c r="I757"/>
  <c r="J757" s="1"/>
  <c r="I758"/>
  <c r="J758" s="1"/>
  <c r="I759"/>
  <c r="J759" s="1"/>
  <c r="I760"/>
  <c r="J760" s="1"/>
  <c r="I761"/>
  <c r="J761" s="1"/>
  <c r="I762"/>
  <c r="J762" s="1"/>
  <c r="I763"/>
  <c r="J763" s="1"/>
  <c r="I764"/>
  <c r="J764" s="1"/>
  <c r="I765"/>
  <c r="J765" s="1"/>
  <c r="I766"/>
  <c r="J766" s="1"/>
  <c r="I767"/>
  <c r="J767" s="1"/>
  <c r="I768"/>
  <c r="J768" s="1"/>
  <c r="I769"/>
  <c r="J769" s="1"/>
  <c r="I770"/>
  <c r="J770" s="1"/>
  <c r="I771"/>
  <c r="J771" s="1"/>
  <c r="I772"/>
  <c r="J772" s="1"/>
  <c r="I773"/>
  <c r="J773" s="1"/>
  <c r="I774"/>
  <c r="J774" s="1"/>
  <c r="I775"/>
  <c r="J775" s="1"/>
  <c r="I776"/>
  <c r="J776" s="1"/>
  <c r="I777"/>
  <c r="J777" s="1"/>
  <c r="I778"/>
  <c r="J778" s="1"/>
  <c r="I779"/>
  <c r="J779" s="1"/>
  <c r="I780"/>
  <c r="J780" s="1"/>
  <c r="I781"/>
  <c r="J781" s="1"/>
  <c r="I782"/>
  <c r="J782" s="1"/>
  <c r="I783"/>
  <c r="J783" s="1"/>
  <c r="I784"/>
  <c r="J784" s="1"/>
  <c r="I785"/>
  <c r="J785" s="1"/>
  <c r="I786"/>
  <c r="J786" s="1"/>
  <c r="I787"/>
  <c r="J787" s="1"/>
  <c r="I788"/>
  <c r="J788" s="1"/>
  <c r="I789"/>
  <c r="J789" s="1"/>
  <c r="I790"/>
  <c r="J790" s="1"/>
  <c r="I791"/>
  <c r="J791" s="1"/>
  <c r="I792"/>
  <c r="J792" s="1"/>
  <c r="I793"/>
  <c r="J793" s="1"/>
  <c r="I794"/>
  <c r="J794" s="1"/>
  <c r="I795"/>
  <c r="J795" s="1"/>
  <c r="I796"/>
  <c r="J796" s="1"/>
  <c r="I797"/>
  <c r="J797" s="1"/>
  <c r="I798"/>
  <c r="J798" s="1"/>
  <c r="I799"/>
  <c r="J799" s="1"/>
  <c r="I800"/>
  <c r="J800" s="1"/>
  <c r="I801"/>
  <c r="J801" s="1"/>
  <c r="I802"/>
  <c r="J802" s="1"/>
  <c r="I803"/>
  <c r="J803" s="1"/>
  <c r="I804"/>
  <c r="J804" s="1"/>
  <c r="I805"/>
  <c r="J805" s="1"/>
  <c r="I806"/>
  <c r="J806" s="1"/>
  <c r="I807"/>
  <c r="J807" s="1"/>
  <c r="I808"/>
  <c r="J808" s="1"/>
  <c r="I809"/>
  <c r="J809" s="1"/>
  <c r="I810"/>
  <c r="J810" s="1"/>
  <c r="I811"/>
  <c r="J811" s="1"/>
  <c r="I812"/>
  <c r="J812" s="1"/>
  <c r="I813"/>
  <c r="J813" s="1"/>
  <c r="I814"/>
  <c r="J814" s="1"/>
  <c r="I815"/>
  <c r="J815" s="1"/>
  <c r="I816"/>
  <c r="J816" s="1"/>
  <c r="I817"/>
  <c r="J817" s="1"/>
  <c r="I818"/>
  <c r="J818" s="1"/>
  <c r="I819"/>
  <c r="J819" s="1"/>
  <c r="I820"/>
  <c r="J820" s="1"/>
  <c r="I821"/>
  <c r="J821" s="1"/>
  <c r="I822"/>
  <c r="J822" s="1"/>
  <c r="I823"/>
  <c r="J823" s="1"/>
  <c r="I824"/>
  <c r="J824" s="1"/>
  <c r="I825"/>
  <c r="J825" s="1"/>
  <c r="I826"/>
  <c r="J826" s="1"/>
  <c r="I827"/>
  <c r="J827" s="1"/>
  <c r="I828"/>
  <c r="J828" s="1"/>
  <c r="I829"/>
  <c r="J829" s="1"/>
  <c r="I830"/>
  <c r="J830" s="1"/>
  <c r="I831"/>
  <c r="J831" s="1"/>
  <c r="I832"/>
  <c r="J832" s="1"/>
  <c r="I833"/>
  <c r="J833" s="1"/>
  <c r="I834"/>
  <c r="J834" s="1"/>
  <c r="I835"/>
  <c r="J835" s="1"/>
  <c r="I836"/>
  <c r="J836" s="1"/>
  <c r="I837"/>
  <c r="J837" s="1"/>
  <c r="I838"/>
  <c r="J838" s="1"/>
  <c r="I839"/>
  <c r="J839" s="1"/>
  <c r="I840"/>
  <c r="J840" s="1"/>
  <c r="I841"/>
  <c r="J841" s="1"/>
  <c r="I842"/>
  <c r="J842" s="1"/>
  <c r="I843"/>
  <c r="J843" s="1"/>
  <c r="I844"/>
  <c r="J844" s="1"/>
  <c r="I845"/>
  <c r="J845" s="1"/>
  <c r="I846"/>
  <c r="J846" s="1"/>
  <c r="I847"/>
  <c r="J847" s="1"/>
  <c r="I848"/>
  <c r="J848" s="1"/>
  <c r="I849"/>
  <c r="J849" s="1"/>
  <c r="I850"/>
  <c r="J850" s="1"/>
  <c r="I851"/>
  <c r="J851" s="1"/>
  <c r="I852"/>
  <c r="J852" s="1"/>
  <c r="I853"/>
  <c r="J853" s="1"/>
  <c r="I854"/>
  <c r="J854" s="1"/>
  <c r="I855"/>
  <c r="J855" s="1"/>
  <c r="I856"/>
  <c r="J856" s="1"/>
  <c r="I857"/>
  <c r="J857" s="1"/>
  <c r="I858"/>
  <c r="J858" s="1"/>
  <c r="I859"/>
  <c r="J859" s="1"/>
  <c r="I860"/>
  <c r="J860" s="1"/>
  <c r="I861"/>
  <c r="J861" s="1"/>
  <c r="I862"/>
  <c r="J862" s="1"/>
  <c r="I863"/>
  <c r="J863" s="1"/>
  <c r="I864"/>
  <c r="J864" s="1"/>
  <c r="I865"/>
  <c r="J865" s="1"/>
  <c r="I866"/>
  <c r="J866" s="1"/>
  <c r="I867"/>
  <c r="J867" s="1"/>
  <c r="I868"/>
  <c r="J868" s="1"/>
  <c r="I869"/>
  <c r="J869" s="1"/>
  <c r="I870"/>
  <c r="J870" s="1"/>
  <c r="I871"/>
  <c r="J871" s="1"/>
  <c r="I872"/>
  <c r="J872" s="1"/>
  <c r="I873"/>
  <c r="J873" s="1"/>
  <c r="I874"/>
  <c r="J874" s="1"/>
  <c r="I875"/>
  <c r="J875" s="1"/>
  <c r="I876"/>
  <c r="J876" s="1"/>
  <c r="I877"/>
  <c r="J877" s="1"/>
  <c r="I878"/>
  <c r="J878" s="1"/>
  <c r="I879"/>
  <c r="J879" s="1"/>
  <c r="I880"/>
  <c r="J880" s="1"/>
  <c r="I881"/>
  <c r="J881" s="1"/>
  <c r="I882"/>
  <c r="J882" s="1"/>
  <c r="I883"/>
  <c r="J883" s="1"/>
  <c r="I884"/>
  <c r="J884" s="1"/>
  <c r="I885"/>
  <c r="J885" s="1"/>
  <c r="I886"/>
  <c r="J886" s="1"/>
  <c r="I887"/>
  <c r="J887" s="1"/>
  <c r="I888"/>
  <c r="J888" s="1"/>
  <c r="I889"/>
  <c r="J889" s="1"/>
  <c r="I890"/>
  <c r="J890" s="1"/>
  <c r="I891"/>
  <c r="J891" s="1"/>
  <c r="I892"/>
  <c r="J892" s="1"/>
  <c r="I893"/>
  <c r="J893" s="1"/>
  <c r="I894"/>
  <c r="J894" s="1"/>
  <c r="I895"/>
  <c r="J895" s="1"/>
  <c r="I896"/>
  <c r="J896" s="1"/>
  <c r="I897"/>
  <c r="J897" s="1"/>
  <c r="I898"/>
  <c r="J898" s="1"/>
  <c r="I899"/>
  <c r="J899" s="1"/>
  <c r="I900"/>
  <c r="J900" s="1"/>
  <c r="I901"/>
  <c r="J901" s="1"/>
  <c r="I902"/>
  <c r="J902" s="1"/>
  <c r="I903"/>
  <c r="J903" s="1"/>
  <c r="I904"/>
  <c r="J904" s="1"/>
  <c r="I905"/>
  <c r="J905" s="1"/>
  <c r="I906"/>
  <c r="J906" s="1"/>
  <c r="I907"/>
  <c r="J907" s="1"/>
  <c r="I908"/>
  <c r="J908" s="1"/>
  <c r="I909"/>
  <c r="J909" s="1"/>
  <c r="I910"/>
  <c r="J910" s="1"/>
  <c r="I911"/>
  <c r="J911" s="1"/>
  <c r="I912"/>
  <c r="J912" s="1"/>
  <c r="I913"/>
  <c r="J913" s="1"/>
  <c r="I914"/>
  <c r="J914" s="1"/>
  <c r="I915"/>
  <c r="J915" s="1"/>
  <c r="I916"/>
  <c r="J916" s="1"/>
  <c r="I917"/>
  <c r="J917" s="1"/>
  <c r="I918"/>
  <c r="J918" s="1"/>
  <c r="I919"/>
  <c r="J919" s="1"/>
  <c r="I920"/>
  <c r="J920" s="1"/>
  <c r="I921"/>
  <c r="J921" s="1"/>
  <c r="I922"/>
  <c r="J922" s="1"/>
  <c r="I923"/>
  <c r="J923" s="1"/>
  <c r="I924"/>
  <c r="J924" s="1"/>
  <c r="I925"/>
  <c r="J925" s="1"/>
  <c r="I926"/>
  <c r="J926" s="1"/>
  <c r="I927"/>
  <c r="J927" s="1"/>
  <c r="I928"/>
  <c r="J928" s="1"/>
  <c r="I929"/>
  <c r="J929" s="1"/>
  <c r="I930"/>
  <c r="J930" s="1"/>
  <c r="I931"/>
  <c r="J931" s="1"/>
  <c r="I932"/>
  <c r="J932" s="1"/>
  <c r="I933"/>
  <c r="J933" s="1"/>
  <c r="I934"/>
  <c r="J934" s="1"/>
  <c r="I935"/>
  <c r="J935" s="1"/>
  <c r="I936"/>
  <c r="J936" s="1"/>
  <c r="I937"/>
  <c r="J937" s="1"/>
  <c r="I938"/>
  <c r="J938" s="1"/>
  <c r="I939"/>
  <c r="J939" s="1"/>
  <c r="I940"/>
  <c r="J940" s="1"/>
  <c r="I941"/>
  <c r="J941" s="1"/>
  <c r="I942"/>
  <c r="J942" s="1"/>
  <c r="I943"/>
  <c r="J943" s="1"/>
  <c r="I944"/>
  <c r="J944" s="1"/>
  <c r="I945"/>
  <c r="J945" s="1"/>
  <c r="I946"/>
  <c r="J946" s="1"/>
  <c r="I947"/>
  <c r="J947" s="1"/>
  <c r="I948"/>
  <c r="J948" s="1"/>
  <c r="I949"/>
  <c r="J949" s="1"/>
  <c r="I950"/>
  <c r="J950" s="1"/>
  <c r="I951"/>
  <c r="J951" s="1"/>
  <c r="I952"/>
  <c r="J952" s="1"/>
  <c r="I953"/>
  <c r="J953" s="1"/>
  <c r="I954"/>
  <c r="J954" s="1"/>
  <c r="I955"/>
  <c r="J955" s="1"/>
  <c r="I956"/>
  <c r="J956" s="1"/>
  <c r="I957"/>
  <c r="J957" s="1"/>
  <c r="I958"/>
  <c r="J958" s="1"/>
  <c r="I959"/>
  <c r="J959" s="1"/>
  <c r="I960"/>
  <c r="J960" s="1"/>
  <c r="I961"/>
  <c r="J961" s="1"/>
  <c r="I962"/>
  <c r="J962" s="1"/>
  <c r="I963"/>
  <c r="J963" s="1"/>
  <c r="I964"/>
  <c r="J964" s="1"/>
  <c r="I965"/>
  <c r="J965" s="1"/>
  <c r="I966"/>
  <c r="J966" s="1"/>
  <c r="I967"/>
  <c r="J967" s="1"/>
  <c r="I968"/>
  <c r="J968" s="1"/>
  <c r="I969"/>
  <c r="J969" s="1"/>
  <c r="I970"/>
  <c r="J970" s="1"/>
  <c r="I971"/>
  <c r="J971" s="1"/>
  <c r="I972"/>
  <c r="J972" s="1"/>
  <c r="I973"/>
  <c r="J973" s="1"/>
  <c r="I974"/>
  <c r="J974" s="1"/>
  <c r="I975"/>
  <c r="J975" s="1"/>
  <c r="I976"/>
  <c r="J976" s="1"/>
  <c r="I977"/>
  <c r="J977" s="1"/>
  <c r="I978"/>
  <c r="J978" s="1"/>
  <c r="I979"/>
  <c r="J979" s="1"/>
  <c r="I980"/>
  <c r="J980" s="1"/>
  <c r="I981"/>
  <c r="J981" s="1"/>
  <c r="I982"/>
  <c r="J982" s="1"/>
  <c r="I983"/>
  <c r="J983" s="1"/>
  <c r="I984"/>
  <c r="J984" s="1"/>
  <c r="I985"/>
  <c r="J985" s="1"/>
  <c r="I986"/>
  <c r="J986" s="1"/>
  <c r="I987"/>
  <c r="J987" s="1"/>
  <c r="I988"/>
  <c r="J988" s="1"/>
  <c r="I989"/>
  <c r="J989" s="1"/>
  <c r="I990"/>
  <c r="J990" s="1"/>
  <c r="I991"/>
  <c r="J991" s="1"/>
  <c r="I992"/>
  <c r="J992" s="1"/>
  <c r="I993"/>
  <c r="J993" s="1"/>
  <c r="I994"/>
  <c r="J994" s="1"/>
  <c r="I995"/>
  <c r="J995" s="1"/>
  <c r="I996"/>
  <c r="J996" s="1"/>
  <c r="I997"/>
  <c r="J997" s="1"/>
  <c r="I998"/>
  <c r="J998" s="1"/>
  <c r="I999"/>
  <c r="J999" s="1"/>
  <c r="I1000"/>
  <c r="J1000" s="1"/>
  <c r="I1001"/>
  <c r="J1001" s="1"/>
  <c r="I1002"/>
  <c r="J1002" s="1"/>
  <c r="I1003"/>
  <c r="J1003" s="1"/>
  <c r="I1004"/>
  <c r="J1004" s="1"/>
  <c r="I1005"/>
  <c r="J1005" s="1"/>
  <c r="I1006"/>
  <c r="J1006" s="1"/>
  <c r="I1007"/>
  <c r="J1007" s="1"/>
  <c r="I1008"/>
  <c r="J1008" s="1"/>
  <c r="I1009"/>
  <c r="J1009" s="1"/>
  <c r="I1010"/>
  <c r="J1010" s="1"/>
  <c r="I1011"/>
  <c r="J1011" s="1"/>
  <c r="K18"/>
  <c r="K19" s="1"/>
  <c r="K20" s="1"/>
  <c r="K21" s="1"/>
  <c r="K22" s="1"/>
  <c r="K23" s="1"/>
  <c r="K24" s="1"/>
  <c r="K25" s="1"/>
  <c r="K26" s="1"/>
  <c r="K27" s="1"/>
  <c r="K28" s="1"/>
  <c r="K29" s="1"/>
  <c r="K30" s="1"/>
  <c r="K31" s="1"/>
  <c r="K32" s="1"/>
  <c r="K33" s="1"/>
  <c r="K34" s="1"/>
  <c r="K35" s="1"/>
  <c r="K36" s="1"/>
  <c r="K37" s="1"/>
  <c r="K38" s="1"/>
  <c r="K39" s="1"/>
  <c r="K40" s="1"/>
  <c r="K41" s="1"/>
  <c r="K42" s="1"/>
  <c r="K43" s="1"/>
  <c r="K44" s="1"/>
  <c r="K45" s="1"/>
  <c r="K46" s="1"/>
  <c r="K47" s="1"/>
  <c r="K48" s="1"/>
  <c r="K49" s="1"/>
  <c r="K50" s="1"/>
  <c r="K51" s="1"/>
  <c r="K52" s="1"/>
  <c r="K53" s="1"/>
  <c r="K54" s="1"/>
  <c r="K55" s="1"/>
  <c r="K56" s="1"/>
  <c r="K57" s="1"/>
  <c r="K58" s="1"/>
  <c r="K59" s="1"/>
  <c r="K60" s="1"/>
  <c r="K61" s="1"/>
  <c r="K62" s="1"/>
  <c r="K63" s="1"/>
  <c r="K64" s="1"/>
  <c r="K65" s="1"/>
  <c r="K66" s="1"/>
  <c r="K67" s="1"/>
  <c r="K68" s="1"/>
  <c r="K69" s="1"/>
  <c r="K70" s="1"/>
  <c r="K71" s="1"/>
  <c r="K72" s="1"/>
  <c r="K73" s="1"/>
  <c r="K74" s="1"/>
  <c r="K75" s="1"/>
  <c r="K76" s="1"/>
  <c r="K77" s="1"/>
  <c r="K78" s="1"/>
  <c r="K79" s="1"/>
  <c r="K80" s="1"/>
  <c r="K81" s="1"/>
  <c r="K82" s="1"/>
  <c r="K83" s="1"/>
  <c r="K84" s="1"/>
  <c r="K85" s="1"/>
  <c r="K86" s="1"/>
  <c r="K87" s="1"/>
  <c r="K88" s="1"/>
  <c r="K89" s="1"/>
  <c r="K90" s="1"/>
  <c r="K91" s="1"/>
  <c r="K92" s="1"/>
  <c r="K93" s="1"/>
  <c r="K94" s="1"/>
  <c r="K95" s="1"/>
  <c r="K96" s="1"/>
  <c r="K97" s="1"/>
  <c r="K98" s="1"/>
  <c r="K99" s="1"/>
  <c r="K100" s="1"/>
  <c r="K101" s="1"/>
  <c r="K102" s="1"/>
  <c r="K103" s="1"/>
  <c r="K104" s="1"/>
  <c r="K105" s="1"/>
  <c r="K106" s="1"/>
  <c r="K107" s="1"/>
  <c r="K108" s="1"/>
  <c r="K109" s="1"/>
  <c r="K110" s="1"/>
  <c r="K111" s="1"/>
  <c r="K112" s="1"/>
  <c r="K113" s="1"/>
  <c r="K114" s="1"/>
  <c r="K115" s="1"/>
  <c r="K116" s="1"/>
  <c r="K117" s="1"/>
  <c r="K118" s="1"/>
  <c r="K119" s="1"/>
  <c r="K120" s="1"/>
  <c r="K121" s="1"/>
  <c r="K122" s="1"/>
  <c r="K123" s="1"/>
  <c r="K124" s="1"/>
  <c r="K125" s="1"/>
  <c r="K126" s="1"/>
  <c r="K127" s="1"/>
  <c r="K128" s="1"/>
  <c r="K129" s="1"/>
  <c r="K130" s="1"/>
  <c r="K131" s="1"/>
  <c r="K132" s="1"/>
  <c r="K133" s="1"/>
  <c r="K134" s="1"/>
  <c r="K135" s="1"/>
  <c r="K136" s="1"/>
  <c r="K137" s="1"/>
  <c r="K138" s="1"/>
  <c r="K139" s="1"/>
  <c r="K140" s="1"/>
  <c r="K141" s="1"/>
  <c r="K142" s="1"/>
  <c r="K143" s="1"/>
  <c r="K144" s="1"/>
  <c r="K145" s="1"/>
  <c r="K146" s="1"/>
  <c r="K147" s="1"/>
  <c r="K148" s="1"/>
  <c r="K149" s="1"/>
  <c r="K150" s="1"/>
  <c r="K151" s="1"/>
  <c r="K152" s="1"/>
  <c r="K153" s="1"/>
  <c r="K154" s="1"/>
  <c r="K155" s="1"/>
  <c r="K156" s="1"/>
  <c r="K157" s="1"/>
  <c r="K158" s="1"/>
  <c r="K159" s="1"/>
  <c r="K160" s="1"/>
  <c r="K161" s="1"/>
  <c r="K162" s="1"/>
  <c r="K163" s="1"/>
  <c r="K164" s="1"/>
  <c r="K165" s="1"/>
  <c r="K166" s="1"/>
  <c r="K167" s="1"/>
  <c r="K168" s="1"/>
  <c r="K169" s="1"/>
  <c r="K170" s="1"/>
  <c r="K171" s="1"/>
  <c r="K172" s="1"/>
  <c r="K173" s="1"/>
  <c r="K174" s="1"/>
  <c r="K175" s="1"/>
  <c r="K176" s="1"/>
  <c r="K177" s="1"/>
  <c r="K178" s="1"/>
  <c r="K179" s="1"/>
  <c r="K180" s="1"/>
  <c r="K181" s="1"/>
  <c r="K182" s="1"/>
  <c r="K183" s="1"/>
  <c r="K184" s="1"/>
  <c r="K185" s="1"/>
  <c r="K186" s="1"/>
  <c r="K187" s="1"/>
  <c r="K188" s="1"/>
  <c r="K189" s="1"/>
  <c r="K190" s="1"/>
  <c r="K191" s="1"/>
  <c r="K192" s="1"/>
  <c r="K193" s="1"/>
  <c r="K194" s="1"/>
  <c r="K195" s="1"/>
  <c r="K196" s="1"/>
  <c r="K197" s="1"/>
  <c r="K198" s="1"/>
  <c r="K199" s="1"/>
  <c r="K200" s="1"/>
  <c r="K201" s="1"/>
  <c r="K202" s="1"/>
  <c r="K203" s="1"/>
  <c r="K204" s="1"/>
  <c r="K205" s="1"/>
  <c r="K206" s="1"/>
  <c r="K207" s="1"/>
  <c r="K208" s="1"/>
  <c r="K209" s="1"/>
  <c r="K210" s="1"/>
  <c r="K211" s="1"/>
  <c r="K212" s="1"/>
  <c r="K213" s="1"/>
  <c r="K214" s="1"/>
  <c r="K215" s="1"/>
  <c r="K216" s="1"/>
  <c r="K217" s="1"/>
  <c r="K218" s="1"/>
  <c r="K219" s="1"/>
  <c r="K220" s="1"/>
  <c r="K221" s="1"/>
  <c r="K222" s="1"/>
  <c r="K223" s="1"/>
  <c r="K224" s="1"/>
  <c r="K225" s="1"/>
  <c r="K226" s="1"/>
  <c r="K227" s="1"/>
  <c r="K228" s="1"/>
  <c r="K229" s="1"/>
  <c r="K230" s="1"/>
  <c r="K231" s="1"/>
  <c r="K232" s="1"/>
  <c r="K233" s="1"/>
  <c r="K234" s="1"/>
  <c r="K235" s="1"/>
  <c r="K236" s="1"/>
  <c r="K237" s="1"/>
  <c r="K238" s="1"/>
  <c r="K239" s="1"/>
  <c r="K240" s="1"/>
  <c r="K241" s="1"/>
  <c r="K242" s="1"/>
  <c r="K243" s="1"/>
  <c r="K244" s="1"/>
  <c r="K245" s="1"/>
  <c r="K246" s="1"/>
  <c r="K247" s="1"/>
  <c r="K248" s="1"/>
  <c r="K249" s="1"/>
  <c r="K250" s="1"/>
  <c r="K251" s="1"/>
  <c r="K252" s="1"/>
  <c r="K253" s="1"/>
  <c r="K254" s="1"/>
  <c r="K255" s="1"/>
  <c r="K256" s="1"/>
  <c r="K257" s="1"/>
  <c r="K258" s="1"/>
  <c r="K259" s="1"/>
  <c r="K260" s="1"/>
  <c r="K261" s="1"/>
  <c r="K262" s="1"/>
  <c r="K263" s="1"/>
  <c r="K264" s="1"/>
  <c r="K265" s="1"/>
  <c r="K266" s="1"/>
  <c r="K267" s="1"/>
  <c r="K268" s="1"/>
  <c r="K269" s="1"/>
  <c r="K270" s="1"/>
  <c r="K271" s="1"/>
  <c r="K272" s="1"/>
  <c r="K273" s="1"/>
  <c r="K274" s="1"/>
  <c r="K275" s="1"/>
  <c r="K276" s="1"/>
  <c r="K277" s="1"/>
  <c r="K278" s="1"/>
  <c r="K279" s="1"/>
  <c r="K280" s="1"/>
  <c r="K281" s="1"/>
  <c r="K282" s="1"/>
  <c r="K283" s="1"/>
  <c r="K284" s="1"/>
  <c r="K285" s="1"/>
  <c r="K286" s="1"/>
  <c r="K287" s="1"/>
  <c r="K288" s="1"/>
  <c r="K289" s="1"/>
  <c r="K290" s="1"/>
  <c r="K291" s="1"/>
  <c r="K292" s="1"/>
  <c r="K293" s="1"/>
  <c r="K294" s="1"/>
  <c r="K295" s="1"/>
  <c r="K296" s="1"/>
  <c r="K297" s="1"/>
  <c r="K298" s="1"/>
  <c r="K299" s="1"/>
  <c r="K300" s="1"/>
  <c r="K301" s="1"/>
  <c r="K302" s="1"/>
  <c r="K303" s="1"/>
  <c r="K304" s="1"/>
  <c r="K305" s="1"/>
  <c r="K306" s="1"/>
  <c r="K307" s="1"/>
  <c r="K308" s="1"/>
  <c r="K309" s="1"/>
  <c r="K310" s="1"/>
  <c r="K311" s="1"/>
  <c r="K312" s="1"/>
  <c r="K313" s="1"/>
  <c r="K314" s="1"/>
  <c r="K315" s="1"/>
  <c r="K316" s="1"/>
  <c r="K317" s="1"/>
  <c r="K318" s="1"/>
  <c r="K319" s="1"/>
  <c r="K320" s="1"/>
  <c r="K321" s="1"/>
  <c r="K322" s="1"/>
  <c r="K323" s="1"/>
  <c r="K324" s="1"/>
  <c r="K325" s="1"/>
  <c r="K326" s="1"/>
  <c r="K327" s="1"/>
  <c r="K328" s="1"/>
  <c r="K329" s="1"/>
  <c r="K330" s="1"/>
  <c r="K331" s="1"/>
  <c r="K332" s="1"/>
  <c r="K333" s="1"/>
  <c r="K334" s="1"/>
  <c r="K335" s="1"/>
  <c r="K336" s="1"/>
  <c r="K337" s="1"/>
  <c r="K338" s="1"/>
  <c r="K339" s="1"/>
  <c r="K340" s="1"/>
  <c r="K341" s="1"/>
  <c r="K342" s="1"/>
  <c r="K343" s="1"/>
  <c r="K344" s="1"/>
  <c r="K345" s="1"/>
  <c r="K346" s="1"/>
  <c r="K347" s="1"/>
  <c r="K348" s="1"/>
  <c r="K349" s="1"/>
  <c r="K350" s="1"/>
  <c r="K351" s="1"/>
  <c r="K352" s="1"/>
  <c r="K353" s="1"/>
  <c r="K354" s="1"/>
  <c r="K355" s="1"/>
  <c r="K356" s="1"/>
  <c r="K357" s="1"/>
  <c r="K358" s="1"/>
  <c r="K359" s="1"/>
  <c r="K360" s="1"/>
  <c r="K361" s="1"/>
  <c r="K362" s="1"/>
  <c r="K363" s="1"/>
  <c r="K364" s="1"/>
  <c r="K365" s="1"/>
  <c r="K366" s="1"/>
  <c r="K367" s="1"/>
  <c r="K368" s="1"/>
  <c r="K369" s="1"/>
  <c r="K370" s="1"/>
  <c r="K371" s="1"/>
  <c r="K372" s="1"/>
  <c r="K373" s="1"/>
  <c r="K374" s="1"/>
  <c r="K375" s="1"/>
  <c r="K376" s="1"/>
  <c r="K377" s="1"/>
  <c r="K378" s="1"/>
  <c r="K379" s="1"/>
  <c r="K380" s="1"/>
  <c r="K381" s="1"/>
  <c r="K382" s="1"/>
  <c r="K383" s="1"/>
  <c r="K384" s="1"/>
  <c r="K385" s="1"/>
  <c r="K386" s="1"/>
  <c r="K387" s="1"/>
  <c r="K388" s="1"/>
  <c r="K389" s="1"/>
  <c r="K390" s="1"/>
  <c r="K391" s="1"/>
  <c r="K392" s="1"/>
  <c r="K393" s="1"/>
  <c r="K394" s="1"/>
  <c r="K395" s="1"/>
  <c r="K396" s="1"/>
  <c r="K397" s="1"/>
  <c r="K398" s="1"/>
  <c r="K399" s="1"/>
  <c r="K400" s="1"/>
  <c r="K401" s="1"/>
  <c r="K402" s="1"/>
  <c r="K403" s="1"/>
  <c r="K404" s="1"/>
  <c r="K405" s="1"/>
  <c r="K406" s="1"/>
  <c r="K407" s="1"/>
  <c r="K408" s="1"/>
  <c r="K409" s="1"/>
  <c r="K410" s="1"/>
  <c r="K411" s="1"/>
  <c r="K412" s="1"/>
  <c r="K413" s="1"/>
  <c r="K414" s="1"/>
  <c r="K415" s="1"/>
  <c r="K416" s="1"/>
  <c r="K417" s="1"/>
  <c r="K418" s="1"/>
  <c r="K419" s="1"/>
  <c r="K420" s="1"/>
  <c r="K421" s="1"/>
  <c r="K422" s="1"/>
  <c r="K423" s="1"/>
  <c r="K424" s="1"/>
  <c r="K425" s="1"/>
  <c r="K426" s="1"/>
  <c r="K427" s="1"/>
  <c r="K428" s="1"/>
  <c r="K429" s="1"/>
  <c r="K430" s="1"/>
  <c r="K431" s="1"/>
  <c r="K432" s="1"/>
  <c r="K433" s="1"/>
  <c r="K434" s="1"/>
  <c r="K435" s="1"/>
  <c r="K436" s="1"/>
  <c r="K437" s="1"/>
  <c r="K438" s="1"/>
  <c r="K439" s="1"/>
  <c r="K440" s="1"/>
  <c r="K441" s="1"/>
  <c r="K442" s="1"/>
  <c r="K443" s="1"/>
  <c r="K444" s="1"/>
  <c r="K445" s="1"/>
  <c r="K446" s="1"/>
  <c r="K447" s="1"/>
  <c r="K448" s="1"/>
  <c r="K449" s="1"/>
  <c r="K450" s="1"/>
  <c r="K451" s="1"/>
  <c r="K452" s="1"/>
  <c r="K453" s="1"/>
  <c r="K454" s="1"/>
  <c r="K455" s="1"/>
  <c r="K456" s="1"/>
  <c r="K457" s="1"/>
  <c r="K458" s="1"/>
  <c r="K459" s="1"/>
  <c r="K460" s="1"/>
  <c r="K461" s="1"/>
  <c r="K462" s="1"/>
  <c r="K463" s="1"/>
  <c r="K464" s="1"/>
  <c r="K465" s="1"/>
  <c r="K466" s="1"/>
  <c r="K467" s="1"/>
  <c r="K468" s="1"/>
  <c r="K469" s="1"/>
  <c r="K470" s="1"/>
  <c r="K471" s="1"/>
  <c r="K472" s="1"/>
  <c r="K473" s="1"/>
  <c r="K474" s="1"/>
  <c r="K475" s="1"/>
  <c r="K476" s="1"/>
  <c r="K477" s="1"/>
  <c r="K478" s="1"/>
  <c r="K479" s="1"/>
  <c r="K480" s="1"/>
  <c r="K481" s="1"/>
  <c r="K482" s="1"/>
  <c r="K483" s="1"/>
  <c r="K484" s="1"/>
  <c r="K485" s="1"/>
  <c r="K486" s="1"/>
  <c r="K487" s="1"/>
  <c r="K488" s="1"/>
  <c r="K489" s="1"/>
  <c r="K490" s="1"/>
  <c r="K491" s="1"/>
  <c r="K492" s="1"/>
  <c r="K493" s="1"/>
  <c r="K494" s="1"/>
  <c r="K495" s="1"/>
  <c r="K496" s="1"/>
  <c r="K497" s="1"/>
  <c r="K498" s="1"/>
  <c r="K499" s="1"/>
  <c r="K500" s="1"/>
  <c r="K501" s="1"/>
  <c r="K502" s="1"/>
  <c r="K503" s="1"/>
  <c r="K504" s="1"/>
  <c r="K505" s="1"/>
  <c r="K506" s="1"/>
  <c r="K507" s="1"/>
  <c r="K508" s="1"/>
  <c r="K509" s="1"/>
  <c r="K510" s="1"/>
  <c r="K511" s="1"/>
  <c r="K512" s="1"/>
  <c r="K513" s="1"/>
  <c r="K514" s="1"/>
  <c r="K515" s="1"/>
  <c r="K516" s="1"/>
  <c r="K517" s="1"/>
  <c r="K518" s="1"/>
  <c r="K519" s="1"/>
  <c r="K520" s="1"/>
  <c r="K521" s="1"/>
  <c r="K522" s="1"/>
  <c r="K523" s="1"/>
  <c r="K524" s="1"/>
  <c r="K525" s="1"/>
  <c r="K526" s="1"/>
  <c r="K527" s="1"/>
  <c r="K528" s="1"/>
  <c r="K529" s="1"/>
  <c r="K530" s="1"/>
  <c r="K531" s="1"/>
  <c r="K532" s="1"/>
  <c r="K533" s="1"/>
  <c r="K534" s="1"/>
  <c r="K535" s="1"/>
  <c r="K536" s="1"/>
  <c r="K537" s="1"/>
  <c r="K538" s="1"/>
  <c r="K539" s="1"/>
  <c r="K540" s="1"/>
  <c r="K541" s="1"/>
  <c r="K542" s="1"/>
  <c r="K543" s="1"/>
  <c r="K544" s="1"/>
  <c r="K545" s="1"/>
  <c r="K546" s="1"/>
  <c r="K547" s="1"/>
  <c r="K548" s="1"/>
  <c r="K549" s="1"/>
  <c r="K550" s="1"/>
  <c r="K551" s="1"/>
  <c r="K552" s="1"/>
  <c r="K553" s="1"/>
  <c r="K554" s="1"/>
  <c r="K555" s="1"/>
  <c r="K556" s="1"/>
  <c r="K557" s="1"/>
  <c r="K558" s="1"/>
  <c r="K559" s="1"/>
  <c r="K560" s="1"/>
  <c r="K561" s="1"/>
  <c r="K562" s="1"/>
  <c r="K563" s="1"/>
  <c r="K564" s="1"/>
  <c r="K565" s="1"/>
  <c r="K566" s="1"/>
  <c r="K567" s="1"/>
  <c r="K568" s="1"/>
  <c r="K569" s="1"/>
  <c r="K570" s="1"/>
  <c r="K571" s="1"/>
  <c r="K572" s="1"/>
  <c r="K573" s="1"/>
  <c r="K574" s="1"/>
  <c r="K575" s="1"/>
  <c r="K576" s="1"/>
  <c r="K577" s="1"/>
  <c r="K578" s="1"/>
  <c r="K579" s="1"/>
  <c r="K580" s="1"/>
  <c r="K581" s="1"/>
  <c r="K582" s="1"/>
  <c r="K583" s="1"/>
  <c r="K584" s="1"/>
  <c r="K585" s="1"/>
  <c r="K586" s="1"/>
  <c r="K587" s="1"/>
  <c r="K588" s="1"/>
  <c r="K589" s="1"/>
  <c r="K590" s="1"/>
  <c r="K591" s="1"/>
  <c r="K592" s="1"/>
  <c r="K593" s="1"/>
  <c r="K594" s="1"/>
  <c r="K595" s="1"/>
  <c r="K596" s="1"/>
  <c r="K597" s="1"/>
  <c r="K598" s="1"/>
  <c r="K599" s="1"/>
  <c r="K600" s="1"/>
  <c r="K601" s="1"/>
  <c r="K602" s="1"/>
  <c r="K603" s="1"/>
  <c r="K604" s="1"/>
  <c r="K605" s="1"/>
  <c r="K606" s="1"/>
  <c r="K607" s="1"/>
  <c r="K608" s="1"/>
  <c r="K609" s="1"/>
  <c r="K610" s="1"/>
  <c r="K611" s="1"/>
  <c r="K612" s="1"/>
  <c r="K613" s="1"/>
  <c r="K614" s="1"/>
  <c r="K615" s="1"/>
  <c r="K616" s="1"/>
  <c r="K617" s="1"/>
  <c r="K618" s="1"/>
  <c r="K619" s="1"/>
  <c r="K620" s="1"/>
  <c r="K621" s="1"/>
  <c r="K622" s="1"/>
  <c r="K623" s="1"/>
  <c r="K624" s="1"/>
  <c r="K625" s="1"/>
  <c r="K626" s="1"/>
  <c r="K627" s="1"/>
  <c r="K628" s="1"/>
  <c r="K629" s="1"/>
  <c r="K630" s="1"/>
  <c r="K631" s="1"/>
  <c r="K632" s="1"/>
  <c r="K633" s="1"/>
  <c r="K634" s="1"/>
  <c r="K635" s="1"/>
  <c r="K636" s="1"/>
  <c r="K637" s="1"/>
  <c r="K638" s="1"/>
  <c r="K639" s="1"/>
  <c r="K640" s="1"/>
  <c r="K641" s="1"/>
  <c r="K642" s="1"/>
  <c r="K643" s="1"/>
  <c r="K644" s="1"/>
  <c r="K645" s="1"/>
  <c r="K646" s="1"/>
  <c r="K647" s="1"/>
  <c r="K648" s="1"/>
  <c r="K649" s="1"/>
  <c r="K650" s="1"/>
  <c r="K651" s="1"/>
  <c r="K652" s="1"/>
  <c r="K653" s="1"/>
  <c r="K654" s="1"/>
  <c r="K655" s="1"/>
  <c r="K656" s="1"/>
  <c r="K657" s="1"/>
  <c r="K658" s="1"/>
  <c r="K659" s="1"/>
  <c r="K660" s="1"/>
  <c r="K661" s="1"/>
  <c r="K662" s="1"/>
  <c r="K663" s="1"/>
  <c r="K664" s="1"/>
  <c r="K665" s="1"/>
  <c r="K666" s="1"/>
  <c r="K667" s="1"/>
  <c r="K668" s="1"/>
  <c r="K669" s="1"/>
  <c r="K670" s="1"/>
  <c r="K671" s="1"/>
  <c r="K672" s="1"/>
  <c r="K673" s="1"/>
  <c r="K674" s="1"/>
  <c r="K675" s="1"/>
  <c r="K676" s="1"/>
  <c r="K677" s="1"/>
  <c r="K678" s="1"/>
  <c r="K679" s="1"/>
  <c r="K680" s="1"/>
  <c r="K681" s="1"/>
  <c r="K682" s="1"/>
  <c r="K683" s="1"/>
  <c r="K684" s="1"/>
  <c r="K685" s="1"/>
  <c r="K686" s="1"/>
  <c r="K687" s="1"/>
  <c r="K688" s="1"/>
  <c r="K689" s="1"/>
  <c r="K690" s="1"/>
  <c r="K691" s="1"/>
  <c r="K692" s="1"/>
  <c r="K693" s="1"/>
  <c r="K694" s="1"/>
  <c r="K695" s="1"/>
  <c r="K696" s="1"/>
  <c r="K697" s="1"/>
  <c r="K698" s="1"/>
  <c r="K699" s="1"/>
  <c r="K700" s="1"/>
  <c r="K701" s="1"/>
  <c r="K702" s="1"/>
  <c r="K703" s="1"/>
  <c r="K704" s="1"/>
  <c r="K705" s="1"/>
  <c r="K706" s="1"/>
  <c r="K707" s="1"/>
  <c r="K708" s="1"/>
  <c r="K709" s="1"/>
  <c r="K710" s="1"/>
  <c r="K711" s="1"/>
  <c r="K712" s="1"/>
  <c r="K713" s="1"/>
  <c r="K714" s="1"/>
  <c r="K715" s="1"/>
  <c r="K716" s="1"/>
  <c r="K717" s="1"/>
  <c r="K718" s="1"/>
  <c r="K719" s="1"/>
  <c r="K720" s="1"/>
  <c r="K721" s="1"/>
  <c r="K722" s="1"/>
  <c r="K723" s="1"/>
  <c r="K724" s="1"/>
  <c r="K725" s="1"/>
  <c r="K726" s="1"/>
  <c r="K727" s="1"/>
  <c r="K728" s="1"/>
  <c r="K729" s="1"/>
  <c r="K730" s="1"/>
  <c r="K731" s="1"/>
  <c r="K732" s="1"/>
  <c r="K733" s="1"/>
  <c r="K734" s="1"/>
  <c r="K735" s="1"/>
  <c r="K736" s="1"/>
  <c r="K737" s="1"/>
  <c r="K738" s="1"/>
  <c r="K739" s="1"/>
  <c r="K740" s="1"/>
  <c r="K741" s="1"/>
  <c r="K742" s="1"/>
  <c r="K743" s="1"/>
  <c r="K744" s="1"/>
  <c r="K745" s="1"/>
  <c r="K746" s="1"/>
  <c r="K747" s="1"/>
  <c r="K748" s="1"/>
  <c r="K749" s="1"/>
  <c r="K750" s="1"/>
  <c r="K751" s="1"/>
  <c r="K752" s="1"/>
  <c r="K753" s="1"/>
  <c r="K754" s="1"/>
  <c r="K755" s="1"/>
  <c r="K756" s="1"/>
  <c r="K757" s="1"/>
  <c r="K758" s="1"/>
  <c r="K759" s="1"/>
  <c r="K760" s="1"/>
  <c r="K761" s="1"/>
  <c r="K762" s="1"/>
  <c r="K763" s="1"/>
  <c r="K764" s="1"/>
  <c r="K765" s="1"/>
  <c r="K766" s="1"/>
  <c r="K767" s="1"/>
  <c r="K768" s="1"/>
  <c r="K769" s="1"/>
  <c r="K770" s="1"/>
  <c r="K771" s="1"/>
  <c r="K772" s="1"/>
  <c r="K773" s="1"/>
  <c r="K774" s="1"/>
  <c r="K775" s="1"/>
  <c r="K776" s="1"/>
  <c r="K777" s="1"/>
  <c r="K778" s="1"/>
  <c r="K779" s="1"/>
  <c r="K780" s="1"/>
  <c r="K781" s="1"/>
  <c r="K782" s="1"/>
  <c r="K783" s="1"/>
  <c r="K784" s="1"/>
  <c r="K785" s="1"/>
  <c r="K786" s="1"/>
  <c r="K787" s="1"/>
  <c r="K788" s="1"/>
  <c r="K789" s="1"/>
  <c r="K790" s="1"/>
  <c r="K791" s="1"/>
  <c r="K792" s="1"/>
  <c r="K793" s="1"/>
  <c r="K794" s="1"/>
  <c r="K795" s="1"/>
  <c r="K796" s="1"/>
  <c r="K797" s="1"/>
  <c r="K798" s="1"/>
  <c r="K799" s="1"/>
  <c r="K800" s="1"/>
  <c r="K801" s="1"/>
  <c r="K802" s="1"/>
  <c r="K803" s="1"/>
  <c r="K804" s="1"/>
  <c r="K805" s="1"/>
  <c r="K806" s="1"/>
  <c r="K807" s="1"/>
  <c r="K808" s="1"/>
  <c r="K809" s="1"/>
  <c r="K810" s="1"/>
  <c r="K811" s="1"/>
  <c r="K812" s="1"/>
  <c r="K813" s="1"/>
  <c r="K814" s="1"/>
  <c r="K815" s="1"/>
  <c r="K816" s="1"/>
  <c r="K817" s="1"/>
  <c r="K818" s="1"/>
  <c r="K819" s="1"/>
  <c r="K820" s="1"/>
  <c r="K821" s="1"/>
  <c r="K822" s="1"/>
  <c r="K823" s="1"/>
  <c r="K824" s="1"/>
  <c r="K825" s="1"/>
  <c r="K826" s="1"/>
  <c r="K827" s="1"/>
  <c r="K828" s="1"/>
  <c r="K829" s="1"/>
  <c r="K830" s="1"/>
  <c r="K831" s="1"/>
  <c r="K832" s="1"/>
  <c r="K833" s="1"/>
  <c r="K834" s="1"/>
  <c r="K835" s="1"/>
  <c r="K836" s="1"/>
  <c r="K837" s="1"/>
  <c r="K838" s="1"/>
  <c r="K839" s="1"/>
  <c r="K840" s="1"/>
  <c r="K841" s="1"/>
  <c r="K842" s="1"/>
  <c r="K843" s="1"/>
  <c r="K844" s="1"/>
  <c r="K845" s="1"/>
  <c r="K846" s="1"/>
  <c r="K847" s="1"/>
  <c r="K848" s="1"/>
  <c r="K849" s="1"/>
  <c r="K850" s="1"/>
  <c r="K851" s="1"/>
  <c r="K852" s="1"/>
  <c r="K853" s="1"/>
  <c r="K854" s="1"/>
  <c r="K855" s="1"/>
  <c r="K856" s="1"/>
  <c r="K857" s="1"/>
  <c r="K858" s="1"/>
  <c r="K859" s="1"/>
  <c r="K860" s="1"/>
  <c r="K861" s="1"/>
  <c r="K862" s="1"/>
  <c r="K863" s="1"/>
  <c r="K864" s="1"/>
  <c r="K865" s="1"/>
  <c r="K866" s="1"/>
  <c r="K867" s="1"/>
  <c r="K868" s="1"/>
  <c r="K869" s="1"/>
  <c r="K870" s="1"/>
  <c r="K871" s="1"/>
  <c r="K872" s="1"/>
  <c r="K873" s="1"/>
  <c r="K874" s="1"/>
  <c r="K875" s="1"/>
  <c r="K876" s="1"/>
  <c r="K877" s="1"/>
  <c r="K878" s="1"/>
  <c r="K879" s="1"/>
  <c r="K880" s="1"/>
  <c r="K881" s="1"/>
  <c r="K882" s="1"/>
  <c r="K883" s="1"/>
  <c r="K884" s="1"/>
  <c r="K885" s="1"/>
  <c r="K886" s="1"/>
  <c r="K887" s="1"/>
  <c r="K888" s="1"/>
  <c r="K889" s="1"/>
  <c r="K890" s="1"/>
  <c r="K891" s="1"/>
  <c r="K892" s="1"/>
  <c r="K893" s="1"/>
  <c r="K894" s="1"/>
  <c r="K895" s="1"/>
  <c r="K896" s="1"/>
  <c r="K897" s="1"/>
  <c r="K898" s="1"/>
  <c r="K899" s="1"/>
  <c r="K900" s="1"/>
  <c r="K901" s="1"/>
  <c r="K902" s="1"/>
  <c r="K903" s="1"/>
  <c r="K904" s="1"/>
  <c r="K905" s="1"/>
  <c r="K906" s="1"/>
  <c r="K907" s="1"/>
  <c r="K908" s="1"/>
  <c r="K909" s="1"/>
  <c r="K910" s="1"/>
  <c r="K911" s="1"/>
  <c r="K912" s="1"/>
  <c r="K913" s="1"/>
  <c r="K914" s="1"/>
  <c r="K915" s="1"/>
  <c r="K916" s="1"/>
  <c r="K917" s="1"/>
  <c r="K918" s="1"/>
  <c r="K919" s="1"/>
  <c r="K920" s="1"/>
  <c r="K921" s="1"/>
  <c r="K922" s="1"/>
  <c r="K923" s="1"/>
  <c r="K924" s="1"/>
  <c r="K925" s="1"/>
  <c r="K926" s="1"/>
  <c r="K927" s="1"/>
  <c r="K928" s="1"/>
  <c r="K929" s="1"/>
  <c r="K930" s="1"/>
  <c r="K931" s="1"/>
  <c r="K932" s="1"/>
  <c r="K933" s="1"/>
  <c r="K934" s="1"/>
  <c r="K935" s="1"/>
  <c r="K936" s="1"/>
  <c r="K937" s="1"/>
  <c r="K938" s="1"/>
  <c r="K939" s="1"/>
  <c r="K940" s="1"/>
  <c r="K941" s="1"/>
  <c r="K942" s="1"/>
  <c r="K943" s="1"/>
  <c r="K944" s="1"/>
  <c r="K945" s="1"/>
  <c r="K946" s="1"/>
  <c r="K947" s="1"/>
  <c r="K948" s="1"/>
  <c r="K949" s="1"/>
  <c r="K950" s="1"/>
  <c r="K951" s="1"/>
  <c r="K952" s="1"/>
  <c r="K953" s="1"/>
  <c r="K954" s="1"/>
  <c r="K955" s="1"/>
  <c r="K956" s="1"/>
  <c r="K957" s="1"/>
  <c r="K958" s="1"/>
  <c r="K959" s="1"/>
  <c r="K960" s="1"/>
  <c r="K961" s="1"/>
  <c r="K962" s="1"/>
  <c r="K963" s="1"/>
  <c r="K964" s="1"/>
  <c r="K965" s="1"/>
  <c r="K966" s="1"/>
  <c r="K967" s="1"/>
  <c r="K968" s="1"/>
  <c r="K969" s="1"/>
  <c r="K970" s="1"/>
  <c r="K971" s="1"/>
  <c r="K972" s="1"/>
  <c r="K973" s="1"/>
  <c r="K974" s="1"/>
  <c r="K975" s="1"/>
  <c r="K976" s="1"/>
  <c r="K977" s="1"/>
  <c r="K978" s="1"/>
  <c r="K979" s="1"/>
  <c r="K980" s="1"/>
  <c r="K981" s="1"/>
  <c r="K982" s="1"/>
  <c r="K983" s="1"/>
  <c r="K984" s="1"/>
  <c r="K985" s="1"/>
  <c r="K986" s="1"/>
  <c r="K987" s="1"/>
  <c r="K988" s="1"/>
  <c r="K989" s="1"/>
  <c r="K990" s="1"/>
  <c r="K991" s="1"/>
  <c r="K992" s="1"/>
  <c r="K993" s="1"/>
  <c r="K994" s="1"/>
  <c r="K995" s="1"/>
  <c r="K996" s="1"/>
  <c r="K997" s="1"/>
  <c r="K998" s="1"/>
  <c r="K999" s="1"/>
  <c r="K1000" s="1"/>
  <c r="K1001" s="1"/>
  <c r="K1002" s="1"/>
  <c r="K1003" s="1"/>
  <c r="K1004" s="1"/>
  <c r="K1005" s="1"/>
  <c r="K1006" s="1"/>
  <c r="K1007" s="1"/>
  <c r="K1008" s="1"/>
  <c r="K1009" s="1"/>
  <c r="K1010" s="1"/>
  <c r="K1011" s="1"/>
  <c r="K10"/>
  <c r="I10"/>
  <c r="J10" s="1"/>
  <c r="I11"/>
  <c r="J11" s="1"/>
  <c r="I12"/>
  <c r="J12" s="1"/>
  <c r="B15" i="18"/>
  <c r="B16"/>
  <c r="P16" s="1"/>
  <c r="B17"/>
  <c r="P17" s="1"/>
  <c r="B18"/>
  <c r="P18" s="1"/>
  <c r="B19"/>
  <c r="P19" s="1"/>
  <c r="B20"/>
  <c r="P20" s="1"/>
  <c r="B21"/>
  <c r="P21" s="1"/>
  <c r="B22"/>
  <c r="P22" s="1"/>
  <c r="B23"/>
  <c r="P23" s="1"/>
  <c r="B24"/>
  <c r="P24" s="1"/>
  <c r="B25"/>
  <c r="P25" s="1"/>
  <c r="Q25" s="1"/>
  <c r="B26"/>
  <c r="P26" s="1"/>
  <c r="B27"/>
  <c r="P27" s="1"/>
  <c r="B28"/>
  <c r="P28" s="1"/>
  <c r="B1014"/>
  <c r="P1014" s="1"/>
  <c r="Q1014" s="1"/>
  <c r="B1015"/>
  <c r="B1016"/>
  <c r="B1017"/>
  <c r="B14"/>
  <c r="O15"/>
  <c r="O16"/>
  <c r="O14"/>
  <c r="E13" i="21" s="1"/>
  <c r="T15" i="18"/>
  <c r="T16"/>
  <c r="O17"/>
  <c r="T17"/>
  <c r="O18"/>
  <c r="T18"/>
  <c r="O19"/>
  <c r="T19"/>
  <c r="O20"/>
  <c r="T20"/>
  <c r="O21"/>
  <c r="T21"/>
  <c r="O22"/>
  <c r="T22"/>
  <c r="O23"/>
  <c r="T23"/>
  <c r="O24"/>
  <c r="T24"/>
  <c r="T14"/>
  <c r="C21" i="21" l="1"/>
  <c r="D21"/>
  <c r="E21"/>
  <c r="E16"/>
  <c r="C22"/>
  <c r="D22"/>
  <c r="E22"/>
  <c r="C23"/>
  <c r="E23"/>
  <c r="D23"/>
  <c r="C17"/>
  <c r="D17"/>
  <c r="E19"/>
  <c r="C18"/>
  <c r="E18"/>
  <c r="D19"/>
  <c r="D16"/>
  <c r="E20"/>
  <c r="C20"/>
  <c r="D20"/>
  <c r="E15"/>
  <c r="D15"/>
  <c r="C15"/>
  <c r="Q27" i="18"/>
  <c r="Q21"/>
  <c r="Q17"/>
  <c r="Q16"/>
  <c r="Q24"/>
  <c r="Q20"/>
  <c r="B34" i="10"/>
  <c r="Q23" i="18"/>
  <c r="Q19"/>
  <c r="K11" i="4"/>
  <c r="K12" s="1"/>
  <c r="K13" s="1"/>
  <c r="K14" s="1"/>
  <c r="K15" s="1"/>
  <c r="K16" s="1"/>
  <c r="K17" s="1"/>
  <c r="P14" i="18"/>
  <c r="Q14" s="1"/>
  <c r="Q28"/>
  <c r="Q26"/>
  <c r="Q22"/>
  <c r="Q18"/>
  <c r="P15"/>
  <c r="Q15" s="1"/>
  <c r="E14" i="21" l="1"/>
  <c r="B35" i="10"/>
  <c r="B36" l="1"/>
  <c r="B37" l="1"/>
  <c r="B38" s="1"/>
  <c r="E1004" i="5"/>
  <c r="E1002"/>
  <c r="E1000"/>
  <c r="E998"/>
  <c r="E996"/>
  <c r="E994"/>
  <c r="E992"/>
  <c r="E990"/>
  <c r="E988"/>
  <c r="E986"/>
  <c r="E984"/>
  <c r="E982"/>
  <c r="E980"/>
  <c r="E978"/>
  <c r="E976"/>
  <c r="E974"/>
  <c r="E972"/>
  <c r="E970"/>
  <c r="E968"/>
  <c r="E966"/>
  <c r="E964"/>
  <c r="E962"/>
  <c r="E960"/>
  <c r="E958"/>
  <c r="E956"/>
  <c r="E954"/>
  <c r="E952"/>
  <c r="E950"/>
  <c r="E948"/>
  <c r="E946"/>
  <c r="E944"/>
  <c r="E942"/>
  <c r="E940"/>
  <c r="E938"/>
  <c r="E936"/>
  <c r="E934"/>
  <c r="E932"/>
  <c r="E930"/>
  <c r="E928"/>
  <c r="E926"/>
  <c r="E924"/>
  <c r="E922"/>
  <c r="E920"/>
  <c r="E918"/>
  <c r="E916"/>
  <c r="E914"/>
  <c r="E912"/>
  <c r="E910"/>
  <c r="E908"/>
  <c r="E906"/>
  <c r="E904"/>
  <c r="E902"/>
  <c r="E900"/>
  <c r="E898"/>
  <c r="E896"/>
  <c r="E894"/>
  <c r="E892"/>
  <c r="E890"/>
  <c r="E888"/>
  <c r="E886"/>
  <c r="E884"/>
  <c r="E882"/>
  <c r="E880"/>
  <c r="E878"/>
  <c r="E876"/>
  <c r="E874"/>
  <c r="E872"/>
  <c r="E870"/>
  <c r="E868"/>
  <c r="E866"/>
  <c r="E864"/>
  <c r="E862"/>
  <c r="E860"/>
  <c r="E858"/>
  <c r="E856"/>
  <c r="E854"/>
  <c r="E852"/>
  <c r="E850"/>
  <c r="E848"/>
  <c r="E846"/>
  <c r="E844"/>
  <c r="E842"/>
  <c r="E840"/>
  <c r="E838"/>
  <c r="E836"/>
  <c r="E834"/>
  <c r="E832"/>
  <c r="E830"/>
  <c r="E828"/>
  <c r="E826"/>
  <c r="E824"/>
  <c r="E822"/>
  <c r="E820"/>
  <c r="E818"/>
  <c r="E816"/>
  <c r="E814"/>
  <c r="E812"/>
  <c r="E810"/>
  <c r="E808"/>
  <c r="E806"/>
  <c r="E804"/>
  <c r="E802"/>
  <c r="E800"/>
  <c r="E798"/>
  <c r="E796"/>
  <c r="E794"/>
  <c r="E792"/>
  <c r="E790"/>
  <c r="E788"/>
  <c r="E786"/>
  <c r="E784"/>
  <c r="E782"/>
  <c r="E780"/>
  <c r="E778"/>
  <c r="E776"/>
  <c r="E774"/>
  <c r="E772"/>
  <c r="E770"/>
  <c r="E768"/>
  <c r="E766"/>
  <c r="E764"/>
  <c r="E762"/>
  <c r="E760"/>
  <c r="E758"/>
  <c r="E756"/>
  <c r="E754"/>
  <c r="E752"/>
  <c r="E750"/>
  <c r="E748"/>
  <c r="E746"/>
  <c r="E744"/>
  <c r="E742"/>
  <c r="E740"/>
  <c r="E738"/>
  <c r="E736"/>
  <c r="E734"/>
  <c r="E732"/>
  <c r="E730"/>
  <c r="E728"/>
  <c r="E726"/>
  <c r="E724"/>
  <c r="E722"/>
  <c r="E720"/>
  <c r="E718"/>
  <c r="E716"/>
  <c r="E714"/>
  <c r="E712"/>
  <c r="E710"/>
  <c r="E708"/>
  <c r="E706"/>
  <c r="B39" i="10" l="1"/>
  <c r="E704" i="5"/>
  <c r="E702"/>
  <c r="E700"/>
  <c r="E698"/>
  <c r="E696"/>
  <c r="E694"/>
  <c r="E692"/>
  <c r="E668"/>
  <c r="E666"/>
  <c r="E664"/>
  <c r="E662"/>
  <c r="E660"/>
  <c r="E658"/>
  <c r="E656"/>
  <c r="E654"/>
  <c r="E652"/>
  <c r="E650"/>
  <c r="E648"/>
  <c r="E646"/>
  <c r="E644"/>
  <c r="E642"/>
  <c r="E640"/>
  <c r="E638"/>
  <c r="E636"/>
  <c r="E634"/>
  <c r="E632"/>
  <c r="E630"/>
  <c r="E628"/>
  <c r="E626"/>
  <c r="E624"/>
  <c r="E622"/>
  <c r="E620"/>
  <c r="E618"/>
  <c r="E616"/>
  <c r="E614"/>
  <c r="E612"/>
  <c r="E610"/>
  <c r="E690"/>
  <c r="E688"/>
  <c r="E686"/>
  <c r="E684"/>
  <c r="E682"/>
  <c r="E680"/>
  <c r="E678"/>
  <c r="E676"/>
  <c r="E674"/>
  <c r="E672"/>
  <c r="E670"/>
  <c r="E608"/>
  <c r="E606"/>
  <c r="E604"/>
  <c r="E602"/>
  <c r="E600"/>
  <c r="E598"/>
  <c r="E596"/>
  <c r="E594"/>
  <c r="E592"/>
  <c r="E590"/>
  <c r="E588"/>
  <c r="E586"/>
  <c r="E584"/>
  <c r="E582"/>
  <c r="E580"/>
  <c r="E578"/>
  <c r="E576"/>
  <c r="E574"/>
  <c r="E572"/>
  <c r="E570"/>
  <c r="E568"/>
  <c r="E566"/>
  <c r="E564"/>
  <c r="E562"/>
  <c r="E560"/>
  <c r="E558"/>
  <c r="E556"/>
  <c r="E554"/>
  <c r="E552"/>
  <c r="E550"/>
  <c r="E548"/>
  <c r="E546"/>
  <c r="E544"/>
  <c r="E542"/>
  <c r="E540"/>
  <c r="E538"/>
  <c r="E536"/>
  <c r="E534"/>
  <c r="E532"/>
  <c r="E530"/>
  <c r="E528"/>
  <c r="E524"/>
  <c r="E526"/>
  <c r="E522"/>
  <c r="E520"/>
  <c r="E518"/>
  <c r="E516"/>
  <c r="E514"/>
  <c r="E512"/>
  <c r="E510"/>
  <c r="E508"/>
  <c r="E506"/>
  <c r="E504"/>
  <c r="E502"/>
  <c r="E500"/>
  <c r="E498"/>
  <c r="E496"/>
  <c r="E494"/>
  <c r="E492"/>
  <c r="E490"/>
  <c r="E488"/>
  <c r="E486"/>
  <c r="E484"/>
  <c r="E482"/>
  <c r="E480"/>
  <c r="E478"/>
  <c r="E476"/>
  <c r="E474"/>
  <c r="E472"/>
  <c r="E470"/>
  <c r="E468"/>
  <c r="E466"/>
  <c r="E464"/>
  <c r="E462"/>
  <c r="E460"/>
  <c r="E458"/>
  <c r="E456"/>
  <c r="E454"/>
  <c r="E452"/>
  <c r="E450"/>
  <c r="E448"/>
  <c r="E446"/>
  <c r="E444"/>
  <c r="E442"/>
  <c r="E440"/>
  <c r="E438"/>
  <c r="E436"/>
  <c r="E434"/>
  <c r="E432"/>
  <c r="E430"/>
  <c r="E428"/>
  <c r="E426"/>
  <c r="E424"/>
  <c r="E422"/>
  <c r="E420"/>
  <c r="E418"/>
  <c r="E416"/>
  <c r="E414"/>
  <c r="E412"/>
  <c r="E410"/>
  <c r="E408"/>
  <c r="E406"/>
  <c r="E404"/>
  <c r="E402"/>
  <c r="E400"/>
  <c r="E398"/>
  <c r="E396"/>
  <c r="E394"/>
  <c r="E392"/>
  <c r="E390"/>
  <c r="E388"/>
  <c r="E386"/>
  <c r="E384"/>
  <c r="E382"/>
  <c r="E380"/>
  <c r="E378"/>
  <c r="E376"/>
  <c r="E374"/>
  <c r="E372"/>
  <c r="E370"/>
  <c r="E368"/>
  <c r="E366"/>
  <c r="E364"/>
  <c r="E362"/>
  <c r="E360"/>
  <c r="E358"/>
  <c r="E356"/>
  <c r="E354"/>
  <c r="E352"/>
  <c r="E350"/>
  <c r="E348"/>
  <c r="E346"/>
  <c r="E344"/>
  <c r="E342"/>
  <c r="E340"/>
  <c r="E338"/>
  <c r="E336"/>
  <c r="E334"/>
  <c r="E332"/>
  <c r="E330"/>
  <c r="E328"/>
  <c r="E326"/>
  <c r="E324"/>
  <c r="E322"/>
  <c r="E320"/>
  <c r="E318"/>
  <c r="E316"/>
  <c r="E314"/>
  <c r="E312"/>
  <c r="E310"/>
  <c r="E308"/>
  <c r="E306"/>
  <c r="E304"/>
  <c r="E302"/>
  <c r="E300"/>
  <c r="E298"/>
  <c r="E296"/>
  <c r="E294"/>
  <c r="E292"/>
  <c r="E290"/>
  <c r="E288"/>
  <c r="E286"/>
  <c r="E284"/>
  <c r="E282"/>
  <c r="E280"/>
  <c r="E278"/>
  <c r="E276"/>
  <c r="E274"/>
  <c r="E272"/>
  <c r="E270"/>
  <c r="E268"/>
  <c r="E266"/>
  <c r="E264"/>
  <c r="E262"/>
  <c r="E260"/>
  <c r="E258"/>
  <c r="E256"/>
  <c r="E254"/>
  <c r="E252"/>
  <c r="E250"/>
  <c r="E248"/>
  <c r="E246"/>
  <c r="E244"/>
  <c r="E242"/>
  <c r="E240"/>
  <c r="E238"/>
  <c r="E236"/>
  <c r="E234"/>
  <c r="E232"/>
  <c r="E230"/>
  <c r="E228"/>
  <c r="E226"/>
  <c r="E224"/>
  <c r="E222"/>
  <c r="E220"/>
  <c r="E218"/>
  <c r="E216"/>
  <c r="E214"/>
  <c r="E212"/>
  <c r="E10" l="1"/>
  <c r="E8"/>
  <c r="E6"/>
  <c r="E210"/>
  <c r="E208"/>
  <c r="E206"/>
  <c r="E136"/>
  <c r="E138"/>
  <c r="E140"/>
  <c r="E142"/>
  <c r="E144"/>
  <c r="E146"/>
  <c r="E148"/>
  <c r="E150"/>
  <c r="E152"/>
  <c r="E154"/>
  <c r="E156"/>
  <c r="E158"/>
  <c r="E160"/>
  <c r="E162"/>
  <c r="E164"/>
  <c r="E166"/>
  <c r="E168"/>
  <c r="E170"/>
  <c r="E172"/>
  <c r="E174"/>
  <c r="E176"/>
  <c r="E178"/>
  <c r="E180"/>
  <c r="E182"/>
  <c r="E184"/>
  <c r="E186"/>
  <c r="E188"/>
  <c r="E190"/>
  <c r="E192"/>
  <c r="E194"/>
  <c r="E196"/>
  <c r="E198"/>
  <c r="E200"/>
  <c r="E202"/>
  <c r="E204"/>
  <c r="E134"/>
  <c r="E132"/>
  <c r="E130"/>
  <c r="E128"/>
  <c r="E126"/>
  <c r="E124"/>
  <c r="E122"/>
  <c r="E120"/>
  <c r="E118"/>
  <c r="E116"/>
  <c r="E114"/>
  <c r="E112"/>
  <c r="E110"/>
  <c r="E108"/>
  <c r="E106"/>
  <c r="E104"/>
  <c r="E102"/>
  <c r="E100"/>
  <c r="E98"/>
  <c r="E96"/>
  <c r="E94"/>
  <c r="E92"/>
  <c r="E90"/>
  <c r="E88"/>
  <c r="E86"/>
  <c r="E84"/>
  <c r="E82"/>
  <c r="E80"/>
  <c r="E78"/>
  <c r="E76"/>
  <c r="E74"/>
  <c r="E72"/>
  <c r="E70"/>
  <c r="E68"/>
  <c r="E66"/>
  <c r="E64"/>
  <c r="E62"/>
  <c r="E60"/>
  <c r="E58"/>
  <c r="E56"/>
  <c r="E54"/>
  <c r="E52"/>
  <c r="E50"/>
  <c r="E48"/>
  <c r="E46"/>
  <c r="J7" i="2"/>
  <c r="K7"/>
  <c r="I7"/>
  <c r="E44" i="5"/>
  <c r="E42"/>
  <c r="E40"/>
  <c r="E38"/>
  <c r="E36"/>
  <c r="E34"/>
  <c r="E32"/>
  <c r="E30"/>
  <c r="E28"/>
  <c r="E26"/>
  <c r="E24"/>
  <c r="E22"/>
  <c r="E20"/>
  <c r="E18"/>
  <c r="E16"/>
  <c r="E14"/>
  <c r="E12"/>
  <c r="E3"/>
  <c r="C3"/>
  <c r="C2"/>
  <c r="F60" s="1"/>
  <c r="B7" i="10"/>
  <c r="B5" i="18" s="1"/>
  <c r="B6" i="10"/>
  <c r="B5"/>
  <c r="C7" i="2"/>
  <c r="D7"/>
  <c r="E7"/>
  <c r="F7"/>
  <c r="H7"/>
  <c r="B7"/>
  <c r="B4" i="18" l="1"/>
  <c r="B4" i="21"/>
  <c r="B3"/>
  <c r="B3" i="18"/>
  <c r="I8" i="5"/>
  <c r="I12"/>
  <c r="I16"/>
  <c r="I20"/>
  <c r="I24"/>
  <c r="I28"/>
  <c r="I32"/>
  <c r="I14"/>
  <c r="I22"/>
  <c r="I30"/>
  <c r="I18"/>
  <c r="I34"/>
  <c r="I26"/>
  <c r="I6"/>
  <c r="I10"/>
  <c r="J10"/>
  <c r="J14"/>
  <c r="J18"/>
  <c r="J22"/>
  <c r="J26"/>
  <c r="J30"/>
  <c r="J34"/>
  <c r="J12"/>
  <c r="J20"/>
  <c r="J28"/>
  <c r="J6"/>
  <c r="J16"/>
  <c r="J32"/>
  <c r="J24"/>
  <c r="J8"/>
  <c r="D28"/>
  <c r="F114"/>
  <c r="G32"/>
  <c r="G10"/>
  <c r="D12"/>
  <c r="G22"/>
  <c r="G44"/>
  <c r="G128"/>
  <c r="G24"/>
  <c r="G18"/>
  <c r="G40"/>
  <c r="G96"/>
  <c r="C6"/>
  <c r="G28"/>
  <c r="G14"/>
  <c r="G36"/>
  <c r="G64"/>
  <c r="D36"/>
  <c r="D14"/>
  <c r="D122"/>
  <c r="D42"/>
  <c r="D20"/>
  <c r="D106"/>
  <c r="D44"/>
  <c r="D22"/>
  <c r="D30"/>
  <c r="C26"/>
  <c r="C34"/>
  <c r="C22"/>
  <c r="J16" i="2" s="1"/>
  <c r="C18" i="5"/>
  <c r="C10"/>
  <c r="C44"/>
  <c r="C40"/>
  <c r="C36"/>
  <c r="G120"/>
  <c r="G56"/>
  <c r="C30"/>
  <c r="C14"/>
  <c r="G88"/>
  <c r="D24"/>
  <c r="G26"/>
  <c r="G34"/>
  <c r="G12"/>
  <c r="G38"/>
  <c r="G80"/>
  <c r="D38"/>
  <c r="D8"/>
  <c r="D16"/>
  <c r="D32"/>
  <c r="G30"/>
  <c r="G20"/>
  <c r="G16"/>
  <c r="G8"/>
  <c r="G42"/>
  <c r="G6"/>
  <c r="D82"/>
  <c r="G112"/>
  <c r="G48"/>
  <c r="D40"/>
  <c r="D10"/>
  <c r="D18"/>
  <c r="D26"/>
  <c r="D34"/>
  <c r="C28"/>
  <c r="C32"/>
  <c r="C24"/>
  <c r="C20"/>
  <c r="C16"/>
  <c r="K13" i="2" s="1"/>
  <c r="C12" i="5"/>
  <c r="C8"/>
  <c r="C42"/>
  <c r="C38"/>
  <c r="D58"/>
  <c r="G104"/>
  <c r="G72"/>
  <c r="G132"/>
  <c r="G124"/>
  <c r="G116"/>
  <c r="G108"/>
  <c r="G100"/>
  <c r="G92"/>
  <c r="G84"/>
  <c r="G76"/>
  <c r="G68"/>
  <c r="G60"/>
  <c r="I35" i="2" s="1"/>
  <c r="G52" i="5"/>
  <c r="D114"/>
  <c r="D90"/>
  <c r="D74"/>
  <c r="D50"/>
  <c r="G134"/>
  <c r="G130"/>
  <c r="G126"/>
  <c r="G122"/>
  <c r="G118"/>
  <c r="G114"/>
  <c r="G110"/>
  <c r="G106"/>
  <c r="G102"/>
  <c r="G98"/>
  <c r="G94"/>
  <c r="G90"/>
  <c r="G86"/>
  <c r="G82"/>
  <c r="G78"/>
  <c r="G74"/>
  <c r="G70"/>
  <c r="G66"/>
  <c r="G62"/>
  <c r="G58"/>
  <c r="G54"/>
  <c r="G50"/>
  <c r="G46"/>
  <c r="D130"/>
  <c r="D98"/>
  <c r="D66"/>
  <c r="F42"/>
  <c r="F82"/>
  <c r="F6"/>
  <c r="I8" i="2" s="1"/>
  <c r="F50" i="5"/>
  <c r="I30" i="2" s="1"/>
  <c r="F26" i="5"/>
  <c r="F108"/>
  <c r="C134"/>
  <c r="C132"/>
  <c r="C130"/>
  <c r="C128"/>
  <c r="C126"/>
  <c r="C124"/>
  <c r="C122"/>
  <c r="C120"/>
  <c r="C118"/>
  <c r="C116"/>
  <c r="C114"/>
  <c r="C112"/>
  <c r="C110"/>
  <c r="C108"/>
  <c r="C106"/>
  <c r="C104"/>
  <c r="C102"/>
  <c r="C100"/>
  <c r="C98"/>
  <c r="C96"/>
  <c r="C94"/>
  <c r="C92"/>
  <c r="C90"/>
  <c r="C88"/>
  <c r="C86"/>
  <c r="C84"/>
  <c r="C82"/>
  <c r="C80"/>
  <c r="C78"/>
  <c r="C76"/>
  <c r="C74"/>
  <c r="C72"/>
  <c r="C70"/>
  <c r="C68"/>
  <c r="C66"/>
  <c r="C64"/>
  <c r="C62"/>
  <c r="C60"/>
  <c r="C58"/>
  <c r="C56"/>
  <c r="C54"/>
  <c r="C52"/>
  <c r="C50"/>
  <c r="C48"/>
  <c r="C46"/>
  <c r="D134"/>
  <c r="D126"/>
  <c r="D118"/>
  <c r="D110"/>
  <c r="D102"/>
  <c r="D94"/>
  <c r="D86"/>
  <c r="D78"/>
  <c r="D70"/>
  <c r="D62"/>
  <c r="D54"/>
  <c r="D46"/>
  <c r="F20"/>
  <c r="F10"/>
  <c r="F130"/>
  <c r="I70" i="2" s="1"/>
  <c r="F98" i="5"/>
  <c r="F66"/>
  <c r="I38" i="2" s="1"/>
  <c r="F124" i="5"/>
  <c r="F92"/>
  <c r="D132"/>
  <c r="D128"/>
  <c r="D124"/>
  <c r="D120"/>
  <c r="D116"/>
  <c r="D112"/>
  <c r="D108"/>
  <c r="D104"/>
  <c r="D100"/>
  <c r="D96"/>
  <c r="D92"/>
  <c r="D88"/>
  <c r="D84"/>
  <c r="D80"/>
  <c r="D76"/>
  <c r="D72"/>
  <c r="D68"/>
  <c r="D64"/>
  <c r="D60"/>
  <c r="D56"/>
  <c r="D52"/>
  <c r="D48"/>
  <c r="D6"/>
  <c r="F12"/>
  <c r="F28"/>
  <c r="F40"/>
  <c r="I25" i="2" s="1"/>
  <c r="F18" i="5"/>
  <c r="F34"/>
  <c r="I22" i="2" s="1"/>
  <c r="F122" i="5"/>
  <c r="F106"/>
  <c r="F90"/>
  <c r="F74"/>
  <c r="F58"/>
  <c r="F132"/>
  <c r="I71" i="2" s="1"/>
  <c r="F116" i="5"/>
  <c r="F100"/>
  <c r="F76"/>
  <c r="F38"/>
  <c r="F8"/>
  <c r="F16"/>
  <c r="F24"/>
  <c r="F32"/>
  <c r="I21" i="2" s="1"/>
  <c r="F36" i="5"/>
  <c r="F44"/>
  <c r="F14"/>
  <c r="F22"/>
  <c r="F30"/>
  <c r="F134"/>
  <c r="I72" i="2" s="1"/>
  <c r="F126" i="5"/>
  <c r="F118"/>
  <c r="F110"/>
  <c r="F102"/>
  <c r="F94"/>
  <c r="F86"/>
  <c r="F78"/>
  <c r="F70"/>
  <c r="F62"/>
  <c r="F54"/>
  <c r="F46"/>
  <c r="F128"/>
  <c r="I69" i="2" s="1"/>
  <c r="F120" i="5"/>
  <c r="F112"/>
  <c r="I61" i="2" s="1"/>
  <c r="F104" i="5"/>
  <c r="F96"/>
  <c r="F84"/>
  <c r="F68"/>
  <c r="I39" i="2" s="1"/>
  <c r="F52" i="5"/>
  <c r="F136"/>
  <c r="F140"/>
  <c r="F144"/>
  <c r="F148"/>
  <c r="F152"/>
  <c r="F156"/>
  <c r="F160"/>
  <c r="F164"/>
  <c r="F168"/>
  <c r="F172"/>
  <c r="F176"/>
  <c r="F180"/>
  <c r="F184"/>
  <c r="F188"/>
  <c r="F192"/>
  <c r="F196"/>
  <c r="F200"/>
  <c r="F204"/>
  <c r="F206"/>
  <c r="F208"/>
  <c r="F210"/>
  <c r="F214"/>
  <c r="F218"/>
  <c r="F222"/>
  <c r="F226"/>
  <c r="F230"/>
  <c r="F234"/>
  <c r="F238"/>
  <c r="F242"/>
  <c r="F246"/>
  <c r="F250"/>
  <c r="F254"/>
  <c r="F258"/>
  <c r="F262"/>
  <c r="F266"/>
  <c r="F270"/>
  <c r="F274"/>
  <c r="F278"/>
  <c r="F282"/>
  <c r="F286"/>
  <c r="F290"/>
  <c r="F294"/>
  <c r="F298"/>
  <c r="F302"/>
  <c r="F306"/>
  <c r="F310"/>
  <c r="F314"/>
  <c r="F318"/>
  <c r="F322"/>
  <c r="F326"/>
  <c r="F330"/>
  <c r="F334"/>
  <c r="F338"/>
  <c r="F342"/>
  <c r="F346"/>
  <c r="F350"/>
  <c r="F354"/>
  <c r="F358"/>
  <c r="F362"/>
  <c r="F366"/>
  <c r="F370"/>
  <c r="F374"/>
  <c r="F378"/>
  <c r="F382"/>
  <c r="F138"/>
  <c r="F142"/>
  <c r="F146"/>
  <c r="F150"/>
  <c r="F154"/>
  <c r="F158"/>
  <c r="F162"/>
  <c r="F166"/>
  <c r="F170"/>
  <c r="F174"/>
  <c r="F178"/>
  <c r="F182"/>
  <c r="F186"/>
  <c r="F190"/>
  <c r="F194"/>
  <c r="F198"/>
  <c r="F202"/>
  <c r="F212"/>
  <c r="F216"/>
  <c r="F220"/>
  <c r="F224"/>
  <c r="F228"/>
  <c r="F232"/>
  <c r="F236"/>
  <c r="F240"/>
  <c r="F244"/>
  <c r="F248"/>
  <c r="F252"/>
  <c r="F256"/>
  <c r="F260"/>
  <c r="F264"/>
  <c r="F268"/>
  <c r="F272"/>
  <c r="F276"/>
  <c r="F280"/>
  <c r="F284"/>
  <c r="F288"/>
  <c r="F292"/>
  <c r="F296"/>
  <c r="F300"/>
  <c r="F304"/>
  <c r="F308"/>
  <c r="F312"/>
  <c r="F316"/>
  <c r="F320"/>
  <c r="F324"/>
  <c r="F328"/>
  <c r="F332"/>
  <c r="F336"/>
  <c r="F340"/>
  <c r="F344"/>
  <c r="F348"/>
  <c r="F352"/>
  <c r="F356"/>
  <c r="F360"/>
  <c r="F364"/>
  <c r="F368"/>
  <c r="F372"/>
  <c r="F376"/>
  <c r="F380"/>
  <c r="F384"/>
  <c r="F388"/>
  <c r="F394"/>
  <c r="F398"/>
  <c r="F402"/>
  <c r="F406"/>
  <c r="F410"/>
  <c r="F414"/>
  <c r="F418"/>
  <c r="F422"/>
  <c r="F426"/>
  <c r="F430"/>
  <c r="F434"/>
  <c r="F438"/>
  <c r="F442"/>
  <c r="F446"/>
  <c r="F450"/>
  <c r="F454"/>
  <c r="F458"/>
  <c r="F462"/>
  <c r="F466"/>
  <c r="F470"/>
  <c r="F474"/>
  <c r="F478"/>
  <c r="F482"/>
  <c r="F486"/>
  <c r="F490"/>
  <c r="F494"/>
  <c r="F498"/>
  <c r="F502"/>
  <c r="F506"/>
  <c r="F510"/>
  <c r="F514"/>
  <c r="F518"/>
  <c r="F522"/>
  <c r="F526"/>
  <c r="F530"/>
  <c r="F534"/>
  <c r="F538"/>
  <c r="F542"/>
  <c r="F546"/>
  <c r="F550"/>
  <c r="F554"/>
  <c r="F558"/>
  <c r="F562"/>
  <c r="F566"/>
  <c r="F570"/>
  <c r="F574"/>
  <c r="F578"/>
  <c r="F582"/>
  <c r="F586"/>
  <c r="F590"/>
  <c r="F594"/>
  <c r="F598"/>
  <c r="F602"/>
  <c r="F606"/>
  <c r="F610"/>
  <c r="F614"/>
  <c r="F618"/>
  <c r="F622"/>
  <c r="F626"/>
  <c r="F630"/>
  <c r="F634"/>
  <c r="F638"/>
  <c r="F642"/>
  <c r="F386"/>
  <c r="F390"/>
  <c r="F392"/>
  <c r="F396"/>
  <c r="F400"/>
  <c r="F404"/>
  <c r="F408"/>
  <c r="F412"/>
  <c r="F416"/>
  <c r="F420"/>
  <c r="F424"/>
  <c r="F428"/>
  <c r="F432"/>
  <c r="F436"/>
  <c r="F440"/>
  <c r="F444"/>
  <c r="F448"/>
  <c r="F452"/>
  <c r="F456"/>
  <c r="F460"/>
  <c r="F464"/>
  <c r="F468"/>
  <c r="F472"/>
  <c r="F476"/>
  <c r="F480"/>
  <c r="F484"/>
  <c r="F488"/>
  <c r="F492"/>
  <c r="F496"/>
  <c r="F500"/>
  <c r="F504"/>
  <c r="F508"/>
  <c r="F512"/>
  <c r="F516"/>
  <c r="F520"/>
  <c r="F524"/>
  <c r="F528"/>
  <c r="F532"/>
  <c r="F536"/>
  <c r="F540"/>
  <c r="F544"/>
  <c r="F548"/>
  <c r="F552"/>
  <c r="F556"/>
  <c r="F560"/>
  <c r="F564"/>
  <c r="F568"/>
  <c r="F572"/>
  <c r="F576"/>
  <c r="F580"/>
  <c r="F584"/>
  <c r="F588"/>
  <c r="F592"/>
  <c r="F596"/>
  <c r="F600"/>
  <c r="F604"/>
  <c r="F608"/>
  <c r="F612"/>
  <c r="F616"/>
  <c r="F620"/>
  <c r="F624"/>
  <c r="F628"/>
  <c r="F632"/>
  <c r="F636"/>
  <c r="F640"/>
  <c r="F644"/>
  <c r="F648"/>
  <c r="F652"/>
  <c r="F656"/>
  <c r="F660"/>
  <c r="F664"/>
  <c r="F668"/>
  <c r="F672"/>
  <c r="F676"/>
  <c r="F680"/>
  <c r="F684"/>
  <c r="F688"/>
  <c r="F692"/>
  <c r="F696"/>
  <c r="F700"/>
  <c r="F704"/>
  <c r="F708"/>
  <c r="F712"/>
  <c r="F716"/>
  <c r="F720"/>
  <c r="F724"/>
  <c r="F728"/>
  <c r="F732"/>
  <c r="F736"/>
  <c r="F740"/>
  <c r="F744"/>
  <c r="F748"/>
  <c r="F752"/>
  <c r="F756"/>
  <c r="F760"/>
  <c r="F764"/>
  <c r="F768"/>
  <c r="F772"/>
  <c r="F776"/>
  <c r="F780"/>
  <c r="F784"/>
  <c r="F788"/>
  <c r="F792"/>
  <c r="F796"/>
  <c r="F800"/>
  <c r="F804"/>
  <c r="F808"/>
  <c r="F812"/>
  <c r="F816"/>
  <c r="F820"/>
  <c r="F824"/>
  <c r="F828"/>
  <c r="F832"/>
  <c r="F836"/>
  <c r="F840"/>
  <c r="F844"/>
  <c r="F848"/>
  <c r="F852"/>
  <c r="F856"/>
  <c r="F860"/>
  <c r="F864"/>
  <c r="F868"/>
  <c r="F872"/>
  <c r="F876"/>
  <c r="F880"/>
  <c r="F884"/>
  <c r="F888"/>
  <c r="F892"/>
  <c r="F896"/>
  <c r="F900"/>
  <c r="F904"/>
  <c r="F908"/>
  <c r="F912"/>
  <c r="F916"/>
  <c r="F920"/>
  <c r="F924"/>
  <c r="F928"/>
  <c r="F932"/>
  <c r="F936"/>
  <c r="F940"/>
  <c r="F944"/>
  <c r="F948"/>
  <c r="F952"/>
  <c r="F956"/>
  <c r="F960"/>
  <c r="F964"/>
  <c r="F968"/>
  <c r="F972"/>
  <c r="F976"/>
  <c r="F980"/>
  <c r="F984"/>
  <c r="F988"/>
  <c r="F992"/>
  <c r="F996"/>
  <c r="F1000"/>
  <c r="F1004"/>
  <c r="F646"/>
  <c r="F650"/>
  <c r="F654"/>
  <c r="F658"/>
  <c r="F662"/>
  <c r="F666"/>
  <c r="F670"/>
  <c r="F674"/>
  <c r="F678"/>
  <c r="F682"/>
  <c r="F686"/>
  <c r="F690"/>
  <c r="F694"/>
  <c r="F698"/>
  <c r="F702"/>
  <c r="F706"/>
  <c r="F710"/>
  <c r="F714"/>
  <c r="F718"/>
  <c r="F722"/>
  <c r="F726"/>
  <c r="F730"/>
  <c r="F734"/>
  <c r="F738"/>
  <c r="F742"/>
  <c r="F746"/>
  <c r="F750"/>
  <c r="F754"/>
  <c r="F758"/>
  <c r="F762"/>
  <c r="F766"/>
  <c r="F770"/>
  <c r="F774"/>
  <c r="F778"/>
  <c r="F782"/>
  <c r="F786"/>
  <c r="F790"/>
  <c r="F794"/>
  <c r="F798"/>
  <c r="F802"/>
  <c r="F806"/>
  <c r="F810"/>
  <c r="F814"/>
  <c r="F818"/>
  <c r="F822"/>
  <c r="F826"/>
  <c r="F830"/>
  <c r="F834"/>
  <c r="F838"/>
  <c r="F842"/>
  <c r="F846"/>
  <c r="F850"/>
  <c r="F854"/>
  <c r="F858"/>
  <c r="F862"/>
  <c r="F866"/>
  <c r="F870"/>
  <c r="F874"/>
  <c r="F878"/>
  <c r="F882"/>
  <c r="F886"/>
  <c r="F890"/>
  <c r="F894"/>
  <c r="F898"/>
  <c r="F902"/>
  <c r="F906"/>
  <c r="F910"/>
  <c r="F914"/>
  <c r="F918"/>
  <c r="F922"/>
  <c r="F926"/>
  <c r="F930"/>
  <c r="F934"/>
  <c r="F938"/>
  <c r="F942"/>
  <c r="F946"/>
  <c r="F950"/>
  <c r="F954"/>
  <c r="F958"/>
  <c r="F962"/>
  <c r="F966"/>
  <c r="F970"/>
  <c r="F974"/>
  <c r="F978"/>
  <c r="F982"/>
  <c r="F986"/>
  <c r="F990"/>
  <c r="F994"/>
  <c r="F998"/>
  <c r="F1002"/>
  <c r="F48"/>
  <c r="F56"/>
  <c r="F64"/>
  <c r="F72"/>
  <c r="F80"/>
  <c r="F88"/>
  <c r="I49" i="2" s="1"/>
  <c r="D136" i="5"/>
  <c r="D140"/>
  <c r="D144"/>
  <c r="D148"/>
  <c r="D152"/>
  <c r="D156"/>
  <c r="D160"/>
  <c r="D164"/>
  <c r="D168"/>
  <c r="D172"/>
  <c r="D176"/>
  <c r="D180"/>
  <c r="D184"/>
  <c r="D188"/>
  <c r="D192"/>
  <c r="D196"/>
  <c r="D200"/>
  <c r="D204"/>
  <c r="D214"/>
  <c r="D218"/>
  <c r="D222"/>
  <c r="D226"/>
  <c r="D230"/>
  <c r="D234"/>
  <c r="D238"/>
  <c r="D242"/>
  <c r="D246"/>
  <c r="D250"/>
  <c r="D254"/>
  <c r="D258"/>
  <c r="D262"/>
  <c r="D266"/>
  <c r="D270"/>
  <c r="D274"/>
  <c r="D278"/>
  <c r="D282"/>
  <c r="D286"/>
  <c r="D290"/>
  <c r="D294"/>
  <c r="D298"/>
  <c r="D302"/>
  <c r="D306"/>
  <c r="D310"/>
  <c r="D314"/>
  <c r="D318"/>
  <c r="D322"/>
  <c r="D326"/>
  <c r="D330"/>
  <c r="D334"/>
  <c r="D338"/>
  <c r="D342"/>
  <c r="D346"/>
  <c r="D350"/>
  <c r="D354"/>
  <c r="D358"/>
  <c r="D362"/>
  <c r="D366"/>
  <c r="D370"/>
  <c r="D374"/>
  <c r="D378"/>
  <c r="D382"/>
  <c r="D138"/>
  <c r="D142"/>
  <c r="D146"/>
  <c r="D150"/>
  <c r="D154"/>
  <c r="D158"/>
  <c r="D162"/>
  <c r="D166"/>
  <c r="D170"/>
  <c r="D174"/>
  <c r="D178"/>
  <c r="D182"/>
  <c r="D186"/>
  <c r="D190"/>
  <c r="D194"/>
  <c r="D198"/>
  <c r="D202"/>
  <c r="D206"/>
  <c r="D208"/>
  <c r="D210"/>
  <c r="D212"/>
  <c r="D216"/>
  <c r="D220"/>
  <c r="D224"/>
  <c r="D228"/>
  <c r="D232"/>
  <c r="D236"/>
  <c r="D240"/>
  <c r="D244"/>
  <c r="D248"/>
  <c r="D252"/>
  <c r="D256"/>
  <c r="D260"/>
  <c r="D264"/>
  <c r="D268"/>
  <c r="D272"/>
  <c r="D276"/>
  <c r="D280"/>
  <c r="D284"/>
  <c r="D288"/>
  <c r="D292"/>
  <c r="D296"/>
  <c r="D300"/>
  <c r="D304"/>
  <c r="D308"/>
  <c r="D312"/>
  <c r="D316"/>
  <c r="D320"/>
  <c r="D324"/>
  <c r="D328"/>
  <c r="D332"/>
  <c r="D336"/>
  <c r="D340"/>
  <c r="D344"/>
  <c r="D348"/>
  <c r="D352"/>
  <c r="D356"/>
  <c r="D360"/>
  <c r="D364"/>
  <c r="D368"/>
  <c r="D372"/>
  <c r="D376"/>
  <c r="D380"/>
  <c r="D384"/>
  <c r="D388"/>
  <c r="D394"/>
  <c r="D398"/>
  <c r="D402"/>
  <c r="D406"/>
  <c r="D410"/>
  <c r="D414"/>
  <c r="D418"/>
  <c r="D422"/>
  <c r="D426"/>
  <c r="D430"/>
  <c r="D434"/>
  <c r="D438"/>
  <c r="D442"/>
  <c r="D446"/>
  <c r="D450"/>
  <c r="D454"/>
  <c r="D458"/>
  <c r="D462"/>
  <c r="D466"/>
  <c r="D470"/>
  <c r="D474"/>
  <c r="D478"/>
  <c r="D482"/>
  <c r="D486"/>
  <c r="D490"/>
  <c r="D494"/>
  <c r="D498"/>
  <c r="D502"/>
  <c r="D506"/>
  <c r="D510"/>
  <c r="D514"/>
  <c r="D518"/>
  <c r="D522"/>
  <c r="D526"/>
  <c r="D530"/>
  <c r="D534"/>
  <c r="D538"/>
  <c r="D542"/>
  <c r="D546"/>
  <c r="D550"/>
  <c r="D554"/>
  <c r="D558"/>
  <c r="D562"/>
  <c r="D566"/>
  <c r="D570"/>
  <c r="D574"/>
  <c r="D578"/>
  <c r="D582"/>
  <c r="D586"/>
  <c r="D590"/>
  <c r="D594"/>
  <c r="D598"/>
  <c r="D602"/>
  <c r="D606"/>
  <c r="D610"/>
  <c r="D614"/>
  <c r="D618"/>
  <c r="D622"/>
  <c r="D626"/>
  <c r="D630"/>
  <c r="D634"/>
  <c r="D638"/>
  <c r="D642"/>
  <c r="D386"/>
  <c r="D390"/>
  <c r="D392"/>
  <c r="D396"/>
  <c r="D400"/>
  <c r="D404"/>
  <c r="D408"/>
  <c r="D412"/>
  <c r="D416"/>
  <c r="D420"/>
  <c r="D424"/>
  <c r="D428"/>
  <c r="D432"/>
  <c r="D436"/>
  <c r="D440"/>
  <c r="D444"/>
  <c r="D448"/>
  <c r="D452"/>
  <c r="D456"/>
  <c r="D460"/>
  <c r="D464"/>
  <c r="D468"/>
  <c r="D472"/>
  <c r="D476"/>
  <c r="D480"/>
  <c r="D484"/>
  <c r="D488"/>
  <c r="D492"/>
  <c r="D496"/>
  <c r="D500"/>
  <c r="D504"/>
  <c r="D508"/>
  <c r="D512"/>
  <c r="D516"/>
  <c r="D520"/>
  <c r="D524"/>
  <c r="D528"/>
  <c r="D532"/>
  <c r="D536"/>
  <c r="D540"/>
  <c r="D544"/>
  <c r="D548"/>
  <c r="D552"/>
  <c r="D556"/>
  <c r="D560"/>
  <c r="D564"/>
  <c r="D568"/>
  <c r="D572"/>
  <c r="D576"/>
  <c r="D580"/>
  <c r="D584"/>
  <c r="D588"/>
  <c r="D592"/>
  <c r="D596"/>
  <c r="D600"/>
  <c r="D604"/>
  <c r="D608"/>
  <c r="D612"/>
  <c r="D616"/>
  <c r="D620"/>
  <c r="D624"/>
  <c r="D628"/>
  <c r="D632"/>
  <c r="D636"/>
  <c r="D640"/>
  <c r="D644"/>
  <c r="D648"/>
  <c r="D652"/>
  <c r="D656"/>
  <c r="D660"/>
  <c r="D664"/>
  <c r="D668"/>
  <c r="D672"/>
  <c r="D676"/>
  <c r="D680"/>
  <c r="D684"/>
  <c r="D688"/>
  <c r="D692"/>
  <c r="D696"/>
  <c r="D700"/>
  <c r="D704"/>
  <c r="D708"/>
  <c r="D712"/>
  <c r="D716"/>
  <c r="D720"/>
  <c r="D724"/>
  <c r="D728"/>
  <c r="D732"/>
  <c r="D736"/>
  <c r="D740"/>
  <c r="D744"/>
  <c r="D748"/>
  <c r="D752"/>
  <c r="D756"/>
  <c r="D760"/>
  <c r="D764"/>
  <c r="D768"/>
  <c r="D772"/>
  <c r="D776"/>
  <c r="D780"/>
  <c r="D784"/>
  <c r="D788"/>
  <c r="D792"/>
  <c r="D796"/>
  <c r="D800"/>
  <c r="D804"/>
  <c r="D808"/>
  <c r="D812"/>
  <c r="D816"/>
  <c r="D820"/>
  <c r="D824"/>
  <c r="D828"/>
  <c r="D832"/>
  <c r="D836"/>
  <c r="D840"/>
  <c r="D844"/>
  <c r="D848"/>
  <c r="D852"/>
  <c r="D856"/>
  <c r="D860"/>
  <c r="D864"/>
  <c r="D868"/>
  <c r="D872"/>
  <c r="D876"/>
  <c r="D880"/>
  <c r="D884"/>
  <c r="D888"/>
  <c r="D892"/>
  <c r="D896"/>
  <c r="D900"/>
  <c r="D904"/>
  <c r="D908"/>
  <c r="D912"/>
  <c r="D916"/>
  <c r="D920"/>
  <c r="D924"/>
  <c r="D928"/>
  <c r="D932"/>
  <c r="D936"/>
  <c r="D940"/>
  <c r="D944"/>
  <c r="D948"/>
  <c r="D952"/>
  <c r="D956"/>
  <c r="D960"/>
  <c r="D964"/>
  <c r="D968"/>
  <c r="D972"/>
  <c r="D976"/>
  <c r="D980"/>
  <c r="D984"/>
  <c r="D988"/>
  <c r="D992"/>
  <c r="D996"/>
  <c r="D1000"/>
  <c r="D1004"/>
  <c r="D646"/>
  <c r="D650"/>
  <c r="D654"/>
  <c r="D658"/>
  <c r="D662"/>
  <c r="D666"/>
  <c r="D670"/>
  <c r="D674"/>
  <c r="D678"/>
  <c r="D682"/>
  <c r="D686"/>
  <c r="D690"/>
  <c r="D694"/>
  <c r="D698"/>
  <c r="D702"/>
  <c r="D706"/>
  <c r="D710"/>
  <c r="D714"/>
  <c r="D718"/>
  <c r="D722"/>
  <c r="D726"/>
  <c r="D730"/>
  <c r="D734"/>
  <c r="D738"/>
  <c r="D742"/>
  <c r="D746"/>
  <c r="D750"/>
  <c r="D754"/>
  <c r="D758"/>
  <c r="D762"/>
  <c r="D766"/>
  <c r="D770"/>
  <c r="D774"/>
  <c r="D778"/>
  <c r="D782"/>
  <c r="D786"/>
  <c r="D790"/>
  <c r="D794"/>
  <c r="D798"/>
  <c r="D802"/>
  <c r="D806"/>
  <c r="D810"/>
  <c r="D814"/>
  <c r="D818"/>
  <c r="D822"/>
  <c r="D826"/>
  <c r="D830"/>
  <c r="D834"/>
  <c r="D838"/>
  <c r="D842"/>
  <c r="D846"/>
  <c r="D850"/>
  <c r="D854"/>
  <c r="D858"/>
  <c r="D862"/>
  <c r="D866"/>
  <c r="D870"/>
  <c r="D874"/>
  <c r="D878"/>
  <c r="D882"/>
  <c r="D886"/>
  <c r="D890"/>
  <c r="D894"/>
  <c r="D898"/>
  <c r="D902"/>
  <c r="D906"/>
  <c r="D910"/>
  <c r="D914"/>
  <c r="D918"/>
  <c r="D922"/>
  <c r="D926"/>
  <c r="D930"/>
  <c r="D934"/>
  <c r="D938"/>
  <c r="D942"/>
  <c r="D946"/>
  <c r="D950"/>
  <c r="D954"/>
  <c r="D958"/>
  <c r="D962"/>
  <c r="D966"/>
  <c r="D970"/>
  <c r="D974"/>
  <c r="D978"/>
  <c r="D982"/>
  <c r="D986"/>
  <c r="D990"/>
  <c r="D994"/>
  <c r="D998"/>
  <c r="D1002"/>
  <c r="C138"/>
  <c r="G138"/>
  <c r="C142"/>
  <c r="G142"/>
  <c r="C146"/>
  <c r="G146"/>
  <c r="C150"/>
  <c r="G150"/>
  <c r="C154"/>
  <c r="G154"/>
  <c r="C158"/>
  <c r="G158"/>
  <c r="C162"/>
  <c r="G162"/>
  <c r="C166"/>
  <c r="G166"/>
  <c r="C170"/>
  <c r="G170"/>
  <c r="C174"/>
  <c r="G174"/>
  <c r="C178"/>
  <c r="G178"/>
  <c r="C182"/>
  <c r="G182"/>
  <c r="C186"/>
  <c r="G186"/>
  <c r="C190"/>
  <c r="G190"/>
  <c r="C194"/>
  <c r="G194"/>
  <c r="C198"/>
  <c r="G198"/>
  <c r="C202"/>
  <c r="G202"/>
  <c r="C206"/>
  <c r="C208"/>
  <c r="C210"/>
  <c r="C212"/>
  <c r="G212"/>
  <c r="C216"/>
  <c r="G216"/>
  <c r="C220"/>
  <c r="G220"/>
  <c r="C224"/>
  <c r="G224"/>
  <c r="C228"/>
  <c r="G228"/>
  <c r="C232"/>
  <c r="G232"/>
  <c r="C236"/>
  <c r="G236"/>
  <c r="C240"/>
  <c r="G240"/>
  <c r="C244"/>
  <c r="G244"/>
  <c r="C248"/>
  <c r="G248"/>
  <c r="C252"/>
  <c r="G252"/>
  <c r="C256"/>
  <c r="G256"/>
  <c r="C260"/>
  <c r="G260"/>
  <c r="C264"/>
  <c r="G264"/>
  <c r="C268"/>
  <c r="G268"/>
  <c r="C272"/>
  <c r="G272"/>
  <c r="C276"/>
  <c r="G276"/>
  <c r="C280"/>
  <c r="G280"/>
  <c r="C284"/>
  <c r="G284"/>
  <c r="C288"/>
  <c r="G288"/>
  <c r="C292"/>
  <c r="G292"/>
  <c r="C296"/>
  <c r="G296"/>
  <c r="C300"/>
  <c r="G300"/>
  <c r="C304"/>
  <c r="G304"/>
  <c r="C308"/>
  <c r="G308"/>
  <c r="C312"/>
  <c r="G312"/>
  <c r="C316"/>
  <c r="G316"/>
  <c r="C320"/>
  <c r="G320"/>
  <c r="C324"/>
  <c r="G324"/>
  <c r="C328"/>
  <c r="G328"/>
  <c r="C332"/>
  <c r="G332"/>
  <c r="C336"/>
  <c r="G336"/>
  <c r="C340"/>
  <c r="G340"/>
  <c r="C344"/>
  <c r="G344"/>
  <c r="C348"/>
  <c r="G348"/>
  <c r="C352"/>
  <c r="G352"/>
  <c r="C356"/>
  <c r="G356"/>
  <c r="C360"/>
  <c r="G360"/>
  <c r="C364"/>
  <c r="G364"/>
  <c r="C368"/>
  <c r="G368"/>
  <c r="C372"/>
  <c r="G372"/>
  <c r="C376"/>
  <c r="G376"/>
  <c r="C380"/>
  <c r="G380"/>
  <c r="C136"/>
  <c r="G136"/>
  <c r="C140"/>
  <c r="G140"/>
  <c r="C144"/>
  <c r="G144"/>
  <c r="C148"/>
  <c r="G148"/>
  <c r="C152"/>
  <c r="G152"/>
  <c r="C156"/>
  <c r="G156"/>
  <c r="C160"/>
  <c r="G160"/>
  <c r="C164"/>
  <c r="G164"/>
  <c r="C168"/>
  <c r="G168"/>
  <c r="C172"/>
  <c r="G172"/>
  <c r="C176"/>
  <c r="G176"/>
  <c r="C180"/>
  <c r="G180"/>
  <c r="C184"/>
  <c r="G184"/>
  <c r="C188"/>
  <c r="G188"/>
  <c r="C192"/>
  <c r="G192"/>
  <c r="C196"/>
  <c r="G196"/>
  <c r="C200"/>
  <c r="G200"/>
  <c r="C204"/>
  <c r="G204"/>
  <c r="G206"/>
  <c r="G208"/>
  <c r="G210"/>
  <c r="C214"/>
  <c r="G214"/>
  <c r="C218"/>
  <c r="G218"/>
  <c r="C222"/>
  <c r="G222"/>
  <c r="C226"/>
  <c r="G226"/>
  <c r="C230"/>
  <c r="G230"/>
  <c r="C234"/>
  <c r="G234"/>
  <c r="C238"/>
  <c r="G238"/>
  <c r="C242"/>
  <c r="G242"/>
  <c r="C246"/>
  <c r="G246"/>
  <c r="C250"/>
  <c r="G250"/>
  <c r="C254"/>
  <c r="G254"/>
  <c r="C258"/>
  <c r="G258"/>
  <c r="C262"/>
  <c r="G262"/>
  <c r="C266"/>
  <c r="G266"/>
  <c r="C270"/>
  <c r="G270"/>
  <c r="C274"/>
  <c r="G274"/>
  <c r="C278"/>
  <c r="G278"/>
  <c r="C282"/>
  <c r="G282"/>
  <c r="C286"/>
  <c r="G286"/>
  <c r="C290"/>
  <c r="G290"/>
  <c r="C294"/>
  <c r="G294"/>
  <c r="C298"/>
  <c r="G298"/>
  <c r="C302"/>
  <c r="G302"/>
  <c r="C306"/>
  <c r="G306"/>
  <c r="C310"/>
  <c r="G310"/>
  <c r="C314"/>
  <c r="G314"/>
  <c r="C318"/>
  <c r="G318"/>
  <c r="C322"/>
  <c r="G322"/>
  <c r="C326"/>
  <c r="G326"/>
  <c r="C330"/>
  <c r="G330"/>
  <c r="C334"/>
  <c r="G334"/>
  <c r="C338"/>
  <c r="G338"/>
  <c r="C342"/>
  <c r="G342"/>
  <c r="C346"/>
  <c r="G346"/>
  <c r="C350"/>
  <c r="G350"/>
  <c r="C354"/>
  <c r="G354"/>
  <c r="C358"/>
  <c r="G358"/>
  <c r="C362"/>
  <c r="G362"/>
  <c r="C366"/>
  <c r="G366"/>
  <c r="C370"/>
  <c r="G370"/>
  <c r="C374"/>
  <c r="G374"/>
  <c r="C378"/>
  <c r="G378"/>
  <c r="C382"/>
  <c r="G382"/>
  <c r="C386"/>
  <c r="G386"/>
  <c r="C390"/>
  <c r="G390"/>
  <c r="C384"/>
  <c r="G384"/>
  <c r="C388"/>
  <c r="G388"/>
  <c r="C392"/>
  <c r="G392"/>
  <c r="C396"/>
  <c r="G396"/>
  <c r="C400"/>
  <c r="G400"/>
  <c r="C404"/>
  <c r="G404"/>
  <c r="C408"/>
  <c r="G408"/>
  <c r="C412"/>
  <c r="G412"/>
  <c r="C416"/>
  <c r="G416"/>
  <c r="C420"/>
  <c r="G420"/>
  <c r="C424"/>
  <c r="G424"/>
  <c r="C428"/>
  <c r="G428"/>
  <c r="C432"/>
  <c r="G432"/>
  <c r="C436"/>
  <c r="G436"/>
  <c r="C440"/>
  <c r="G440"/>
  <c r="C444"/>
  <c r="G444"/>
  <c r="C448"/>
  <c r="G448"/>
  <c r="C452"/>
  <c r="G452"/>
  <c r="C456"/>
  <c r="G456"/>
  <c r="C460"/>
  <c r="G460"/>
  <c r="C464"/>
  <c r="G464"/>
  <c r="C468"/>
  <c r="G468"/>
  <c r="C472"/>
  <c r="G472"/>
  <c r="C476"/>
  <c r="G476"/>
  <c r="C480"/>
  <c r="G480"/>
  <c r="C484"/>
  <c r="G484"/>
  <c r="C488"/>
  <c r="G488"/>
  <c r="C492"/>
  <c r="G492"/>
  <c r="C496"/>
  <c r="G496"/>
  <c r="C500"/>
  <c r="G500"/>
  <c r="C504"/>
  <c r="G504"/>
  <c r="C508"/>
  <c r="G508"/>
  <c r="C512"/>
  <c r="G512"/>
  <c r="C516"/>
  <c r="G516"/>
  <c r="C520"/>
  <c r="G520"/>
  <c r="C524"/>
  <c r="G524"/>
  <c r="C528"/>
  <c r="G528"/>
  <c r="C532"/>
  <c r="G532"/>
  <c r="C536"/>
  <c r="G536"/>
  <c r="C540"/>
  <c r="G540"/>
  <c r="C544"/>
  <c r="G544"/>
  <c r="C548"/>
  <c r="G548"/>
  <c r="C552"/>
  <c r="G552"/>
  <c r="C556"/>
  <c r="G556"/>
  <c r="C560"/>
  <c r="G560"/>
  <c r="C564"/>
  <c r="G564"/>
  <c r="C568"/>
  <c r="G568"/>
  <c r="C572"/>
  <c r="G572"/>
  <c r="C576"/>
  <c r="G576"/>
  <c r="C580"/>
  <c r="G580"/>
  <c r="C584"/>
  <c r="G584"/>
  <c r="C588"/>
  <c r="G588"/>
  <c r="C592"/>
  <c r="G592"/>
  <c r="C596"/>
  <c r="G596"/>
  <c r="C600"/>
  <c r="G600"/>
  <c r="C604"/>
  <c r="G604"/>
  <c r="C608"/>
  <c r="G608"/>
  <c r="C612"/>
  <c r="G612"/>
  <c r="C616"/>
  <c r="G616"/>
  <c r="C620"/>
  <c r="G620"/>
  <c r="C624"/>
  <c r="G624"/>
  <c r="C628"/>
  <c r="G628"/>
  <c r="C632"/>
  <c r="G632"/>
  <c r="C636"/>
  <c r="G636"/>
  <c r="C640"/>
  <c r="G640"/>
  <c r="C394"/>
  <c r="G394"/>
  <c r="C398"/>
  <c r="G398"/>
  <c r="C402"/>
  <c r="G402"/>
  <c r="C406"/>
  <c r="G406"/>
  <c r="C410"/>
  <c r="G410"/>
  <c r="C414"/>
  <c r="G414"/>
  <c r="C418"/>
  <c r="G418"/>
  <c r="C422"/>
  <c r="G422"/>
  <c r="C426"/>
  <c r="G426"/>
  <c r="C430"/>
  <c r="G430"/>
  <c r="C434"/>
  <c r="G434"/>
  <c r="C438"/>
  <c r="G438"/>
  <c r="C442"/>
  <c r="G442"/>
  <c r="C446"/>
  <c r="G446"/>
  <c r="C450"/>
  <c r="G450"/>
  <c r="C454"/>
  <c r="G454"/>
  <c r="C458"/>
  <c r="G458"/>
  <c r="C462"/>
  <c r="G462"/>
  <c r="C466"/>
  <c r="G466"/>
  <c r="C470"/>
  <c r="G470"/>
  <c r="C474"/>
  <c r="G474"/>
  <c r="C478"/>
  <c r="G478"/>
  <c r="C482"/>
  <c r="G482"/>
  <c r="C486"/>
  <c r="G486"/>
  <c r="C490"/>
  <c r="G490"/>
  <c r="C494"/>
  <c r="G494"/>
  <c r="C498"/>
  <c r="G498"/>
  <c r="C502"/>
  <c r="G502"/>
  <c r="C506"/>
  <c r="G506"/>
  <c r="C510"/>
  <c r="G510"/>
  <c r="C514"/>
  <c r="G514"/>
  <c r="C518"/>
  <c r="G518"/>
  <c r="C522"/>
  <c r="G522"/>
  <c r="C526"/>
  <c r="G526"/>
  <c r="C530"/>
  <c r="G530"/>
  <c r="C534"/>
  <c r="G534"/>
  <c r="C538"/>
  <c r="G538"/>
  <c r="C542"/>
  <c r="G542"/>
  <c r="C546"/>
  <c r="G546"/>
  <c r="C550"/>
  <c r="G550"/>
  <c r="C554"/>
  <c r="G554"/>
  <c r="C558"/>
  <c r="G558"/>
  <c r="C562"/>
  <c r="G562"/>
  <c r="C566"/>
  <c r="G566"/>
  <c r="C570"/>
  <c r="G570"/>
  <c r="C574"/>
  <c r="G574"/>
  <c r="C578"/>
  <c r="G578"/>
  <c r="C582"/>
  <c r="G582"/>
  <c r="C586"/>
  <c r="G586"/>
  <c r="C590"/>
  <c r="G590"/>
  <c r="C594"/>
  <c r="G594"/>
  <c r="C598"/>
  <c r="G598"/>
  <c r="C602"/>
  <c r="G602"/>
  <c r="C606"/>
  <c r="G606"/>
  <c r="C610"/>
  <c r="G610"/>
  <c r="C614"/>
  <c r="G614"/>
  <c r="C618"/>
  <c r="G618"/>
  <c r="C622"/>
  <c r="G622"/>
  <c r="C626"/>
  <c r="G626"/>
  <c r="C630"/>
  <c r="G630"/>
  <c r="C634"/>
  <c r="G634"/>
  <c r="C638"/>
  <c r="G638"/>
  <c r="C642"/>
  <c r="G642"/>
  <c r="C646"/>
  <c r="G646"/>
  <c r="C650"/>
  <c r="G650"/>
  <c r="C654"/>
  <c r="G654"/>
  <c r="C658"/>
  <c r="G658"/>
  <c r="C662"/>
  <c r="G662"/>
  <c r="C666"/>
  <c r="G666"/>
  <c r="C670"/>
  <c r="G670"/>
  <c r="C674"/>
  <c r="G674"/>
  <c r="C678"/>
  <c r="G678"/>
  <c r="C682"/>
  <c r="G682"/>
  <c r="C686"/>
  <c r="G686"/>
  <c r="C690"/>
  <c r="G690"/>
  <c r="C694"/>
  <c r="G694"/>
  <c r="C698"/>
  <c r="G698"/>
  <c r="C702"/>
  <c r="G702"/>
  <c r="C706"/>
  <c r="G706"/>
  <c r="C710"/>
  <c r="G710"/>
  <c r="C714"/>
  <c r="G714"/>
  <c r="C718"/>
  <c r="G718"/>
  <c r="C722"/>
  <c r="G722"/>
  <c r="C726"/>
  <c r="G726"/>
  <c r="C730"/>
  <c r="G730"/>
  <c r="C734"/>
  <c r="G734"/>
  <c r="C738"/>
  <c r="G738"/>
  <c r="C742"/>
  <c r="G742"/>
  <c r="C746"/>
  <c r="G746"/>
  <c r="C750"/>
  <c r="G750"/>
  <c r="C754"/>
  <c r="G754"/>
  <c r="C758"/>
  <c r="G758"/>
  <c r="C762"/>
  <c r="G762"/>
  <c r="C766"/>
  <c r="G766"/>
  <c r="C770"/>
  <c r="G770"/>
  <c r="C774"/>
  <c r="G774"/>
  <c r="C778"/>
  <c r="G778"/>
  <c r="C782"/>
  <c r="G782"/>
  <c r="C786"/>
  <c r="G786"/>
  <c r="C790"/>
  <c r="G790"/>
  <c r="C794"/>
  <c r="G794"/>
  <c r="C798"/>
  <c r="G798"/>
  <c r="C802"/>
  <c r="G802"/>
  <c r="C806"/>
  <c r="G806"/>
  <c r="C810"/>
  <c r="G810"/>
  <c r="C814"/>
  <c r="G814"/>
  <c r="C818"/>
  <c r="G818"/>
  <c r="C822"/>
  <c r="G822"/>
  <c r="C826"/>
  <c r="G826"/>
  <c r="C830"/>
  <c r="G830"/>
  <c r="C834"/>
  <c r="G834"/>
  <c r="C838"/>
  <c r="G838"/>
  <c r="C842"/>
  <c r="G842"/>
  <c r="C846"/>
  <c r="G846"/>
  <c r="C850"/>
  <c r="G850"/>
  <c r="C854"/>
  <c r="G854"/>
  <c r="C858"/>
  <c r="G858"/>
  <c r="C862"/>
  <c r="G862"/>
  <c r="C866"/>
  <c r="G866"/>
  <c r="C870"/>
  <c r="G870"/>
  <c r="C874"/>
  <c r="G874"/>
  <c r="C878"/>
  <c r="G878"/>
  <c r="C882"/>
  <c r="G882"/>
  <c r="C886"/>
  <c r="G886"/>
  <c r="C890"/>
  <c r="G890"/>
  <c r="C894"/>
  <c r="G894"/>
  <c r="C898"/>
  <c r="G898"/>
  <c r="C902"/>
  <c r="G902"/>
  <c r="C906"/>
  <c r="G906"/>
  <c r="C910"/>
  <c r="G910"/>
  <c r="C914"/>
  <c r="G914"/>
  <c r="C918"/>
  <c r="G918"/>
  <c r="C922"/>
  <c r="G922"/>
  <c r="C926"/>
  <c r="G926"/>
  <c r="C930"/>
  <c r="G930"/>
  <c r="C934"/>
  <c r="G934"/>
  <c r="C938"/>
  <c r="G938"/>
  <c r="C942"/>
  <c r="G942"/>
  <c r="C946"/>
  <c r="G946"/>
  <c r="C950"/>
  <c r="G950"/>
  <c r="C954"/>
  <c r="G954"/>
  <c r="C958"/>
  <c r="G958"/>
  <c r="C962"/>
  <c r="G962"/>
  <c r="C966"/>
  <c r="G966"/>
  <c r="C970"/>
  <c r="G970"/>
  <c r="C974"/>
  <c r="G974"/>
  <c r="C978"/>
  <c r="G978"/>
  <c r="C982"/>
  <c r="G982"/>
  <c r="C986"/>
  <c r="G986"/>
  <c r="C990"/>
  <c r="G990"/>
  <c r="C994"/>
  <c r="G994"/>
  <c r="C998"/>
  <c r="G998"/>
  <c r="C1002"/>
  <c r="G1002"/>
  <c r="C644"/>
  <c r="G644"/>
  <c r="C648"/>
  <c r="G648"/>
  <c r="C652"/>
  <c r="G652"/>
  <c r="C656"/>
  <c r="G656"/>
  <c r="C660"/>
  <c r="G660"/>
  <c r="C664"/>
  <c r="G664"/>
  <c r="C668"/>
  <c r="G668"/>
  <c r="C672"/>
  <c r="G672"/>
  <c r="C676"/>
  <c r="G676"/>
  <c r="C680"/>
  <c r="G680"/>
  <c r="C684"/>
  <c r="G684"/>
  <c r="C688"/>
  <c r="G688"/>
  <c r="C692"/>
  <c r="G692"/>
  <c r="C696"/>
  <c r="G696"/>
  <c r="C700"/>
  <c r="G700"/>
  <c r="C704"/>
  <c r="G704"/>
  <c r="C708"/>
  <c r="G708"/>
  <c r="C712"/>
  <c r="G712"/>
  <c r="C716"/>
  <c r="G716"/>
  <c r="C720"/>
  <c r="G720"/>
  <c r="C724"/>
  <c r="G724"/>
  <c r="C728"/>
  <c r="G728"/>
  <c r="C732"/>
  <c r="G732"/>
  <c r="C736"/>
  <c r="G736"/>
  <c r="C740"/>
  <c r="G740"/>
  <c r="C744"/>
  <c r="G744"/>
  <c r="C748"/>
  <c r="G748"/>
  <c r="C752"/>
  <c r="G752"/>
  <c r="C756"/>
  <c r="G756"/>
  <c r="C760"/>
  <c r="G760"/>
  <c r="C764"/>
  <c r="G764"/>
  <c r="C768"/>
  <c r="G768"/>
  <c r="C772"/>
  <c r="G772"/>
  <c r="C776"/>
  <c r="G776"/>
  <c r="C780"/>
  <c r="G780"/>
  <c r="C784"/>
  <c r="G784"/>
  <c r="C788"/>
  <c r="G788"/>
  <c r="C792"/>
  <c r="G792"/>
  <c r="C796"/>
  <c r="G796"/>
  <c r="C800"/>
  <c r="G800"/>
  <c r="C804"/>
  <c r="G804"/>
  <c r="C808"/>
  <c r="G808"/>
  <c r="C812"/>
  <c r="G812"/>
  <c r="C816"/>
  <c r="G816"/>
  <c r="C820"/>
  <c r="G820"/>
  <c r="C824"/>
  <c r="G824"/>
  <c r="C828"/>
  <c r="G828"/>
  <c r="C832"/>
  <c r="G832"/>
  <c r="C836"/>
  <c r="G836"/>
  <c r="C840"/>
  <c r="G840"/>
  <c r="C844"/>
  <c r="G844"/>
  <c r="C848"/>
  <c r="G848"/>
  <c r="C852"/>
  <c r="G852"/>
  <c r="C856"/>
  <c r="G856"/>
  <c r="C860"/>
  <c r="G860"/>
  <c r="C864"/>
  <c r="G864"/>
  <c r="C868"/>
  <c r="G868"/>
  <c r="C872"/>
  <c r="G872"/>
  <c r="C876"/>
  <c r="G876"/>
  <c r="C880"/>
  <c r="G880"/>
  <c r="C884"/>
  <c r="G884"/>
  <c r="C888"/>
  <c r="G888"/>
  <c r="C892"/>
  <c r="G892"/>
  <c r="C896"/>
  <c r="G896"/>
  <c r="C900"/>
  <c r="G900"/>
  <c r="C904"/>
  <c r="G904"/>
  <c r="C908"/>
  <c r="G908"/>
  <c r="C912"/>
  <c r="G912"/>
  <c r="C916"/>
  <c r="G916"/>
  <c r="C920"/>
  <c r="G920"/>
  <c r="C924"/>
  <c r="G924"/>
  <c r="C928"/>
  <c r="G928"/>
  <c r="C932"/>
  <c r="G932"/>
  <c r="C936"/>
  <c r="G936"/>
  <c r="C940"/>
  <c r="G940"/>
  <c r="C944"/>
  <c r="G944"/>
  <c r="C948"/>
  <c r="G948"/>
  <c r="C952"/>
  <c r="G952"/>
  <c r="C956"/>
  <c r="G956"/>
  <c r="C960"/>
  <c r="G960"/>
  <c r="C964"/>
  <c r="G964"/>
  <c r="C968"/>
  <c r="G968"/>
  <c r="C972"/>
  <c r="G972"/>
  <c r="C976"/>
  <c r="G976"/>
  <c r="C980"/>
  <c r="G980"/>
  <c r="C984"/>
  <c r="G984"/>
  <c r="C988"/>
  <c r="G988"/>
  <c r="C992"/>
  <c r="G992"/>
  <c r="C996"/>
  <c r="G996"/>
  <c r="C1000"/>
  <c r="G1000"/>
  <c r="C1004"/>
  <c r="G1004"/>
  <c r="I31" i="2" l="1"/>
  <c r="I20"/>
  <c r="J15"/>
  <c r="I33"/>
  <c r="I40"/>
  <c r="I56"/>
  <c r="I59"/>
  <c r="K14"/>
  <c r="K16"/>
  <c r="K15"/>
  <c r="I15"/>
  <c r="I14"/>
  <c r="I54"/>
  <c r="I13"/>
  <c r="I55"/>
  <c r="I46"/>
  <c r="J13"/>
  <c r="J14"/>
  <c r="I23"/>
  <c r="I16"/>
  <c r="I63"/>
  <c r="I50"/>
  <c r="K8"/>
  <c r="I29"/>
  <c r="I41"/>
  <c r="I24"/>
  <c r="I27"/>
  <c r="I42"/>
  <c r="I45"/>
  <c r="I32"/>
  <c r="I48"/>
  <c r="I64"/>
  <c r="K8" i="20"/>
  <c r="L8"/>
  <c r="K12"/>
  <c r="L12"/>
  <c r="K19"/>
  <c r="L19"/>
  <c r="K11"/>
  <c r="L11"/>
  <c r="L6"/>
  <c r="K6"/>
  <c r="L18"/>
  <c r="K18"/>
  <c r="L17"/>
  <c r="K17"/>
  <c r="L9"/>
  <c r="K9"/>
  <c r="I58" i="2"/>
  <c r="K16" i="20"/>
  <c r="L16"/>
  <c r="L14"/>
  <c r="K14"/>
  <c r="K15"/>
  <c r="L15"/>
  <c r="K7"/>
  <c r="L7"/>
  <c r="I47" i="2"/>
  <c r="I17"/>
  <c r="I34"/>
  <c r="I66"/>
  <c r="I19"/>
  <c r="K20" i="20"/>
  <c r="L20"/>
  <c r="L10"/>
  <c r="K10"/>
  <c r="L13"/>
  <c r="K13"/>
  <c r="I65" i="2"/>
  <c r="I12"/>
  <c r="I43"/>
  <c r="I36"/>
  <c r="I52"/>
  <c r="I68"/>
  <c r="I37"/>
  <c r="I53"/>
  <c r="I11"/>
  <c r="I51"/>
  <c r="I62"/>
  <c r="I57"/>
  <c r="I28"/>
  <c r="I44"/>
  <c r="I60"/>
  <c r="I9"/>
  <c r="I67"/>
  <c r="I10"/>
  <c r="K507"/>
  <c r="J507"/>
  <c r="K491"/>
  <c r="J491"/>
  <c r="K475"/>
  <c r="J475"/>
  <c r="K463"/>
  <c r="J463"/>
  <c r="K451"/>
  <c r="J451"/>
  <c r="K439"/>
  <c r="J439"/>
  <c r="K427"/>
  <c r="J427"/>
  <c r="K415"/>
  <c r="J415"/>
  <c r="K395"/>
  <c r="J395"/>
  <c r="K379"/>
  <c r="J379"/>
  <c r="K363"/>
  <c r="J363"/>
  <c r="K343"/>
  <c r="J343"/>
  <c r="K327"/>
  <c r="J327"/>
  <c r="K89"/>
  <c r="J89"/>
  <c r="K189"/>
  <c r="J189"/>
  <c r="K165"/>
  <c r="J165"/>
  <c r="K145"/>
  <c r="J145"/>
  <c r="K133"/>
  <c r="J133"/>
  <c r="K117"/>
  <c r="J117"/>
  <c r="K505"/>
  <c r="J505"/>
  <c r="K497"/>
  <c r="J497"/>
  <c r="K485"/>
  <c r="J485"/>
  <c r="K477"/>
  <c r="J477"/>
  <c r="K469"/>
  <c r="J469"/>
  <c r="K461"/>
  <c r="J461"/>
  <c r="K453"/>
  <c r="J453"/>
  <c r="K445"/>
  <c r="J445"/>
  <c r="K437"/>
  <c r="J437"/>
  <c r="K429"/>
  <c r="J429"/>
  <c r="K421"/>
  <c r="J421"/>
  <c r="K413"/>
  <c r="J413"/>
  <c r="K405"/>
  <c r="J405"/>
  <c r="K397"/>
  <c r="J397"/>
  <c r="K389"/>
  <c r="J389"/>
  <c r="K381"/>
  <c r="J381"/>
  <c r="K373"/>
  <c r="J373"/>
  <c r="K365"/>
  <c r="J365"/>
  <c r="K353"/>
  <c r="J353"/>
  <c r="K341"/>
  <c r="J341"/>
  <c r="K329"/>
  <c r="J329"/>
  <c r="K103"/>
  <c r="J103"/>
  <c r="K95"/>
  <c r="J95"/>
  <c r="K87"/>
  <c r="J87"/>
  <c r="K79"/>
  <c r="J79"/>
  <c r="K195"/>
  <c r="J195"/>
  <c r="K187"/>
  <c r="J187"/>
  <c r="K179"/>
  <c r="J179"/>
  <c r="K171"/>
  <c r="J171"/>
  <c r="J163"/>
  <c r="K163"/>
  <c r="K155"/>
  <c r="J155"/>
  <c r="K147"/>
  <c r="J147"/>
  <c r="K139"/>
  <c r="J139"/>
  <c r="K131"/>
  <c r="J131"/>
  <c r="K123"/>
  <c r="J123"/>
  <c r="K115"/>
  <c r="J115"/>
  <c r="K503"/>
  <c r="J503"/>
  <c r="K483"/>
  <c r="J483"/>
  <c r="K467"/>
  <c r="J467"/>
  <c r="K447"/>
  <c r="J447"/>
  <c r="K431"/>
  <c r="J431"/>
  <c r="K411"/>
  <c r="J411"/>
  <c r="K399"/>
  <c r="J399"/>
  <c r="K383"/>
  <c r="J383"/>
  <c r="K367"/>
  <c r="J367"/>
  <c r="K351"/>
  <c r="J351"/>
  <c r="K335"/>
  <c r="J335"/>
  <c r="K105"/>
  <c r="J105"/>
  <c r="K93"/>
  <c r="J93"/>
  <c r="K73"/>
  <c r="J73"/>
  <c r="K181"/>
  <c r="J181"/>
  <c r="K169"/>
  <c r="J169"/>
  <c r="K157"/>
  <c r="J157"/>
  <c r="K141"/>
  <c r="J141"/>
  <c r="K125"/>
  <c r="J125"/>
  <c r="K113"/>
  <c r="J113"/>
  <c r="K501"/>
  <c r="J501"/>
  <c r="K493"/>
  <c r="J493"/>
  <c r="K489"/>
  <c r="J489"/>
  <c r="K481"/>
  <c r="J481"/>
  <c r="K473"/>
  <c r="J473"/>
  <c r="K465"/>
  <c r="J465"/>
  <c r="K457"/>
  <c r="J457"/>
  <c r="J449"/>
  <c r="K449"/>
  <c r="K441"/>
  <c r="J441"/>
  <c r="K433"/>
  <c r="J433"/>
  <c r="K425"/>
  <c r="J425"/>
  <c r="K417"/>
  <c r="J417"/>
  <c r="K409"/>
  <c r="J409"/>
  <c r="K401"/>
  <c r="J401"/>
  <c r="K393"/>
  <c r="J393"/>
  <c r="K385"/>
  <c r="J385"/>
  <c r="K377"/>
  <c r="J377"/>
  <c r="K369"/>
  <c r="J369"/>
  <c r="K361"/>
  <c r="J361"/>
  <c r="K357"/>
  <c r="J357"/>
  <c r="K349"/>
  <c r="J349"/>
  <c r="K345"/>
  <c r="J345"/>
  <c r="K337"/>
  <c r="J337"/>
  <c r="K333"/>
  <c r="J333"/>
  <c r="K107"/>
  <c r="J107"/>
  <c r="K99"/>
  <c r="J99"/>
  <c r="K91"/>
  <c r="J91"/>
  <c r="J83"/>
  <c r="K83"/>
  <c r="K75"/>
  <c r="J75"/>
  <c r="K191"/>
  <c r="J191"/>
  <c r="K183"/>
  <c r="J183"/>
  <c r="K175"/>
  <c r="J175"/>
  <c r="K167"/>
  <c r="J167"/>
  <c r="K159"/>
  <c r="J159"/>
  <c r="K151"/>
  <c r="J151"/>
  <c r="K143"/>
  <c r="J143"/>
  <c r="K135"/>
  <c r="J135"/>
  <c r="K127"/>
  <c r="J127"/>
  <c r="K119"/>
  <c r="J119"/>
  <c r="K111"/>
  <c r="J111"/>
  <c r="K504"/>
  <c r="J504"/>
  <c r="K500"/>
  <c r="J500"/>
  <c r="K496"/>
  <c r="J496"/>
  <c r="K492"/>
  <c r="J492"/>
  <c r="K488"/>
  <c r="J488"/>
  <c r="K484"/>
  <c r="J484"/>
  <c r="K480"/>
  <c r="J480"/>
  <c r="K476"/>
  <c r="J476"/>
  <c r="K472"/>
  <c r="J472"/>
  <c r="K468"/>
  <c r="J468"/>
  <c r="K464"/>
  <c r="J464"/>
  <c r="K460"/>
  <c r="J460"/>
  <c r="K456"/>
  <c r="J456"/>
  <c r="K452"/>
  <c r="J452"/>
  <c r="K448"/>
  <c r="J448"/>
  <c r="K444"/>
  <c r="J444"/>
  <c r="K440"/>
  <c r="J440"/>
  <c r="K436"/>
  <c r="J436"/>
  <c r="K432"/>
  <c r="J432"/>
  <c r="K428"/>
  <c r="J428"/>
  <c r="K424"/>
  <c r="J424"/>
  <c r="K420"/>
  <c r="J420"/>
  <c r="K416"/>
  <c r="J416"/>
  <c r="K412"/>
  <c r="J412"/>
  <c r="K408"/>
  <c r="J408"/>
  <c r="K404"/>
  <c r="J404"/>
  <c r="K400"/>
  <c r="J400"/>
  <c r="K396"/>
  <c r="J396"/>
  <c r="K392"/>
  <c r="J392"/>
  <c r="K388"/>
  <c r="J388"/>
  <c r="K384"/>
  <c r="J384"/>
  <c r="K380"/>
  <c r="J380"/>
  <c r="K376"/>
  <c r="J376"/>
  <c r="K372"/>
  <c r="J372"/>
  <c r="K368"/>
  <c r="J368"/>
  <c r="K364"/>
  <c r="J364"/>
  <c r="K360"/>
  <c r="J360"/>
  <c r="K356"/>
  <c r="J356"/>
  <c r="K352"/>
  <c r="J352"/>
  <c r="K348"/>
  <c r="J348"/>
  <c r="K344"/>
  <c r="J344"/>
  <c r="K340"/>
  <c r="J340"/>
  <c r="K336"/>
  <c r="J336"/>
  <c r="K332"/>
  <c r="J332"/>
  <c r="K328"/>
  <c r="J328"/>
  <c r="K324"/>
  <c r="J324"/>
  <c r="K320"/>
  <c r="J320"/>
  <c r="K316"/>
  <c r="J316"/>
  <c r="K312"/>
  <c r="J312"/>
  <c r="K308"/>
  <c r="J308"/>
  <c r="K304"/>
  <c r="J304"/>
  <c r="K300"/>
  <c r="J300"/>
  <c r="K296"/>
  <c r="J296"/>
  <c r="K292"/>
  <c r="J292"/>
  <c r="K288"/>
  <c r="J288"/>
  <c r="K284"/>
  <c r="J284"/>
  <c r="K280"/>
  <c r="J280"/>
  <c r="K276"/>
  <c r="J276"/>
  <c r="K272"/>
  <c r="J272"/>
  <c r="K268"/>
  <c r="J268"/>
  <c r="K264"/>
  <c r="J264"/>
  <c r="K260"/>
  <c r="J260"/>
  <c r="K256"/>
  <c r="J256"/>
  <c r="K252"/>
  <c r="J252"/>
  <c r="K248"/>
  <c r="J248"/>
  <c r="K244"/>
  <c r="J244"/>
  <c r="K240"/>
  <c r="J240"/>
  <c r="K236"/>
  <c r="J236"/>
  <c r="K232"/>
  <c r="J232"/>
  <c r="K228"/>
  <c r="J228"/>
  <c r="K224"/>
  <c r="J224"/>
  <c r="K220"/>
  <c r="J220"/>
  <c r="K216"/>
  <c r="J216"/>
  <c r="K212"/>
  <c r="J212"/>
  <c r="K208"/>
  <c r="J208"/>
  <c r="J204"/>
  <c r="K204"/>
  <c r="K325"/>
  <c r="J325"/>
  <c r="K321"/>
  <c r="J321"/>
  <c r="K317"/>
  <c r="J317"/>
  <c r="K313"/>
  <c r="J313"/>
  <c r="K309"/>
  <c r="J309"/>
  <c r="K305"/>
  <c r="J305"/>
  <c r="K301"/>
  <c r="J301"/>
  <c r="K297"/>
  <c r="J297"/>
  <c r="K293"/>
  <c r="J293"/>
  <c r="K289"/>
  <c r="J289"/>
  <c r="K285"/>
  <c r="J285"/>
  <c r="K281"/>
  <c r="J281"/>
  <c r="K277"/>
  <c r="J277"/>
  <c r="K273"/>
  <c r="J273"/>
  <c r="K269"/>
  <c r="J269"/>
  <c r="K265"/>
  <c r="J265"/>
  <c r="K261"/>
  <c r="J261"/>
  <c r="K257"/>
  <c r="J257"/>
  <c r="K253"/>
  <c r="J253"/>
  <c r="K249"/>
  <c r="J249"/>
  <c r="K245"/>
  <c r="J245"/>
  <c r="K241"/>
  <c r="J241"/>
  <c r="K237"/>
  <c r="J237"/>
  <c r="K233"/>
  <c r="J233"/>
  <c r="K229"/>
  <c r="J229"/>
  <c r="K225"/>
  <c r="J225"/>
  <c r="K221"/>
  <c r="J221"/>
  <c r="K217"/>
  <c r="J217"/>
  <c r="K213"/>
  <c r="J213"/>
  <c r="K209"/>
  <c r="J209"/>
  <c r="K205"/>
  <c r="J205"/>
  <c r="K201"/>
  <c r="J201"/>
  <c r="K197"/>
  <c r="J197"/>
  <c r="J198"/>
  <c r="K198"/>
  <c r="K194"/>
  <c r="J194"/>
  <c r="K190"/>
  <c r="J190"/>
  <c r="K186"/>
  <c r="J186"/>
  <c r="K182"/>
  <c r="J182"/>
  <c r="K178"/>
  <c r="J178"/>
  <c r="K174"/>
  <c r="J174"/>
  <c r="K170"/>
  <c r="J170"/>
  <c r="K166"/>
  <c r="J166"/>
  <c r="K162"/>
  <c r="J162"/>
  <c r="J158"/>
  <c r="K158"/>
  <c r="K154"/>
  <c r="J154"/>
  <c r="K150"/>
  <c r="J150"/>
  <c r="K146"/>
  <c r="J146"/>
  <c r="K142"/>
  <c r="J142"/>
  <c r="K138"/>
  <c r="J138"/>
  <c r="J134"/>
  <c r="K134"/>
  <c r="K130"/>
  <c r="J130"/>
  <c r="K126"/>
  <c r="J126"/>
  <c r="K122"/>
  <c r="J122"/>
  <c r="K118"/>
  <c r="J118"/>
  <c r="K114"/>
  <c r="J114"/>
  <c r="K110"/>
  <c r="J110"/>
  <c r="K106"/>
  <c r="J106"/>
  <c r="K102"/>
  <c r="J102"/>
  <c r="K98"/>
  <c r="J98"/>
  <c r="J94"/>
  <c r="K94"/>
  <c r="J90"/>
  <c r="K90"/>
  <c r="K86"/>
  <c r="J86"/>
  <c r="K82"/>
  <c r="J82"/>
  <c r="K78"/>
  <c r="J78"/>
  <c r="K74"/>
  <c r="J74"/>
  <c r="K495"/>
  <c r="J495"/>
  <c r="K479"/>
  <c r="J479"/>
  <c r="K459"/>
  <c r="J459"/>
  <c r="K443"/>
  <c r="J443"/>
  <c r="K423"/>
  <c r="J423"/>
  <c r="K403"/>
  <c r="J403"/>
  <c r="K387"/>
  <c r="J387"/>
  <c r="K371"/>
  <c r="J371"/>
  <c r="K355"/>
  <c r="J355"/>
  <c r="K339"/>
  <c r="J339"/>
  <c r="K101"/>
  <c r="J101"/>
  <c r="K85"/>
  <c r="J85"/>
  <c r="K77"/>
  <c r="J77"/>
  <c r="K185"/>
  <c r="J185"/>
  <c r="K173"/>
  <c r="J173"/>
  <c r="K153"/>
  <c r="J153"/>
  <c r="K129"/>
  <c r="J129"/>
  <c r="K109"/>
  <c r="J109"/>
  <c r="I504"/>
  <c r="I496"/>
  <c r="I488"/>
  <c r="I480"/>
  <c r="I472"/>
  <c r="I464"/>
  <c r="I456"/>
  <c r="I448"/>
  <c r="I440"/>
  <c r="I432"/>
  <c r="I424"/>
  <c r="I416"/>
  <c r="I408"/>
  <c r="I400"/>
  <c r="I392"/>
  <c r="I384"/>
  <c r="I376"/>
  <c r="I368"/>
  <c r="I360"/>
  <c r="I352"/>
  <c r="I344"/>
  <c r="I336"/>
  <c r="I328"/>
  <c r="I503"/>
  <c r="I495"/>
  <c r="I487"/>
  <c r="I479"/>
  <c r="I471"/>
  <c r="I463"/>
  <c r="I455"/>
  <c r="I447"/>
  <c r="I439"/>
  <c r="I431"/>
  <c r="I423"/>
  <c r="I415"/>
  <c r="I407"/>
  <c r="I399"/>
  <c r="I391"/>
  <c r="I383"/>
  <c r="I375"/>
  <c r="I367"/>
  <c r="I359"/>
  <c r="I351"/>
  <c r="I343"/>
  <c r="I335"/>
  <c r="I327"/>
  <c r="I319"/>
  <c r="I311"/>
  <c r="I303"/>
  <c r="I295"/>
  <c r="I287"/>
  <c r="I279"/>
  <c r="I271"/>
  <c r="I263"/>
  <c r="I255"/>
  <c r="I247"/>
  <c r="I239"/>
  <c r="I231"/>
  <c r="I223"/>
  <c r="I215"/>
  <c r="I207"/>
  <c r="I200"/>
  <c r="I322"/>
  <c r="I314"/>
  <c r="I306"/>
  <c r="I298"/>
  <c r="I290"/>
  <c r="I282"/>
  <c r="I274"/>
  <c r="I266"/>
  <c r="I258"/>
  <c r="I250"/>
  <c r="I242"/>
  <c r="I234"/>
  <c r="I226"/>
  <c r="I218"/>
  <c r="I210"/>
  <c r="I202"/>
  <c r="I193"/>
  <c r="I185"/>
  <c r="I177"/>
  <c r="I169"/>
  <c r="I161"/>
  <c r="I153"/>
  <c r="I145"/>
  <c r="I137"/>
  <c r="I129"/>
  <c r="I121"/>
  <c r="I113"/>
  <c r="I102"/>
  <c r="I94"/>
  <c r="I86"/>
  <c r="I78"/>
  <c r="I194"/>
  <c r="I186"/>
  <c r="I178"/>
  <c r="I170"/>
  <c r="I162"/>
  <c r="I154"/>
  <c r="I146"/>
  <c r="I138"/>
  <c r="I130"/>
  <c r="I122"/>
  <c r="I114"/>
  <c r="I108"/>
  <c r="I101"/>
  <c r="I93"/>
  <c r="I85"/>
  <c r="I77"/>
  <c r="K499"/>
  <c r="J499"/>
  <c r="K487"/>
  <c r="J487"/>
  <c r="K471"/>
  <c r="J471"/>
  <c r="K455"/>
  <c r="J455"/>
  <c r="K435"/>
  <c r="J435"/>
  <c r="K419"/>
  <c r="J419"/>
  <c r="K407"/>
  <c r="J407"/>
  <c r="K391"/>
  <c r="J391"/>
  <c r="K375"/>
  <c r="J375"/>
  <c r="K359"/>
  <c r="J359"/>
  <c r="K347"/>
  <c r="J347"/>
  <c r="K331"/>
  <c r="J331"/>
  <c r="K97"/>
  <c r="J97"/>
  <c r="K81"/>
  <c r="J81"/>
  <c r="K193"/>
  <c r="J193"/>
  <c r="K177"/>
  <c r="J177"/>
  <c r="K161"/>
  <c r="J161"/>
  <c r="K149"/>
  <c r="J149"/>
  <c r="K137"/>
  <c r="J137"/>
  <c r="K121"/>
  <c r="J121"/>
  <c r="K506"/>
  <c r="J506"/>
  <c r="K502"/>
  <c r="J502"/>
  <c r="K498"/>
  <c r="J498"/>
  <c r="K494"/>
  <c r="J494"/>
  <c r="K490"/>
  <c r="J490"/>
  <c r="K486"/>
  <c r="J486"/>
  <c r="K482"/>
  <c r="J482"/>
  <c r="K478"/>
  <c r="J478"/>
  <c r="K474"/>
  <c r="J474"/>
  <c r="K470"/>
  <c r="J470"/>
  <c r="K466"/>
  <c r="J466"/>
  <c r="K462"/>
  <c r="J462"/>
  <c r="K458"/>
  <c r="J458"/>
  <c r="K454"/>
  <c r="J454"/>
  <c r="K450"/>
  <c r="J450"/>
  <c r="K446"/>
  <c r="J446"/>
  <c r="K442"/>
  <c r="J442"/>
  <c r="K438"/>
  <c r="J438"/>
  <c r="K434"/>
  <c r="J434"/>
  <c r="K430"/>
  <c r="J430"/>
  <c r="K426"/>
  <c r="J426"/>
  <c r="K422"/>
  <c r="J422"/>
  <c r="K418"/>
  <c r="J418"/>
  <c r="K414"/>
  <c r="J414"/>
  <c r="K410"/>
  <c r="J410"/>
  <c r="K406"/>
  <c r="J406"/>
  <c r="K402"/>
  <c r="J402"/>
  <c r="K398"/>
  <c r="J398"/>
  <c r="K394"/>
  <c r="J394"/>
  <c r="K390"/>
  <c r="J390"/>
  <c r="K386"/>
  <c r="J386"/>
  <c r="K382"/>
  <c r="J382"/>
  <c r="K378"/>
  <c r="J378"/>
  <c r="K374"/>
  <c r="J374"/>
  <c r="K370"/>
  <c r="J370"/>
  <c r="K366"/>
  <c r="J366"/>
  <c r="K362"/>
  <c r="J362"/>
  <c r="K358"/>
  <c r="J358"/>
  <c r="K354"/>
  <c r="J354"/>
  <c r="K350"/>
  <c r="J350"/>
  <c r="K346"/>
  <c r="J346"/>
  <c r="K342"/>
  <c r="J342"/>
  <c r="K338"/>
  <c r="J338"/>
  <c r="K334"/>
  <c r="J334"/>
  <c r="K330"/>
  <c r="J330"/>
  <c r="K326"/>
  <c r="J326"/>
  <c r="K322"/>
  <c r="J322"/>
  <c r="K318"/>
  <c r="J318"/>
  <c r="K314"/>
  <c r="J314"/>
  <c r="K310"/>
  <c r="J310"/>
  <c r="K306"/>
  <c r="J306"/>
  <c r="K302"/>
  <c r="J302"/>
  <c r="K298"/>
  <c r="J298"/>
  <c r="K294"/>
  <c r="J294"/>
  <c r="K290"/>
  <c r="J290"/>
  <c r="K286"/>
  <c r="J286"/>
  <c r="K282"/>
  <c r="J282"/>
  <c r="K278"/>
  <c r="J278"/>
  <c r="K274"/>
  <c r="J274"/>
  <c r="K270"/>
  <c r="J270"/>
  <c r="K266"/>
  <c r="J266"/>
  <c r="K262"/>
  <c r="J262"/>
  <c r="K258"/>
  <c r="J258"/>
  <c r="K254"/>
  <c r="J254"/>
  <c r="K250"/>
  <c r="J250"/>
  <c r="K246"/>
  <c r="J246"/>
  <c r="K242"/>
  <c r="J242"/>
  <c r="K238"/>
  <c r="J238"/>
  <c r="K234"/>
  <c r="J234"/>
  <c r="K230"/>
  <c r="J230"/>
  <c r="K226"/>
  <c r="J226"/>
  <c r="K222"/>
  <c r="J222"/>
  <c r="K218"/>
  <c r="J218"/>
  <c r="K214"/>
  <c r="J214"/>
  <c r="K210"/>
  <c r="J210"/>
  <c r="K206"/>
  <c r="J206"/>
  <c r="K202"/>
  <c r="J202"/>
  <c r="K323"/>
  <c r="J323"/>
  <c r="K319"/>
  <c r="J319"/>
  <c r="K315"/>
  <c r="J315"/>
  <c r="K311"/>
  <c r="J311"/>
  <c r="K307"/>
  <c r="J307"/>
  <c r="K303"/>
  <c r="J303"/>
  <c r="K299"/>
  <c r="J299"/>
  <c r="K295"/>
  <c r="J295"/>
  <c r="K291"/>
  <c r="J291"/>
  <c r="K287"/>
  <c r="J287"/>
  <c r="K283"/>
  <c r="J283"/>
  <c r="K279"/>
  <c r="J279"/>
  <c r="K275"/>
  <c r="J275"/>
  <c r="K271"/>
  <c r="J271"/>
  <c r="K267"/>
  <c r="J267"/>
  <c r="K263"/>
  <c r="J263"/>
  <c r="K259"/>
  <c r="J259"/>
  <c r="K255"/>
  <c r="J255"/>
  <c r="K251"/>
  <c r="J251"/>
  <c r="J247"/>
  <c r="K247"/>
  <c r="K243"/>
  <c r="J243"/>
  <c r="K239"/>
  <c r="J239"/>
  <c r="K235"/>
  <c r="J235"/>
  <c r="K231"/>
  <c r="J231"/>
  <c r="K227"/>
  <c r="J227"/>
  <c r="K223"/>
  <c r="J223"/>
  <c r="K219"/>
  <c r="J219"/>
  <c r="K215"/>
  <c r="J215"/>
  <c r="K211"/>
  <c r="J211"/>
  <c r="K207"/>
  <c r="J207"/>
  <c r="K203"/>
  <c r="J203"/>
  <c r="K199"/>
  <c r="J199"/>
  <c r="K200"/>
  <c r="J200"/>
  <c r="K196"/>
  <c r="J196"/>
  <c r="K192"/>
  <c r="J192"/>
  <c r="K188"/>
  <c r="J188"/>
  <c r="K184"/>
  <c r="J184"/>
  <c r="K180"/>
  <c r="J180"/>
  <c r="K176"/>
  <c r="J176"/>
  <c r="J172"/>
  <c r="K172"/>
  <c r="K168"/>
  <c r="J168"/>
  <c r="K164"/>
  <c r="J164"/>
  <c r="K160"/>
  <c r="J160"/>
  <c r="K156"/>
  <c r="J156"/>
  <c r="K152"/>
  <c r="J152"/>
  <c r="K148"/>
  <c r="J148"/>
  <c r="K144"/>
  <c r="J144"/>
  <c r="J140"/>
  <c r="K140"/>
  <c r="K136"/>
  <c r="J136"/>
  <c r="K132"/>
  <c r="J132"/>
  <c r="K128"/>
  <c r="J128"/>
  <c r="K124"/>
  <c r="J124"/>
  <c r="K120"/>
  <c r="J120"/>
  <c r="K116"/>
  <c r="J116"/>
  <c r="K112"/>
  <c r="J112"/>
  <c r="J108"/>
  <c r="K108"/>
  <c r="K104"/>
  <c r="J104"/>
  <c r="J100"/>
  <c r="K100"/>
  <c r="K96"/>
  <c r="J96"/>
  <c r="K92"/>
  <c r="J92"/>
  <c r="K88"/>
  <c r="J88"/>
  <c r="K84"/>
  <c r="J84"/>
  <c r="K80"/>
  <c r="J80"/>
  <c r="J76"/>
  <c r="K76"/>
  <c r="J30"/>
  <c r="K30"/>
  <c r="K34"/>
  <c r="J34"/>
  <c r="K38"/>
  <c r="J38"/>
  <c r="K42"/>
  <c r="J42"/>
  <c r="K46"/>
  <c r="J46"/>
  <c r="K50"/>
  <c r="J50"/>
  <c r="K54"/>
  <c r="J54"/>
  <c r="K58"/>
  <c r="J58"/>
  <c r="K62"/>
  <c r="J62"/>
  <c r="K66"/>
  <c r="J66"/>
  <c r="J70"/>
  <c r="K70"/>
  <c r="K24"/>
  <c r="J24"/>
  <c r="J19"/>
  <c r="K19"/>
  <c r="K10"/>
  <c r="J10"/>
  <c r="K18"/>
  <c r="J18"/>
  <c r="I502"/>
  <c r="I494"/>
  <c r="I486"/>
  <c r="I478"/>
  <c r="I470"/>
  <c r="I462"/>
  <c r="I454"/>
  <c r="I446"/>
  <c r="I438"/>
  <c r="I430"/>
  <c r="I422"/>
  <c r="I414"/>
  <c r="I406"/>
  <c r="I398"/>
  <c r="I390"/>
  <c r="I382"/>
  <c r="I374"/>
  <c r="I366"/>
  <c r="I358"/>
  <c r="I350"/>
  <c r="I342"/>
  <c r="I334"/>
  <c r="I501"/>
  <c r="I493"/>
  <c r="I485"/>
  <c r="I477"/>
  <c r="I469"/>
  <c r="I461"/>
  <c r="I453"/>
  <c r="I445"/>
  <c r="I437"/>
  <c r="I429"/>
  <c r="I421"/>
  <c r="I413"/>
  <c r="I405"/>
  <c r="I397"/>
  <c r="I389"/>
  <c r="I381"/>
  <c r="I373"/>
  <c r="I365"/>
  <c r="I357"/>
  <c r="I349"/>
  <c r="I341"/>
  <c r="I333"/>
  <c r="I325"/>
  <c r="I317"/>
  <c r="I309"/>
  <c r="I301"/>
  <c r="I293"/>
  <c r="I285"/>
  <c r="I277"/>
  <c r="I269"/>
  <c r="I261"/>
  <c r="I253"/>
  <c r="I245"/>
  <c r="I237"/>
  <c r="I229"/>
  <c r="I221"/>
  <c r="I213"/>
  <c r="I205"/>
  <c r="I198"/>
  <c r="I320"/>
  <c r="I312"/>
  <c r="I304"/>
  <c r="I296"/>
  <c r="I288"/>
  <c r="I280"/>
  <c r="I272"/>
  <c r="I264"/>
  <c r="I256"/>
  <c r="I248"/>
  <c r="I240"/>
  <c r="I232"/>
  <c r="I224"/>
  <c r="I216"/>
  <c r="I208"/>
  <c r="I199"/>
  <c r="I191"/>
  <c r="I183"/>
  <c r="I175"/>
  <c r="I167"/>
  <c r="I159"/>
  <c r="I151"/>
  <c r="I143"/>
  <c r="I135"/>
  <c r="I127"/>
  <c r="I119"/>
  <c r="I111"/>
  <c r="I100"/>
  <c r="I92"/>
  <c r="I84"/>
  <c r="I76"/>
  <c r="I192"/>
  <c r="I184"/>
  <c r="I176"/>
  <c r="I168"/>
  <c r="I160"/>
  <c r="I152"/>
  <c r="I144"/>
  <c r="I136"/>
  <c r="I128"/>
  <c r="I120"/>
  <c r="I112"/>
  <c r="I107"/>
  <c r="I99"/>
  <c r="I91"/>
  <c r="I83"/>
  <c r="I75"/>
  <c r="K31"/>
  <c r="J31"/>
  <c r="K35"/>
  <c r="J35"/>
  <c r="K39"/>
  <c r="J39"/>
  <c r="K43"/>
  <c r="J43"/>
  <c r="K47"/>
  <c r="J47"/>
  <c r="K51"/>
  <c r="J51"/>
  <c r="K55"/>
  <c r="J55"/>
  <c r="K59"/>
  <c r="J59"/>
  <c r="K63"/>
  <c r="J63"/>
  <c r="J67"/>
  <c r="K67"/>
  <c r="K71"/>
  <c r="J71"/>
  <c r="I18"/>
  <c r="K26"/>
  <c r="J26"/>
  <c r="J12"/>
  <c r="K12"/>
  <c r="K23"/>
  <c r="J23"/>
  <c r="I500"/>
  <c r="I492"/>
  <c r="I484"/>
  <c r="I476"/>
  <c r="I468"/>
  <c r="I460"/>
  <c r="I452"/>
  <c r="I444"/>
  <c r="I436"/>
  <c r="I428"/>
  <c r="I420"/>
  <c r="I412"/>
  <c r="I404"/>
  <c r="I396"/>
  <c r="I388"/>
  <c r="I380"/>
  <c r="I372"/>
  <c r="I364"/>
  <c r="I356"/>
  <c r="I348"/>
  <c r="I340"/>
  <c r="I332"/>
  <c r="I507"/>
  <c r="I499"/>
  <c r="I491"/>
  <c r="I483"/>
  <c r="I475"/>
  <c r="I467"/>
  <c r="I459"/>
  <c r="I451"/>
  <c r="I443"/>
  <c r="I435"/>
  <c r="I427"/>
  <c r="I419"/>
  <c r="I411"/>
  <c r="I403"/>
  <c r="I395"/>
  <c r="I387"/>
  <c r="I379"/>
  <c r="I371"/>
  <c r="I363"/>
  <c r="I355"/>
  <c r="I347"/>
  <c r="I339"/>
  <c r="I331"/>
  <c r="I323"/>
  <c r="I315"/>
  <c r="I307"/>
  <c r="I299"/>
  <c r="I291"/>
  <c r="I283"/>
  <c r="I275"/>
  <c r="I267"/>
  <c r="I259"/>
  <c r="I251"/>
  <c r="I243"/>
  <c r="I235"/>
  <c r="I227"/>
  <c r="I219"/>
  <c r="I211"/>
  <c r="I203"/>
  <c r="I326"/>
  <c r="I318"/>
  <c r="I310"/>
  <c r="I302"/>
  <c r="I294"/>
  <c r="I286"/>
  <c r="I278"/>
  <c r="I270"/>
  <c r="I262"/>
  <c r="I254"/>
  <c r="I246"/>
  <c r="I238"/>
  <c r="I230"/>
  <c r="I222"/>
  <c r="I214"/>
  <c r="I206"/>
  <c r="I197"/>
  <c r="I189"/>
  <c r="I181"/>
  <c r="I173"/>
  <c r="I165"/>
  <c r="I157"/>
  <c r="I149"/>
  <c r="I141"/>
  <c r="I133"/>
  <c r="I125"/>
  <c r="I117"/>
  <c r="I106"/>
  <c r="I98"/>
  <c r="I90"/>
  <c r="I82"/>
  <c r="I74"/>
  <c r="I190"/>
  <c r="I182"/>
  <c r="I174"/>
  <c r="I166"/>
  <c r="I158"/>
  <c r="I150"/>
  <c r="I142"/>
  <c r="I134"/>
  <c r="I126"/>
  <c r="I118"/>
  <c r="I110"/>
  <c r="I105"/>
  <c r="I97"/>
  <c r="I89"/>
  <c r="I81"/>
  <c r="I73"/>
  <c r="K28"/>
  <c r="J28"/>
  <c r="K32"/>
  <c r="J32"/>
  <c r="K36"/>
  <c r="J36"/>
  <c r="K40"/>
  <c r="J40"/>
  <c r="J44"/>
  <c r="K44"/>
  <c r="K48"/>
  <c r="J48"/>
  <c r="K52"/>
  <c r="J52"/>
  <c r="K56"/>
  <c r="J56"/>
  <c r="K60"/>
  <c r="J60"/>
  <c r="K64"/>
  <c r="J64"/>
  <c r="K68"/>
  <c r="J68"/>
  <c r="K72"/>
  <c r="J72"/>
  <c r="K9"/>
  <c r="J9"/>
  <c r="K17"/>
  <c r="J17"/>
  <c r="K20"/>
  <c r="J20"/>
  <c r="K25"/>
  <c r="J25"/>
  <c r="J8"/>
  <c r="I506"/>
  <c r="I498"/>
  <c r="I490"/>
  <c r="I482"/>
  <c r="I474"/>
  <c r="I466"/>
  <c r="I458"/>
  <c r="I450"/>
  <c r="I442"/>
  <c r="I434"/>
  <c r="I426"/>
  <c r="I418"/>
  <c r="I410"/>
  <c r="I402"/>
  <c r="I394"/>
  <c r="I386"/>
  <c r="I378"/>
  <c r="I370"/>
  <c r="I362"/>
  <c r="I354"/>
  <c r="I346"/>
  <c r="I338"/>
  <c r="I330"/>
  <c r="I505"/>
  <c r="I497"/>
  <c r="I489"/>
  <c r="I481"/>
  <c r="I473"/>
  <c r="I465"/>
  <c r="I457"/>
  <c r="I449"/>
  <c r="I441"/>
  <c r="I433"/>
  <c r="I425"/>
  <c r="I417"/>
  <c r="I409"/>
  <c r="I401"/>
  <c r="I393"/>
  <c r="I385"/>
  <c r="I377"/>
  <c r="I369"/>
  <c r="I361"/>
  <c r="I353"/>
  <c r="I345"/>
  <c r="I337"/>
  <c r="I329"/>
  <c r="I321"/>
  <c r="I313"/>
  <c r="I305"/>
  <c r="I297"/>
  <c r="I289"/>
  <c r="I281"/>
  <c r="I273"/>
  <c r="I265"/>
  <c r="I257"/>
  <c r="I249"/>
  <c r="I241"/>
  <c r="I233"/>
  <c r="I225"/>
  <c r="I217"/>
  <c r="I209"/>
  <c r="I201"/>
  <c r="I324"/>
  <c r="I316"/>
  <c r="I308"/>
  <c r="I300"/>
  <c r="I292"/>
  <c r="I284"/>
  <c r="I276"/>
  <c r="I268"/>
  <c r="I260"/>
  <c r="I252"/>
  <c r="I244"/>
  <c r="I236"/>
  <c r="I228"/>
  <c r="I220"/>
  <c r="I212"/>
  <c r="I204"/>
  <c r="I195"/>
  <c r="I187"/>
  <c r="I179"/>
  <c r="I171"/>
  <c r="I163"/>
  <c r="I155"/>
  <c r="I147"/>
  <c r="I139"/>
  <c r="I131"/>
  <c r="I123"/>
  <c r="I115"/>
  <c r="I104"/>
  <c r="I96"/>
  <c r="I88"/>
  <c r="I80"/>
  <c r="I196"/>
  <c r="I188"/>
  <c r="I180"/>
  <c r="I172"/>
  <c r="I164"/>
  <c r="I156"/>
  <c r="I148"/>
  <c r="I140"/>
  <c r="I132"/>
  <c r="I124"/>
  <c r="I116"/>
  <c r="I109"/>
  <c r="I103"/>
  <c r="I95"/>
  <c r="I87"/>
  <c r="I79"/>
  <c r="K29"/>
  <c r="J29"/>
  <c r="K33"/>
  <c r="J33"/>
  <c r="K37"/>
  <c r="J37"/>
  <c r="K41"/>
  <c r="J41"/>
  <c r="K45"/>
  <c r="J45"/>
  <c r="K49"/>
  <c r="J49"/>
  <c r="K53"/>
  <c r="J53"/>
  <c r="K57"/>
  <c r="J57"/>
  <c r="K61"/>
  <c r="J61"/>
  <c r="K65"/>
  <c r="J65"/>
  <c r="K69"/>
  <c r="J69"/>
  <c r="I26"/>
  <c r="K11"/>
  <c r="J11"/>
  <c r="K21"/>
  <c r="J21"/>
  <c r="K27"/>
  <c r="J27"/>
  <c r="K22"/>
  <c r="J22"/>
  <c r="F34" i="10"/>
  <c r="F35"/>
  <c r="F38"/>
  <c r="F37"/>
  <c r="F36"/>
  <c r="L24" l="1"/>
  <c r="L18"/>
  <c r="L22"/>
  <c r="L25"/>
  <c r="L20"/>
  <c r="L29"/>
  <c r="L23"/>
  <c r="L21"/>
  <c r="L26"/>
  <c r="L27"/>
  <c r="L16"/>
  <c r="L30"/>
  <c r="L19"/>
  <c r="L28"/>
  <c r="L17"/>
  <c r="M28"/>
  <c r="M26"/>
  <c r="M25"/>
  <c r="M27"/>
  <c r="M22"/>
  <c r="M24"/>
  <c r="M21"/>
  <c r="M23"/>
  <c r="M20"/>
  <c r="M18"/>
  <c r="M17"/>
  <c r="M19"/>
  <c r="M29"/>
  <c r="M16"/>
  <c r="M30"/>
  <c r="F39"/>
  <c r="L15" l="1"/>
  <c r="M15"/>
  <c r="F32"/>
  <c r="F33" l="1"/>
  <c r="H35" l="1"/>
  <c r="H38"/>
  <c r="H37"/>
  <c r="G35"/>
  <c r="L35" s="1"/>
  <c r="G36"/>
  <c r="L36" s="1"/>
  <c r="G33"/>
  <c r="L33" s="1"/>
  <c r="G37"/>
  <c r="L37" s="1"/>
  <c r="G34"/>
  <c r="L34" s="1"/>
  <c r="H36"/>
  <c r="H34"/>
  <c r="G38"/>
  <c r="L38" s="1"/>
  <c r="G347"/>
  <c r="L347" s="1"/>
  <c r="M37" l="1"/>
  <c r="M34"/>
  <c r="M38"/>
  <c r="M36"/>
  <c r="M35"/>
  <c r="H521"/>
  <c r="G492"/>
  <c r="L492" s="1"/>
  <c r="H323"/>
  <c r="H372"/>
  <c r="H50"/>
  <c r="H130"/>
  <c r="H397"/>
  <c r="G375"/>
  <c r="L375" s="1"/>
  <c r="H501"/>
  <c r="H75"/>
  <c r="G379"/>
  <c r="L379" s="1"/>
  <c r="H342"/>
  <c r="G526"/>
  <c r="L526" s="1"/>
  <c r="G393"/>
  <c r="L393" s="1"/>
  <c r="H127"/>
  <c r="H285"/>
  <c r="G501"/>
  <c r="L501" s="1"/>
  <c r="H474"/>
  <c r="G265"/>
  <c r="L265" s="1"/>
  <c r="G75"/>
  <c r="L75" s="1"/>
  <c r="H278"/>
  <c r="H93"/>
  <c r="H471"/>
  <c r="G294"/>
  <c r="L294" s="1"/>
  <c r="G507"/>
  <c r="L507" s="1"/>
  <c r="H262"/>
  <c r="H294"/>
  <c r="G354"/>
  <c r="L354" s="1"/>
  <c r="H314"/>
  <c r="G399"/>
  <c r="L399" s="1"/>
  <c r="G462"/>
  <c r="L462" s="1"/>
  <c r="G403"/>
  <c r="L403" s="1"/>
  <c r="G130"/>
  <c r="G307"/>
  <c r="H258"/>
  <c r="G390"/>
  <c r="L390" s="1"/>
  <c r="H319"/>
  <c r="H96"/>
  <c r="G267"/>
  <c r="H475"/>
  <c r="G310"/>
  <c r="L310" s="1"/>
  <c r="H338"/>
  <c r="H394"/>
  <c r="H86"/>
  <c r="G68"/>
  <c r="L68" s="1"/>
  <c r="G433"/>
  <c r="L433" s="1"/>
  <c r="H423"/>
  <c r="G103"/>
  <c r="L103" s="1"/>
  <c r="G144"/>
  <c r="L144" s="1"/>
  <c r="H354"/>
  <c r="G322"/>
  <c r="L322" s="1"/>
  <c r="G398"/>
  <c r="L398" s="1"/>
  <c r="G530"/>
  <c r="L530" s="1"/>
  <c r="G387"/>
  <c r="L387" s="1"/>
  <c r="H311"/>
  <c r="G502"/>
  <c r="L502" s="1"/>
  <c r="H530"/>
  <c r="H161"/>
  <c r="G327"/>
  <c r="L327" s="1"/>
  <c r="G335"/>
  <c r="L335" s="1"/>
  <c r="G431"/>
  <c r="L431" s="1"/>
  <c r="H467"/>
  <c r="H303"/>
  <c r="H255"/>
  <c r="H493"/>
  <c r="G290"/>
  <c r="H170"/>
  <c r="H334"/>
  <c r="G250"/>
  <c r="G261"/>
  <c r="L261" s="1"/>
  <c r="G298"/>
  <c r="L298" s="1"/>
  <c r="G150"/>
  <c r="L150" s="1"/>
  <c r="G332"/>
  <c r="H463"/>
  <c r="H387"/>
  <c r="H380"/>
  <c r="G412"/>
  <c r="L412" s="1"/>
  <c r="G74"/>
  <c r="L74" s="1"/>
  <c r="G465"/>
  <c r="H210"/>
  <c r="G200"/>
  <c r="L200" s="1"/>
  <c r="G289"/>
  <c r="L289" s="1"/>
  <c r="G279"/>
  <c r="H199"/>
  <c r="H283"/>
  <c r="H293"/>
  <c r="H497"/>
  <c r="H269"/>
  <c r="G498"/>
  <c r="L498" s="1"/>
  <c r="G161"/>
  <c r="L161" s="1"/>
  <c r="G171"/>
  <c r="L171" s="1"/>
  <c r="G217"/>
  <c r="L217" s="1"/>
  <c r="G225"/>
  <c r="L225" s="1"/>
  <c r="G420"/>
  <c r="L420" s="1"/>
  <c r="G194"/>
  <c r="L194" s="1"/>
  <c r="H225"/>
  <c r="G306"/>
  <c r="L306" s="1"/>
  <c r="H430"/>
  <c r="G319"/>
  <c r="G402"/>
  <c r="L402" s="1"/>
  <c r="G490"/>
  <c r="L490" s="1"/>
  <c r="H84"/>
  <c r="G479"/>
  <c r="L479" s="1"/>
  <c r="H415"/>
  <c r="H402"/>
  <c r="G411"/>
  <c r="L411" s="1"/>
  <c r="G478"/>
  <c r="L478" s="1"/>
  <c r="G139"/>
  <c r="L139" s="1"/>
  <c r="G119"/>
  <c r="H215"/>
  <c r="H207"/>
  <c r="G167"/>
  <c r="L167" s="1"/>
  <c r="H514"/>
  <c r="H179"/>
  <c r="H143"/>
  <c r="G235"/>
  <c r="L235" s="1"/>
  <c r="G278"/>
  <c r="L278" s="1"/>
  <c r="H292"/>
  <c r="G455"/>
  <c r="L455" s="1"/>
  <c r="G205"/>
  <c r="L205" s="1"/>
  <c r="G468"/>
  <c r="L468" s="1"/>
  <c r="H234"/>
  <c r="G81"/>
  <c r="L81" s="1"/>
  <c r="H108"/>
  <c r="H149"/>
  <c r="G253"/>
  <c r="L253" s="1"/>
  <c r="H136"/>
  <c r="H401"/>
  <c r="G118"/>
  <c r="L118" s="1"/>
  <c r="H420"/>
  <c r="F69"/>
  <c r="F41"/>
  <c r="F145"/>
  <c r="F143"/>
  <c r="F191"/>
  <c r="F219"/>
  <c r="F251"/>
  <c r="F246"/>
  <c r="F319"/>
  <c r="F298"/>
  <c r="F362"/>
  <c r="F479"/>
  <c r="F302"/>
  <c r="F366"/>
  <c r="F419"/>
  <c r="F483"/>
  <c r="F76"/>
  <c r="F68"/>
  <c r="F184"/>
  <c r="F132"/>
  <c r="F203"/>
  <c r="F234"/>
  <c r="F263"/>
  <c r="F327"/>
  <c r="F306"/>
  <c r="F370"/>
  <c r="F439"/>
  <c r="F503"/>
  <c r="F310"/>
  <c r="F374"/>
  <c r="F443"/>
  <c r="F507"/>
  <c r="F293"/>
  <c r="F393"/>
  <c r="F221"/>
  <c r="F253"/>
  <c r="F381"/>
  <c r="F163"/>
  <c r="F321"/>
  <c r="F433"/>
  <c r="F135"/>
  <c r="F60"/>
  <c r="F225"/>
  <c r="F289"/>
  <c r="F469"/>
  <c r="F285"/>
  <c r="F267"/>
  <c r="F331"/>
  <c r="F200"/>
  <c r="F111"/>
  <c r="F62"/>
  <c r="F158"/>
  <c r="F147"/>
  <c r="F159"/>
  <c r="F209"/>
  <c r="F98"/>
  <c r="F180"/>
  <c r="F204"/>
  <c r="F239"/>
  <c r="F73"/>
  <c r="F102"/>
  <c r="F59"/>
  <c r="F171"/>
  <c r="F131"/>
  <c r="F152"/>
  <c r="F224"/>
  <c r="F259"/>
  <c r="F323"/>
  <c r="F355"/>
  <c r="F337"/>
  <c r="F340"/>
  <c r="F440"/>
  <c r="F365"/>
  <c r="F477"/>
  <c r="F466"/>
  <c r="F344"/>
  <c r="F528"/>
  <c r="F375"/>
  <c r="F97"/>
  <c r="F112"/>
  <c r="F78"/>
  <c r="F169"/>
  <c r="F155"/>
  <c r="F199"/>
  <c r="F227"/>
  <c r="F222"/>
  <c r="F254"/>
  <c r="F271"/>
  <c r="F335"/>
  <c r="F314"/>
  <c r="F378"/>
  <c r="F431"/>
  <c r="F495"/>
  <c r="F110"/>
  <c r="F318"/>
  <c r="F382"/>
  <c r="F435"/>
  <c r="F499"/>
  <c r="F105"/>
  <c r="F63"/>
  <c r="F174"/>
  <c r="F167"/>
  <c r="F211"/>
  <c r="F242"/>
  <c r="F279"/>
  <c r="F258"/>
  <c r="F322"/>
  <c r="F386"/>
  <c r="F455"/>
  <c r="F519"/>
  <c r="F262"/>
  <c r="F326"/>
  <c r="F390"/>
  <c r="F459"/>
  <c r="F523"/>
  <c r="F309"/>
  <c r="F425"/>
  <c r="F101"/>
  <c r="F229"/>
  <c r="F413"/>
  <c r="F148"/>
  <c r="F341"/>
  <c r="F481"/>
  <c r="F157"/>
  <c r="F166"/>
  <c r="F233"/>
  <c r="F305"/>
  <c r="F283"/>
  <c r="F107"/>
  <c r="F117"/>
  <c r="F42"/>
  <c r="F186"/>
  <c r="F181"/>
  <c r="F133"/>
  <c r="F207"/>
  <c r="F235"/>
  <c r="F230"/>
  <c r="F287"/>
  <c r="F266"/>
  <c r="F330"/>
  <c r="F394"/>
  <c r="F447"/>
  <c r="F511"/>
  <c r="F142"/>
  <c r="F270"/>
  <c r="F334"/>
  <c r="F398"/>
  <c r="F451"/>
  <c r="F531"/>
  <c r="F104"/>
  <c r="F91"/>
  <c r="F172"/>
  <c r="F130"/>
  <c r="F215"/>
  <c r="F250"/>
  <c r="F295"/>
  <c r="F274"/>
  <c r="F338"/>
  <c r="F402"/>
  <c r="F471"/>
  <c r="F278"/>
  <c r="F342"/>
  <c r="F406"/>
  <c r="F475"/>
  <c r="F54"/>
  <c r="F257"/>
  <c r="F329"/>
  <c r="F457"/>
  <c r="F65"/>
  <c r="F237"/>
  <c r="F281"/>
  <c r="F445"/>
  <c r="F218"/>
  <c r="F265"/>
  <c r="F369"/>
  <c r="F529"/>
  <c r="F109"/>
  <c r="F138"/>
  <c r="F325"/>
  <c r="F333"/>
  <c r="F241"/>
  <c r="F299"/>
  <c r="F179"/>
  <c r="F192"/>
  <c r="F88"/>
  <c r="F74"/>
  <c r="F136"/>
  <c r="F154"/>
  <c r="F193"/>
  <c r="F202"/>
  <c r="F188"/>
  <c r="F223"/>
  <c r="F52"/>
  <c r="F156"/>
  <c r="F108"/>
  <c r="F134"/>
  <c r="F106"/>
  <c r="F92"/>
  <c r="F178"/>
  <c r="F160"/>
  <c r="F164"/>
  <c r="F216"/>
  <c r="F243"/>
  <c r="F238"/>
  <c r="F303"/>
  <c r="F282"/>
  <c r="F346"/>
  <c r="F410"/>
  <c r="F463"/>
  <c r="F527"/>
  <c r="F140"/>
  <c r="F286"/>
  <c r="F350"/>
  <c r="F414"/>
  <c r="F467"/>
  <c r="F177"/>
  <c r="F77"/>
  <c r="F153"/>
  <c r="F150"/>
  <c r="F195"/>
  <c r="F226"/>
  <c r="F311"/>
  <c r="F290"/>
  <c r="F354"/>
  <c r="F423"/>
  <c r="F487"/>
  <c r="F294"/>
  <c r="F358"/>
  <c r="F427"/>
  <c r="F491"/>
  <c r="F277"/>
  <c r="F345"/>
  <c r="F505"/>
  <c r="F183"/>
  <c r="F245"/>
  <c r="F313"/>
  <c r="F493"/>
  <c r="F301"/>
  <c r="F401"/>
  <c r="F67"/>
  <c r="F176"/>
  <c r="F269"/>
  <c r="F357"/>
  <c r="F249"/>
  <c r="F315"/>
  <c r="F161"/>
  <c r="F208"/>
  <c r="F89"/>
  <c r="F170"/>
  <c r="F149"/>
  <c r="F165"/>
  <c r="F201"/>
  <c r="F187"/>
  <c r="F43"/>
  <c r="F196"/>
  <c r="F231"/>
  <c r="F53"/>
  <c r="F93"/>
  <c r="F146"/>
  <c r="F151"/>
  <c r="F87"/>
  <c r="F144"/>
  <c r="F141"/>
  <c r="F210"/>
  <c r="F248"/>
  <c r="F275"/>
  <c r="F403"/>
  <c r="F292"/>
  <c r="F416"/>
  <c r="F429"/>
  <c r="F434"/>
  <c r="F530"/>
  <c r="F392"/>
  <c r="F162"/>
  <c r="F359"/>
  <c r="F272"/>
  <c r="F372"/>
  <c r="F472"/>
  <c r="F385"/>
  <c r="F497"/>
  <c r="F470"/>
  <c r="F356"/>
  <c r="F190"/>
  <c r="F217"/>
  <c r="F244"/>
  <c r="F347"/>
  <c r="F411"/>
  <c r="F328"/>
  <c r="F428"/>
  <c r="F524"/>
  <c r="F421"/>
  <c r="F501"/>
  <c r="F442"/>
  <c r="F506"/>
  <c r="F324"/>
  <c r="F504"/>
  <c r="F351"/>
  <c r="F415"/>
  <c r="F284"/>
  <c r="F384"/>
  <c r="F484"/>
  <c r="F377"/>
  <c r="F489"/>
  <c r="F446"/>
  <c r="F510"/>
  <c r="F380"/>
  <c r="F525"/>
  <c r="F100"/>
  <c r="F168"/>
  <c r="F173"/>
  <c r="F103"/>
  <c r="F182"/>
  <c r="F185"/>
  <c r="F213"/>
  <c r="F291"/>
  <c r="F261"/>
  <c r="F316"/>
  <c r="F464"/>
  <c r="F461"/>
  <c r="F450"/>
  <c r="F432"/>
  <c r="F391"/>
  <c r="F296"/>
  <c r="F396"/>
  <c r="F496"/>
  <c r="F417"/>
  <c r="F513"/>
  <c r="F422"/>
  <c r="F486"/>
  <c r="F400"/>
  <c r="F198"/>
  <c r="F220"/>
  <c r="F252"/>
  <c r="F363"/>
  <c r="F256"/>
  <c r="F352"/>
  <c r="F452"/>
  <c r="F373"/>
  <c r="F437"/>
  <c r="F458"/>
  <c r="F522"/>
  <c r="F368"/>
  <c r="F367"/>
  <c r="F308"/>
  <c r="F408"/>
  <c r="F508"/>
  <c r="F409"/>
  <c r="F521"/>
  <c r="F462"/>
  <c r="F526"/>
  <c r="F317"/>
  <c r="F424"/>
  <c r="F515"/>
  <c r="F514"/>
  <c r="F90"/>
  <c r="F194"/>
  <c r="F212"/>
  <c r="F64"/>
  <c r="F137"/>
  <c r="F175"/>
  <c r="F232"/>
  <c r="F307"/>
  <c r="F371"/>
  <c r="F297"/>
  <c r="F364"/>
  <c r="F488"/>
  <c r="F349"/>
  <c r="F509"/>
  <c r="F482"/>
  <c r="F480"/>
  <c r="F407"/>
  <c r="F320"/>
  <c r="F420"/>
  <c r="F520"/>
  <c r="F449"/>
  <c r="F438"/>
  <c r="F502"/>
  <c r="F264"/>
  <c r="F444"/>
  <c r="F197"/>
  <c r="F206"/>
  <c r="F228"/>
  <c r="F379"/>
  <c r="F280"/>
  <c r="F376"/>
  <c r="F476"/>
  <c r="F389"/>
  <c r="F453"/>
  <c r="F474"/>
  <c r="F273"/>
  <c r="F412"/>
  <c r="F383"/>
  <c r="F336"/>
  <c r="F436"/>
  <c r="F441"/>
  <c r="F478"/>
  <c r="F288"/>
  <c r="F468"/>
  <c r="F55"/>
  <c r="F518"/>
  <c r="F66"/>
  <c r="F99"/>
  <c r="F247"/>
  <c r="F75"/>
  <c r="F139"/>
  <c r="F189"/>
  <c r="F240"/>
  <c r="F339"/>
  <c r="F387"/>
  <c r="I387" s="1"/>
  <c r="F268"/>
  <c r="F388"/>
  <c r="F512"/>
  <c r="F397"/>
  <c r="F418"/>
  <c r="F498"/>
  <c r="F300"/>
  <c r="F343"/>
  <c r="F348"/>
  <c r="F448"/>
  <c r="F353"/>
  <c r="F465"/>
  <c r="F454"/>
  <c r="F312"/>
  <c r="F492"/>
  <c r="F205"/>
  <c r="F214"/>
  <c r="F236"/>
  <c r="F395"/>
  <c r="F304"/>
  <c r="F404"/>
  <c r="F500"/>
  <c r="F405"/>
  <c r="F485"/>
  <c r="F426"/>
  <c r="F490"/>
  <c r="F276"/>
  <c r="F456"/>
  <c r="F255"/>
  <c r="F399"/>
  <c r="F260"/>
  <c r="F360"/>
  <c r="F460"/>
  <c r="F361"/>
  <c r="F473"/>
  <c r="F430"/>
  <c r="F494"/>
  <c r="F332"/>
  <c r="F517"/>
  <c r="F516"/>
  <c r="F61"/>
  <c r="F127"/>
  <c r="F128"/>
  <c r="F129"/>
  <c r="F126"/>
  <c r="F125"/>
  <c r="F96"/>
  <c r="F94"/>
  <c r="F95"/>
  <c r="F79"/>
  <c r="F86"/>
  <c r="F40"/>
  <c r="F80"/>
  <c r="F85"/>
  <c r="F81"/>
  <c r="F113"/>
  <c r="F44"/>
  <c r="F45"/>
  <c r="F115"/>
  <c r="F116"/>
  <c r="F82"/>
  <c r="F84"/>
  <c r="F83"/>
  <c r="F114"/>
  <c r="F46"/>
  <c r="F119"/>
  <c r="F118"/>
  <c r="F121"/>
  <c r="F120"/>
  <c r="F47"/>
  <c r="F58"/>
  <c r="F71"/>
  <c r="F48"/>
  <c r="F56"/>
  <c r="F70"/>
  <c r="F72"/>
  <c r="F57"/>
  <c r="F124"/>
  <c r="F122"/>
  <c r="F50"/>
  <c r="F51"/>
  <c r="F123"/>
  <c r="F49"/>
  <c r="G122"/>
  <c r="L122" s="1"/>
  <c r="G198"/>
  <c r="L198" s="1"/>
  <c r="H378"/>
  <c r="G345"/>
  <c r="L345" s="1"/>
  <c r="H298"/>
  <c r="G90"/>
  <c r="L90" s="1"/>
  <c r="G447"/>
  <c r="L447" s="1"/>
  <c r="H85"/>
  <c r="H239"/>
  <c r="H410"/>
  <c r="H153"/>
  <c r="G485"/>
  <c r="L485" s="1"/>
  <c r="G456"/>
  <c r="H436"/>
  <c r="H352"/>
  <c r="H377"/>
  <c r="G45"/>
  <c r="G257"/>
  <c r="L257" s="1"/>
  <c r="G169"/>
  <c r="L169" s="1"/>
  <c r="G126"/>
  <c r="L126" s="1"/>
  <c r="H226"/>
  <c r="G254"/>
  <c r="L254" s="1"/>
  <c r="H57"/>
  <c r="H216"/>
  <c r="G110"/>
  <c r="L110" s="1"/>
  <c r="G82"/>
  <c r="L82" s="1"/>
  <c r="G429"/>
  <c r="L429" s="1"/>
  <c r="H121"/>
  <c r="G108"/>
  <c r="L108" s="1"/>
  <c r="H288"/>
  <c r="G271"/>
  <c r="L271" s="1"/>
  <c r="G314"/>
  <c r="L314" s="1"/>
  <c r="G210"/>
  <c r="L210" s="1"/>
  <c r="H337"/>
  <c r="G232"/>
  <c r="L232" s="1"/>
  <c r="H41"/>
  <c r="G87"/>
  <c r="L87" s="1"/>
  <c r="H166"/>
  <c r="G283"/>
  <c r="L283" s="1"/>
  <c r="H182"/>
  <c r="H347"/>
  <c r="H511"/>
  <c r="H490"/>
  <c r="G418"/>
  <c r="L418" s="1"/>
  <c r="G427"/>
  <c r="L427" s="1"/>
  <c r="G475"/>
  <c r="L475" s="1"/>
  <c r="G367"/>
  <c r="L367" s="1"/>
  <c r="H275"/>
  <c r="H346"/>
  <c r="G359"/>
  <c r="L359" s="1"/>
  <c r="H479"/>
  <c r="H462"/>
  <c r="H204"/>
  <c r="H133"/>
  <c r="H90"/>
  <c r="G99"/>
  <c r="L99" s="1"/>
  <c r="G165"/>
  <c r="L165" s="1"/>
  <c r="G143"/>
  <c r="L143" s="1"/>
  <c r="G512"/>
  <c r="L512" s="1"/>
  <c r="G440"/>
  <c r="L440" s="1"/>
  <c r="H237"/>
  <c r="H83"/>
  <c r="G342"/>
  <c r="H485"/>
  <c r="G444"/>
  <c r="L444" s="1"/>
  <c r="G439"/>
  <c r="L439" s="1"/>
  <c r="G460"/>
  <c r="L460" s="1"/>
  <c r="H188"/>
  <c r="H107"/>
  <c r="G178"/>
  <c r="L178" s="1"/>
  <c r="G496"/>
  <c r="H318"/>
  <c r="H144"/>
  <c r="G266"/>
  <c r="L266" s="1"/>
  <c r="G339"/>
  <c r="L339" s="1"/>
  <c r="H100"/>
  <c r="H366"/>
  <c r="G320"/>
  <c r="L320" s="1"/>
  <c r="G369"/>
  <c r="L369" s="1"/>
  <c r="G364"/>
  <c r="L364" s="1"/>
  <c r="G246"/>
  <c r="L246" s="1"/>
  <c r="H219"/>
  <c r="H440"/>
  <c r="G245"/>
  <c r="L245" s="1"/>
  <c r="H434"/>
  <c r="G316"/>
  <c r="L316" s="1"/>
  <c r="H443"/>
  <c r="H307"/>
  <c r="G60"/>
  <c r="L60" s="1"/>
  <c r="H254"/>
  <c r="G372"/>
  <c r="L372" s="1"/>
  <c r="G352"/>
  <c r="L352" s="1"/>
  <c r="G55"/>
  <c r="G58"/>
  <c r="L58" s="1"/>
  <c r="G182"/>
  <c r="L182" s="1"/>
  <c r="H117"/>
  <c r="H139"/>
  <c r="G406"/>
  <c r="L406" s="1"/>
  <c r="G436"/>
  <c r="L436" s="1"/>
  <c r="H364"/>
  <c r="G513"/>
  <c r="L513" s="1"/>
  <c r="G73"/>
  <c r="L73" s="1"/>
  <c r="H272"/>
  <c r="H249"/>
  <c r="G480"/>
  <c r="L480" s="1"/>
  <c r="G156"/>
  <c r="L156" s="1"/>
  <c r="H426"/>
  <c r="H433"/>
  <c r="H358"/>
  <c r="H371"/>
  <c r="G363"/>
  <c r="L363" s="1"/>
  <c r="G351"/>
  <c r="L351" s="1"/>
  <c r="H112"/>
  <c r="G386"/>
  <c r="L386" s="1"/>
  <c r="H267"/>
  <c r="H361"/>
  <c r="G191"/>
  <c r="L191" s="1"/>
  <c r="H301"/>
  <c r="G305"/>
  <c r="L305" s="1"/>
  <c r="G54"/>
  <c r="L54" s="1"/>
  <c r="G207"/>
  <c r="G417"/>
  <c r="L417" s="1"/>
  <c r="G331"/>
  <c r="L331" s="1"/>
  <c r="G190"/>
  <c r="L190" s="1"/>
  <c r="G461"/>
  <c r="L461" s="1"/>
  <c r="H60"/>
  <c r="H177"/>
  <c r="H357"/>
  <c r="H409"/>
  <c r="H345"/>
  <c r="G362"/>
  <c r="L362" s="1"/>
  <c r="H406"/>
  <c r="H459"/>
  <c r="G511"/>
  <c r="L511" s="1"/>
  <c r="G113"/>
  <c r="L113" s="1"/>
  <c r="H385"/>
  <c r="G506"/>
  <c r="L506" s="1"/>
  <c r="G188"/>
  <c r="L188" s="1"/>
  <c r="H150"/>
  <c r="H66"/>
  <c r="G212"/>
  <c r="L212" s="1"/>
  <c r="H504"/>
  <c r="H448"/>
  <c r="G41"/>
  <c r="L41" s="1"/>
  <c r="G47"/>
  <c r="L47" s="1"/>
  <c r="G157"/>
  <c r="L157" s="1"/>
  <c r="H192"/>
  <c r="H242"/>
  <c r="G239"/>
  <c r="L239" s="1"/>
  <c r="H228"/>
  <c r="H114"/>
  <c r="H328"/>
  <c r="H55"/>
  <c r="G95"/>
  <c r="L95" s="1"/>
  <c r="G51"/>
  <c r="G134"/>
  <c r="L134" s="1"/>
  <c r="H252"/>
  <c r="G220"/>
  <c r="L220" s="1"/>
  <c r="H456"/>
  <c r="G195"/>
  <c r="L195" s="1"/>
  <c r="G149"/>
  <c r="L149" s="1"/>
  <c r="G249"/>
  <c r="L249" s="1"/>
  <c r="G325"/>
  <c r="L325" s="1"/>
  <c r="G383"/>
  <c r="L383" s="1"/>
  <c r="G123"/>
  <c r="L123" s="1"/>
  <c r="H282"/>
  <c r="H322"/>
  <c r="H482"/>
  <c r="G450"/>
  <c r="L450" s="1"/>
  <c r="H74"/>
  <c r="H414"/>
  <c r="G179"/>
  <c r="L179" s="1"/>
  <c r="G264"/>
  <c r="L264" s="1"/>
  <c r="H137"/>
  <c r="G489"/>
  <c r="L489" s="1"/>
  <c r="G236"/>
  <c r="L236" s="1"/>
  <c r="H110"/>
  <c r="G243"/>
  <c r="L243" s="1"/>
  <c r="G472"/>
  <c r="L472" s="1"/>
  <c r="H203"/>
  <c r="G164"/>
  <c r="G415"/>
  <c r="L415" s="1"/>
  <c r="H332"/>
  <c r="H500"/>
  <c r="H452"/>
  <c r="H487"/>
  <c r="H369"/>
  <c r="H486"/>
  <c r="G277"/>
  <c r="H196"/>
  <c r="G67"/>
  <c r="L67" s="1"/>
  <c r="H422"/>
  <c r="H232"/>
  <c r="G115"/>
  <c r="L115" s="1"/>
  <c r="H470"/>
  <c r="G94"/>
  <c r="L94" s="1"/>
  <c r="H528"/>
  <c r="G189"/>
  <c r="H451"/>
  <c r="G105"/>
  <c r="L105" s="1"/>
  <c r="H507"/>
  <c r="G70"/>
  <c r="L70" s="1"/>
  <c r="H209"/>
  <c r="G405"/>
  <c r="G175"/>
  <c r="L175" s="1"/>
  <c r="G470"/>
  <c r="L470" s="1"/>
  <c r="H317"/>
  <c r="G285"/>
  <c r="L285" s="1"/>
  <c r="G270"/>
  <c r="H330"/>
  <c r="H126"/>
  <c r="G438"/>
  <c r="L438" s="1"/>
  <c r="H274"/>
  <c r="H69"/>
  <c r="H368"/>
  <c r="H78"/>
  <c r="H465"/>
  <c r="H40"/>
  <c r="G117"/>
  <c r="L117" s="1"/>
  <c r="H185"/>
  <c r="G234"/>
  <c r="L234" s="1"/>
  <c r="G495"/>
  <c r="G330"/>
  <c r="L330" s="1"/>
  <c r="G510"/>
  <c r="L510" s="1"/>
  <c r="H450"/>
  <c r="H49"/>
  <c r="G197"/>
  <c r="L197" s="1"/>
  <c r="G186"/>
  <c r="L186" s="1"/>
  <c r="H429"/>
  <c r="H306"/>
  <c r="H389"/>
  <c r="H297"/>
  <c r="H396"/>
  <c r="G136"/>
  <c r="L136" s="1"/>
  <c r="G184"/>
  <c r="L184" s="1"/>
  <c r="G422"/>
  <c r="L422" s="1"/>
  <c r="H503"/>
  <c r="H391"/>
  <c r="G173"/>
  <c r="L173" s="1"/>
  <c r="G377"/>
  <c r="L377" s="1"/>
  <c r="H43"/>
  <c r="H45"/>
  <c r="H247"/>
  <c r="G223"/>
  <c r="L223" s="1"/>
  <c r="G214"/>
  <c r="L214" s="1"/>
  <c r="H146"/>
  <c r="H309"/>
  <c r="H156"/>
  <c r="H413"/>
  <c r="H132"/>
  <c r="H159"/>
  <c r="G482"/>
  <c r="L482" s="1"/>
  <c r="H290"/>
  <c r="G44"/>
  <c r="L44" s="1"/>
  <c r="G453"/>
  <c r="L453" s="1"/>
  <c r="H408"/>
  <c r="G154"/>
  <c r="L154" s="1"/>
  <c r="H356"/>
  <c r="H261"/>
  <c r="H241"/>
  <c r="G121"/>
  <c r="L121" s="1"/>
  <c r="G193"/>
  <c r="L193" s="1"/>
  <c r="G231"/>
  <c r="L231" s="1"/>
  <c r="G242"/>
  <c r="G358"/>
  <c r="L358" s="1"/>
  <c r="H447"/>
  <c r="G252"/>
  <c r="H425"/>
  <c r="H236"/>
  <c r="I236" s="1"/>
  <c r="H222"/>
  <c r="H123"/>
  <c r="H245"/>
  <c r="G300"/>
  <c r="L300" s="1"/>
  <c r="G259"/>
  <c r="L259" s="1"/>
  <c r="G128"/>
  <c r="L128" s="1"/>
  <c r="H509"/>
  <c r="G318"/>
  <c r="L318" s="1"/>
  <c r="H382"/>
  <c r="H374"/>
  <c r="G334"/>
  <c r="L334" s="1"/>
  <c r="H218"/>
  <c r="G138"/>
  <c r="G146"/>
  <c r="L146" s="1"/>
  <c r="H174"/>
  <c r="H212"/>
  <c r="H64"/>
  <c r="G356"/>
  <c r="L356" s="1"/>
  <c r="G344"/>
  <c r="L344" s="1"/>
  <c r="G341"/>
  <c r="L341" s="1"/>
  <c r="G442"/>
  <c r="L442" s="1"/>
  <c r="H287"/>
  <c r="G274"/>
  <c r="L274" s="1"/>
  <c r="G414"/>
  <c r="H469"/>
  <c r="H47"/>
  <c r="H300"/>
  <c r="H313"/>
  <c r="H106"/>
  <c r="G484"/>
  <c r="L484" s="1"/>
  <c r="G53"/>
  <c r="L53" s="1"/>
  <c r="G50"/>
  <c r="L50" s="1"/>
  <c r="H201"/>
  <c r="H190"/>
  <c r="H481"/>
  <c r="G410"/>
  <c r="L410" s="1"/>
  <c r="G132"/>
  <c r="L132" s="1"/>
  <c r="G181"/>
  <c r="L181" s="1"/>
  <c r="G293"/>
  <c r="H393"/>
  <c r="H264"/>
  <c r="G62"/>
  <c r="L62" s="1"/>
  <c r="G227"/>
  <c r="L227" s="1"/>
  <c r="H445"/>
  <c r="G281"/>
  <c r="L281" s="1"/>
  <c r="G85"/>
  <c r="L85" s="1"/>
  <c r="G64"/>
  <c r="L64" s="1"/>
  <c r="G396"/>
  <c r="L396" s="1"/>
  <c r="G381"/>
  <c r="L381" s="1"/>
  <c r="G449"/>
  <c r="L449" s="1"/>
  <c r="H376"/>
  <c r="H164"/>
  <c r="G425"/>
  <c r="L425" s="1"/>
  <c r="G349"/>
  <c r="L349" s="1"/>
  <c r="G366"/>
  <c r="G125"/>
  <c r="L125" s="1"/>
  <c r="G57"/>
  <c r="L57" s="1"/>
  <c r="G72"/>
  <c r="L72" s="1"/>
  <c r="H492"/>
  <c r="H80"/>
  <c r="G92"/>
  <c r="H198"/>
  <c r="G77"/>
  <c r="L77" s="1"/>
  <c r="H82"/>
  <c r="H455"/>
  <c r="H135"/>
  <c r="H527"/>
  <c r="G446"/>
  <c r="L446" s="1"/>
  <c r="H405"/>
  <c r="G216"/>
  <c r="L216" s="1"/>
  <c r="H484"/>
  <c r="H89"/>
  <c r="G142"/>
  <c r="L142" s="1"/>
  <c r="G148"/>
  <c r="L148" s="1"/>
  <c r="H295"/>
  <c r="H128"/>
  <c r="H101"/>
  <c r="G208"/>
  <c r="L208" s="1"/>
  <c r="H168"/>
  <c r="G295"/>
  <c r="L295" s="1"/>
  <c r="H76"/>
  <c r="H505"/>
  <c r="H411"/>
  <c r="H51"/>
  <c r="H304"/>
  <c r="G201"/>
  <c r="H71"/>
  <c r="H398"/>
  <c r="H437"/>
  <c r="H171"/>
  <c r="G486"/>
  <c r="L486" s="1"/>
  <c r="H129"/>
  <c r="H98"/>
  <c r="G321"/>
  <c r="L321" s="1"/>
  <c r="H220"/>
  <c r="G202"/>
  <c r="L202" s="1"/>
  <c r="H315"/>
  <c r="H494"/>
  <c r="H522"/>
  <c r="H495"/>
  <c r="G308"/>
  <c r="L308" s="1"/>
  <c r="H97"/>
  <c r="H441"/>
  <c r="H279"/>
  <c r="G221"/>
  <c r="L221" s="1"/>
  <c r="G434"/>
  <c r="L434" s="1"/>
  <c r="G39"/>
  <c r="L39" s="1"/>
  <c r="H476"/>
  <c r="H124"/>
  <c r="G400"/>
  <c r="L400" s="1"/>
  <c r="G88"/>
  <c r="L88" s="1"/>
  <c r="H280"/>
  <c r="G89"/>
  <c r="G435"/>
  <c r="L435" s="1"/>
  <c r="G152"/>
  <c r="L152" s="1"/>
  <c r="G499"/>
  <c r="L499" s="1"/>
  <c r="G371"/>
  <c r="L371" s="1"/>
  <c r="G280"/>
  <c r="L280" s="1"/>
  <c r="H416"/>
  <c r="G262"/>
  <c r="L262" s="1"/>
  <c r="H248"/>
  <c r="H167"/>
  <c r="G166"/>
  <c r="L166" s="1"/>
  <c r="H211"/>
  <c r="H349"/>
  <c r="G100"/>
  <c r="L100" s="1"/>
  <c r="G268"/>
  <c r="L268" s="1"/>
  <c r="G301"/>
  <c r="G355"/>
  <c r="L355" s="1"/>
  <c r="G346"/>
  <c r="L346" s="1"/>
  <c r="G523"/>
  <c r="L523" s="1"/>
  <c r="G466"/>
  <c r="L466" s="1"/>
  <c r="H438"/>
  <c r="G374"/>
  <c r="G350"/>
  <c r="L350" s="1"/>
  <c r="H499"/>
  <c r="H296"/>
  <c r="G124"/>
  <c r="L124" s="1"/>
  <c r="G384"/>
  <c r="L384" s="1"/>
  <c r="H265"/>
  <c r="G273"/>
  <c r="L273" s="1"/>
  <c r="H109"/>
  <c r="H453"/>
  <c r="H115"/>
  <c r="H213"/>
  <c r="G65"/>
  <c r="L65" s="1"/>
  <c r="H147"/>
  <c r="H223"/>
  <c r="I223" s="1"/>
  <c r="H276"/>
  <c r="G477"/>
  <c r="L477" s="1"/>
  <c r="G497"/>
  <c r="L497" s="1"/>
  <c r="G365"/>
  <c r="L365" s="1"/>
  <c r="H367"/>
  <c r="H77"/>
  <c r="G353"/>
  <c r="L353" s="1"/>
  <c r="G96"/>
  <c r="L96" s="1"/>
  <c r="H151"/>
  <c r="G493"/>
  <c r="L493" s="1"/>
  <c r="H359"/>
  <c r="H510"/>
  <c r="H348"/>
  <c r="G309"/>
  <c r="L309" s="1"/>
  <c r="H335"/>
  <c r="G168"/>
  <c r="L168" s="1"/>
  <c r="H324"/>
  <c r="H412"/>
  <c r="G336"/>
  <c r="L336" s="1"/>
  <c r="H353"/>
  <c r="H122"/>
  <c r="G404"/>
  <c r="L404" s="1"/>
  <c r="G464"/>
  <c r="L464" s="1"/>
  <c r="G337"/>
  <c r="L337" s="1"/>
  <c r="H432"/>
  <c r="H525"/>
  <c r="H42"/>
  <c r="H67"/>
  <c r="G135"/>
  <c r="L135" s="1"/>
  <c r="H373"/>
  <c r="G291"/>
  <c r="L291" s="1"/>
  <c r="G471"/>
  <c r="L471" s="1"/>
  <c r="G519"/>
  <c r="L519" s="1"/>
  <c r="H94"/>
  <c r="G56"/>
  <c r="L56" s="1"/>
  <c r="H325"/>
  <c r="H291"/>
  <c r="H316"/>
  <c r="G86"/>
  <c r="L86" s="1"/>
  <c r="H68"/>
  <c r="H87"/>
  <c r="G323"/>
  <c r="L323" s="1"/>
  <c r="G206"/>
  <c r="L206" s="1"/>
  <c r="G237"/>
  <c r="L237" s="1"/>
  <c r="H250"/>
  <c r="H333"/>
  <c r="H284"/>
  <c r="H44"/>
  <c r="G222"/>
  <c r="L222" s="1"/>
  <c r="H336"/>
  <c r="H208"/>
  <c r="G392"/>
  <c r="L392" s="1"/>
  <c r="H460"/>
  <c r="G385"/>
  <c r="L385" s="1"/>
  <c r="G83"/>
  <c r="L83" s="1"/>
  <c r="G69"/>
  <c r="L69" s="1"/>
  <c r="H243"/>
  <c r="H154"/>
  <c r="H62"/>
  <c r="H140"/>
  <c r="G42"/>
  <c r="L42" s="1"/>
  <c r="G423"/>
  <c r="L423" s="1"/>
  <c r="G370"/>
  <c r="L370" s="1"/>
  <c r="G373"/>
  <c r="L373" s="1"/>
  <c r="G463"/>
  <c r="G158"/>
  <c r="L158" s="1"/>
  <c r="H103"/>
  <c r="G457"/>
  <c r="L457" s="1"/>
  <c r="G218"/>
  <c r="L218" s="1"/>
  <c r="G508"/>
  <c r="L508" s="1"/>
  <c r="H99"/>
  <c r="H193"/>
  <c r="G106"/>
  <c r="L106" s="1"/>
  <c r="G388"/>
  <c r="L388" s="1"/>
  <c r="H183"/>
  <c r="G224"/>
  <c r="L224" s="1"/>
  <c r="G209"/>
  <c r="L209" s="1"/>
  <c r="G531"/>
  <c r="L531" s="1"/>
  <c r="H157"/>
  <c r="H145"/>
  <c r="G272"/>
  <c r="L272" s="1"/>
  <c r="G183"/>
  <c r="L183" s="1"/>
  <c r="G46"/>
  <c r="L46" s="1"/>
  <c r="G473"/>
  <c r="L473" s="1"/>
  <c r="H417"/>
  <c r="I417" s="1"/>
  <c r="H52"/>
  <c r="H104"/>
  <c r="H91"/>
  <c r="H58"/>
  <c r="H381"/>
  <c r="H118"/>
  <c r="H119"/>
  <c r="G451"/>
  <c r="L451" s="1"/>
  <c r="G469"/>
  <c r="L469" s="1"/>
  <c r="G311"/>
  <c r="L311" s="1"/>
  <c r="G391"/>
  <c r="L391" s="1"/>
  <c r="G378"/>
  <c r="L378" s="1"/>
  <c r="H302"/>
  <c r="G430"/>
  <c r="L430" s="1"/>
  <c r="H403"/>
  <c r="H498"/>
  <c r="G443"/>
  <c r="L443" s="1"/>
  <c r="H310"/>
  <c r="H363"/>
  <c r="G503"/>
  <c r="L503" s="1"/>
  <c r="H125"/>
  <c r="H281"/>
  <c r="H205"/>
  <c r="G476"/>
  <c r="L476" s="1"/>
  <c r="G487"/>
  <c r="L487" s="1"/>
  <c r="G59"/>
  <c r="L59" s="1"/>
  <c r="G229"/>
  <c r="L229" s="1"/>
  <c r="H308"/>
  <c r="H230"/>
  <c r="G153"/>
  <c r="L153" s="1"/>
  <c r="G428"/>
  <c r="L428" s="1"/>
  <c r="G528"/>
  <c r="L528" s="1"/>
  <c r="G394"/>
  <c r="G315"/>
  <c r="L315" s="1"/>
  <c r="H263"/>
  <c r="H435"/>
  <c r="G326"/>
  <c r="L326" s="1"/>
  <c r="H523"/>
  <c r="H431"/>
  <c r="H259"/>
  <c r="G228"/>
  <c r="L228" s="1"/>
  <c r="H506"/>
  <c r="H162"/>
  <c r="H102"/>
  <c r="H512"/>
  <c r="H172"/>
  <c r="G151"/>
  <c r="L151" s="1"/>
  <c r="G159"/>
  <c r="L159" s="1"/>
  <c r="H180"/>
  <c r="G527"/>
  <c r="L527" s="1"/>
  <c r="H477"/>
  <c r="G48"/>
  <c r="L48" s="1"/>
  <c r="G491"/>
  <c r="L491" s="1"/>
  <c r="H515"/>
  <c r="G328"/>
  <c r="L328" s="1"/>
  <c r="G407"/>
  <c r="L407" s="1"/>
  <c r="H362"/>
  <c r="H370"/>
  <c r="H350"/>
  <c r="H442"/>
  <c r="H270"/>
  <c r="G382"/>
  <c r="L382" s="1"/>
  <c r="G145"/>
  <c r="L145" s="1"/>
  <c r="G500"/>
  <c r="L500" s="1"/>
  <c r="G401"/>
  <c r="L401" s="1"/>
  <c r="G211"/>
  <c r="L211" s="1"/>
  <c r="H365"/>
  <c r="G441"/>
  <c r="L441" s="1"/>
  <c r="H229"/>
  <c r="H488"/>
  <c r="H53"/>
  <c r="I53" s="1"/>
  <c r="G286"/>
  <c r="L286" s="1"/>
  <c r="G162"/>
  <c r="L162" s="1"/>
  <c r="G408"/>
  <c r="L408" s="1"/>
  <c r="H72"/>
  <c r="G101"/>
  <c r="L101" s="1"/>
  <c r="G140"/>
  <c r="L140" s="1"/>
  <c r="H268"/>
  <c r="G448"/>
  <c r="L448" s="1"/>
  <c r="H79"/>
  <c r="G376"/>
  <c r="L376" s="1"/>
  <c r="G284"/>
  <c r="L284" s="1"/>
  <c r="G104"/>
  <c r="L104" s="1"/>
  <c r="H221"/>
  <c r="H155"/>
  <c r="H286"/>
  <c r="H81"/>
  <c r="H152"/>
  <c r="G84"/>
  <c r="L84" s="1"/>
  <c r="G160"/>
  <c r="L160" s="1"/>
  <c r="H138"/>
  <c r="H148"/>
  <c r="H461"/>
  <c r="H277"/>
  <c r="H418"/>
  <c r="H253"/>
  <c r="H173"/>
  <c r="H46"/>
  <c r="G240"/>
  <c r="L240" s="1"/>
  <c r="H113"/>
  <c r="G269"/>
  <c r="H386"/>
  <c r="H407"/>
  <c r="G458"/>
  <c r="L458" s="1"/>
  <c r="G483"/>
  <c r="L483" s="1"/>
  <c r="G343"/>
  <c r="L343" s="1"/>
  <c r="H421"/>
  <c r="H331"/>
  <c r="H446"/>
  <c r="H439"/>
  <c r="G275"/>
  <c r="L275" s="1"/>
  <c r="G116"/>
  <c r="L116" s="1"/>
  <c r="G43"/>
  <c r="L43" s="1"/>
  <c r="G163"/>
  <c r="L163" s="1"/>
  <c r="H120"/>
  <c r="G131"/>
  <c r="L131" s="1"/>
  <c r="H189"/>
  <c r="G413"/>
  <c r="L413" s="1"/>
  <c r="G176"/>
  <c r="L176" s="1"/>
  <c r="G177"/>
  <c r="L177" s="1"/>
  <c r="H424"/>
  <c r="H240"/>
  <c r="G196"/>
  <c r="L196" s="1"/>
  <c r="H260"/>
  <c r="G107"/>
  <c r="L107" s="1"/>
  <c r="H529"/>
  <c r="H340"/>
  <c r="G297"/>
  <c r="G241"/>
  <c r="L241" s="1"/>
  <c r="H246"/>
  <c r="G395"/>
  <c r="L395" s="1"/>
  <c r="G147"/>
  <c r="L147" s="1"/>
  <c r="G219"/>
  <c r="L219" s="1"/>
  <c r="H214"/>
  <c r="H508"/>
  <c r="H526"/>
  <c r="G338"/>
  <c r="L338" s="1"/>
  <c r="H489"/>
  <c r="H116"/>
  <c r="H63"/>
  <c r="H329"/>
  <c r="H384"/>
  <c r="G288"/>
  <c r="L288" s="1"/>
  <c r="G488"/>
  <c r="L488" s="1"/>
  <c r="G329"/>
  <c r="L329" s="1"/>
  <c r="H473"/>
  <c r="H88"/>
  <c r="G93"/>
  <c r="L93" s="1"/>
  <c r="G203"/>
  <c r="L203" s="1"/>
  <c r="H244"/>
  <c r="G170"/>
  <c r="L170" s="1"/>
  <c r="H375"/>
  <c r="H355"/>
  <c r="H478"/>
  <c r="H427"/>
  <c r="H39"/>
  <c r="G66"/>
  <c r="L66" s="1"/>
  <c r="H105"/>
  <c r="G155"/>
  <c r="G109"/>
  <c r="L109" s="1"/>
  <c r="H351"/>
  <c r="H390"/>
  <c r="H59"/>
  <c r="G397"/>
  <c r="L397" s="1"/>
  <c r="G426"/>
  <c r="L426" s="1"/>
  <c r="G263"/>
  <c r="H466"/>
  <c r="H326"/>
  <c r="H531"/>
  <c r="H142"/>
  <c r="G233"/>
  <c r="L233" s="1"/>
  <c r="H251"/>
  <c r="G102"/>
  <c r="G247"/>
  <c r="L247" s="1"/>
  <c r="H158"/>
  <c r="G111"/>
  <c r="L111" s="1"/>
  <c r="H327"/>
  <c r="G248"/>
  <c r="L248" s="1"/>
  <c r="H48"/>
  <c r="H231"/>
  <c r="H197"/>
  <c r="H187"/>
  <c r="H169"/>
  <c r="H400"/>
  <c r="G368"/>
  <c r="L368" s="1"/>
  <c r="H312"/>
  <c r="H496"/>
  <c r="H404"/>
  <c r="G505"/>
  <c r="L505" s="1"/>
  <c r="H464"/>
  <c r="H160"/>
  <c r="H428"/>
  <c r="G292"/>
  <c r="L292" s="1"/>
  <c r="G192"/>
  <c r="L192" s="1"/>
  <c r="H257"/>
  <c r="G98"/>
  <c r="H273"/>
  <c r="G380"/>
  <c r="L380" s="1"/>
  <c r="H458"/>
  <c r="H483"/>
  <c r="G437"/>
  <c r="G529"/>
  <c r="L529" s="1"/>
  <c r="H233"/>
  <c r="G317"/>
  <c r="H392"/>
  <c r="G199"/>
  <c r="L199" s="1"/>
  <c r="H289"/>
  <c r="G296"/>
  <c r="L296" s="1"/>
  <c r="H65"/>
  <c r="G389"/>
  <c r="L389" s="1"/>
  <c r="H320"/>
  <c r="G137"/>
  <c r="L137" s="1"/>
  <c r="H141"/>
  <c r="G127"/>
  <c r="G360"/>
  <c r="L360" s="1"/>
  <c r="H227"/>
  <c r="G213"/>
  <c r="L213" s="1"/>
  <c r="G78"/>
  <c r="H200"/>
  <c r="H175"/>
  <c r="H165"/>
  <c r="H206"/>
  <c r="H513"/>
  <c r="G421"/>
  <c r="G255"/>
  <c r="H399"/>
  <c r="G258"/>
  <c r="L258" s="1"/>
  <c r="H266"/>
  <c r="H454"/>
  <c r="G114"/>
  <c r="L114" s="1"/>
  <c r="H419"/>
  <c r="G282"/>
  <c r="H480"/>
  <c r="G509"/>
  <c r="L509" s="1"/>
  <c r="G287"/>
  <c r="L287" s="1"/>
  <c r="G409"/>
  <c r="H339"/>
  <c r="H186"/>
  <c r="H178"/>
  <c r="G244"/>
  <c r="L244" s="1"/>
  <c r="G333"/>
  <c r="H73"/>
  <c r="G120"/>
  <c r="L120" s="1"/>
  <c r="H54"/>
  <c r="H191"/>
  <c r="G348"/>
  <c r="L348" s="1"/>
  <c r="G419"/>
  <c r="L419" s="1"/>
  <c r="G312"/>
  <c r="L312" s="1"/>
  <c r="G133"/>
  <c r="L133" s="1"/>
  <c r="H235"/>
  <c r="H388"/>
  <c r="G230"/>
  <c r="L230" s="1"/>
  <c r="G445"/>
  <c r="L445" s="1"/>
  <c r="H344"/>
  <c r="G324"/>
  <c r="L324" s="1"/>
  <c r="G454"/>
  <c r="L454" s="1"/>
  <c r="G185"/>
  <c r="L185" s="1"/>
  <c r="G180"/>
  <c r="L180" s="1"/>
  <c r="G238"/>
  <c r="L238" s="1"/>
  <c r="H217"/>
  <c r="H341"/>
  <c r="G459"/>
  <c r="L459" s="1"/>
  <c r="G424"/>
  <c r="L424" s="1"/>
  <c r="H321"/>
  <c r="G226"/>
  <c r="L226" s="1"/>
  <c r="G112"/>
  <c r="H181"/>
  <c r="H224"/>
  <c r="G304"/>
  <c r="L304" s="1"/>
  <c r="G40"/>
  <c r="L40" s="1"/>
  <c r="G63"/>
  <c r="L63" s="1"/>
  <c r="G80"/>
  <c r="H131"/>
  <c r="H111"/>
  <c r="H202"/>
  <c r="G76"/>
  <c r="H444"/>
  <c r="G91"/>
  <c r="L91" s="1"/>
  <c r="H502"/>
  <c r="H299"/>
  <c r="G494"/>
  <c r="H383"/>
  <c r="G481"/>
  <c r="L481" s="1"/>
  <c r="G129"/>
  <c r="L129" s="1"/>
  <c r="G467"/>
  <c r="L467" s="1"/>
  <c r="G302"/>
  <c r="L302" s="1"/>
  <c r="H343"/>
  <c r="G97"/>
  <c r="L97" s="1"/>
  <c r="H457"/>
  <c r="H271"/>
  <c r="G474"/>
  <c r="L474" s="1"/>
  <c r="H176"/>
  <c r="G416"/>
  <c r="G260"/>
  <c r="L260" s="1"/>
  <c r="G303"/>
  <c r="L303" s="1"/>
  <c r="G174"/>
  <c r="L174" s="1"/>
  <c r="G52"/>
  <c r="L52" s="1"/>
  <c r="H379"/>
  <c r="G361"/>
  <c r="H238"/>
  <c r="H472"/>
  <c r="H134"/>
  <c r="G79"/>
  <c r="L79" s="1"/>
  <c r="H449"/>
  <c r="H491"/>
  <c r="H184"/>
  <c r="G215"/>
  <c r="H256"/>
  <c r="G204"/>
  <c r="L204" s="1"/>
  <c r="G504"/>
  <c r="L504" s="1"/>
  <c r="G340"/>
  <c r="L340" s="1"/>
  <c r="G357"/>
  <c r="L357" s="1"/>
  <c r="G313"/>
  <c r="L313" s="1"/>
  <c r="H395"/>
  <c r="G141"/>
  <c r="L141" s="1"/>
  <c r="H194"/>
  <c r="H360"/>
  <c r="G187"/>
  <c r="L187" s="1"/>
  <c r="G251"/>
  <c r="L251" s="1"/>
  <c r="G276"/>
  <c r="L276" s="1"/>
  <c r="G432"/>
  <c r="L432" s="1"/>
  <c r="G172"/>
  <c r="L172" s="1"/>
  <c r="H92"/>
  <c r="H195"/>
  <c r="G71"/>
  <c r="G299"/>
  <c r="L299" s="1"/>
  <c r="G256"/>
  <c r="L256" s="1"/>
  <c r="H468"/>
  <c r="H163"/>
  <c r="G49"/>
  <c r="G452"/>
  <c r="L452" s="1"/>
  <c r="H305"/>
  <c r="H33"/>
  <c r="H518"/>
  <c r="G515"/>
  <c r="L515" s="1"/>
  <c r="G517"/>
  <c r="L517" s="1"/>
  <c r="H519"/>
  <c r="H517"/>
  <c r="G520"/>
  <c r="L520" s="1"/>
  <c r="G32"/>
  <c r="L32" s="1"/>
  <c r="H70"/>
  <c r="G61"/>
  <c r="L61" s="1"/>
  <c r="H516"/>
  <c r="G522"/>
  <c r="L522" s="1"/>
  <c r="H32"/>
  <c r="H524"/>
  <c r="H520"/>
  <c r="H61"/>
  <c r="G525"/>
  <c r="L525" s="1"/>
  <c r="G516"/>
  <c r="L516" s="1"/>
  <c r="G514"/>
  <c r="L514" s="1"/>
  <c r="G518"/>
  <c r="L518" s="1"/>
  <c r="H56"/>
  <c r="G521"/>
  <c r="H95"/>
  <c r="G524"/>
  <c r="L524" s="1"/>
  <c r="I37"/>
  <c r="I38"/>
  <c r="I198"/>
  <c r="I433"/>
  <c r="I35"/>
  <c r="I268"/>
  <c r="I34"/>
  <c r="I36"/>
  <c r="I422"/>
  <c r="I133"/>
  <c r="I377" l="1"/>
  <c r="I347"/>
  <c r="I354"/>
  <c r="I475"/>
  <c r="I220"/>
  <c r="I167"/>
  <c r="I402"/>
  <c r="I190"/>
  <c r="I440"/>
  <c r="I476"/>
  <c r="I218"/>
  <c r="I364"/>
  <c r="I316"/>
  <c r="I470"/>
  <c r="I143"/>
  <c r="I497"/>
  <c r="I121"/>
  <c r="I471"/>
  <c r="I506"/>
  <c r="I335"/>
  <c r="I77"/>
  <c r="I322"/>
  <c r="I455"/>
  <c r="I264"/>
  <c r="I457"/>
  <c r="I399"/>
  <c r="I312"/>
  <c r="I434"/>
  <c r="I150"/>
  <c r="I378"/>
  <c r="I239"/>
  <c r="I182"/>
  <c r="I323"/>
  <c r="I436"/>
  <c r="I178"/>
  <c r="I507"/>
  <c r="I232"/>
  <c r="I278"/>
  <c r="I148"/>
  <c r="I356"/>
  <c r="I100"/>
  <c r="I489"/>
  <c r="I281"/>
  <c r="I453"/>
  <c r="I501"/>
  <c r="I498"/>
  <c r="I462"/>
  <c r="I418"/>
  <c r="I368"/>
  <c r="I41"/>
  <c r="I126"/>
  <c r="I492"/>
  <c r="I64"/>
  <c r="I367"/>
  <c r="I261"/>
  <c r="I415"/>
  <c r="I324"/>
  <c r="I272"/>
  <c r="I292"/>
  <c r="I144"/>
  <c r="I43"/>
  <c r="I487"/>
  <c r="I140"/>
  <c r="I166"/>
  <c r="I309"/>
  <c r="I439"/>
  <c r="I179"/>
  <c r="I294"/>
  <c r="I50"/>
  <c r="I499"/>
  <c r="I468"/>
  <c r="I200"/>
  <c r="I375"/>
  <c r="I369"/>
  <c r="I108"/>
  <c r="I139"/>
  <c r="I511"/>
  <c r="I345"/>
  <c r="I459"/>
  <c r="I500"/>
  <c r="I431"/>
  <c r="I357"/>
  <c r="I115"/>
  <c r="I490"/>
  <c r="I513"/>
  <c r="I210"/>
  <c r="I505"/>
  <c r="I447"/>
  <c r="I225"/>
  <c r="I306"/>
  <c r="I314"/>
  <c r="I372"/>
  <c r="I467"/>
  <c r="I94"/>
  <c r="I365"/>
  <c r="I482"/>
  <c r="I188"/>
  <c r="I124"/>
  <c r="I208"/>
  <c r="I370"/>
  <c r="I152"/>
  <c r="I398"/>
  <c r="I206"/>
  <c r="I331"/>
  <c r="I259"/>
  <c r="I300"/>
  <c r="I212"/>
  <c r="I245"/>
  <c r="I90"/>
  <c r="I479"/>
  <c r="I298"/>
  <c r="I420"/>
  <c r="I107"/>
  <c r="I491"/>
  <c r="I219"/>
  <c r="I388"/>
  <c r="I338"/>
  <c r="I382"/>
  <c r="I229"/>
  <c r="I503"/>
  <c r="I112"/>
  <c r="L112"/>
  <c r="I282"/>
  <c r="L282"/>
  <c r="I127"/>
  <c r="L127"/>
  <c r="I394"/>
  <c r="L394"/>
  <c r="I71"/>
  <c r="L71"/>
  <c r="I102"/>
  <c r="L102"/>
  <c r="I155"/>
  <c r="L155"/>
  <c r="I297"/>
  <c r="L297"/>
  <c r="I269"/>
  <c r="L269"/>
  <c r="I303"/>
  <c r="I521"/>
  <c r="L521"/>
  <c r="I49"/>
  <c r="L49"/>
  <c r="I215"/>
  <c r="L215"/>
  <c r="I416"/>
  <c r="L416"/>
  <c r="I494"/>
  <c r="L494"/>
  <c r="I333"/>
  <c r="L333"/>
  <c r="I409"/>
  <c r="L409"/>
  <c r="I255"/>
  <c r="L255"/>
  <c r="I78"/>
  <c r="L78"/>
  <c r="I317"/>
  <c r="L317"/>
  <c r="I437"/>
  <c r="L437"/>
  <c r="I463"/>
  <c r="L463"/>
  <c r="I374"/>
  <c r="L374"/>
  <c r="I301"/>
  <c r="L301"/>
  <c r="I89"/>
  <c r="L89"/>
  <c r="I201"/>
  <c r="L201"/>
  <c r="I92"/>
  <c r="L92"/>
  <c r="I366"/>
  <c r="L366"/>
  <c r="I469"/>
  <c r="I138"/>
  <c r="L138"/>
  <c r="I252"/>
  <c r="L252"/>
  <c r="I242"/>
  <c r="L242"/>
  <c r="I132"/>
  <c r="I146"/>
  <c r="I389"/>
  <c r="I495"/>
  <c r="L495"/>
  <c r="I270"/>
  <c r="L270"/>
  <c r="I405"/>
  <c r="L405"/>
  <c r="I189"/>
  <c r="L189"/>
  <c r="I277"/>
  <c r="L277"/>
  <c r="I164"/>
  <c r="L164"/>
  <c r="I51"/>
  <c r="L51"/>
  <c r="I228"/>
  <c r="I192"/>
  <c r="I207"/>
  <c r="L207"/>
  <c r="I117"/>
  <c r="I55"/>
  <c r="L55"/>
  <c r="I496"/>
  <c r="L496"/>
  <c r="I342"/>
  <c r="L342"/>
  <c r="I57"/>
  <c r="I45"/>
  <c r="L45"/>
  <c r="I456"/>
  <c r="L456"/>
  <c r="I85"/>
  <c r="I70"/>
  <c r="I118"/>
  <c r="I83"/>
  <c r="I86"/>
  <c r="I96"/>
  <c r="I485"/>
  <c r="I376"/>
  <c r="I502"/>
  <c r="I371"/>
  <c r="I486"/>
  <c r="I396"/>
  <c r="I185"/>
  <c r="I168"/>
  <c r="I472"/>
  <c r="I151"/>
  <c r="I249"/>
  <c r="I358"/>
  <c r="I410"/>
  <c r="I216"/>
  <c r="I156"/>
  <c r="I202"/>
  <c r="I334"/>
  <c r="I283"/>
  <c r="I101"/>
  <c r="I318"/>
  <c r="I227"/>
  <c r="I204"/>
  <c r="I285"/>
  <c r="I393"/>
  <c r="I69"/>
  <c r="I149"/>
  <c r="I119"/>
  <c r="L119"/>
  <c r="I319"/>
  <c r="L319"/>
  <c r="I279"/>
  <c r="L279"/>
  <c r="I465"/>
  <c r="L465"/>
  <c r="I332"/>
  <c r="L332"/>
  <c r="I250"/>
  <c r="L250"/>
  <c r="I290"/>
  <c r="L290"/>
  <c r="I161"/>
  <c r="I311"/>
  <c r="I423"/>
  <c r="I267"/>
  <c r="L267"/>
  <c r="I307"/>
  <c r="L307"/>
  <c r="I130"/>
  <c r="L130"/>
  <c r="I262"/>
  <c r="I75"/>
  <c r="I361"/>
  <c r="L361"/>
  <c r="I76"/>
  <c r="L76"/>
  <c r="I80"/>
  <c r="L80"/>
  <c r="I421"/>
  <c r="L421"/>
  <c r="I98"/>
  <c r="L98"/>
  <c r="I263"/>
  <c r="L263"/>
  <c r="I293"/>
  <c r="L293"/>
  <c r="I414"/>
  <c r="L414"/>
  <c r="I429"/>
  <c r="I514"/>
  <c r="I321"/>
  <c r="I452"/>
  <c r="I296"/>
  <c r="I397"/>
  <c r="I313"/>
  <c r="I174"/>
  <c r="I445"/>
  <c r="I380"/>
  <c r="I84"/>
  <c r="I448"/>
  <c r="I401"/>
  <c r="I328"/>
  <c r="I153"/>
  <c r="I337"/>
  <c r="I234"/>
  <c r="I352"/>
  <c r="I474"/>
  <c r="I97"/>
  <c r="I95"/>
  <c r="M95"/>
  <c r="M70"/>
  <c r="M468"/>
  <c r="M256"/>
  <c r="M472"/>
  <c r="I379"/>
  <c r="M379"/>
  <c r="I271"/>
  <c r="M271"/>
  <c r="M343"/>
  <c r="M383"/>
  <c r="M111"/>
  <c r="M341"/>
  <c r="I217"/>
  <c r="M217"/>
  <c r="M191"/>
  <c r="I73"/>
  <c r="M73"/>
  <c r="M339"/>
  <c r="M419"/>
  <c r="I266"/>
  <c r="M266"/>
  <c r="M206"/>
  <c r="M200"/>
  <c r="M227"/>
  <c r="M141"/>
  <c r="I392"/>
  <c r="M392"/>
  <c r="M483"/>
  <c r="M428"/>
  <c r="I197"/>
  <c r="M197"/>
  <c r="M48"/>
  <c r="M142"/>
  <c r="M326"/>
  <c r="I351"/>
  <c r="M351"/>
  <c r="M355"/>
  <c r="M375"/>
  <c r="M244"/>
  <c r="I473"/>
  <c r="M473"/>
  <c r="M63"/>
  <c r="M260"/>
  <c r="M424"/>
  <c r="M189"/>
  <c r="M120"/>
  <c r="M331"/>
  <c r="M46"/>
  <c r="M277"/>
  <c r="M138"/>
  <c r="M155"/>
  <c r="M268"/>
  <c r="M72"/>
  <c r="M53"/>
  <c r="M229"/>
  <c r="M270"/>
  <c r="M362"/>
  <c r="M162"/>
  <c r="M259"/>
  <c r="M498"/>
  <c r="M118"/>
  <c r="M91"/>
  <c r="M145"/>
  <c r="M62"/>
  <c r="M208"/>
  <c r="M44"/>
  <c r="M250"/>
  <c r="M291"/>
  <c r="M373"/>
  <c r="M525"/>
  <c r="M324"/>
  <c r="M359"/>
  <c r="M151"/>
  <c r="M367"/>
  <c r="M147"/>
  <c r="M416"/>
  <c r="M476"/>
  <c r="M441"/>
  <c r="M522"/>
  <c r="M220"/>
  <c r="M71"/>
  <c r="M101"/>
  <c r="M405"/>
  <c r="M135"/>
  <c r="M198"/>
  <c r="M376"/>
  <c r="M393"/>
  <c r="M201"/>
  <c r="M287"/>
  <c r="M374"/>
  <c r="M425"/>
  <c r="M261"/>
  <c r="M408"/>
  <c r="M290"/>
  <c r="M159"/>
  <c r="M309"/>
  <c r="M247"/>
  <c r="M297"/>
  <c r="M306"/>
  <c r="M465"/>
  <c r="M69"/>
  <c r="M126"/>
  <c r="M470"/>
  <c r="M196"/>
  <c r="M487"/>
  <c r="M482"/>
  <c r="M55"/>
  <c r="M114"/>
  <c r="M242"/>
  <c r="M66"/>
  <c r="M385"/>
  <c r="M459"/>
  <c r="M409"/>
  <c r="M60"/>
  <c r="M267"/>
  <c r="M433"/>
  <c r="M249"/>
  <c r="M219"/>
  <c r="M188"/>
  <c r="M237"/>
  <c r="M462"/>
  <c r="M346"/>
  <c r="M511"/>
  <c r="M166"/>
  <c r="M121"/>
  <c r="M216"/>
  <c r="M436"/>
  <c r="M239"/>
  <c r="M378"/>
  <c r="M215"/>
  <c r="M497"/>
  <c r="M199"/>
  <c r="M210"/>
  <c r="M86"/>
  <c r="M258"/>
  <c r="M93"/>
  <c r="M453"/>
  <c r="I265"/>
  <c r="M265"/>
  <c r="M296"/>
  <c r="M349"/>
  <c r="M167"/>
  <c r="M97"/>
  <c r="M494"/>
  <c r="M171"/>
  <c r="M437"/>
  <c r="M51"/>
  <c r="M128"/>
  <c r="M89"/>
  <c r="M455"/>
  <c r="M106"/>
  <c r="M300"/>
  <c r="M469"/>
  <c r="M212"/>
  <c r="M509"/>
  <c r="M245"/>
  <c r="M132"/>
  <c r="M146"/>
  <c r="M45"/>
  <c r="M389"/>
  <c r="M429"/>
  <c r="M49"/>
  <c r="M78"/>
  <c r="M317"/>
  <c r="M452"/>
  <c r="M137"/>
  <c r="M322"/>
  <c r="M252"/>
  <c r="M328"/>
  <c r="M228"/>
  <c r="M192"/>
  <c r="M448"/>
  <c r="M406"/>
  <c r="M357"/>
  <c r="M301"/>
  <c r="M426"/>
  <c r="M117"/>
  <c r="M254"/>
  <c r="M307"/>
  <c r="M434"/>
  <c r="M366"/>
  <c r="M90"/>
  <c r="M479"/>
  <c r="M275"/>
  <c r="M347"/>
  <c r="M337"/>
  <c r="M57"/>
  <c r="M153"/>
  <c r="M85"/>
  <c r="M298"/>
  <c r="M401"/>
  <c r="M149"/>
  <c r="M514"/>
  <c r="M402"/>
  <c r="M84"/>
  <c r="M225"/>
  <c r="M380"/>
  <c r="M303"/>
  <c r="M161"/>
  <c r="M311"/>
  <c r="M354"/>
  <c r="M423"/>
  <c r="M319"/>
  <c r="M314"/>
  <c r="M262"/>
  <c r="M75"/>
  <c r="M397"/>
  <c r="M372"/>
  <c r="M521"/>
  <c r="M195"/>
  <c r="M360"/>
  <c r="M238"/>
  <c r="M457"/>
  <c r="M131"/>
  <c r="M54"/>
  <c r="M289"/>
  <c r="M458"/>
  <c r="M257"/>
  <c r="M400"/>
  <c r="M251"/>
  <c r="M531"/>
  <c r="M59"/>
  <c r="M105"/>
  <c r="M88"/>
  <c r="M116"/>
  <c r="M340"/>
  <c r="M113"/>
  <c r="M221"/>
  <c r="M172"/>
  <c r="M431"/>
  <c r="I363"/>
  <c r="M363"/>
  <c r="M381"/>
  <c r="M157"/>
  <c r="M154"/>
  <c r="M325"/>
  <c r="M432"/>
  <c r="M122"/>
  <c r="M348"/>
  <c r="I56"/>
  <c r="M56"/>
  <c r="M520"/>
  <c r="M516"/>
  <c r="M517"/>
  <c r="M518"/>
  <c r="M92"/>
  <c r="I184"/>
  <c r="M184"/>
  <c r="M176"/>
  <c r="M299"/>
  <c r="M224"/>
  <c r="M181"/>
  <c r="I348"/>
  <c r="M454"/>
  <c r="M175"/>
  <c r="M320"/>
  <c r="M65"/>
  <c r="M233"/>
  <c r="M464"/>
  <c r="M496"/>
  <c r="M169"/>
  <c r="I390"/>
  <c r="M390"/>
  <c r="I478"/>
  <c r="M478"/>
  <c r="M384"/>
  <c r="M508"/>
  <c r="I246"/>
  <c r="M246"/>
  <c r="M529"/>
  <c r="M439"/>
  <c r="I386"/>
  <c r="M386"/>
  <c r="I253"/>
  <c r="M253"/>
  <c r="I461"/>
  <c r="M461"/>
  <c r="M286"/>
  <c r="M350"/>
  <c r="M477"/>
  <c r="I512"/>
  <c r="M512"/>
  <c r="M523"/>
  <c r="M435"/>
  <c r="I310"/>
  <c r="M310"/>
  <c r="M58"/>
  <c r="M52"/>
  <c r="I193"/>
  <c r="M193"/>
  <c r="M103"/>
  <c r="M140"/>
  <c r="M243"/>
  <c r="M460"/>
  <c r="I336"/>
  <c r="M336"/>
  <c r="M284"/>
  <c r="I68"/>
  <c r="M68"/>
  <c r="I67"/>
  <c r="M67"/>
  <c r="M353"/>
  <c r="I412"/>
  <c r="M412"/>
  <c r="I510"/>
  <c r="M510"/>
  <c r="M276"/>
  <c r="M213"/>
  <c r="I438"/>
  <c r="M438"/>
  <c r="M211"/>
  <c r="M248"/>
  <c r="M280"/>
  <c r="M315"/>
  <c r="M98"/>
  <c r="M398"/>
  <c r="M304"/>
  <c r="M411"/>
  <c r="M76"/>
  <c r="M168"/>
  <c r="M295"/>
  <c r="M484"/>
  <c r="M527"/>
  <c r="I82"/>
  <c r="M82"/>
  <c r="M80"/>
  <c r="M445"/>
  <c r="M481"/>
  <c r="M313"/>
  <c r="M218"/>
  <c r="I123"/>
  <c r="M123"/>
  <c r="M241"/>
  <c r="M356"/>
  <c r="M413"/>
  <c r="M43"/>
  <c r="M391"/>
  <c r="M450"/>
  <c r="M40"/>
  <c r="M274"/>
  <c r="M330"/>
  <c r="M209"/>
  <c r="M451"/>
  <c r="M528"/>
  <c r="M422"/>
  <c r="M486"/>
  <c r="M500"/>
  <c r="M203"/>
  <c r="M110"/>
  <c r="M414"/>
  <c r="M504"/>
  <c r="M150"/>
  <c r="M112"/>
  <c r="M371"/>
  <c r="M364"/>
  <c r="M443"/>
  <c r="M100"/>
  <c r="M144"/>
  <c r="M133"/>
  <c r="M182"/>
  <c r="M288"/>
  <c r="M377"/>
  <c r="M410"/>
  <c r="M136"/>
  <c r="M234"/>
  <c r="M292"/>
  <c r="M143"/>
  <c r="M415"/>
  <c r="M293"/>
  <c r="M387"/>
  <c r="M334"/>
  <c r="M493"/>
  <c r="M467"/>
  <c r="M530"/>
  <c r="M394"/>
  <c r="M475"/>
  <c r="M471"/>
  <c r="M278"/>
  <c r="M285"/>
  <c r="M342"/>
  <c r="M501"/>
  <c r="M130"/>
  <c r="M323"/>
  <c r="M61"/>
  <c r="M395"/>
  <c r="M449"/>
  <c r="M444"/>
  <c r="M321"/>
  <c r="I235"/>
  <c r="M235"/>
  <c r="M186"/>
  <c r="M480"/>
  <c r="M165"/>
  <c r="M160"/>
  <c r="M404"/>
  <c r="M231"/>
  <c r="M158"/>
  <c r="M466"/>
  <c r="M427"/>
  <c r="M526"/>
  <c r="M407"/>
  <c r="M173"/>
  <c r="I81"/>
  <c r="M81"/>
  <c r="M79"/>
  <c r="M488"/>
  <c r="M442"/>
  <c r="M180"/>
  <c r="M506"/>
  <c r="M308"/>
  <c r="M281"/>
  <c r="M403"/>
  <c r="M104"/>
  <c r="M87"/>
  <c r="I466"/>
  <c r="M524"/>
  <c r="I519"/>
  <c r="M519"/>
  <c r="M305"/>
  <c r="M163"/>
  <c r="I194"/>
  <c r="M194"/>
  <c r="M491"/>
  <c r="M134"/>
  <c r="M502"/>
  <c r="M202"/>
  <c r="I344"/>
  <c r="M344"/>
  <c r="M388"/>
  <c r="M178"/>
  <c r="M399"/>
  <c r="M513"/>
  <c r="M273"/>
  <c r="M312"/>
  <c r="M187"/>
  <c r="I327"/>
  <c r="M327"/>
  <c r="M329"/>
  <c r="M489"/>
  <c r="M214"/>
  <c r="M240"/>
  <c r="I446"/>
  <c r="M446"/>
  <c r="M421"/>
  <c r="M418"/>
  <c r="M148"/>
  <c r="M152"/>
  <c r="M365"/>
  <c r="M370"/>
  <c r="M515"/>
  <c r="M102"/>
  <c r="M263"/>
  <c r="M230"/>
  <c r="M205"/>
  <c r="M125"/>
  <c r="M302"/>
  <c r="M119"/>
  <c r="M417"/>
  <c r="M183"/>
  <c r="M99"/>
  <c r="M333"/>
  <c r="M316"/>
  <c r="M94"/>
  <c r="M42"/>
  <c r="M335"/>
  <c r="M77"/>
  <c r="M223"/>
  <c r="M115"/>
  <c r="M109"/>
  <c r="M499"/>
  <c r="M124"/>
  <c r="M279"/>
  <c r="M495"/>
  <c r="M129"/>
  <c r="M505"/>
  <c r="M492"/>
  <c r="M164"/>
  <c r="M264"/>
  <c r="M190"/>
  <c r="M47"/>
  <c r="M64"/>
  <c r="M174"/>
  <c r="M382"/>
  <c r="M222"/>
  <c r="M236"/>
  <c r="M447"/>
  <c r="M156"/>
  <c r="M503"/>
  <c r="M396"/>
  <c r="M185"/>
  <c r="M368"/>
  <c r="M507"/>
  <c r="M232"/>
  <c r="M369"/>
  <c r="M332"/>
  <c r="M74"/>
  <c r="M282"/>
  <c r="M456"/>
  <c r="M345"/>
  <c r="M177"/>
  <c r="M361"/>
  <c r="M358"/>
  <c r="M272"/>
  <c r="M139"/>
  <c r="M440"/>
  <c r="M318"/>
  <c r="M107"/>
  <c r="M485"/>
  <c r="M83"/>
  <c r="M204"/>
  <c r="M490"/>
  <c r="M41"/>
  <c r="M226"/>
  <c r="M352"/>
  <c r="M420"/>
  <c r="M108"/>
  <c r="M179"/>
  <c r="M207"/>
  <c r="M430"/>
  <c r="M269"/>
  <c r="M283"/>
  <c r="M463"/>
  <c r="M170"/>
  <c r="M255"/>
  <c r="M338"/>
  <c r="M96"/>
  <c r="M294"/>
  <c r="M474"/>
  <c r="M127"/>
  <c r="M50"/>
  <c r="M39"/>
  <c r="M33"/>
  <c r="I180"/>
  <c r="I163"/>
  <c r="M32"/>
  <c r="I48"/>
  <c r="I302"/>
  <c r="I181"/>
  <c r="I424"/>
  <c r="I305"/>
  <c r="I91"/>
  <c r="I63"/>
  <c r="I114"/>
  <c r="I244"/>
  <c r="I287"/>
  <c r="I258"/>
  <c r="I175"/>
  <c r="I320"/>
  <c r="I199"/>
  <c r="I169"/>
  <c r="I248"/>
  <c r="I247"/>
  <c r="I233"/>
  <c r="I66"/>
  <c r="I170"/>
  <c r="I508"/>
  <c r="I196"/>
  <c r="I162"/>
  <c r="I441"/>
  <c r="I350"/>
  <c r="I159"/>
  <c r="I435"/>
  <c r="I58"/>
  <c r="I183"/>
  <c r="I103"/>
  <c r="I373"/>
  <c r="I243"/>
  <c r="I460"/>
  <c r="I284"/>
  <c r="I291"/>
  <c r="I213"/>
  <c r="I384"/>
  <c r="I355"/>
  <c r="I211"/>
  <c r="I280"/>
  <c r="I400"/>
  <c r="I308"/>
  <c r="I411"/>
  <c r="I295"/>
  <c r="I484"/>
  <c r="I425"/>
  <c r="I62"/>
  <c r="I481"/>
  <c r="I128"/>
  <c r="I241"/>
  <c r="I44"/>
  <c r="I214"/>
  <c r="I136"/>
  <c r="I186"/>
  <c r="I450"/>
  <c r="I274"/>
  <c r="I330"/>
  <c r="I209"/>
  <c r="I110"/>
  <c r="I362"/>
  <c r="I406"/>
  <c r="I443"/>
  <c r="I359"/>
  <c r="I254"/>
  <c r="I426"/>
  <c r="I205"/>
  <c r="I273"/>
  <c r="I483"/>
  <c r="I515"/>
  <c r="I158"/>
  <c r="I222"/>
  <c r="I109"/>
  <c r="I404"/>
  <c r="I105"/>
  <c r="I427"/>
  <c r="I113"/>
  <c r="I173"/>
  <c r="I408"/>
  <c r="I237"/>
  <c r="I325"/>
  <c r="I135"/>
  <c r="I122"/>
  <c r="I349"/>
  <c r="I176"/>
  <c r="I353"/>
  <c r="I430"/>
  <c r="I518"/>
  <c r="I299"/>
  <c r="I413"/>
  <c r="I240"/>
  <c r="I286"/>
  <c r="I464"/>
  <c r="I141"/>
  <c r="I260"/>
  <c r="I383"/>
  <c r="I226"/>
  <c r="I341"/>
  <c r="I191"/>
  <c r="I339"/>
  <c r="I93"/>
  <c r="I195"/>
  <c r="I276"/>
  <c r="I360"/>
  <c r="I395"/>
  <c r="I504"/>
  <c r="I449"/>
  <c r="I52"/>
  <c r="I444"/>
  <c r="I304"/>
  <c r="I54"/>
  <c r="I480"/>
  <c r="I165"/>
  <c r="I137"/>
  <c r="I289"/>
  <c r="I257"/>
  <c r="I231"/>
  <c r="I203"/>
  <c r="I88"/>
  <c r="I288"/>
  <c r="I147"/>
  <c r="I177"/>
  <c r="I275"/>
  <c r="I221"/>
  <c r="I403"/>
  <c r="I391"/>
  <c r="I451"/>
  <c r="I157"/>
  <c r="I106"/>
  <c r="I385"/>
  <c r="I87"/>
  <c r="I493"/>
  <c r="I346"/>
  <c r="I171"/>
  <c r="I187"/>
  <c r="I230"/>
  <c r="I131"/>
  <c r="I407"/>
  <c r="I442"/>
  <c r="I381"/>
  <c r="I42"/>
  <c r="I154"/>
  <c r="I432"/>
  <c r="I343"/>
  <c r="I509"/>
  <c r="I142"/>
  <c r="I72"/>
  <c r="I454"/>
  <c r="I315"/>
  <c r="I517"/>
  <c r="I419"/>
  <c r="I111"/>
  <c r="I120"/>
  <c r="I256"/>
  <c r="I329"/>
  <c r="I116"/>
  <c r="I238"/>
  <c r="I251"/>
  <c r="I340"/>
  <c r="I458"/>
  <c r="I160"/>
  <c r="I79"/>
  <c r="I488"/>
  <c r="I172"/>
  <c r="I326"/>
  <c r="I428"/>
  <c r="I59"/>
  <c r="I104"/>
  <c r="I224"/>
  <c r="I477"/>
  <c r="I61"/>
  <c r="F31"/>
  <c r="I520"/>
  <c r="I516"/>
  <c r="I47"/>
  <c r="I526"/>
  <c r="I522"/>
  <c r="I46"/>
  <c r="I529"/>
  <c r="I33"/>
  <c r="I40"/>
  <c r="I527"/>
  <c r="I129"/>
  <c r="I530"/>
  <c r="I65"/>
  <c r="I60"/>
  <c r="I32"/>
  <c r="G31"/>
  <c r="I531"/>
  <c r="I125"/>
  <c r="I39"/>
  <c r="I528"/>
  <c r="I523"/>
  <c r="I134"/>
  <c r="I145"/>
  <c r="H31"/>
  <c r="I525"/>
  <c r="I74"/>
  <c r="I524"/>
  <c r="I99"/>
  <c r="M31" l="1"/>
  <c r="G11" s="1"/>
  <c r="L31"/>
  <c r="D11" s="1"/>
  <c r="I31"/>
  <c r="L11" l="1"/>
</calcChain>
</file>

<file path=xl/sharedStrings.xml><?xml version="1.0" encoding="utf-8"?>
<sst xmlns="http://schemas.openxmlformats.org/spreadsheetml/2006/main" count="2861" uniqueCount="246">
  <si>
    <t>Đơn vị:</t>
  </si>
  <si>
    <t>Người quản lý:</t>
  </si>
  <si>
    <t>Bộ phận:</t>
  </si>
  <si>
    <t>MENU</t>
  </si>
  <si>
    <t>PHẦN NHẬP DỮ LIỆU</t>
  </si>
  <si>
    <t>PHẦN BÁO CÁO VÀ IN ẤN</t>
  </si>
  <si>
    <t>Cách sử dụng:</t>
  </si>
  <si>
    <t>- Nhập dữ liệu vào các Danh mục hàng tồn kho, Danh mục khách hàng và nhà cung cấp. Lưu ý không được tự ý thêm, xóa các dòng, cột trong bảng có sẵn</t>
  </si>
  <si>
    <t>- Khi có nghiệp vụ phát sinh, nhập vào Sổ kho theo các nội dung. Lưu ý phải đánh số thứ tự dòng của chứng từ để in chứng từ.</t>
  </si>
  <si>
    <t>- Phần ghi chú trong Sổ kho sẽ tự động báo khi nào hàng tồn kho còn gần định mức (Trong khoảng Định mức tồn kho +5) và khi nào hàng tồn kho dưới định mức. Nếu đơn vị không áp dụng định mức tồn kho thì nhập vào phần này trong Danh mục hàng hóa là 0</t>
  </si>
  <si>
    <t>- Khi có số liệu trong Sổ kho, tùy yêu cầu sử dụng mà chọn các nội dung cần báo cáo. Trình tự các mặt hàng (hay khách hàng) trong báo cáo là không bắt buộc, có thể sắp xếp bất kỳ theo yêu cầu báo cáo mà không cần chú ý thứ tự sắp xếp. Có thể báo cáo cho 1, 10, hay tất cả các hàng trong kho tùy thích. - Lưu ý phải biết cách copy công thức  - phần công thức trong báo cáo không cần phải chỉnh sửa lại.</t>
  </si>
  <si>
    <t>- Trong phần in chứng từ, trước hết phải liệt kê các chứng từ phát sinh vào list chứng từ. Sau đó chọn loại chứng từ, chọn số chứng từ rồi in. Hệ thống đã chỉnh sẵn trang in (1 trang duy nhất) và căn lề giấy in, không nên chỉnh lại mục này.</t>
  </si>
  <si>
    <t>- Hỗ trợ phần "các thông tin kèm theo trong chứng từ kho: Nếu không có chứng từ kèm theo, ko cần viết thông tin trong sổ kho. Phần tên kho và địa điểm kho, nếu đơn vị không có kho cụ thể có thể điền là "Kho công ty", địa điểm là Tỉnh, thành phố nơi đơn vị hoạt động.</t>
  </si>
  <si>
    <t>Cái</t>
  </si>
  <si>
    <t>Ngày bắt đầu ghi sổ:</t>
  </si>
  <si>
    <t>STT</t>
  </si>
  <si>
    <t>Mã hàng</t>
  </si>
  <si>
    <t>Tên hàng</t>
  </si>
  <si>
    <t>ĐVT</t>
  </si>
  <si>
    <t>Tồn khi bắt đầu ghi sổ</t>
  </si>
  <si>
    <t>Ngày</t>
  </si>
  <si>
    <t>GHI CHÚ</t>
  </si>
  <si>
    <t>NHẬP</t>
  </si>
  <si>
    <t>XUẤT</t>
  </si>
  <si>
    <t>SỐ TT</t>
  </si>
  <si>
    <t>Ngày bắt đầu:</t>
  </si>
  <si>
    <t>Báo cáo từ ngày:</t>
  </si>
  <si>
    <t>đến ngày:</t>
  </si>
  <si>
    <t>date</t>
  </si>
  <si>
    <t>sl ton dau</t>
  </si>
  <si>
    <t>sl nhap</t>
  </si>
  <si>
    <t>sl xuat</t>
  </si>
  <si>
    <t>NGƯỜI LẬP BIỂU</t>
  </si>
  <si>
    <t>hết</t>
  </si>
  <si>
    <t>HẾT</t>
  </si>
  <si>
    <t>x</t>
  </si>
  <si>
    <t>1.</t>
  </si>
  <si>
    <t>2.</t>
  </si>
  <si>
    <t>3.</t>
  </si>
  <si>
    <t>HƯỚNG DẪN SỬ DỤNG FILE SỔ KHO L1 - V1.0</t>
  </si>
  <si>
    <t>1. Tổng quan</t>
  </si>
  <si>
    <t>- Dùng để quản lý hàng tồn kho (nhập-xuất-tồn) kết hợp với theo dõi công nợ (khách hàng, nhà cung cấp) về tình hình thanh toán</t>
  </si>
  <si>
    <t>- Dùng làm chứng từ kế toán, gồm sổ chi tiết, phiếu nhập kho, phiếu xuất kho</t>
  </si>
  <si>
    <t>- Dùng để quản trị, gồm Báo cáo Hàng tồn kho, Báo cáo công nợ</t>
  </si>
  <si>
    <t>- Chứng từ được đánh số tự động, có thể theo dõi hàng xuất âm (số lượng cần xuất lớn hơn số lượng hàng thực tế tồn kho tại thời điểm xuất)</t>
  </si>
  <si>
    <t>- Có Menu để theo dõi và liên kết chung, tại mỗi sheet cũng có thể liên kết tới các sheet khác</t>
  </si>
  <si>
    <t>2. Chi tiết</t>
  </si>
  <si>
    <t>2.1. MENU</t>
  </si>
  <si>
    <t>- Gồm 3 phần:</t>
  </si>
  <si>
    <t>Phần MENU để liên kết tới các sheet trong file</t>
  </si>
  <si>
    <t>Phần tô màu tím là thông tin người sử dụng</t>
  </si>
  <si>
    <t>+ Người sử dụng khai báo các thông tin chung, thông tin này sẽ hiển thị tại mỗi sheet, chứng từ</t>
  </si>
  <si>
    <t>+ Ngày bắt đầu ghi sổ: Thời điểm để tính tồn kho đầu kỳ, mục này quan trọng vì có thể file dùng theo tháng, theo năm… đây sẽ tính là mốc bắt đầu</t>
  </si>
  <si>
    <t>Phần thông tin tác giả: Để nếu phát hiện lỗi, hoặc cần thông tin thêm, nâng cấp các phiên bản mới… người sử dụng có thể liên hệ với tác giả được</t>
  </si>
  <si>
    <t>2.2. Phần nhập dữ liệu</t>
  </si>
  <si>
    <t>Gồm 3 phần: Danh mục Hàng tồn kho, Danh mục khách hàng và Sổ kho</t>
  </si>
  <si>
    <t>2.2.1. Danh mục hàng tồn kho (sheet MAHANG)</t>
  </si>
  <si>
    <t>Khai báo các thông tin liên quan đến hàng tồn kho, gồm các mục Mã hàng, Tên hàng, ĐVT, Định mức tồn kho, Tồn khi bắt đầu (số lượng), Thành tiền, Ghi chú</t>
  </si>
  <si>
    <t>- Mã hàng: Đặt mã cho hàng hóa, đây là căn cứ để file tính toán các thông tin liên quan đến hàng hóa. Mã phải dễ nhớ, ko bị trùng, có thể dùng để phân biệt các mã với nhau</t>
  </si>
  <si>
    <t>- Tên hàng: Tên đầy đủ của hàng hóa, hoặc tên gọi dễ nhớ cho hàng hóa đó, hạn chế trùng lặp. Có thể có nhiều mã cùng có 1 tên hàng như nhau, khi đó trong báo cáo sẽ tính tổng các mã trong cùng 1 tên hàng đó</t>
  </si>
  <si>
    <t>- ĐVT: đơn vị tính</t>
  </si>
  <si>
    <t>- Định mức tồn kho: nếu có, cái này tùy từng đơn vị quy định, mình chưa khai thác kỹ thông tin này. Nếu bạn nào có nhu cầu sử dụng mục này thì mình sẽ update. Có thể thông báo nếu hàng tồn kho gần về tới định mức tồn kho (thông báo tự động)</t>
  </si>
  <si>
    <t>- Tồn khi bắt đầu: Tại thời điểm Ngày bắt đầu ghi sổ (trong MENU) thì số lượng tồn kho của mỗi mã hàng là bao nhiêu. Đây là căn cứ quan trọng để tính toán.</t>
  </si>
  <si>
    <t>- Thành tiền: Số lượng hàng tồn kho đầu kỳ sử dụng quy ra tiền</t>
  </si>
  <si>
    <t>- Ghi chú: các thông tin khác có liên quan, ví dụ: mượn, thuê ngoài, giữ hộ, hàng cũ… tùy nhu cầu sử dụng. Chỉ phục vụ mục đích theo dõi của cá nhân</t>
  </si>
  <si>
    <t>2.2.2. Danh mục khách hàng (Sheet MAKH)</t>
  </si>
  <si>
    <t>Khai báo các thông tin liên quan đến khách hàng, nhà cung cấp, gọi chung là khách hàng.</t>
  </si>
  <si>
    <t>Tương tự với khai báo hàng tồn kho, Khách hàng cũng bao gồm mã, tên, địa chỉ, tồn đầu khi bắt đầu ghi sổ, ghi chú</t>
  </si>
  <si>
    <t>2.2.3. Sổ kho (sheet SOKHO)</t>
  </si>
  <si>
    <t>Hàng ngày khi có phát sinh thì khai báo vào sổ kho.</t>
  </si>
  <si>
    <t>- Các cột có tên tiêu đề chữ màu đỏ, tô màu vàng là các cột có công thức, tự động nhập dữ liệu, ko nên xóa, sửa.</t>
  </si>
  <si>
    <t>- Số chứng từ được đánh tự động (cột số hiệu), khi phát sinh chỉ phát sinh theo ngày, loại chứng từ (nhập - n, xuất - x)</t>
  </si>
  <si>
    <t>- Mã KH, Mã hàng sau khi nhập sẽ tự động hiện tên</t>
  </si>
  <si>
    <t>- Nhập, xuất: sau khi nhập số lượng và đơn giá sẽ tự tính thành tiền. Lưu ý là đơn giá xuất vẫn nhập bằng tay, chưa có công thức tính tự động đơn giá xuất.</t>
  </si>
  <si>
    <t>- Số lượng xuất: được thiết kế để thông báo khi có xuất âm (thông báo dạng: Nếu muốn xuất âm thì bấm Yes, không muốn xuất âm thì bấm No)</t>
  </si>
  <si>
    <t>- Thanh toán: Dùng để theo dõi tình hình thanh toán của khách hàng, thanh toán với nhà cung cấp. Tuy nhiên mục đích chính mới chỉ làm để theo dõi thanh toán với khách hàng</t>
  </si>
  <si>
    <t>- Các mục Chứng từ kèm theo, chi tiết kho chỉ để phục vụ theo dõi chuyên sâu, in phiếu. Tùy yêu cầu sử dụng, có thể ko cần nhập mục này</t>
  </si>
  <si>
    <t>2.3. Phần Báo cáo và in ấn</t>
  </si>
  <si>
    <t>Gồm 4 phần: Báo cáo HTK, Báo cáo công nợ, Sổ chi tiết, In phiếu nhập-xuất</t>
  </si>
  <si>
    <t>2.3.1. Báo cáo HTK (Sheet BC1)</t>
  </si>
  <si>
    <t>Dùng để báo cáo tổng hợp tình hình N-X-T của hàng hóa theo thời gian cụ thể.</t>
  </si>
  <si>
    <t>- Nhập tên hàng hóa, vật tư cần tổng hợp</t>
  </si>
  <si>
    <t>- Nhập thời gian tổng hợp: Từ ngày… đến ngày… Có thể tổng hợp theo ngày, tháng, quý, năm…</t>
  </si>
  <si>
    <t>- Khi nhập 2 dữ liệu trên xong sẽ tự động tính ra kết quả NXT</t>
  </si>
  <si>
    <t>- Có thể thêm, bớt dòng trong báo cáo, khi thêm thì copy công thức ở dòng trên xuống dòng mới thêm là được (công thức dùng chung cho tên hàng bất kỳ)</t>
  </si>
  <si>
    <t>2.3.2. Báo cáo công nợ khách hàng (Sheet BC2)</t>
  </si>
  <si>
    <t>Dùng để báo cáo tổng hợp tình hình thanh toán công nợ của khách hàng theo thời gian cụ thể</t>
  </si>
  <si>
    <t>- Nhập tên khách hàng và thời gian tổng hợp</t>
  </si>
  <si>
    <t>- Có thể thêm, bớt dòng trong báo cáo, lưu ý giữ lại 1 dòng chứa công thức để còn có thể copy công thức được.</t>
  </si>
  <si>
    <t>2.3.3. Sổ chi tiết (sheet SCT)</t>
  </si>
  <si>
    <t>Dùng để theo dõi chi tiết cho 1 hàng hóa cụ thể.</t>
  </si>
  <si>
    <t>- Chọn mã hàng: có thể đánh bằng tay hoặc chọn theo list, nhưng phải chọn đúng mã có trong Danh mục hàng hóa.</t>
  </si>
  <si>
    <t>- Sau khi chọn mã hàng, tại dòng có chứa chức năng filter (dòng có nút mũi tên, ngay dưới dòng tiêu đề - cụ thể là dòng 13), tại cột diễn giải, click vào dấu mũi tên filter, chọn tất cả nhưng bỏ chọn Blank (click vào select all, tiếp đó bỏ dấu tích tại blank), sẽ cập nhật nội dung liên quan đến hàng cần báo cáo chi tiết</t>
  </si>
  <si>
    <t>2.3.4. In chứng từ (sheet In)</t>
  </si>
  <si>
    <t>Dùng để in phiếu nhập kho, phiếu xuất kho làm chứng từ kế toán</t>
  </si>
  <si>
    <t>- Đầu tiên chọn tháng cần in</t>
  </si>
  <si>
    <t>- Chọn loại phiếu: nhập hay xuất</t>
  </si>
  <si>
    <t>- Tổng số phiếu nhập (hay xuất) của tháng sẽ hiện ra tự động</t>
  </si>
  <si>
    <t>- Chọn số phiếu cần in</t>
  </si>
  <si>
    <t>- Vì số phiếu được đánh tự động trong Sổ kho theo quy tắc: Tăng dần theo thứ tự phát sinh, và tháng nào thì vào tháng đấy, nên sẽ có tổng số phiếu, và phiếu số mấy tương ứng với số hiệu của phiếu đó.</t>
  </si>
  <si>
    <t>- Mỗi phiếu lập thành 2 liên, trên mặt giấy A4 nằm ngang, cắt đôi thành 2 phiếu trên 2 tờ A5</t>
  </si>
  <si>
    <t>- Chỉ cần chọn phiếu, mọi thông tin trong phiếu sẽ cập nhật tự động, không phải tác động gì thêm</t>
  </si>
  <si>
    <t>Thứ tự nhập dữ liệu là: Đầu tiên khai báo thông tin chung tại MENU, sau đó nhập mã hàng, mã khách hàng trong 2 sheet danh mục.</t>
  </si>
  <si>
    <t>Hàng ngày có phát sinh thì nhập vào sổ kho</t>
  </si>
  <si>
    <t>Cần báo cáo thì vào 2 sheet báo cáo, nhập tên, thời gian báo cáo là xong</t>
  </si>
  <si>
    <t>Cần xem sổ chi tiết thì vào sổ chi tiết, làm như hướng dẫn ở trên</t>
  </si>
  <si>
    <t>Cần in phiếu nhập-xuất thì vào in phiếu, làm như hướng dẫn ở trên.</t>
  </si>
  <si>
    <t>Lọc</t>
  </si>
  <si>
    <t>Bình</t>
  </si>
  <si>
    <t>Bàn chải đánh răng</t>
  </si>
  <si>
    <t>BCS</t>
  </si>
  <si>
    <t>Bao cao su</t>
  </si>
  <si>
    <t>BIA</t>
  </si>
  <si>
    <t>Bia</t>
  </si>
  <si>
    <t>KR</t>
  </si>
  <si>
    <t>Kem đánh răng</t>
  </si>
  <si>
    <t>NS</t>
  </si>
  <si>
    <t>NT</t>
  </si>
  <si>
    <t>Nước tăng lực</t>
  </si>
  <si>
    <t>NX</t>
  </si>
  <si>
    <t>Nước xúc miệng nhỏ</t>
  </si>
  <si>
    <t>TA</t>
  </si>
  <si>
    <t>Tăm ráy tai</t>
  </si>
  <si>
    <t>Lon</t>
  </si>
  <si>
    <t>Chai</t>
  </si>
  <si>
    <t>Gói</t>
  </si>
  <si>
    <t>Giá nhập</t>
  </si>
  <si>
    <t>Giá xuất</t>
  </si>
  <si>
    <t>NGÀY</t>
  </si>
  <si>
    <t>PHÒNG</t>
  </si>
  <si>
    <t>GIỜ VÀO</t>
  </si>
  <si>
    <t>GIỜ RA</t>
  </si>
  <si>
    <t>TÊN HÀNG</t>
  </si>
  <si>
    <t>PHÁT SINH HÀNG HOÁ</t>
  </si>
  <si>
    <t>MÃ PHÒNG</t>
  </si>
  <si>
    <t>ĐƠN GIÁ</t>
  </si>
  <si>
    <t>THÀNH TIỀN</t>
  </si>
  <si>
    <t>GIẶT ỦI</t>
  </si>
  <si>
    <t>SỐ BỘ</t>
  </si>
  <si>
    <t>GHI SỔ</t>
  </si>
  <si>
    <t>SL NHẬP</t>
  </si>
  <si>
    <t>SL BÁN</t>
  </si>
  <si>
    <t>LOẠI NGHỈ</t>
  </si>
  <si>
    <t>GIỜ</t>
  </si>
  <si>
    <t>ĐÊM</t>
  </si>
  <si>
    <t>PHÚT</t>
  </si>
  <si>
    <t>SỐ PHÒNG</t>
  </si>
  <si>
    <t>Làm tròn</t>
  </si>
  <si>
    <t>Nghỉ giờ</t>
  </si>
  <si>
    <t>đ/giờ</t>
  </si>
  <si>
    <t>Qua đêm</t>
  </si>
  <si>
    <t>đ/đêm</t>
  </si>
  <si>
    <t>đ/ngày</t>
  </si>
  <si>
    <t>Thêm giờ</t>
  </si>
  <si>
    <t>Thời gian nghỉ</t>
  </si>
  <si>
    <t>Số giờ</t>
  </si>
  <si>
    <t>Nước suối nhỏ</t>
  </si>
  <si>
    <t>Ngày full</t>
  </si>
  <si>
    <t>HÀNG</t>
  </si>
  <si>
    <t>TỔNG</t>
  </si>
  <si>
    <t>MÃ HÀNG</t>
  </si>
  <si>
    <t>TEN</t>
  </si>
  <si>
    <t>SLNHAP</t>
  </si>
  <si>
    <t>MAPHONG</t>
  </si>
  <si>
    <t>SLBAN</t>
  </si>
  <si>
    <t>DG</t>
  </si>
  <si>
    <t>TT</t>
  </si>
  <si>
    <t>A</t>
  </si>
  <si>
    <t>B</t>
  </si>
  <si>
    <t>C</t>
  </si>
  <si>
    <t>D</t>
  </si>
  <si>
    <t>E</t>
  </si>
  <si>
    <t>F</t>
  </si>
  <si>
    <t>G</t>
  </si>
  <si>
    <t>H</t>
  </si>
  <si>
    <t>Khách sạn A</t>
  </si>
  <si>
    <t>Mr. Tester</t>
  </si>
  <si>
    <t>Kế toán</t>
  </si>
  <si>
    <t>NGÀY RA</t>
  </si>
  <si>
    <t>DANH SÁCH PHÒNG NGHỈ</t>
  </si>
  <si>
    <t>Chọn mã:</t>
  </si>
  <si>
    <t>BIÊN LAI THANH TOÁN</t>
  </si>
  <si>
    <t>Số phòng</t>
  </si>
  <si>
    <t>Giờ vào</t>
  </si>
  <si>
    <t>Giờ ra</t>
  </si>
  <si>
    <t>ngày</t>
  </si>
  <si>
    <t>Nội dung</t>
  </si>
  <si>
    <t>Tiền phòng</t>
  </si>
  <si>
    <t>Số lượng</t>
  </si>
  <si>
    <t>Đơn giá</t>
  </si>
  <si>
    <t>Thành tiền</t>
  </si>
  <si>
    <t>Hàng hoá</t>
  </si>
  <si>
    <t>Người lập phiếu</t>
  </si>
  <si>
    <t>BÁO CÁO TỔNG HỢP</t>
  </si>
  <si>
    <t>HÀNG HOÁ</t>
  </si>
  <si>
    <t>SỐ LƯỢNG HÀNG HOÁ</t>
  </si>
  <si>
    <t>GIÁ ĐẦU VÀO</t>
  </si>
  <si>
    <t>GIÁ ĐẦU RA</t>
  </si>
  <si>
    <t>CHI PHÍ</t>
  </si>
  <si>
    <t>DOANH THU</t>
  </si>
  <si>
    <t>List phòng</t>
  </si>
  <si>
    <t>tienphong</t>
  </si>
  <si>
    <t>giatla</t>
  </si>
  <si>
    <t xml:space="preserve">Từ ngày: </t>
  </si>
  <si>
    <t xml:space="preserve">Đến ngày: </t>
  </si>
  <si>
    <t>Tổng chi phí:</t>
  </si>
  <si>
    <t>Tổng doanh thu</t>
  </si>
  <si>
    <t>MÃ</t>
  </si>
  <si>
    <t>TÊN</t>
  </si>
  <si>
    <t>E101</t>
  </si>
  <si>
    <t>E102</t>
  </si>
  <si>
    <t>E103</t>
  </si>
  <si>
    <t>E201</t>
  </si>
  <si>
    <t>E202</t>
  </si>
  <si>
    <t>E203</t>
  </si>
  <si>
    <t>E301</t>
  </si>
  <si>
    <t>E302</t>
  </si>
  <si>
    <t>E303</t>
  </si>
  <si>
    <t>E401</t>
  </si>
  <si>
    <t>E402</t>
  </si>
  <si>
    <t>E403</t>
  </si>
  <si>
    <t>E501</t>
  </si>
  <si>
    <t>E502</t>
  </si>
  <si>
    <t>E503</t>
  </si>
  <si>
    <t>DS_phong</t>
  </si>
  <si>
    <r>
      <rPr>
        <b/>
        <sz val="12"/>
        <color rgb="FF0000FF"/>
        <rFont val="Cambria"/>
        <family val="1"/>
        <charset val="163"/>
        <scheme val="major"/>
      </rPr>
      <t>Lãi</t>
    </r>
    <r>
      <rPr>
        <b/>
        <sz val="12"/>
        <color theme="1"/>
        <rFont val="Cambria"/>
        <family val="1"/>
        <charset val="163"/>
        <scheme val="major"/>
      </rPr>
      <t xml:space="preserve"> / </t>
    </r>
    <r>
      <rPr>
        <b/>
        <sz val="12"/>
        <color rgb="FFFF0000"/>
        <rFont val="Cambria"/>
        <family val="1"/>
        <charset val="163"/>
        <scheme val="major"/>
      </rPr>
      <t xml:space="preserve">Lỗ </t>
    </r>
  </si>
  <si>
    <t>PE101MA1</t>
  </si>
  <si>
    <t>PE102MA1</t>
  </si>
  <si>
    <t>MAHANG</t>
  </si>
  <si>
    <t>BCDR</t>
  </si>
  <si>
    <t>Tồn đầu</t>
  </si>
  <si>
    <t>Tồn cuối</t>
  </si>
  <si>
    <t>DANH MỤC HÀNG HOÁ</t>
  </si>
  <si>
    <t>Danh mục Hàng hoá</t>
  </si>
  <si>
    <t>Nhập xuất hàng hoá</t>
  </si>
  <si>
    <t>Ghi sổ phát sinh</t>
  </si>
  <si>
    <t xml:space="preserve">3. </t>
  </si>
  <si>
    <t>Báo cáo tổng hợp Chi phí, doanh thu</t>
  </si>
  <si>
    <t>Check phòng</t>
  </si>
  <si>
    <t>In biên lai thanh toán</t>
  </si>
  <si>
    <t>Hạn sử dụng:</t>
  </si>
  <si>
    <t>CHƯƠNG TRÌNH QUẢN LÝ NHÀ HÀNG, KHÁCH SẠN, NHÀ NGHỈ</t>
  </si>
  <si>
    <t>ĐIỆN</t>
  </si>
  <si>
    <t>NƯỚC</t>
  </si>
  <si>
    <t>KHÁC</t>
  </si>
  <si>
    <t>X</t>
  </si>
</sst>
</file>

<file path=xl/styles.xml><?xml version="1.0" encoding="utf-8"?>
<styleSheet xmlns="http://schemas.openxmlformats.org/spreadsheetml/2006/main">
  <numFmts count="3">
    <numFmt numFmtId="164" formatCode="_-* #,##0.00\ _₫_-;\-* #,##0.00\ _₫_-;_-* &quot;-&quot;??\ _₫_-;_-@_-"/>
    <numFmt numFmtId="165" formatCode="&quot;Từ ngày: &quot;dd/mm/yyyy"/>
    <numFmt numFmtId="166" formatCode="&quot;Ngày &quot;dd&quot; tháng &quot;mm&quot; năm &quot;yyyy"/>
  </numFmts>
  <fonts count="61">
    <font>
      <sz val="10"/>
      <color theme="1"/>
      <name val="Arial"/>
      <family val="2"/>
    </font>
    <font>
      <sz val="11"/>
      <color theme="1"/>
      <name val="Calibri"/>
      <family val="2"/>
      <scheme val="minor"/>
    </font>
    <font>
      <u/>
      <sz val="10"/>
      <color theme="10"/>
      <name val="Arial"/>
      <family val="2"/>
    </font>
    <font>
      <b/>
      <sz val="12"/>
      <color rgb="FFFF0000"/>
      <name val="Times New Roman"/>
      <family val="1"/>
    </font>
    <font>
      <sz val="12"/>
      <color theme="1"/>
      <name val="Times New Roman"/>
      <family val="1"/>
    </font>
    <font>
      <b/>
      <sz val="12"/>
      <color theme="1"/>
      <name val="Times New Roman"/>
      <family val="1"/>
    </font>
    <font>
      <sz val="10"/>
      <name val="Arial"/>
      <family val="2"/>
    </font>
    <font>
      <sz val="10"/>
      <color theme="1"/>
      <name val="Arial"/>
      <family val="2"/>
    </font>
    <font>
      <b/>
      <sz val="14"/>
      <color rgb="FFFF0000"/>
      <name val="Times New Roman"/>
      <family val="1"/>
    </font>
    <font>
      <b/>
      <sz val="14"/>
      <color rgb="FF0000FF"/>
      <name val="Times New Roman"/>
      <family val="1"/>
    </font>
    <font>
      <sz val="11"/>
      <color theme="1"/>
      <name val="Cambria"/>
      <family val="1"/>
      <charset val="163"/>
      <scheme val="major"/>
    </font>
    <font>
      <sz val="8"/>
      <color theme="1"/>
      <name val="Cambria"/>
      <family val="1"/>
      <charset val="163"/>
      <scheme val="major"/>
    </font>
    <font>
      <b/>
      <sz val="11"/>
      <color theme="1"/>
      <name val="Cambria"/>
      <family val="1"/>
      <charset val="163"/>
      <scheme val="major"/>
    </font>
    <font>
      <b/>
      <sz val="11"/>
      <color rgb="FFFF0000"/>
      <name val="Cambria"/>
      <family val="1"/>
      <charset val="163"/>
      <scheme val="major"/>
    </font>
    <font>
      <sz val="11"/>
      <color rgb="FFFF0000"/>
      <name val="Cambria"/>
      <family val="1"/>
      <charset val="163"/>
      <scheme val="major"/>
    </font>
    <font>
      <sz val="11"/>
      <name val="Cambria"/>
      <family val="1"/>
      <charset val="163"/>
      <scheme val="major"/>
    </font>
    <font>
      <sz val="8"/>
      <name val="Cambria"/>
      <family val="1"/>
      <charset val="163"/>
      <scheme val="major"/>
    </font>
    <font>
      <sz val="10"/>
      <name val="Cambria"/>
      <family val="1"/>
      <charset val="163"/>
      <scheme val="major"/>
    </font>
    <font>
      <sz val="9"/>
      <name val="Cambria"/>
      <family val="1"/>
      <charset val="163"/>
      <scheme val="major"/>
    </font>
    <font>
      <sz val="8"/>
      <color rgb="FFFF0000"/>
      <name val="Cambria"/>
      <family val="1"/>
      <charset val="163"/>
      <scheme val="major"/>
    </font>
    <font>
      <sz val="10"/>
      <color theme="1"/>
      <name val="Cambria"/>
      <family val="1"/>
      <charset val="163"/>
      <scheme val="major"/>
    </font>
    <font>
      <b/>
      <sz val="16"/>
      <color indexed="8"/>
      <name val="Cambria"/>
      <family val="1"/>
      <charset val="163"/>
      <scheme val="major"/>
    </font>
    <font>
      <b/>
      <sz val="10"/>
      <color indexed="8"/>
      <name val="Cambria"/>
      <family val="1"/>
      <charset val="163"/>
      <scheme val="major"/>
    </font>
    <font>
      <b/>
      <sz val="10"/>
      <color rgb="FFFF0000"/>
      <name val="Cambria"/>
      <family val="1"/>
      <charset val="163"/>
      <scheme val="major"/>
    </font>
    <font>
      <sz val="10"/>
      <color rgb="FFFF0000"/>
      <name val="Cambria"/>
      <family val="1"/>
      <charset val="163"/>
      <scheme val="major"/>
    </font>
    <font>
      <b/>
      <sz val="10"/>
      <color theme="1"/>
      <name val="Cambria"/>
      <family val="1"/>
      <charset val="163"/>
      <scheme val="major"/>
    </font>
    <font>
      <i/>
      <sz val="10"/>
      <color theme="1"/>
      <name val="Cambria"/>
      <family val="1"/>
      <charset val="163"/>
      <scheme val="major"/>
    </font>
    <font>
      <b/>
      <sz val="11"/>
      <name val="Cambria"/>
      <family val="1"/>
      <charset val="163"/>
      <scheme val="major"/>
    </font>
    <font>
      <b/>
      <sz val="10"/>
      <color theme="10"/>
      <name val="Cambria"/>
      <family val="1"/>
      <charset val="163"/>
      <scheme val="major"/>
    </font>
    <font>
      <b/>
      <sz val="16"/>
      <color indexed="10"/>
      <name val="Cambria"/>
      <family val="1"/>
      <charset val="163"/>
      <scheme val="major"/>
    </font>
    <font>
      <sz val="12"/>
      <color indexed="8"/>
      <name val="Cambria"/>
      <family val="1"/>
      <charset val="163"/>
      <scheme val="major"/>
    </font>
    <font>
      <b/>
      <i/>
      <sz val="12"/>
      <color indexed="8"/>
      <name val="Cambria"/>
      <family val="1"/>
      <charset val="163"/>
      <scheme val="major"/>
    </font>
    <font>
      <b/>
      <sz val="16"/>
      <color rgb="FF0000FF"/>
      <name val="Cambria"/>
      <family val="1"/>
      <charset val="163"/>
      <scheme val="major"/>
    </font>
    <font>
      <sz val="12"/>
      <color rgb="FF0000FF"/>
      <name val="Cambria"/>
      <family val="1"/>
      <charset val="163"/>
      <scheme val="major"/>
    </font>
    <font>
      <b/>
      <sz val="12"/>
      <color rgb="FF0000FF"/>
      <name val="Cambria"/>
      <family val="1"/>
      <charset val="163"/>
      <scheme val="major"/>
    </font>
    <font>
      <sz val="10"/>
      <color rgb="FF0000FF"/>
      <name val="Cambria"/>
      <family val="1"/>
      <charset val="163"/>
      <scheme val="major"/>
    </font>
    <font>
      <sz val="12"/>
      <color theme="10"/>
      <name val="Cambria"/>
      <family val="1"/>
      <charset val="163"/>
      <scheme val="major"/>
    </font>
    <font>
      <i/>
      <sz val="12"/>
      <color indexed="12"/>
      <name val="Cambria"/>
      <family val="1"/>
      <charset val="163"/>
      <scheme val="major"/>
    </font>
    <font>
      <sz val="12"/>
      <color indexed="12"/>
      <name val="Cambria"/>
      <family val="1"/>
      <charset val="163"/>
      <scheme val="major"/>
    </font>
    <font>
      <b/>
      <sz val="12"/>
      <color indexed="10"/>
      <name val="Cambria"/>
      <family val="1"/>
      <charset val="163"/>
      <scheme val="major"/>
    </font>
    <font>
      <i/>
      <sz val="12"/>
      <color indexed="8"/>
      <name val="Cambria"/>
      <family val="1"/>
      <charset val="163"/>
      <scheme val="major"/>
    </font>
    <font>
      <b/>
      <sz val="14"/>
      <color indexed="10"/>
      <name val="Cambria"/>
      <family val="1"/>
      <charset val="163"/>
      <scheme val="major"/>
    </font>
    <font>
      <sz val="12"/>
      <color theme="1"/>
      <name val="Cambria"/>
      <family val="1"/>
      <charset val="163"/>
      <scheme val="major"/>
    </font>
    <font>
      <b/>
      <sz val="14"/>
      <color theme="1"/>
      <name val="Cambria"/>
      <family val="1"/>
      <charset val="163"/>
      <scheme val="major"/>
    </font>
    <font>
      <b/>
      <sz val="12"/>
      <color theme="1"/>
      <name val="Cambria"/>
      <family val="1"/>
      <charset val="163"/>
      <scheme val="major"/>
    </font>
    <font>
      <sz val="12"/>
      <color rgb="FFFF0000"/>
      <name val="Cambria"/>
      <family val="1"/>
      <charset val="163"/>
      <scheme val="major"/>
    </font>
    <font>
      <b/>
      <sz val="12"/>
      <color rgb="FFFF0000"/>
      <name val="Cambria"/>
      <family val="1"/>
      <charset val="163"/>
      <scheme val="major"/>
    </font>
    <font>
      <u/>
      <sz val="12"/>
      <color theme="10"/>
      <name val="Cambria"/>
      <family val="1"/>
      <charset val="163"/>
      <scheme val="major"/>
    </font>
    <font>
      <sz val="10"/>
      <color indexed="8"/>
      <name val="Cambria"/>
      <family val="1"/>
      <charset val="163"/>
      <scheme val="major"/>
    </font>
    <font>
      <sz val="7"/>
      <color theme="1"/>
      <name val="Cambria"/>
      <family val="1"/>
      <charset val="163"/>
      <scheme val="major"/>
    </font>
    <font>
      <b/>
      <i/>
      <sz val="10"/>
      <color theme="1"/>
      <name val="Cambria"/>
      <family val="1"/>
      <charset val="163"/>
      <scheme val="major"/>
    </font>
    <font>
      <b/>
      <sz val="10"/>
      <color rgb="FF0000FF"/>
      <name val="Arial"/>
      <family val="2"/>
      <charset val="163"/>
    </font>
    <font>
      <b/>
      <sz val="14"/>
      <color rgb="FF0000FF"/>
      <name val="Arial"/>
      <family val="2"/>
      <charset val="163"/>
    </font>
    <font>
      <b/>
      <sz val="12"/>
      <color theme="1"/>
      <name val="Arial"/>
      <family val="2"/>
      <charset val="163"/>
    </font>
    <font>
      <b/>
      <sz val="12"/>
      <color rgb="FF0000FF"/>
      <name val="Arial"/>
      <family val="2"/>
      <charset val="163"/>
    </font>
    <font>
      <i/>
      <sz val="12"/>
      <color theme="1"/>
      <name val="Cambria"/>
      <family val="1"/>
      <charset val="163"/>
      <scheme val="major"/>
    </font>
    <font>
      <sz val="10"/>
      <color theme="0"/>
      <name val="Cambria"/>
      <family val="1"/>
      <charset val="163"/>
      <scheme val="major"/>
    </font>
    <font>
      <b/>
      <sz val="16"/>
      <color theme="1"/>
      <name val="Cambria"/>
      <family val="1"/>
      <charset val="163"/>
      <scheme val="major"/>
    </font>
    <font>
      <b/>
      <sz val="12"/>
      <color theme="10"/>
      <name val="Cambria"/>
      <family val="1"/>
      <charset val="163"/>
      <scheme val="major"/>
    </font>
    <font>
      <b/>
      <sz val="11"/>
      <color rgb="FF0000FF"/>
      <name val="Cambria"/>
      <family val="1"/>
      <charset val="163"/>
      <scheme val="major"/>
    </font>
    <font>
      <sz val="10"/>
      <color theme="0" tint="-0.14999847407452621"/>
      <name val="Cambria"/>
      <family val="1"/>
      <charset val="163"/>
      <scheme val="major"/>
    </font>
  </fonts>
  <fills count="11">
    <fill>
      <patternFill patternType="none"/>
    </fill>
    <fill>
      <patternFill patternType="gray125"/>
    </fill>
    <fill>
      <patternFill patternType="solid">
        <fgColor rgb="FF99FFCC"/>
        <bgColor indexed="64"/>
      </patternFill>
    </fill>
    <fill>
      <patternFill patternType="solid">
        <fgColor rgb="FFCCCCFF"/>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
      <left style="thin">
        <color indexed="64"/>
      </left>
      <right/>
      <top style="medium">
        <color indexed="64"/>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style="thin">
        <color indexed="64"/>
      </left>
      <right style="thin">
        <color indexed="64"/>
      </right>
      <top style="hair">
        <color indexed="64"/>
      </top>
      <bottom/>
      <diagonal/>
    </border>
  </borders>
  <cellStyleXfs count="4">
    <xf numFmtId="0" fontId="0" fillId="0" borderId="0"/>
    <xf numFmtId="0" fontId="2" fillId="0" borderId="0" applyNumberFormat="0" applyFill="0" applyBorder="0" applyAlignment="0" applyProtection="0"/>
    <xf numFmtId="164" fontId="7" fillId="0" borderId="0" applyFont="0" applyFill="0" applyBorder="0" applyAlignment="0" applyProtection="0"/>
    <xf numFmtId="0" fontId="1" fillId="0" borderId="0"/>
  </cellStyleXfs>
  <cellXfs count="432">
    <xf numFmtId="0" fontId="0" fillId="0" borderId="0" xfId="0"/>
    <xf numFmtId="0" fontId="0" fillId="0" borderId="0" xfId="0"/>
    <xf numFmtId="14" fontId="0" fillId="0" borderId="0" xfId="0" applyNumberFormat="1"/>
    <xf numFmtId="0" fontId="0" fillId="0" borderId="0" xfId="0" applyBorder="1" applyAlignment="1">
      <alignment vertical="center"/>
    </xf>
    <xf numFmtId="0" fontId="0" fillId="0" borderId="0" xfId="0" applyNumberFormat="1" applyBorder="1" applyAlignment="1">
      <alignment horizontal="center" vertical="center"/>
    </xf>
    <xf numFmtId="0" fontId="4" fillId="0" borderId="0" xfId="0" applyFont="1"/>
    <xf numFmtId="0" fontId="6" fillId="0" borderId="0" xfId="0" applyFont="1" applyBorder="1" applyAlignment="1">
      <alignment vertical="center"/>
    </xf>
    <xf numFmtId="0" fontId="6" fillId="0" borderId="0" xfId="0" applyFont="1"/>
    <xf numFmtId="0" fontId="6" fillId="0" borderId="0" xfId="0" applyNumberFormat="1" applyFont="1" applyBorder="1" applyAlignment="1">
      <alignment horizontal="center" vertical="center"/>
    </xf>
    <xf numFmtId="0" fontId="4" fillId="0" borderId="0" xfId="3" applyFont="1"/>
    <xf numFmtId="0" fontId="1" fillId="0" borderId="0" xfId="3"/>
    <xf numFmtId="0" fontId="9" fillId="0" borderId="0" xfId="3" applyFont="1" applyAlignment="1">
      <alignment vertical="center"/>
    </xf>
    <xf numFmtId="0" fontId="4" fillId="0" borderId="0" xfId="3" applyFont="1" applyAlignment="1">
      <alignment vertical="center"/>
    </xf>
    <xf numFmtId="0" fontId="4" fillId="0" borderId="0" xfId="3" quotePrefix="1" applyFont="1" applyAlignment="1">
      <alignment vertical="center"/>
    </xf>
    <xf numFmtId="0" fontId="3" fillId="0" borderId="0" xfId="3" applyFont="1" applyAlignment="1">
      <alignment vertical="center"/>
    </xf>
    <xf numFmtId="0" fontId="5" fillId="0" borderId="0" xfId="3" applyFont="1" applyAlignment="1">
      <alignment vertical="center"/>
    </xf>
    <xf numFmtId="0" fontId="1" fillId="0" borderId="0" xfId="3" applyAlignment="1">
      <alignment vertical="center" wrapText="1"/>
    </xf>
    <xf numFmtId="0" fontId="4" fillId="0" borderId="0" xfId="3" quotePrefix="1" applyFont="1" applyAlignment="1">
      <alignment horizontal="left" vertical="center" wrapText="1"/>
    </xf>
    <xf numFmtId="0" fontId="1" fillId="0" borderId="0" xfId="3" applyAlignment="1">
      <alignment horizontal="left" vertical="center" wrapText="1"/>
    </xf>
    <xf numFmtId="0" fontId="5" fillId="0" borderId="0" xfId="3" applyFont="1"/>
    <xf numFmtId="0" fontId="4" fillId="0" borderId="0" xfId="3" quotePrefix="1" applyFont="1"/>
    <xf numFmtId="0" fontId="4" fillId="0" borderId="0" xfId="3" quotePrefix="1" applyFont="1" applyFill="1" applyBorder="1"/>
    <xf numFmtId="14" fontId="30" fillId="3" borderId="0" xfId="0" applyNumberFormat="1" applyFont="1" applyFill="1" applyBorder="1" applyAlignment="1" applyProtection="1">
      <alignment horizontal="left" vertical="center"/>
      <protection locked="0"/>
    </xf>
    <xf numFmtId="0" fontId="20" fillId="0" borderId="0" xfId="0" applyFont="1" applyProtection="1"/>
    <xf numFmtId="0" fontId="20" fillId="3" borderId="5" xfId="0" applyFont="1" applyFill="1" applyBorder="1" applyProtection="1"/>
    <xf numFmtId="0" fontId="20" fillId="3" borderId="6" xfId="0" applyFont="1" applyFill="1" applyBorder="1" applyProtection="1"/>
    <xf numFmtId="0" fontId="20" fillId="3" borderId="7" xfId="0" applyFont="1" applyFill="1" applyBorder="1" applyProtection="1"/>
    <xf numFmtId="0" fontId="20" fillId="3" borderId="4" xfId="0" applyFont="1" applyFill="1" applyBorder="1" applyProtection="1"/>
    <xf numFmtId="0" fontId="20" fillId="3" borderId="0" xfId="0" applyFont="1" applyFill="1" applyBorder="1" applyProtection="1"/>
    <xf numFmtId="0" fontId="20" fillId="3" borderId="8" xfId="0" applyFont="1" applyFill="1" applyBorder="1" applyProtection="1"/>
    <xf numFmtId="0" fontId="30" fillId="3" borderId="0" xfId="0" applyFont="1" applyFill="1" applyBorder="1" applyAlignment="1" applyProtection="1">
      <alignment vertical="center"/>
    </xf>
    <xf numFmtId="0" fontId="31" fillId="3" borderId="0" xfId="0" applyFont="1" applyFill="1" applyBorder="1" applyAlignment="1" applyProtection="1">
      <alignment vertical="center"/>
    </xf>
    <xf numFmtId="0" fontId="20" fillId="3" borderId="0" xfId="0" applyFont="1" applyFill="1" applyBorder="1" applyAlignment="1" applyProtection="1">
      <alignment vertical="center"/>
    </xf>
    <xf numFmtId="0" fontId="30" fillId="3" borderId="0" xfId="0" applyFont="1" applyFill="1" applyBorder="1" applyAlignment="1" applyProtection="1">
      <alignment horizontal="left" vertical="center"/>
    </xf>
    <xf numFmtId="0" fontId="31" fillId="3" borderId="0" xfId="0" applyFont="1" applyFill="1" applyBorder="1" applyAlignment="1" applyProtection="1">
      <alignment horizontal="right" vertical="center"/>
    </xf>
    <xf numFmtId="0" fontId="20" fillId="2" borderId="4" xfId="0" applyFont="1" applyFill="1" applyBorder="1" applyProtection="1"/>
    <xf numFmtId="0" fontId="20" fillId="2" borderId="0" xfId="0" applyFont="1" applyFill="1" applyBorder="1" applyProtection="1"/>
    <xf numFmtId="0" fontId="20" fillId="2" borderId="8" xfId="0" applyFont="1" applyFill="1" applyBorder="1" applyProtection="1"/>
    <xf numFmtId="0" fontId="42" fillId="2" borderId="6" xfId="0" applyFont="1" applyFill="1" applyBorder="1" applyProtection="1"/>
    <xf numFmtId="0" fontId="33" fillId="2" borderId="0" xfId="0" applyFont="1" applyFill="1" applyBorder="1" applyAlignment="1" applyProtection="1">
      <alignment vertical="center"/>
    </xf>
    <xf numFmtId="0" fontId="33" fillId="2" borderId="5" xfId="0" applyFont="1" applyFill="1" applyBorder="1" applyAlignment="1" applyProtection="1">
      <alignment vertical="center"/>
    </xf>
    <xf numFmtId="0" fontId="33" fillId="2" borderId="6" xfId="0" applyFont="1" applyFill="1" applyBorder="1" applyAlignment="1" applyProtection="1">
      <alignment vertical="center"/>
    </xf>
    <xf numFmtId="0" fontId="42" fillId="2" borderId="0" xfId="0" applyFont="1" applyFill="1" applyBorder="1" applyProtection="1"/>
    <xf numFmtId="0" fontId="34" fillId="2" borderId="4" xfId="0" applyFont="1" applyFill="1" applyBorder="1" applyAlignment="1" applyProtection="1">
      <alignment horizontal="center" vertical="center"/>
    </xf>
    <xf numFmtId="0" fontId="34" fillId="2" borderId="0" xfId="0" applyFont="1" applyFill="1" applyBorder="1" applyAlignment="1" applyProtection="1">
      <alignment horizontal="center" vertical="center"/>
    </xf>
    <xf numFmtId="0" fontId="35" fillId="2" borderId="4" xfId="0" applyFont="1" applyFill="1" applyBorder="1" applyProtection="1"/>
    <xf numFmtId="0" fontId="37" fillId="2" borderId="4" xfId="1" applyFont="1" applyFill="1" applyBorder="1" applyAlignment="1" applyProtection="1">
      <alignment horizontal="left" vertical="center"/>
    </xf>
    <xf numFmtId="0" fontId="38" fillId="2" borderId="0" xfId="1" applyFont="1" applyFill="1" applyBorder="1" applyAlignment="1" applyProtection="1">
      <alignment horizontal="left" vertical="center"/>
    </xf>
    <xf numFmtId="0" fontId="20" fillId="2" borderId="9" xfId="0" applyFont="1" applyFill="1" applyBorder="1" applyProtection="1"/>
    <xf numFmtId="0" fontId="42" fillId="2" borderId="10" xfId="0" applyFont="1" applyFill="1" applyBorder="1" applyProtection="1"/>
    <xf numFmtId="0" fontId="20" fillId="2" borderId="11" xfId="0" applyFont="1" applyFill="1" applyBorder="1" applyProtection="1"/>
    <xf numFmtId="0" fontId="39" fillId="0" borderId="0" xfId="0" applyFont="1" applyAlignment="1" applyProtection="1">
      <alignment vertical="center"/>
    </xf>
    <xf numFmtId="0" fontId="30" fillId="0" borderId="0" xfId="0" applyFont="1" applyAlignment="1" applyProtection="1">
      <alignment vertical="center"/>
    </xf>
    <xf numFmtId="0" fontId="20" fillId="0" borderId="0" xfId="0" applyFont="1" applyAlignment="1" applyProtection="1">
      <alignment vertical="center"/>
    </xf>
    <xf numFmtId="0" fontId="30" fillId="0" borderId="0" xfId="0" applyFont="1" applyAlignment="1" applyProtection="1">
      <alignment horizontal="left" vertical="center" wrapText="1"/>
    </xf>
    <xf numFmtId="0" fontId="33" fillId="0" borderId="0" xfId="0" applyFont="1" applyAlignment="1" applyProtection="1">
      <alignment vertical="center" wrapText="1"/>
    </xf>
    <xf numFmtId="0" fontId="38" fillId="0" borderId="0" xfId="0" applyFont="1" applyAlignment="1" applyProtection="1">
      <alignment vertical="center" wrapText="1"/>
    </xf>
    <xf numFmtId="0" fontId="33" fillId="0" borderId="0" xfId="0" applyFont="1" applyProtection="1"/>
    <xf numFmtId="0" fontId="41" fillId="0" borderId="0" xfId="0" applyFont="1" applyAlignment="1" applyProtection="1">
      <alignment vertical="center"/>
    </xf>
    <xf numFmtId="0" fontId="33" fillId="0" borderId="0" xfId="0" applyFont="1" applyAlignment="1" applyProtection="1">
      <alignment vertical="center"/>
    </xf>
    <xf numFmtId="3" fontId="33" fillId="0" borderId="0" xfId="0" applyNumberFormat="1" applyFont="1" applyAlignment="1" applyProtection="1">
      <alignment vertical="center" wrapText="1"/>
      <protection locked="0"/>
    </xf>
    <xf numFmtId="3" fontId="38" fillId="0" borderId="0" xfId="0" applyNumberFormat="1" applyFont="1" applyAlignment="1" applyProtection="1">
      <alignment vertical="center" wrapText="1"/>
      <protection locked="0"/>
    </xf>
    <xf numFmtId="0" fontId="28" fillId="6" borderId="3" xfId="1" applyFont="1" applyFill="1" applyBorder="1" applyAlignment="1" applyProtection="1">
      <alignment horizontal="center" vertical="center"/>
      <protection hidden="1"/>
    </xf>
    <xf numFmtId="0" fontId="10" fillId="0" borderId="0" xfId="0" applyFont="1" applyAlignment="1" applyProtection="1">
      <alignment horizontal="center" vertical="center"/>
      <protection hidden="1"/>
    </xf>
    <xf numFmtId="0" fontId="10" fillId="0" borderId="0" xfId="0" applyFont="1" applyAlignment="1" applyProtection="1">
      <alignment vertical="center"/>
      <protection hidden="1"/>
    </xf>
    <xf numFmtId="14" fontId="10" fillId="0" borderId="0" xfId="0" applyNumberFormat="1" applyFont="1" applyAlignment="1" applyProtection="1">
      <alignment vertical="center"/>
      <protection hidden="1"/>
    </xf>
    <xf numFmtId="0" fontId="28" fillId="6" borderId="2" xfId="1" applyFont="1" applyFill="1" applyBorder="1" applyAlignment="1" applyProtection="1">
      <alignment horizontal="center" vertical="center"/>
      <protection hidden="1"/>
    </xf>
    <xf numFmtId="3" fontId="10" fillId="0" borderId="0" xfId="0" applyNumberFormat="1" applyFont="1" applyAlignment="1" applyProtection="1">
      <alignment vertical="center"/>
      <protection hidden="1"/>
    </xf>
    <xf numFmtId="14" fontId="43" fillId="0" borderId="0" xfId="0" applyNumberFormat="1" applyFont="1" applyAlignment="1" applyProtection="1">
      <alignment vertical="center"/>
      <protection hidden="1"/>
    </xf>
    <xf numFmtId="0" fontId="10" fillId="0" borderId="0" xfId="0" applyNumberFormat="1" applyFont="1" applyAlignment="1" applyProtection="1">
      <alignment vertical="center"/>
      <protection hidden="1"/>
    </xf>
    <xf numFmtId="0" fontId="12" fillId="0" borderId="0" xfId="0" applyFont="1" applyAlignment="1" applyProtection="1">
      <alignment horizontal="center" vertical="center"/>
      <protection hidden="1"/>
    </xf>
    <xf numFmtId="14" fontId="27" fillId="0" borderId="1" xfId="0" applyNumberFormat="1" applyFont="1" applyFill="1" applyBorder="1" applyAlignment="1" applyProtection="1">
      <alignment horizontal="center" vertical="center"/>
      <protection hidden="1"/>
    </xf>
    <xf numFmtId="0" fontId="27" fillId="0" borderId="1" xfId="0" applyFont="1" applyFill="1" applyBorder="1" applyAlignment="1" applyProtection="1">
      <alignment horizontal="center" vertical="center"/>
      <protection hidden="1"/>
    </xf>
    <xf numFmtId="3" fontId="27" fillId="0" borderId="1" xfId="0" applyNumberFormat="1" applyFont="1" applyFill="1" applyBorder="1" applyAlignment="1" applyProtection="1">
      <alignment horizontal="center" vertical="center"/>
      <protection hidden="1"/>
    </xf>
    <xf numFmtId="0" fontId="12" fillId="0" borderId="1" xfId="0" applyFont="1" applyBorder="1" applyAlignment="1" applyProtection="1">
      <alignment horizontal="center" vertical="center"/>
      <protection hidden="1"/>
    </xf>
    <xf numFmtId="14" fontId="12" fillId="0" borderId="0" xfId="0" applyNumberFormat="1" applyFont="1" applyAlignment="1" applyProtection="1">
      <alignment horizontal="center" vertical="center"/>
      <protection hidden="1"/>
    </xf>
    <xf numFmtId="14" fontId="15" fillId="0" borderId="1" xfId="0" applyNumberFormat="1" applyFont="1" applyFill="1" applyBorder="1" applyAlignment="1" applyProtection="1">
      <alignment horizontal="center" vertical="center"/>
      <protection hidden="1"/>
    </xf>
    <xf numFmtId="0" fontId="15" fillId="0" borderId="1" xfId="0" applyFont="1" applyFill="1" applyBorder="1" applyAlignment="1" applyProtection="1">
      <alignment horizontal="center" vertical="center"/>
      <protection hidden="1"/>
    </xf>
    <xf numFmtId="3" fontId="15" fillId="0" borderId="1" xfId="0" applyNumberFormat="1" applyFont="1" applyFill="1" applyBorder="1" applyAlignment="1" applyProtection="1">
      <alignment horizontal="center" vertical="center"/>
      <protection hidden="1"/>
    </xf>
    <xf numFmtId="0" fontId="10" fillId="0" borderId="1" xfId="0" applyFont="1" applyBorder="1" applyAlignment="1" applyProtection="1">
      <alignment horizontal="center" vertical="center"/>
      <protection hidden="1"/>
    </xf>
    <xf numFmtId="14" fontId="10" fillId="0" borderId="0" xfId="0" applyNumberFormat="1" applyFont="1" applyAlignment="1" applyProtection="1">
      <alignment horizontal="center" vertical="center"/>
      <protection hidden="1"/>
    </xf>
    <xf numFmtId="3" fontId="10" fillId="0" borderId="26" xfId="0" applyNumberFormat="1" applyFont="1" applyBorder="1" applyAlignment="1" applyProtection="1">
      <alignment vertical="center"/>
      <protection hidden="1"/>
    </xf>
    <xf numFmtId="3" fontId="10" fillId="0" borderId="16" xfId="0" applyNumberFormat="1" applyFont="1" applyBorder="1" applyAlignment="1" applyProtection="1">
      <alignment vertical="center"/>
      <protection hidden="1"/>
    </xf>
    <xf numFmtId="0" fontId="14" fillId="0" borderId="0" xfId="0" applyFont="1" applyAlignment="1" applyProtection="1">
      <alignment vertical="center"/>
      <protection hidden="1"/>
    </xf>
    <xf numFmtId="0" fontId="10" fillId="0" borderId="16" xfId="0" applyFont="1" applyBorder="1" applyAlignment="1" applyProtection="1">
      <alignment vertical="center"/>
      <protection hidden="1"/>
    </xf>
    <xf numFmtId="3" fontId="10" fillId="0" borderId="27" xfId="0" applyNumberFormat="1" applyFont="1" applyBorder="1" applyAlignment="1" applyProtection="1">
      <alignment vertical="center"/>
      <protection hidden="1"/>
    </xf>
    <xf numFmtId="14" fontId="14" fillId="5" borderId="0" xfId="0" applyNumberFormat="1" applyFont="1" applyFill="1" applyAlignment="1" applyProtection="1">
      <alignment vertical="center"/>
      <protection hidden="1"/>
    </xf>
    <xf numFmtId="0" fontId="14" fillId="5" borderId="0" xfId="0" applyFont="1" applyFill="1" applyAlignment="1" applyProtection="1">
      <alignment vertical="center"/>
      <protection hidden="1"/>
    </xf>
    <xf numFmtId="3" fontId="14" fillId="5" borderId="0" xfId="0" applyNumberFormat="1" applyFont="1" applyFill="1" applyAlignment="1" applyProtection="1">
      <alignment vertical="center"/>
      <protection hidden="1"/>
    </xf>
    <xf numFmtId="0" fontId="10" fillId="5" borderId="0" xfId="0" applyFont="1" applyFill="1" applyAlignment="1" applyProtection="1">
      <alignment horizontal="center" vertical="center"/>
      <protection hidden="1"/>
    </xf>
    <xf numFmtId="0" fontId="10" fillId="5" borderId="0" xfId="0" applyFont="1" applyFill="1" applyAlignment="1" applyProtection="1">
      <alignment vertical="center"/>
      <protection hidden="1"/>
    </xf>
    <xf numFmtId="14" fontId="10" fillId="0" borderId="26" xfId="0" applyNumberFormat="1" applyFont="1" applyBorder="1" applyAlignment="1" applyProtection="1">
      <alignment horizontal="center" vertical="center"/>
      <protection locked="0" hidden="1"/>
    </xf>
    <xf numFmtId="0" fontId="10" fillId="0" borderId="26" xfId="0" applyFont="1" applyBorder="1" applyAlignment="1" applyProtection="1">
      <alignment horizontal="center"/>
      <protection locked="0" hidden="1"/>
    </xf>
    <xf numFmtId="0" fontId="15" fillId="0" borderId="26" xfId="0" applyFont="1" applyBorder="1" applyAlignment="1" applyProtection="1">
      <protection locked="0" hidden="1"/>
    </xf>
    <xf numFmtId="3" fontId="10" fillId="0" borderId="26" xfId="0" applyNumberFormat="1" applyFont="1" applyBorder="1" applyAlignment="1" applyProtection="1">
      <alignment horizontal="center" vertical="center"/>
      <protection locked="0" hidden="1"/>
    </xf>
    <xf numFmtId="3" fontId="10" fillId="0" borderId="26" xfId="0" applyNumberFormat="1" applyFont="1" applyBorder="1" applyAlignment="1" applyProtection="1">
      <alignment vertical="center"/>
      <protection locked="0" hidden="1"/>
    </xf>
    <xf numFmtId="14" fontId="10" fillId="0" borderId="16" xfId="0" applyNumberFormat="1" applyFont="1" applyBorder="1" applyAlignment="1" applyProtection="1">
      <alignment horizontal="center" vertical="center"/>
      <protection locked="0" hidden="1"/>
    </xf>
    <xf numFmtId="0" fontId="10" fillId="0" borderId="16" xfId="0" applyFont="1" applyBorder="1" applyAlignment="1" applyProtection="1">
      <alignment horizontal="center"/>
      <protection locked="0" hidden="1"/>
    </xf>
    <xf numFmtId="0" fontId="15" fillId="0" borderId="16" xfId="0" applyFont="1" applyBorder="1" applyAlignment="1" applyProtection="1">
      <protection locked="0" hidden="1"/>
    </xf>
    <xf numFmtId="3" fontId="10" fillId="0" borderId="16" xfId="0" applyNumberFormat="1" applyFont="1" applyBorder="1" applyAlignment="1" applyProtection="1">
      <alignment horizontal="center" vertical="center"/>
      <protection locked="0" hidden="1"/>
    </xf>
    <xf numFmtId="3" fontId="10" fillId="0" borderId="16" xfId="0" applyNumberFormat="1" applyFont="1" applyBorder="1" applyAlignment="1" applyProtection="1">
      <alignment vertical="center"/>
      <protection locked="0" hidden="1"/>
    </xf>
    <xf numFmtId="14" fontId="15" fillId="0" borderId="16" xfId="0" applyNumberFormat="1" applyFont="1" applyBorder="1" applyAlignment="1" applyProtection="1">
      <alignment horizontal="center" vertical="center"/>
      <protection locked="0" hidden="1"/>
    </xf>
    <xf numFmtId="3" fontId="14" fillId="0" borderId="16" xfId="0" applyNumberFormat="1" applyFont="1" applyBorder="1" applyAlignment="1" applyProtection="1">
      <alignment horizontal="center" vertical="center"/>
      <protection locked="0" hidden="1"/>
    </xf>
    <xf numFmtId="3" fontId="14" fillId="0" borderId="16" xfId="0" applyNumberFormat="1" applyFont="1" applyBorder="1" applyAlignment="1" applyProtection="1">
      <alignment vertical="center"/>
      <protection locked="0" hidden="1"/>
    </xf>
    <xf numFmtId="0" fontId="15" fillId="0" borderId="16" xfId="0" applyFont="1" applyFill="1" applyBorder="1" applyAlignment="1" applyProtection="1">
      <protection locked="0" hidden="1"/>
    </xf>
    <xf numFmtId="0" fontId="15" fillId="0" borderId="16" xfId="0" applyFont="1" applyBorder="1" applyAlignment="1" applyProtection="1">
      <alignment vertical="center"/>
      <protection locked="0" hidden="1"/>
    </xf>
    <xf numFmtId="3" fontId="15" fillId="0" borderId="16" xfId="0" applyNumberFormat="1" applyFont="1" applyBorder="1" applyAlignment="1" applyProtection="1">
      <alignment vertical="center"/>
      <protection locked="0" hidden="1"/>
    </xf>
    <xf numFmtId="14" fontId="17" fillId="0" borderId="16" xfId="0" applyNumberFormat="1" applyFont="1" applyBorder="1" applyAlignment="1" applyProtection="1">
      <alignment horizontal="center" vertical="center"/>
      <protection locked="0" hidden="1"/>
    </xf>
    <xf numFmtId="3" fontId="15" fillId="0" borderId="16" xfId="0" applyNumberFormat="1" applyFont="1" applyFill="1" applyBorder="1" applyAlignment="1" applyProtection="1">
      <alignment vertical="center"/>
      <protection locked="0" hidden="1"/>
    </xf>
    <xf numFmtId="3" fontId="17" fillId="0" borderId="16" xfId="0" applyNumberFormat="1" applyFont="1" applyFill="1" applyBorder="1" applyAlignment="1" applyProtection="1">
      <alignment vertical="center"/>
      <protection locked="0" hidden="1"/>
    </xf>
    <xf numFmtId="3" fontId="17" fillId="0" borderId="16" xfId="0" applyNumberFormat="1" applyFont="1" applyBorder="1" applyAlignment="1" applyProtection="1">
      <alignment vertical="center"/>
      <protection locked="0" hidden="1"/>
    </xf>
    <xf numFmtId="3" fontId="18" fillId="0" borderId="16" xfId="2" applyNumberFormat="1" applyFont="1" applyBorder="1" applyAlignment="1" applyProtection="1">
      <alignment vertical="center"/>
      <protection locked="0" hidden="1"/>
    </xf>
    <xf numFmtId="0" fontId="10" fillId="0" borderId="16" xfId="0" applyFont="1" applyBorder="1" applyAlignment="1" applyProtection="1">
      <alignment vertical="center"/>
      <protection locked="0" hidden="1"/>
    </xf>
    <xf numFmtId="14" fontId="10" fillId="0" borderId="27" xfId="0" applyNumberFormat="1" applyFont="1" applyBorder="1" applyAlignment="1" applyProtection="1">
      <alignment horizontal="center" vertical="center"/>
      <protection locked="0" hidden="1"/>
    </xf>
    <xf numFmtId="0" fontId="10" fillId="0" borderId="27" xfId="0" applyFont="1" applyBorder="1" applyAlignment="1" applyProtection="1">
      <alignment vertical="center"/>
      <protection locked="0" hidden="1"/>
    </xf>
    <xf numFmtId="3" fontId="10" fillId="0" borderId="27" xfId="0" applyNumberFormat="1" applyFont="1" applyBorder="1" applyAlignment="1" applyProtection="1">
      <alignment vertical="center"/>
      <protection locked="0" hidden="1"/>
    </xf>
    <xf numFmtId="3" fontId="10" fillId="0" borderId="27" xfId="0" applyNumberFormat="1" applyFont="1" applyBorder="1" applyAlignment="1" applyProtection="1">
      <alignment horizontal="center" vertical="center"/>
      <protection locked="0" hidden="1"/>
    </xf>
    <xf numFmtId="0" fontId="20" fillId="7" borderId="0" xfId="0" applyFont="1" applyFill="1" applyProtection="1">
      <protection hidden="1"/>
    </xf>
    <xf numFmtId="14" fontId="20" fillId="0" borderId="0" xfId="0" applyNumberFormat="1" applyFont="1" applyProtection="1">
      <protection hidden="1"/>
    </xf>
    <xf numFmtId="0" fontId="20" fillId="0" borderId="0" xfId="0" applyFont="1" applyAlignment="1" applyProtection="1">
      <alignment horizontal="center" vertical="center"/>
      <protection hidden="1"/>
    </xf>
    <xf numFmtId="0" fontId="20" fillId="0" borderId="0" xfId="0" applyFont="1" applyAlignment="1" applyProtection="1">
      <alignment horizontal="center"/>
      <protection hidden="1"/>
    </xf>
    <xf numFmtId="0" fontId="20" fillId="0" borderId="0" xfId="0" applyFont="1" applyProtection="1">
      <protection hidden="1"/>
    </xf>
    <xf numFmtId="3" fontId="20" fillId="0" borderId="0" xfId="0" applyNumberFormat="1" applyFont="1" applyProtection="1">
      <protection hidden="1"/>
    </xf>
    <xf numFmtId="3" fontId="20" fillId="0" borderId="0" xfId="0" applyNumberFormat="1" applyFont="1" applyAlignment="1" applyProtection="1">
      <alignment horizontal="left" vertical="center"/>
      <protection hidden="1"/>
    </xf>
    <xf numFmtId="0" fontId="20" fillId="0" borderId="0" xfId="0" applyFont="1" applyAlignment="1" applyProtection="1">
      <alignment horizontal="left" vertical="center"/>
      <protection hidden="1"/>
    </xf>
    <xf numFmtId="0" fontId="43" fillId="0" borderId="0" xfId="0" applyFont="1" applyAlignment="1" applyProtection="1">
      <alignment horizontal="left" vertical="center"/>
      <protection hidden="1"/>
    </xf>
    <xf numFmtId="0" fontId="44" fillId="0" borderId="0" xfId="0" applyFont="1" applyAlignment="1" applyProtection="1">
      <protection hidden="1"/>
    </xf>
    <xf numFmtId="0" fontId="44" fillId="0" borderId="0" xfId="0" applyFont="1" applyAlignment="1" applyProtection="1">
      <alignment horizontal="center" vertical="center"/>
      <protection hidden="1"/>
    </xf>
    <xf numFmtId="0" fontId="44" fillId="0" borderId="0" xfId="0" applyFont="1" applyAlignment="1" applyProtection="1">
      <alignment horizontal="center"/>
      <protection hidden="1"/>
    </xf>
    <xf numFmtId="14" fontId="44" fillId="0" borderId="0" xfId="0" applyNumberFormat="1" applyFont="1" applyAlignment="1" applyProtection="1">
      <protection hidden="1"/>
    </xf>
    <xf numFmtId="0" fontId="20" fillId="0" borderId="0" xfId="0" applyNumberFormat="1" applyFont="1" applyProtection="1">
      <protection hidden="1"/>
    </xf>
    <xf numFmtId="0" fontId="20" fillId="0" borderId="0" xfId="0" applyNumberFormat="1" applyFont="1" applyAlignment="1" applyProtection="1">
      <alignment horizontal="center"/>
      <protection hidden="1"/>
    </xf>
    <xf numFmtId="0" fontId="25" fillId="0" borderId="3" xfId="0" applyFont="1" applyBorder="1" applyAlignment="1" applyProtection="1">
      <alignment horizontal="center" vertical="center"/>
      <protection hidden="1"/>
    </xf>
    <xf numFmtId="0" fontId="25" fillId="0" borderId="1" xfId="0" applyFont="1" applyBorder="1" applyAlignment="1" applyProtection="1">
      <alignment horizontal="center" vertical="center" wrapText="1"/>
      <protection hidden="1"/>
    </xf>
    <xf numFmtId="3" fontId="25" fillId="0" borderId="1" xfId="0" applyNumberFormat="1" applyFont="1" applyFill="1" applyBorder="1" applyAlignment="1" applyProtection="1">
      <alignment horizontal="center" vertical="center"/>
      <protection hidden="1"/>
    </xf>
    <xf numFmtId="3" fontId="25" fillId="0" borderId="3" xfId="0" applyNumberFormat="1" applyFont="1" applyBorder="1" applyAlignment="1" applyProtection="1">
      <alignment horizontal="center" vertical="center"/>
      <protection hidden="1"/>
    </xf>
    <xf numFmtId="0" fontId="25" fillId="0" borderId="3" xfId="0" applyFont="1" applyFill="1" applyBorder="1" applyAlignment="1" applyProtection="1">
      <alignment horizontal="center" vertical="center"/>
      <protection hidden="1"/>
    </xf>
    <xf numFmtId="0" fontId="25" fillId="0" borderId="3" xfId="0" applyFont="1" applyBorder="1" applyAlignment="1" applyProtection="1">
      <alignment horizontal="center" vertical="center" wrapText="1"/>
      <protection hidden="1"/>
    </xf>
    <xf numFmtId="14" fontId="25" fillId="0" borderId="3" xfId="0" applyNumberFormat="1" applyFont="1" applyBorder="1" applyAlignment="1" applyProtection="1">
      <alignment horizontal="center" vertical="center"/>
      <protection hidden="1"/>
    </xf>
    <xf numFmtId="0" fontId="11" fillId="0" borderId="3" xfId="0" applyFont="1" applyBorder="1" applyAlignment="1" applyProtection="1">
      <alignment horizontal="center" vertical="center" wrapText="1"/>
      <protection hidden="1"/>
    </xf>
    <xf numFmtId="14" fontId="25" fillId="0" borderId="2" xfId="0" applyNumberFormat="1" applyFont="1" applyBorder="1" applyAlignment="1" applyProtection="1">
      <alignment horizontal="center" vertical="center"/>
      <protection hidden="1"/>
    </xf>
    <xf numFmtId="0" fontId="20" fillId="0" borderId="26" xfId="0" applyFont="1" applyBorder="1" applyAlignment="1" applyProtection="1">
      <alignment horizontal="center" vertical="center"/>
      <protection hidden="1"/>
    </xf>
    <xf numFmtId="4" fontId="20" fillId="0" borderId="26" xfId="0" applyNumberFormat="1" applyFont="1" applyBorder="1" applyProtection="1">
      <protection hidden="1"/>
    </xf>
    <xf numFmtId="3" fontId="20" fillId="0" borderId="26" xfId="0" applyNumberFormat="1" applyFont="1" applyBorder="1" applyProtection="1">
      <protection hidden="1"/>
    </xf>
    <xf numFmtId="0" fontId="20" fillId="0" borderId="16" xfId="0" applyFont="1" applyBorder="1" applyAlignment="1" applyProtection="1">
      <alignment horizontal="center" vertical="center"/>
      <protection hidden="1"/>
    </xf>
    <xf numFmtId="4" fontId="20" fillId="0" borderId="16" xfId="0" applyNumberFormat="1" applyFont="1" applyBorder="1" applyProtection="1">
      <protection hidden="1"/>
    </xf>
    <xf numFmtId="3" fontId="20" fillId="0" borderId="16" xfId="0" applyNumberFormat="1" applyFont="1" applyBorder="1" applyProtection="1">
      <protection hidden="1"/>
    </xf>
    <xf numFmtId="0" fontId="20" fillId="0" borderId="27" xfId="0" applyFont="1" applyBorder="1" applyAlignment="1" applyProtection="1">
      <alignment horizontal="center" vertical="center"/>
      <protection hidden="1"/>
    </xf>
    <xf numFmtId="4" fontId="20" fillId="0" borderId="27" xfId="0" applyNumberFormat="1" applyFont="1" applyBorder="1" applyProtection="1">
      <protection hidden="1"/>
    </xf>
    <xf numFmtId="3" fontId="20" fillId="0" borderId="27" xfId="0" applyNumberFormat="1" applyFont="1" applyBorder="1" applyProtection="1">
      <protection hidden="1"/>
    </xf>
    <xf numFmtId="0" fontId="20" fillId="5" borderId="0" xfId="0" applyFont="1" applyFill="1" applyAlignment="1" applyProtection="1">
      <alignment horizontal="center" vertical="center"/>
      <protection hidden="1"/>
    </xf>
    <xf numFmtId="14" fontId="20" fillId="5" borderId="0" xfId="0" applyNumberFormat="1" applyFont="1" applyFill="1" applyProtection="1">
      <protection hidden="1"/>
    </xf>
    <xf numFmtId="0" fontId="20" fillId="5" borderId="0" xfId="0" applyFont="1" applyFill="1" applyAlignment="1" applyProtection="1">
      <alignment horizontal="center"/>
      <protection hidden="1"/>
    </xf>
    <xf numFmtId="0" fontId="20" fillId="5" borderId="0" xfId="0" applyFont="1" applyFill="1" applyProtection="1">
      <protection hidden="1"/>
    </xf>
    <xf numFmtId="3" fontId="20" fillId="5" borderId="0" xfId="0" applyNumberFormat="1" applyFont="1" applyFill="1" applyProtection="1">
      <protection hidden="1"/>
    </xf>
    <xf numFmtId="0" fontId="20" fillId="7" borderId="0" xfId="0" applyFont="1" applyFill="1" applyAlignment="1" applyProtection="1">
      <alignment horizontal="center" vertical="center"/>
      <protection hidden="1"/>
    </xf>
    <xf numFmtId="14" fontId="20" fillId="7" borderId="0" xfId="0" applyNumberFormat="1" applyFont="1" applyFill="1" applyProtection="1">
      <protection hidden="1"/>
    </xf>
    <xf numFmtId="0" fontId="20" fillId="7" borderId="0" xfId="0" applyFont="1" applyFill="1" applyAlignment="1" applyProtection="1">
      <alignment horizontal="center"/>
      <protection hidden="1"/>
    </xf>
    <xf numFmtId="3" fontId="20" fillId="7" borderId="0" xfId="0" applyNumberFormat="1" applyFont="1" applyFill="1" applyProtection="1">
      <protection hidden="1"/>
    </xf>
    <xf numFmtId="14" fontId="20" fillId="0" borderId="26" xfId="0" applyNumberFormat="1" applyFont="1" applyBorder="1" applyProtection="1">
      <protection locked="0"/>
    </xf>
    <xf numFmtId="0" fontId="20" fillId="0" borderId="26" xfId="0" applyFont="1" applyBorder="1" applyAlignment="1" applyProtection="1">
      <alignment horizontal="center" vertical="center"/>
      <protection locked="0"/>
    </xf>
    <xf numFmtId="0" fontId="20" fillId="0" borderId="26" xfId="0" applyFont="1" applyBorder="1" applyAlignment="1" applyProtection="1">
      <alignment horizontal="center"/>
      <protection locked="0"/>
    </xf>
    <xf numFmtId="14" fontId="20" fillId="0" borderId="16" xfId="0" applyNumberFormat="1" applyFont="1" applyBorder="1" applyProtection="1">
      <protection locked="0"/>
    </xf>
    <xf numFmtId="0" fontId="20" fillId="0" borderId="16" xfId="0" applyFont="1" applyBorder="1" applyAlignment="1" applyProtection="1">
      <alignment horizontal="center" vertical="center"/>
      <protection locked="0"/>
    </xf>
    <xf numFmtId="0" fontId="20" fillId="0" borderId="16" xfId="0" applyFont="1" applyBorder="1" applyAlignment="1" applyProtection="1">
      <alignment horizontal="center"/>
      <protection locked="0"/>
    </xf>
    <xf numFmtId="14" fontId="20" fillId="0" borderId="27" xfId="0" applyNumberFormat="1" applyFont="1" applyBorder="1" applyProtection="1">
      <protection locked="0"/>
    </xf>
    <xf numFmtId="0" fontId="20" fillId="0" borderId="27" xfId="0" applyFont="1" applyBorder="1" applyAlignment="1" applyProtection="1">
      <alignment horizontal="center" vertical="center"/>
      <protection locked="0"/>
    </xf>
    <xf numFmtId="0" fontId="20" fillId="0" borderId="27" xfId="0" applyFont="1" applyBorder="1" applyAlignment="1" applyProtection="1">
      <alignment horizontal="center"/>
      <protection locked="0"/>
    </xf>
    <xf numFmtId="3" fontId="20" fillId="0" borderId="26" xfId="0" applyNumberFormat="1" applyFont="1" applyBorder="1" applyProtection="1">
      <protection locked="0"/>
    </xf>
    <xf numFmtId="3" fontId="20" fillId="0" borderId="16" xfId="0" applyNumberFormat="1" applyFont="1" applyBorder="1" applyProtection="1">
      <protection locked="0"/>
    </xf>
    <xf numFmtId="3" fontId="20" fillId="0" borderId="27" xfId="0" applyNumberFormat="1" applyFont="1" applyBorder="1" applyProtection="1">
      <protection locked="0"/>
    </xf>
    <xf numFmtId="0" fontId="20" fillId="7" borderId="0" xfId="0" applyFont="1" applyFill="1" applyAlignment="1" applyProtection="1">
      <alignment vertical="center"/>
      <protection hidden="1"/>
    </xf>
    <xf numFmtId="0" fontId="20" fillId="0" borderId="0" xfId="0" applyFont="1" applyAlignment="1" applyProtection="1">
      <alignment vertical="center"/>
      <protection hidden="1"/>
    </xf>
    <xf numFmtId="3" fontId="20" fillId="0" borderId="0" xfId="0" applyNumberFormat="1" applyFont="1" applyAlignment="1" applyProtection="1">
      <alignment horizontal="center" vertical="center"/>
      <protection hidden="1"/>
    </xf>
    <xf numFmtId="3" fontId="20" fillId="0" borderId="0" xfId="0" applyNumberFormat="1" applyFont="1" applyAlignment="1" applyProtection="1">
      <alignment vertical="center"/>
      <protection hidden="1"/>
    </xf>
    <xf numFmtId="0" fontId="21" fillId="0" borderId="0" xfId="0" applyFont="1" applyAlignment="1" applyProtection="1">
      <alignment horizontal="center" vertical="center"/>
      <protection hidden="1"/>
    </xf>
    <xf numFmtId="3" fontId="42" fillId="0" borderId="3" xfId="0" applyNumberFormat="1" applyFont="1" applyBorder="1" applyAlignment="1" applyProtection="1">
      <alignment horizontal="center" vertical="center"/>
      <protection hidden="1"/>
    </xf>
    <xf numFmtId="3" fontId="20" fillId="0" borderId="4" xfId="0" applyNumberFormat="1" applyFont="1" applyBorder="1" applyAlignment="1" applyProtection="1">
      <alignment vertical="center"/>
      <protection hidden="1"/>
    </xf>
    <xf numFmtId="3" fontId="44" fillId="0" borderId="8" xfId="0" applyNumberFormat="1" applyFont="1" applyBorder="1" applyAlignment="1" applyProtection="1">
      <alignment horizontal="center" vertical="center"/>
      <protection hidden="1"/>
    </xf>
    <xf numFmtId="0" fontId="20" fillId="0" borderId="4" xfId="0" applyFont="1" applyBorder="1" applyAlignment="1" applyProtection="1">
      <alignment vertical="center"/>
      <protection hidden="1"/>
    </xf>
    <xf numFmtId="3" fontId="20" fillId="0" borderId="10" xfId="0" applyNumberFormat="1" applyFont="1" applyBorder="1" applyAlignment="1" applyProtection="1">
      <alignment horizontal="center" vertical="center"/>
      <protection hidden="1"/>
    </xf>
    <xf numFmtId="14" fontId="20" fillId="0" borderId="14" xfId="0" applyNumberFormat="1" applyFont="1" applyBorder="1" applyAlignment="1" applyProtection="1">
      <alignment vertical="center"/>
      <protection hidden="1"/>
    </xf>
    <xf numFmtId="14" fontId="20" fillId="0" borderId="10" xfId="0" applyNumberFormat="1" applyFont="1" applyBorder="1" applyAlignment="1" applyProtection="1">
      <alignment horizontal="left" vertical="center"/>
      <protection hidden="1"/>
    </xf>
    <xf numFmtId="3" fontId="20" fillId="0" borderId="10" xfId="0" applyNumberFormat="1" applyFont="1" applyBorder="1" applyAlignment="1" applyProtection="1">
      <alignment vertical="center"/>
      <protection hidden="1"/>
    </xf>
    <xf numFmtId="3" fontId="20" fillId="0" borderId="14" xfId="0" applyNumberFormat="1" applyFont="1" applyBorder="1" applyAlignment="1" applyProtection="1">
      <alignment horizontal="center" vertical="center"/>
      <protection hidden="1"/>
    </xf>
    <xf numFmtId="0" fontId="20" fillId="0" borderId="10" xfId="0" applyFont="1" applyBorder="1" applyAlignment="1" applyProtection="1">
      <alignment vertical="center"/>
      <protection hidden="1"/>
    </xf>
    <xf numFmtId="3" fontId="22" fillId="0" borderId="1" xfId="0" applyNumberFormat="1" applyFont="1" applyBorder="1" applyAlignment="1" applyProtection="1">
      <alignment horizontal="center" vertical="center" wrapText="1"/>
      <protection hidden="1"/>
    </xf>
    <xf numFmtId="0" fontId="22" fillId="0" borderId="0" xfId="0" applyFont="1" applyBorder="1" applyAlignment="1" applyProtection="1">
      <alignment horizontal="center" vertical="center" wrapText="1"/>
      <protection hidden="1"/>
    </xf>
    <xf numFmtId="3" fontId="20" fillId="6" borderId="2" xfId="0" applyNumberFormat="1" applyFont="1" applyFill="1" applyBorder="1" applyAlignment="1" applyProtection="1">
      <alignment horizontal="center" vertical="center" wrapText="1"/>
      <protection hidden="1"/>
    </xf>
    <xf numFmtId="0" fontId="20" fillId="6" borderId="2" xfId="0" applyFont="1" applyFill="1" applyBorder="1" applyAlignment="1" applyProtection="1">
      <alignment horizontal="center" vertical="center" wrapText="1"/>
      <protection hidden="1"/>
    </xf>
    <xf numFmtId="0" fontId="23" fillId="6" borderId="2" xfId="0" applyFont="1" applyFill="1" applyBorder="1" applyAlignment="1" applyProtection="1">
      <alignment horizontal="center" vertical="center" wrapText="1"/>
      <protection hidden="1"/>
    </xf>
    <xf numFmtId="3" fontId="22" fillId="6" borderId="2" xfId="0" applyNumberFormat="1" applyFont="1" applyFill="1" applyBorder="1" applyAlignment="1" applyProtection="1">
      <alignment horizontal="center" vertical="center" wrapText="1"/>
      <protection hidden="1"/>
    </xf>
    <xf numFmtId="0" fontId="22" fillId="6" borderId="2" xfId="0" applyFont="1" applyFill="1" applyBorder="1" applyAlignment="1" applyProtection="1">
      <alignment horizontal="center" vertical="center" wrapText="1"/>
      <protection hidden="1"/>
    </xf>
    <xf numFmtId="3" fontId="49" fillId="0" borderId="26" xfId="0" applyNumberFormat="1" applyFont="1" applyBorder="1" applyAlignment="1" applyProtection="1">
      <alignment horizontal="center" vertical="center"/>
      <protection hidden="1"/>
    </xf>
    <xf numFmtId="0" fontId="20" fillId="0" borderId="26" xfId="0" applyFont="1" applyBorder="1" applyAlignment="1" applyProtection="1">
      <alignment horizontal="center" vertical="center" wrapText="1"/>
      <protection hidden="1"/>
    </xf>
    <xf numFmtId="0" fontId="42" fillId="0" borderId="26" xfId="0" applyFont="1" applyBorder="1" applyAlignment="1" applyProtection="1">
      <alignment horizontal="left" vertical="center" wrapText="1" indent="2"/>
      <protection hidden="1"/>
    </xf>
    <xf numFmtId="3" fontId="22" fillId="0" borderId="26" xfId="0" applyNumberFormat="1" applyFont="1" applyBorder="1" applyAlignment="1" applyProtection="1">
      <alignment horizontal="center" vertical="center" wrapText="1"/>
      <protection hidden="1"/>
    </xf>
    <xf numFmtId="3" fontId="48" fillId="0" borderId="26" xfId="0" applyNumberFormat="1" applyFont="1" applyBorder="1" applyAlignment="1" applyProtection="1">
      <alignment horizontal="right" vertical="center" wrapText="1"/>
      <protection hidden="1"/>
    </xf>
    <xf numFmtId="0" fontId="22" fillId="0" borderId="26" xfId="0" applyFont="1" applyBorder="1" applyAlignment="1" applyProtection="1">
      <alignment horizontal="center" vertical="center" wrapText="1"/>
      <protection hidden="1"/>
    </xf>
    <xf numFmtId="3" fontId="49" fillId="0" borderId="16" xfId="0" applyNumberFormat="1" applyFont="1" applyBorder="1" applyAlignment="1" applyProtection="1">
      <alignment horizontal="center" vertical="center"/>
      <protection hidden="1"/>
    </xf>
    <xf numFmtId="0" fontId="20" fillId="0" borderId="16" xfId="0" applyFont="1" applyBorder="1" applyAlignment="1" applyProtection="1">
      <alignment horizontal="center" vertical="center" wrapText="1"/>
      <protection hidden="1"/>
    </xf>
    <xf numFmtId="0" fontId="42" fillId="0" borderId="16" xfId="0" applyFont="1" applyBorder="1" applyAlignment="1" applyProtection="1">
      <alignment horizontal="left" vertical="center" wrapText="1" indent="2"/>
      <protection hidden="1"/>
    </xf>
    <xf numFmtId="3" fontId="22" fillId="0" borderId="16" xfId="0" applyNumberFormat="1" applyFont="1" applyBorder="1" applyAlignment="1" applyProtection="1">
      <alignment horizontal="center" vertical="center" wrapText="1"/>
      <protection hidden="1"/>
    </xf>
    <xf numFmtId="3" fontId="48" fillId="0" borderId="16" xfId="0" applyNumberFormat="1" applyFont="1" applyBorder="1" applyAlignment="1" applyProtection="1">
      <alignment horizontal="right" vertical="center" wrapText="1"/>
      <protection hidden="1"/>
    </xf>
    <xf numFmtId="0" fontId="22" fillId="0" borderId="16" xfId="0" applyFont="1" applyBorder="1" applyAlignment="1" applyProtection="1">
      <alignment horizontal="center" vertical="center" wrapText="1"/>
      <protection hidden="1"/>
    </xf>
    <xf numFmtId="3" fontId="49" fillId="0" borderId="27" xfId="0" applyNumberFormat="1" applyFont="1" applyBorder="1" applyAlignment="1" applyProtection="1">
      <alignment horizontal="center" vertical="center"/>
      <protection hidden="1"/>
    </xf>
    <xf numFmtId="0" fontId="20" fillId="0" borderId="27" xfId="0" applyFont="1" applyBorder="1" applyAlignment="1" applyProtection="1">
      <alignment horizontal="center" vertical="center" wrapText="1"/>
      <protection hidden="1"/>
    </xf>
    <xf numFmtId="0" fontId="42" fillId="0" borderId="27" xfId="0" applyFont="1" applyBorder="1" applyAlignment="1" applyProtection="1">
      <alignment horizontal="left" vertical="center" wrapText="1" indent="2"/>
      <protection hidden="1"/>
    </xf>
    <xf numFmtId="3" fontId="22" fillId="0" borderId="27" xfId="0" applyNumberFormat="1" applyFont="1" applyBorder="1" applyAlignment="1" applyProtection="1">
      <alignment horizontal="center" vertical="center" wrapText="1"/>
      <protection hidden="1"/>
    </xf>
    <xf numFmtId="3" fontId="48" fillId="0" borderId="27" xfId="0" applyNumberFormat="1" applyFont="1" applyBorder="1" applyAlignment="1" applyProtection="1">
      <alignment horizontal="right" vertical="center" wrapText="1"/>
      <protection hidden="1"/>
    </xf>
    <xf numFmtId="0" fontId="22" fillId="0" borderId="27" xfId="0" applyFont="1" applyBorder="1" applyAlignment="1" applyProtection="1">
      <alignment horizontal="center" vertical="center" wrapText="1"/>
      <protection hidden="1"/>
    </xf>
    <xf numFmtId="3" fontId="20" fillId="4" borderId="2" xfId="0" applyNumberFormat="1" applyFont="1" applyFill="1" applyBorder="1" applyAlignment="1" applyProtection="1">
      <alignment horizontal="center" vertical="center" wrapText="1"/>
      <protection hidden="1"/>
    </xf>
    <xf numFmtId="0" fontId="23" fillId="4" borderId="2" xfId="0" applyFont="1" applyFill="1" applyBorder="1" applyAlignment="1" applyProtection="1">
      <alignment horizontal="center" vertical="center" wrapText="1"/>
      <protection hidden="1"/>
    </xf>
    <xf numFmtId="0" fontId="24" fillId="4" borderId="2" xfId="0" applyFont="1" applyFill="1" applyBorder="1" applyAlignment="1" applyProtection="1">
      <alignment horizontal="center" vertical="center" wrapText="1"/>
      <protection hidden="1"/>
    </xf>
    <xf numFmtId="3" fontId="23" fillId="4" borderId="2" xfId="0" applyNumberFormat="1" applyFont="1" applyFill="1" applyBorder="1" applyAlignment="1" applyProtection="1">
      <alignment horizontal="right" vertical="center" wrapText="1"/>
      <protection hidden="1"/>
    </xf>
    <xf numFmtId="0" fontId="23" fillId="4" borderId="2" xfId="0" applyFont="1" applyFill="1" applyBorder="1" applyAlignment="1" applyProtection="1">
      <alignment horizontal="center" vertical="center"/>
      <protection hidden="1"/>
    </xf>
    <xf numFmtId="0" fontId="10" fillId="0" borderId="26" xfId="0" applyFont="1" applyBorder="1" applyAlignment="1" applyProtection="1">
      <alignment vertical="center"/>
      <protection hidden="1"/>
    </xf>
    <xf numFmtId="0" fontId="10" fillId="0" borderId="26" xfId="0" applyFont="1" applyBorder="1" applyAlignment="1" applyProtection="1">
      <alignment horizontal="center" vertical="center"/>
      <protection hidden="1"/>
    </xf>
    <xf numFmtId="3" fontId="20" fillId="0" borderId="26" xfId="0" applyNumberFormat="1" applyFont="1" applyBorder="1" applyAlignment="1" applyProtection="1">
      <alignment vertical="center"/>
      <protection hidden="1"/>
    </xf>
    <xf numFmtId="0" fontId="20" fillId="0" borderId="26" xfId="0" applyFont="1" applyBorder="1" applyAlignment="1" applyProtection="1">
      <alignment vertical="center"/>
      <protection hidden="1"/>
    </xf>
    <xf numFmtId="0" fontId="10" fillId="0" borderId="16" xfId="0" applyFont="1" applyBorder="1" applyAlignment="1" applyProtection="1">
      <alignment horizontal="center" vertical="center"/>
      <protection hidden="1"/>
    </xf>
    <xf numFmtId="3" fontId="20" fillId="0" borderId="16" xfId="0" applyNumberFormat="1" applyFont="1" applyBorder="1" applyAlignment="1" applyProtection="1">
      <alignment vertical="center"/>
      <protection hidden="1"/>
    </xf>
    <xf numFmtId="0" fontId="20" fillId="0" borderId="16" xfId="0" applyFont="1" applyBorder="1" applyAlignment="1" applyProtection="1">
      <alignment vertical="center"/>
      <protection hidden="1"/>
    </xf>
    <xf numFmtId="0" fontId="13" fillId="5" borderId="13" xfId="0" applyFont="1" applyFill="1" applyBorder="1" applyAlignment="1" applyProtection="1">
      <alignment vertical="center"/>
      <protection hidden="1"/>
    </xf>
    <xf numFmtId="0" fontId="13" fillId="5" borderId="14" xfId="0" applyFont="1" applyFill="1" applyBorder="1" applyAlignment="1" applyProtection="1">
      <alignment vertical="center"/>
      <protection hidden="1"/>
    </xf>
    <xf numFmtId="0" fontId="13" fillId="5" borderId="14" xfId="0" applyFont="1" applyFill="1" applyBorder="1" applyAlignment="1" applyProtection="1">
      <alignment horizontal="center" vertical="center"/>
      <protection hidden="1"/>
    </xf>
    <xf numFmtId="0" fontId="13" fillId="5" borderId="12" xfId="0" applyFont="1" applyFill="1" applyBorder="1" applyAlignment="1" applyProtection="1">
      <alignment vertical="center"/>
      <protection hidden="1"/>
    </xf>
    <xf numFmtId="3" fontId="25" fillId="0" borderId="0" xfId="0" applyNumberFormat="1" applyFont="1" applyAlignment="1" applyProtection="1">
      <alignment vertical="center"/>
      <protection hidden="1"/>
    </xf>
    <xf numFmtId="3" fontId="25" fillId="0" borderId="0" xfId="0" applyNumberFormat="1" applyFont="1" applyAlignment="1" applyProtection="1">
      <alignment horizontal="center" vertical="center"/>
      <protection hidden="1"/>
    </xf>
    <xf numFmtId="3" fontId="26" fillId="0" borderId="0" xfId="0" applyNumberFormat="1" applyFont="1" applyAlignment="1" applyProtection="1">
      <alignment vertical="center"/>
      <protection hidden="1"/>
    </xf>
    <xf numFmtId="3" fontId="26" fillId="0" borderId="0" xfId="0" applyNumberFormat="1" applyFont="1" applyAlignment="1" applyProtection="1">
      <alignment horizontal="center" vertical="center"/>
      <protection hidden="1"/>
    </xf>
    <xf numFmtId="3" fontId="20" fillId="7" borderId="0" xfId="0" applyNumberFormat="1" applyFont="1" applyFill="1" applyAlignment="1" applyProtection="1">
      <alignment horizontal="center" vertical="center"/>
      <protection hidden="1"/>
    </xf>
    <xf numFmtId="3" fontId="20" fillId="7" borderId="0" xfId="0" applyNumberFormat="1" applyFont="1" applyFill="1" applyAlignment="1" applyProtection="1">
      <alignment vertical="center"/>
      <protection hidden="1"/>
    </xf>
    <xf numFmtId="14" fontId="23" fillId="6" borderId="1" xfId="0" applyNumberFormat="1" applyFont="1" applyFill="1" applyBorder="1" applyAlignment="1" applyProtection="1">
      <alignment horizontal="center" vertical="center"/>
      <protection locked="0" hidden="1"/>
    </xf>
    <xf numFmtId="0" fontId="56" fillId="0" borderId="0" xfId="0" applyFont="1" applyBorder="1" applyAlignment="1" applyProtection="1">
      <alignment horizontal="center" vertical="center"/>
      <protection hidden="1"/>
    </xf>
    <xf numFmtId="0" fontId="56" fillId="0" borderId="0" xfId="0" applyFont="1" applyFill="1" applyBorder="1" applyAlignment="1" applyProtection="1">
      <alignment horizontal="center" vertical="center"/>
      <protection hidden="1"/>
    </xf>
    <xf numFmtId="0" fontId="56" fillId="0" borderId="0" xfId="0" applyFont="1" applyAlignment="1" applyProtection="1">
      <alignment horizontal="center" vertical="center"/>
      <protection hidden="1"/>
    </xf>
    <xf numFmtId="0" fontId="42" fillId="0" borderId="0" xfId="0" applyFont="1" applyAlignment="1" applyProtection="1">
      <alignment horizontal="center" vertical="center"/>
      <protection hidden="1"/>
    </xf>
    <xf numFmtId="0" fontId="42" fillId="0" borderId="0" xfId="0" applyFont="1" applyAlignment="1" applyProtection="1">
      <alignment vertical="center"/>
      <protection hidden="1"/>
    </xf>
    <xf numFmtId="0" fontId="42" fillId="0" borderId="0" xfId="0" applyFont="1" applyAlignment="1" applyProtection="1">
      <alignment horizontal="left" vertical="center"/>
      <protection hidden="1"/>
    </xf>
    <xf numFmtId="14" fontId="42" fillId="0" borderId="0" xfId="0" applyNumberFormat="1" applyFont="1" applyAlignment="1" applyProtection="1">
      <alignment vertical="center"/>
      <protection hidden="1"/>
    </xf>
    <xf numFmtId="0" fontId="44" fillId="0" borderId="1" xfId="0" applyFont="1" applyBorder="1" applyAlignment="1" applyProtection="1">
      <alignment horizontal="center" vertical="center"/>
      <protection hidden="1"/>
    </xf>
    <xf numFmtId="0" fontId="44" fillId="4" borderId="1" xfId="0" applyFont="1" applyFill="1" applyBorder="1" applyAlignment="1" applyProtection="1">
      <alignment vertical="center"/>
      <protection hidden="1"/>
    </xf>
    <xf numFmtId="0" fontId="42" fillId="4" borderId="1" xfId="0" applyFont="1" applyFill="1" applyBorder="1" applyAlignment="1" applyProtection="1">
      <alignment vertical="center"/>
      <protection hidden="1"/>
    </xf>
    <xf numFmtId="3" fontId="44" fillId="4" borderId="1" xfId="0" applyNumberFormat="1" applyFont="1" applyFill="1" applyBorder="1" applyAlignment="1" applyProtection="1">
      <alignment vertical="center"/>
      <protection hidden="1"/>
    </xf>
    <xf numFmtId="0" fontId="44" fillId="8" borderId="1" xfId="0" applyFont="1" applyFill="1" applyBorder="1" applyAlignment="1" applyProtection="1">
      <alignment vertical="center"/>
      <protection hidden="1"/>
    </xf>
    <xf numFmtId="3" fontId="42" fillId="8" borderId="1" xfId="0" applyNumberFormat="1" applyFont="1" applyFill="1" applyBorder="1" applyAlignment="1" applyProtection="1">
      <alignment vertical="center"/>
      <protection hidden="1"/>
    </xf>
    <xf numFmtId="3" fontId="44" fillId="8" borderId="1" xfId="0" applyNumberFormat="1" applyFont="1" applyFill="1" applyBorder="1" applyAlignment="1" applyProtection="1">
      <alignment vertical="center"/>
      <protection hidden="1"/>
    </xf>
    <xf numFmtId="0" fontId="42" fillId="0" borderId="1" xfId="0" applyFont="1" applyBorder="1" applyAlignment="1" applyProtection="1">
      <alignment horizontal="left" vertical="center" indent="1"/>
      <protection hidden="1"/>
    </xf>
    <xf numFmtId="3" fontId="42" fillId="0" borderId="1" xfId="0" applyNumberFormat="1" applyFont="1" applyBorder="1" applyAlignment="1" applyProtection="1">
      <alignment vertical="center"/>
      <protection hidden="1"/>
    </xf>
    <xf numFmtId="0" fontId="17" fillId="0" borderId="0" xfId="0" applyFont="1" applyProtection="1">
      <protection hidden="1"/>
    </xf>
    <xf numFmtId="0" fontId="42" fillId="7" borderId="0" xfId="0" applyFont="1" applyFill="1" applyProtection="1">
      <protection hidden="1"/>
    </xf>
    <xf numFmtId="0" fontId="42" fillId="0" borderId="0" xfId="0" applyFont="1" applyProtection="1">
      <protection hidden="1"/>
    </xf>
    <xf numFmtId="0" fontId="11" fillId="0" borderId="0" xfId="0" applyFont="1" applyAlignment="1" applyProtection="1">
      <alignment horizontal="center"/>
      <protection hidden="1"/>
    </xf>
    <xf numFmtId="3" fontId="42" fillId="0" borderId="0" xfId="0" applyNumberFormat="1" applyFont="1" applyProtection="1">
      <protection hidden="1"/>
    </xf>
    <xf numFmtId="0" fontId="44" fillId="0" borderId="19" xfId="0" applyFont="1" applyBorder="1" applyAlignment="1" applyProtection="1">
      <alignment horizontal="center" vertical="center"/>
      <protection hidden="1"/>
    </xf>
    <xf numFmtId="0" fontId="44" fillId="0" borderId="20" xfId="0" applyFont="1" applyBorder="1" applyAlignment="1" applyProtection="1">
      <alignment horizontal="center" vertical="center"/>
      <protection hidden="1"/>
    </xf>
    <xf numFmtId="3" fontId="44" fillId="0" borderId="20" xfId="0" applyNumberFormat="1" applyFont="1" applyBorder="1" applyAlignment="1" applyProtection="1">
      <alignment horizontal="center" vertical="center" wrapText="1"/>
      <protection hidden="1"/>
    </xf>
    <xf numFmtId="3" fontId="44" fillId="0" borderId="28" xfId="0" applyNumberFormat="1" applyFont="1" applyBorder="1" applyAlignment="1" applyProtection="1">
      <alignment horizontal="center" vertical="center" wrapText="1"/>
      <protection hidden="1"/>
    </xf>
    <xf numFmtId="3" fontId="44" fillId="0" borderId="21" xfId="0" applyNumberFormat="1" applyFont="1" applyBorder="1" applyAlignment="1" applyProtection="1">
      <alignment horizontal="center" vertical="center"/>
      <protection hidden="1"/>
    </xf>
    <xf numFmtId="0" fontId="17" fillId="0" borderId="0" xfId="0" applyFont="1" applyBorder="1" applyAlignment="1" applyProtection="1">
      <alignment horizontal="center"/>
      <protection hidden="1"/>
    </xf>
    <xf numFmtId="0" fontId="17" fillId="0" borderId="0" xfId="0" applyFont="1" applyAlignment="1" applyProtection="1">
      <alignment horizontal="center"/>
      <protection hidden="1"/>
    </xf>
    <xf numFmtId="0" fontId="45" fillId="0" borderId="24" xfId="0" applyFont="1" applyBorder="1" applyAlignment="1" applyProtection="1">
      <alignment horizontal="center" vertical="center"/>
      <protection hidden="1"/>
    </xf>
    <xf numFmtId="0" fontId="45" fillId="0" borderId="1" xfId="0" applyFont="1" applyBorder="1" applyAlignment="1" applyProtection="1">
      <alignment horizontal="center" vertical="center"/>
      <protection hidden="1"/>
    </xf>
    <xf numFmtId="3" fontId="45" fillId="0" borderId="1" xfId="0" applyNumberFormat="1" applyFont="1" applyBorder="1" applyAlignment="1" applyProtection="1">
      <alignment horizontal="center" vertical="center"/>
      <protection hidden="1"/>
    </xf>
    <xf numFmtId="3" fontId="45" fillId="0" borderId="13" xfId="0" applyNumberFormat="1" applyFont="1" applyBorder="1" applyAlignment="1" applyProtection="1">
      <alignment horizontal="center" vertical="center"/>
      <protection hidden="1"/>
    </xf>
    <xf numFmtId="3" fontId="45" fillId="0" borderId="25" xfId="0" applyNumberFormat="1" applyFont="1" applyBorder="1" applyAlignment="1" applyProtection="1">
      <alignment horizontal="center" vertical="center"/>
      <protection hidden="1"/>
    </xf>
    <xf numFmtId="0" fontId="17" fillId="0" borderId="14" xfId="0" applyFont="1" applyBorder="1" applyAlignment="1" applyProtection="1">
      <alignment horizontal="center" vertical="center"/>
      <protection hidden="1"/>
    </xf>
    <xf numFmtId="0" fontId="17" fillId="0" borderId="13" xfId="0" applyFont="1" applyBorder="1" applyAlignment="1" applyProtection="1">
      <alignment horizontal="center" vertical="center"/>
      <protection hidden="1"/>
    </xf>
    <xf numFmtId="0" fontId="16" fillId="0" borderId="22" xfId="0" applyFont="1" applyBorder="1" applyAlignment="1" applyProtection="1">
      <alignment horizontal="center"/>
      <protection hidden="1"/>
    </xf>
    <xf numFmtId="3" fontId="17" fillId="0" borderId="0" xfId="0" applyNumberFormat="1" applyFont="1" applyBorder="1" applyProtection="1">
      <protection hidden="1"/>
    </xf>
    <xf numFmtId="3" fontId="17" fillId="0" borderId="4" xfId="0" applyNumberFormat="1" applyFont="1" applyBorder="1" applyProtection="1">
      <protection hidden="1"/>
    </xf>
    <xf numFmtId="0" fontId="45" fillId="7" borderId="0" xfId="0" applyFont="1" applyFill="1" applyProtection="1">
      <protection hidden="1"/>
    </xf>
    <xf numFmtId="0" fontId="45" fillId="0" borderId="0" xfId="0" applyFont="1" applyProtection="1">
      <protection hidden="1"/>
    </xf>
    <xf numFmtId="0" fontId="11" fillId="0" borderId="17" xfId="0" applyFont="1" applyBorder="1" applyAlignment="1" applyProtection="1">
      <alignment horizontal="center"/>
      <protection hidden="1"/>
    </xf>
    <xf numFmtId="0" fontId="16" fillId="0" borderId="17" xfId="0" applyFont="1" applyBorder="1" applyAlignment="1" applyProtection="1">
      <alignment horizontal="center"/>
      <protection hidden="1"/>
    </xf>
    <xf numFmtId="0" fontId="19" fillId="0" borderId="17" xfId="0" applyFont="1" applyBorder="1" applyAlignment="1" applyProtection="1">
      <alignment horizontal="center"/>
      <protection hidden="1"/>
    </xf>
    <xf numFmtId="0" fontId="19" fillId="5" borderId="0" xfId="0" applyFont="1" applyFill="1" applyAlignment="1" applyProtection="1">
      <alignment horizontal="center"/>
      <protection hidden="1"/>
    </xf>
    <xf numFmtId="0" fontId="45" fillId="5" borderId="0" xfId="0" applyFont="1" applyFill="1" applyProtection="1">
      <protection hidden="1"/>
    </xf>
    <xf numFmtId="0" fontId="46" fillId="5" borderId="0" xfId="0" applyFont="1" applyFill="1" applyAlignment="1" applyProtection="1">
      <alignment horizontal="center"/>
      <protection hidden="1"/>
    </xf>
    <xf numFmtId="0" fontId="24" fillId="5" borderId="0" xfId="0" applyFont="1" applyFill="1" applyAlignment="1" applyProtection="1">
      <alignment horizontal="center"/>
      <protection hidden="1"/>
    </xf>
    <xf numFmtId="3" fontId="45" fillId="5" borderId="0" xfId="0" applyNumberFormat="1" applyFont="1" applyFill="1" applyProtection="1">
      <protection hidden="1"/>
    </xf>
    <xf numFmtId="0" fontId="17" fillId="5" borderId="0" xfId="0" applyFont="1" applyFill="1" applyProtection="1">
      <protection hidden="1"/>
    </xf>
    <xf numFmtId="0" fontId="11" fillId="7" borderId="0" xfId="0" applyFont="1" applyFill="1" applyAlignment="1" applyProtection="1">
      <alignment horizontal="center"/>
      <protection hidden="1"/>
    </xf>
    <xf numFmtId="3" fontId="42" fillId="7" borderId="0" xfId="0" applyNumberFormat="1" applyFont="1" applyFill="1" applyProtection="1">
      <protection hidden="1"/>
    </xf>
    <xf numFmtId="0" fontId="17" fillId="7" borderId="0" xfId="0" applyFont="1" applyFill="1" applyProtection="1">
      <protection hidden="1"/>
    </xf>
    <xf numFmtId="0" fontId="15" fillId="0" borderId="16" xfId="0" applyFont="1" applyBorder="1" applyAlignment="1" applyProtection="1">
      <alignment horizontal="center"/>
      <protection locked="0" hidden="1"/>
    </xf>
    <xf numFmtId="3" fontId="15" fillId="0" borderId="15" xfId="0" applyNumberFormat="1" applyFont="1" applyBorder="1" applyProtection="1">
      <protection locked="0" hidden="1"/>
    </xf>
    <xf numFmtId="3" fontId="15" fillId="0" borderId="29" xfId="0" applyNumberFormat="1" applyFont="1" applyBorder="1" applyProtection="1">
      <protection locked="0" hidden="1"/>
    </xf>
    <xf numFmtId="3" fontId="15" fillId="0" borderId="23" xfId="0" applyNumberFormat="1" applyFont="1" applyBorder="1" applyProtection="1">
      <protection locked="0" hidden="1"/>
    </xf>
    <xf numFmtId="3" fontId="10" fillId="0" borderId="18" xfId="0" applyNumberFormat="1" applyFont="1" applyBorder="1" applyProtection="1">
      <protection locked="0" hidden="1"/>
    </xf>
    <xf numFmtId="0" fontId="15" fillId="0" borderId="16" xfId="0" applyFont="1" applyFill="1" applyBorder="1" applyAlignment="1" applyProtection="1">
      <alignment horizontal="center"/>
      <protection locked="0" hidden="1"/>
    </xf>
    <xf numFmtId="3" fontId="15" fillId="0" borderId="16" xfId="0" applyNumberFormat="1" applyFont="1" applyFill="1" applyBorder="1" applyProtection="1">
      <protection locked="0" hidden="1"/>
    </xf>
    <xf numFmtId="3" fontId="15" fillId="0" borderId="30" xfId="0" applyNumberFormat="1" applyFont="1" applyFill="1" applyBorder="1" applyProtection="1">
      <protection locked="0" hidden="1"/>
    </xf>
    <xf numFmtId="3" fontId="15" fillId="0" borderId="18" xfId="0" applyNumberFormat="1" applyFont="1" applyBorder="1" applyProtection="1">
      <protection locked="0" hidden="1"/>
    </xf>
    <xf numFmtId="3" fontId="14" fillId="0" borderId="18" xfId="0" applyNumberFormat="1" applyFont="1" applyBorder="1" applyProtection="1">
      <protection locked="0" hidden="1"/>
    </xf>
    <xf numFmtId="0" fontId="15" fillId="0" borderId="16" xfId="0" applyFont="1" applyFill="1" applyBorder="1" applyAlignment="1" applyProtection="1">
      <alignment vertical="center"/>
      <protection locked="0" hidden="1"/>
    </xf>
    <xf numFmtId="3" fontId="10" fillId="0" borderId="18" xfId="0" applyNumberFormat="1" applyFont="1" applyFill="1" applyBorder="1" applyProtection="1">
      <protection locked="0" hidden="1"/>
    </xf>
    <xf numFmtId="3" fontId="10" fillId="5" borderId="18" xfId="0" applyNumberFormat="1" applyFont="1" applyFill="1" applyBorder="1" applyProtection="1">
      <protection locked="0" hidden="1"/>
    </xf>
    <xf numFmtId="0" fontId="15" fillId="0" borderId="15" xfId="0" applyFont="1" applyFill="1" applyBorder="1" applyAlignment="1" applyProtection="1">
      <alignment vertical="center"/>
      <protection locked="0" hidden="1"/>
    </xf>
    <xf numFmtId="0" fontId="15" fillId="0" borderId="15" xfId="0" applyFont="1" applyFill="1" applyBorder="1" applyAlignment="1" applyProtection="1">
      <protection locked="0" hidden="1"/>
    </xf>
    <xf numFmtId="0" fontId="15" fillId="0" borderId="15" xfId="0" applyFont="1" applyFill="1" applyBorder="1" applyAlignment="1" applyProtection="1">
      <alignment horizontal="center"/>
      <protection locked="0" hidden="1"/>
    </xf>
    <xf numFmtId="0" fontId="10" fillId="0" borderId="16" xfId="0" applyFont="1" applyBorder="1" applyAlignment="1" applyProtection="1">
      <protection locked="0" hidden="1"/>
    </xf>
    <xf numFmtId="3" fontId="10" fillId="0" borderId="16" xfId="0" applyNumberFormat="1" applyFont="1" applyBorder="1" applyProtection="1">
      <protection locked="0" hidden="1"/>
    </xf>
    <xf numFmtId="3" fontId="10" fillId="0" borderId="30" xfId="0" applyNumberFormat="1" applyFont="1" applyBorder="1" applyProtection="1">
      <protection locked="0" hidden="1"/>
    </xf>
    <xf numFmtId="0" fontId="11" fillId="0" borderId="31" xfId="0" applyFont="1" applyBorder="1" applyAlignment="1" applyProtection="1">
      <alignment horizontal="center"/>
      <protection hidden="1"/>
    </xf>
    <xf numFmtId="0" fontId="10" fillId="0" borderId="27" xfId="0" applyFont="1" applyBorder="1" applyAlignment="1" applyProtection="1">
      <alignment horizontal="center"/>
      <protection locked="0" hidden="1"/>
    </xf>
    <xf numFmtId="0" fontId="10" fillId="0" borderId="27" xfId="0" applyFont="1" applyBorder="1" applyAlignment="1" applyProtection="1">
      <protection locked="0" hidden="1"/>
    </xf>
    <xf numFmtId="3" fontId="10" fillId="0" borderId="27" xfId="0" applyNumberFormat="1" applyFont="1" applyBorder="1" applyProtection="1">
      <protection locked="0" hidden="1"/>
    </xf>
    <xf numFmtId="3" fontId="10" fillId="0" borderId="32" xfId="0" applyNumberFormat="1" applyFont="1" applyBorder="1" applyProtection="1">
      <protection locked="0" hidden="1"/>
    </xf>
    <xf numFmtId="3" fontId="10" fillId="0" borderId="33" xfId="0" applyNumberFormat="1" applyFont="1" applyBorder="1" applyProtection="1">
      <protection locked="0" hidden="1"/>
    </xf>
    <xf numFmtId="0" fontId="0" fillId="0" borderId="0" xfId="0" applyAlignment="1" applyProtection="1">
      <alignment horizontal="center"/>
      <protection hidden="1"/>
    </xf>
    <xf numFmtId="0" fontId="0" fillId="0" borderId="0" xfId="0" applyProtection="1">
      <protection hidden="1"/>
    </xf>
    <xf numFmtId="0" fontId="54" fillId="4" borderId="3" xfId="0" applyFont="1" applyFill="1" applyBorder="1" applyAlignment="1" applyProtection="1">
      <alignment horizontal="center" vertical="center"/>
      <protection hidden="1"/>
    </xf>
    <xf numFmtId="0" fontId="53" fillId="0" borderId="0" xfId="0" applyFont="1" applyAlignment="1" applyProtection="1">
      <alignment horizontal="center" vertical="center"/>
      <protection hidden="1"/>
    </xf>
    <xf numFmtId="0" fontId="0" fillId="0" borderId="1" xfId="0" applyBorder="1" applyAlignment="1" applyProtection="1">
      <alignment horizontal="center" vertical="center"/>
      <protection hidden="1"/>
    </xf>
    <xf numFmtId="0" fontId="53" fillId="4" borderId="2" xfId="0" applyFont="1" applyFill="1" applyBorder="1" applyAlignment="1" applyProtection="1">
      <alignment horizontal="center" vertical="center"/>
      <protection hidden="1"/>
    </xf>
    <xf numFmtId="0" fontId="54" fillId="0" borderId="0" xfId="0" applyFont="1" applyAlignment="1" applyProtection="1">
      <alignment horizontal="center" vertical="center"/>
      <protection hidden="1"/>
    </xf>
    <xf numFmtId="0" fontId="0" fillId="0" borderId="0" xfId="0" applyAlignment="1" applyProtection="1">
      <alignment horizontal="center" vertical="center"/>
      <protection hidden="1"/>
    </xf>
    <xf numFmtId="3" fontId="49" fillId="0" borderId="34" xfId="0" applyNumberFormat="1" applyFont="1" applyBorder="1" applyAlignment="1" applyProtection="1">
      <alignment horizontal="center" vertical="center"/>
      <protection hidden="1"/>
    </xf>
    <xf numFmtId="0" fontId="10" fillId="0" borderId="34" xfId="0" applyFont="1" applyBorder="1" applyAlignment="1" applyProtection="1">
      <alignment vertical="center"/>
      <protection hidden="1"/>
    </xf>
    <xf numFmtId="0" fontId="10" fillId="0" borderId="34" xfId="0" applyFont="1" applyBorder="1" applyAlignment="1" applyProtection="1">
      <alignment horizontal="center" vertical="center"/>
      <protection hidden="1"/>
    </xf>
    <xf numFmtId="3" fontId="20" fillId="0" borderId="34" xfId="0" applyNumberFormat="1" applyFont="1" applyBorder="1" applyAlignment="1" applyProtection="1">
      <alignment vertical="center"/>
      <protection hidden="1"/>
    </xf>
    <xf numFmtId="0" fontId="20" fillId="0" borderId="34" xfId="0" applyFont="1" applyBorder="1" applyAlignment="1" applyProtection="1">
      <alignment vertical="center"/>
      <protection hidden="1"/>
    </xf>
    <xf numFmtId="3" fontId="49" fillId="8" borderId="1" xfId="0" applyNumberFormat="1" applyFont="1" applyFill="1" applyBorder="1" applyAlignment="1" applyProtection="1">
      <alignment horizontal="center" vertical="center"/>
      <protection hidden="1"/>
    </xf>
    <xf numFmtId="0" fontId="10" fillId="8" borderId="1" xfId="0" applyFont="1" applyFill="1" applyBorder="1" applyAlignment="1" applyProtection="1">
      <alignment vertical="center"/>
      <protection hidden="1"/>
    </xf>
    <xf numFmtId="0" fontId="23" fillId="8" borderId="1" xfId="0" applyFont="1" applyFill="1" applyBorder="1" applyAlignment="1" applyProtection="1">
      <alignment horizontal="center" vertical="center" wrapText="1"/>
      <protection hidden="1"/>
    </xf>
    <xf numFmtId="0" fontId="10" fillId="8" borderId="1" xfId="0" applyFont="1" applyFill="1" applyBorder="1" applyAlignment="1" applyProtection="1">
      <alignment horizontal="center" vertical="center"/>
      <protection hidden="1"/>
    </xf>
    <xf numFmtId="3" fontId="20" fillId="8" borderId="1" xfId="0" applyNumberFormat="1" applyFont="1" applyFill="1" applyBorder="1" applyAlignment="1" applyProtection="1">
      <alignment vertical="center"/>
      <protection hidden="1"/>
    </xf>
    <xf numFmtId="0" fontId="20" fillId="8" borderId="1" xfId="0" applyFont="1" applyFill="1" applyBorder="1" applyAlignment="1" applyProtection="1">
      <alignment vertical="center"/>
      <protection hidden="1"/>
    </xf>
    <xf numFmtId="3" fontId="49" fillId="9" borderId="1" xfId="0" applyNumberFormat="1" applyFont="1" applyFill="1" applyBorder="1" applyAlignment="1" applyProtection="1">
      <alignment horizontal="center" vertical="center"/>
      <protection hidden="1"/>
    </xf>
    <xf numFmtId="0" fontId="10" fillId="9" borderId="1" xfId="0" applyFont="1" applyFill="1" applyBorder="1" applyAlignment="1" applyProtection="1">
      <alignment vertical="center"/>
      <protection hidden="1"/>
    </xf>
    <xf numFmtId="0" fontId="23" fillId="9" borderId="1" xfId="0" applyFont="1" applyFill="1" applyBorder="1" applyAlignment="1" applyProtection="1">
      <alignment horizontal="center" vertical="center" wrapText="1"/>
      <protection hidden="1"/>
    </xf>
    <xf numFmtId="0" fontId="10" fillId="9" borderId="1" xfId="0" applyFont="1" applyFill="1" applyBorder="1" applyAlignment="1" applyProtection="1">
      <alignment horizontal="center" vertical="center"/>
      <protection hidden="1"/>
    </xf>
    <xf numFmtId="3" fontId="20" fillId="9" borderId="1" xfId="0" applyNumberFormat="1" applyFont="1" applyFill="1" applyBorder="1" applyAlignment="1" applyProtection="1">
      <alignment vertical="center"/>
      <protection hidden="1"/>
    </xf>
    <xf numFmtId="0" fontId="20" fillId="9" borderId="1" xfId="0" applyFont="1" applyFill="1" applyBorder="1" applyAlignment="1" applyProtection="1">
      <alignment vertical="center"/>
      <protection hidden="1"/>
    </xf>
    <xf numFmtId="3" fontId="49" fillId="4" borderId="1" xfId="0" applyNumberFormat="1" applyFont="1" applyFill="1" applyBorder="1" applyAlignment="1" applyProtection="1">
      <alignment horizontal="center" vertical="center"/>
      <protection hidden="1"/>
    </xf>
    <xf numFmtId="0" fontId="10" fillId="4" borderId="1" xfId="0" applyFont="1" applyFill="1" applyBorder="1" applyAlignment="1" applyProtection="1">
      <alignment vertical="center"/>
      <protection hidden="1"/>
    </xf>
    <xf numFmtId="0" fontId="23" fillId="4" borderId="1" xfId="0" applyFont="1" applyFill="1" applyBorder="1" applyAlignment="1" applyProtection="1">
      <alignment horizontal="center" vertical="center" wrapText="1"/>
      <protection hidden="1"/>
    </xf>
    <xf numFmtId="0" fontId="10" fillId="4" borderId="1" xfId="0" applyFont="1" applyFill="1" applyBorder="1" applyAlignment="1" applyProtection="1">
      <alignment horizontal="center" vertical="center"/>
      <protection hidden="1"/>
    </xf>
    <xf numFmtId="3" fontId="20" fillId="4" borderId="1" xfId="0" applyNumberFormat="1" applyFont="1" applyFill="1" applyBorder="1" applyAlignment="1" applyProtection="1">
      <alignment vertical="center"/>
      <protection hidden="1"/>
    </xf>
    <xf numFmtId="0" fontId="20" fillId="4" borderId="1" xfId="0" applyFont="1" applyFill="1" applyBorder="1" applyAlignment="1" applyProtection="1">
      <alignment vertical="center"/>
      <protection hidden="1"/>
    </xf>
    <xf numFmtId="0" fontId="59" fillId="5" borderId="13" xfId="0" applyFont="1" applyFill="1" applyBorder="1" applyAlignment="1" applyProtection="1">
      <alignment horizontal="center" vertical="center"/>
      <protection hidden="1"/>
    </xf>
    <xf numFmtId="3" fontId="23" fillId="6" borderId="2" xfId="0" applyNumberFormat="1" applyFont="1" applyFill="1" applyBorder="1" applyAlignment="1" applyProtection="1">
      <alignment horizontal="right" vertical="center" wrapText="1"/>
      <protection hidden="1"/>
    </xf>
    <xf numFmtId="3" fontId="23" fillId="8" borderId="1" xfId="0" applyNumberFormat="1" applyFont="1" applyFill="1" applyBorder="1" applyAlignment="1" applyProtection="1">
      <alignment vertical="center"/>
      <protection locked="0" hidden="1"/>
    </xf>
    <xf numFmtId="3" fontId="23" fillId="9" borderId="1" xfId="0" applyNumberFormat="1" applyFont="1" applyFill="1" applyBorder="1" applyAlignment="1" applyProtection="1">
      <alignment vertical="center"/>
      <protection locked="0" hidden="1"/>
    </xf>
    <xf numFmtId="3" fontId="23" fillId="4" borderId="1" xfId="0" applyNumberFormat="1" applyFont="1" applyFill="1" applyBorder="1" applyAlignment="1" applyProtection="1">
      <alignment vertical="center"/>
      <protection locked="0" hidden="1"/>
    </xf>
    <xf numFmtId="0" fontId="20" fillId="0" borderId="0" xfId="0" applyFont="1" applyFill="1" applyAlignment="1" applyProtection="1">
      <alignment vertical="center"/>
      <protection hidden="1"/>
    </xf>
    <xf numFmtId="0" fontId="20" fillId="0" borderId="7" xfId="0" applyFont="1" applyBorder="1" applyAlignment="1" applyProtection="1">
      <alignment vertical="center"/>
      <protection hidden="1"/>
    </xf>
    <xf numFmtId="0" fontId="20" fillId="0" borderId="11" xfId="0" applyFont="1" applyBorder="1" applyAlignment="1" applyProtection="1">
      <alignment vertical="center"/>
      <protection hidden="1"/>
    </xf>
    <xf numFmtId="0" fontId="60" fillId="7" borderId="0" xfId="0" applyFont="1" applyFill="1" applyAlignment="1" applyProtection="1">
      <alignment vertical="center"/>
      <protection hidden="1"/>
    </xf>
    <xf numFmtId="0" fontId="4" fillId="0" borderId="0" xfId="3" quotePrefix="1" applyFont="1" applyAlignment="1">
      <alignment horizontal="left" vertical="center" wrapText="1"/>
    </xf>
    <xf numFmtId="0" fontId="1" fillId="0" borderId="0" xfId="3" applyAlignment="1">
      <alignment horizontal="left" vertical="center" wrapText="1"/>
    </xf>
    <xf numFmtId="0" fontId="8" fillId="0" borderId="0" xfId="3" applyFont="1" applyAlignment="1">
      <alignment horizontal="center" vertical="center"/>
    </xf>
    <xf numFmtId="0" fontId="4" fillId="0" borderId="0" xfId="3" applyFont="1" applyAlignment="1">
      <alignment horizontal="left" vertical="center"/>
    </xf>
    <xf numFmtId="0" fontId="1" fillId="0" borderId="0" xfId="3" applyAlignment="1">
      <alignment horizontal="left" vertical="center"/>
    </xf>
    <xf numFmtId="0" fontId="4" fillId="0" borderId="0" xfId="3" quotePrefix="1" applyFont="1" applyAlignment="1">
      <alignment horizontal="left" vertical="center"/>
    </xf>
    <xf numFmtId="0" fontId="4" fillId="0" borderId="0" xfId="3" applyFont="1" applyAlignment="1">
      <alignment horizontal="left" vertical="center" wrapText="1"/>
    </xf>
    <xf numFmtId="0" fontId="4" fillId="0" borderId="0" xfId="3" quotePrefix="1" applyFont="1" applyAlignment="1">
      <alignment horizontal="left" wrapText="1"/>
    </xf>
    <xf numFmtId="0" fontId="40" fillId="0" borderId="0" xfId="0" quotePrefix="1" applyFont="1" applyAlignment="1" applyProtection="1">
      <alignment horizontal="left" vertical="center" wrapText="1"/>
    </xf>
    <xf numFmtId="0" fontId="30" fillId="0" borderId="0" xfId="0" quotePrefix="1" applyFont="1" applyAlignment="1" applyProtection="1">
      <alignment horizontal="left" vertical="center" wrapText="1"/>
    </xf>
    <xf numFmtId="0" fontId="47" fillId="2" borderId="0" xfId="1" applyFont="1" applyFill="1" applyAlignment="1" applyProtection="1">
      <alignment horizontal="left" vertical="center"/>
      <protection locked="0"/>
    </xf>
    <xf numFmtId="0" fontId="47" fillId="2" borderId="8" xfId="1" applyFont="1" applyFill="1" applyBorder="1" applyAlignment="1" applyProtection="1">
      <alignment horizontal="left" vertical="center"/>
      <protection locked="0"/>
    </xf>
    <xf numFmtId="0" fontId="29" fillId="3" borderId="0" xfId="0" applyFont="1" applyFill="1" applyBorder="1" applyAlignment="1" applyProtection="1">
      <alignment horizontal="center" vertical="center"/>
    </xf>
    <xf numFmtId="0" fontId="30" fillId="0" borderId="0" xfId="0" applyFont="1" applyAlignment="1" applyProtection="1">
      <alignment horizontal="left" vertical="center" wrapText="1"/>
    </xf>
    <xf numFmtId="0" fontId="30" fillId="3" borderId="0" xfId="0" applyFont="1" applyFill="1" applyBorder="1" applyAlignment="1" applyProtection="1">
      <alignment horizontal="left" vertical="center"/>
      <protection locked="0"/>
    </xf>
    <xf numFmtId="0" fontId="47" fillId="2" borderId="0" xfId="1" applyFont="1" applyFill="1" applyAlignment="1" applyProtection="1">
      <alignment vertical="center"/>
      <protection locked="0"/>
    </xf>
    <xf numFmtId="0" fontId="34" fillId="2" borderId="0" xfId="0" applyFont="1" applyFill="1" applyBorder="1" applyAlignment="1" applyProtection="1">
      <alignment horizontal="center" vertical="center"/>
    </xf>
    <xf numFmtId="0" fontId="32" fillId="2" borderId="10" xfId="0" applyFont="1" applyFill="1" applyBorder="1" applyAlignment="1" applyProtection="1">
      <alignment horizontal="center" vertical="center"/>
    </xf>
    <xf numFmtId="0" fontId="32" fillId="2" borderId="0" xfId="0" applyFont="1" applyFill="1" applyBorder="1" applyAlignment="1" applyProtection="1">
      <alignment horizontal="center" vertical="center"/>
    </xf>
    <xf numFmtId="0" fontId="31" fillId="3" borderId="0" xfId="0" applyFont="1" applyFill="1" applyBorder="1" applyAlignment="1" applyProtection="1">
      <alignment horizontal="left" vertical="center"/>
    </xf>
    <xf numFmtId="14" fontId="31" fillId="3" borderId="0" xfId="0" applyNumberFormat="1" applyFont="1" applyFill="1" applyBorder="1" applyAlignment="1" applyProtection="1">
      <alignment horizontal="center" vertical="center"/>
    </xf>
    <xf numFmtId="0" fontId="31" fillId="3" borderId="0" xfId="0" applyFont="1" applyFill="1" applyBorder="1" applyAlignment="1" applyProtection="1">
      <alignment horizontal="center" vertical="center"/>
    </xf>
    <xf numFmtId="0" fontId="28" fillId="6" borderId="3" xfId="1" applyFont="1" applyFill="1" applyBorder="1" applyAlignment="1" applyProtection="1">
      <alignment horizontal="center" vertical="center"/>
      <protection hidden="1"/>
    </xf>
    <xf numFmtId="0" fontId="28" fillId="6" borderId="2" xfId="1" applyFont="1" applyFill="1" applyBorder="1" applyAlignment="1" applyProtection="1">
      <alignment horizontal="center" vertical="center"/>
      <protection hidden="1"/>
    </xf>
    <xf numFmtId="0" fontId="36" fillId="0" borderId="4" xfId="1" applyFont="1" applyFill="1" applyBorder="1" applyAlignment="1" applyProtection="1">
      <alignment horizontal="center" vertical="center"/>
      <protection hidden="1"/>
    </xf>
    <xf numFmtId="0" fontId="36" fillId="0" borderId="0" xfId="1" applyFont="1" applyFill="1" applyBorder="1" applyAlignment="1" applyProtection="1">
      <alignment horizontal="center" vertical="center"/>
      <protection hidden="1"/>
    </xf>
    <xf numFmtId="0" fontId="58" fillId="6" borderId="1" xfId="1" applyFont="1" applyFill="1" applyBorder="1" applyAlignment="1" applyProtection="1">
      <alignment horizontal="center" vertical="center"/>
      <protection hidden="1"/>
    </xf>
    <xf numFmtId="0" fontId="25" fillId="0" borderId="1" xfId="0" applyFont="1" applyBorder="1" applyAlignment="1" applyProtection="1">
      <alignment horizontal="center" vertical="center" wrapText="1"/>
      <protection hidden="1"/>
    </xf>
    <xf numFmtId="0" fontId="25" fillId="0" borderId="3" xfId="0" applyFont="1" applyBorder="1" applyAlignment="1" applyProtection="1">
      <alignment horizontal="center" vertical="center" wrapText="1"/>
      <protection hidden="1"/>
    </xf>
    <xf numFmtId="3" fontId="25" fillId="0" borderId="1" xfId="0" applyNumberFormat="1" applyFont="1" applyBorder="1" applyAlignment="1" applyProtection="1">
      <alignment horizontal="center" vertical="center"/>
      <protection hidden="1"/>
    </xf>
    <xf numFmtId="0" fontId="25" fillId="0" borderId="1" xfId="0" applyFont="1" applyBorder="1" applyAlignment="1" applyProtection="1">
      <alignment horizontal="center" vertical="center"/>
      <protection hidden="1"/>
    </xf>
    <xf numFmtId="14" fontId="25" fillId="0" borderId="1" xfId="0" applyNumberFormat="1" applyFont="1" applyBorder="1" applyAlignment="1" applyProtection="1">
      <alignment horizontal="center" vertical="center"/>
      <protection hidden="1"/>
    </xf>
    <xf numFmtId="14" fontId="25" fillId="0" borderId="3" xfId="0" applyNumberFormat="1" applyFont="1" applyBorder="1" applyAlignment="1" applyProtection="1">
      <alignment horizontal="center" vertical="center"/>
      <protection hidden="1"/>
    </xf>
    <xf numFmtId="14" fontId="25" fillId="0" borderId="2" xfId="0" applyNumberFormat="1" applyFont="1" applyBorder="1" applyAlignment="1" applyProtection="1">
      <alignment horizontal="center" vertical="center"/>
      <protection hidden="1"/>
    </xf>
    <xf numFmtId="0" fontId="22" fillId="0" borderId="1" xfId="0" applyFont="1" applyBorder="1" applyAlignment="1" applyProtection="1">
      <alignment horizontal="center" vertical="center" wrapText="1"/>
      <protection hidden="1"/>
    </xf>
    <xf numFmtId="3" fontId="42" fillId="0" borderId="0" xfId="0" applyNumberFormat="1" applyFont="1" applyBorder="1" applyAlignment="1" applyProtection="1">
      <alignment horizontal="right" vertical="center"/>
      <protection hidden="1"/>
    </xf>
    <xf numFmtId="3" fontId="42" fillId="0" borderId="8" xfId="0" applyNumberFormat="1" applyFont="1" applyBorder="1" applyAlignment="1" applyProtection="1">
      <alignment horizontal="right" vertical="center"/>
      <protection hidden="1"/>
    </xf>
    <xf numFmtId="3" fontId="42" fillId="0" borderId="3" xfId="0" applyNumberFormat="1" applyFont="1" applyBorder="1" applyAlignment="1" applyProtection="1">
      <alignment horizontal="center" vertical="center"/>
      <protection hidden="1"/>
    </xf>
    <xf numFmtId="3" fontId="34" fillId="0" borderId="3" xfId="0" applyNumberFormat="1" applyFont="1" applyBorder="1" applyAlignment="1" applyProtection="1">
      <alignment horizontal="center" vertical="center"/>
      <protection hidden="1"/>
    </xf>
    <xf numFmtId="14" fontId="42" fillId="0" borderId="4" xfId="0" applyNumberFormat="1" applyFont="1" applyBorder="1" applyAlignment="1" applyProtection="1">
      <alignment horizontal="right" vertical="center"/>
      <protection hidden="1"/>
    </xf>
    <xf numFmtId="14" fontId="42" fillId="0" borderId="8" xfId="0" applyNumberFormat="1" applyFont="1" applyBorder="1" applyAlignment="1" applyProtection="1">
      <alignment horizontal="right" vertical="center"/>
      <protection hidden="1"/>
    </xf>
    <xf numFmtId="3" fontId="25" fillId="0" borderId="1" xfId="0" applyNumberFormat="1" applyFont="1" applyBorder="1" applyAlignment="1" applyProtection="1">
      <alignment horizontal="center" vertical="center" wrapText="1"/>
      <protection hidden="1"/>
    </xf>
    <xf numFmtId="3" fontId="25" fillId="0" borderId="0" xfId="0" applyNumberFormat="1" applyFont="1" applyAlignment="1" applyProtection="1">
      <alignment horizontal="center" vertical="center"/>
      <protection hidden="1"/>
    </xf>
    <xf numFmtId="0" fontId="28" fillId="6" borderId="3" xfId="1" applyFont="1" applyFill="1" applyBorder="1" applyAlignment="1" applyProtection="1">
      <alignment horizontal="center" vertical="center"/>
      <protection locked="0" hidden="1"/>
    </xf>
    <xf numFmtId="0" fontId="28" fillId="6" borderId="2" xfId="1" applyFont="1" applyFill="1" applyBorder="1" applyAlignment="1" applyProtection="1">
      <alignment horizontal="center" vertical="center"/>
      <protection locked="0" hidden="1"/>
    </xf>
    <xf numFmtId="0" fontId="21" fillId="0" borderId="0" xfId="0" applyFont="1" applyAlignment="1" applyProtection="1">
      <alignment horizontal="center" vertical="center"/>
      <protection hidden="1"/>
    </xf>
    <xf numFmtId="166" fontId="50" fillId="0" borderId="0" xfId="0" applyNumberFormat="1" applyFont="1" applyAlignment="1" applyProtection="1">
      <alignment horizontal="center" vertical="center"/>
      <protection hidden="1"/>
    </xf>
    <xf numFmtId="14" fontId="20" fillId="6" borderId="1" xfId="0" applyNumberFormat="1" applyFont="1" applyFill="1" applyBorder="1" applyAlignment="1" applyProtection="1">
      <alignment horizontal="center" vertical="center"/>
      <protection hidden="1"/>
    </xf>
    <xf numFmtId="165" fontId="20" fillId="6" borderId="1" xfId="0" applyNumberFormat="1" applyFont="1" applyFill="1" applyBorder="1" applyAlignment="1" applyProtection="1">
      <alignment horizontal="center" vertical="center"/>
      <protection hidden="1"/>
    </xf>
    <xf numFmtId="0" fontId="36" fillId="0" borderId="1" xfId="1" applyFont="1" applyFill="1" applyBorder="1" applyAlignment="1" applyProtection="1">
      <alignment horizontal="center" vertical="center"/>
      <protection hidden="1"/>
    </xf>
    <xf numFmtId="14" fontId="20" fillId="0" borderId="5" xfId="0" applyNumberFormat="1" applyFont="1" applyFill="1" applyBorder="1" applyAlignment="1" applyProtection="1">
      <alignment horizontal="center" vertical="center"/>
      <protection hidden="1"/>
    </xf>
    <xf numFmtId="14" fontId="20" fillId="0" borderId="6" xfId="0" applyNumberFormat="1" applyFont="1" applyFill="1" applyBorder="1" applyAlignment="1" applyProtection="1">
      <alignment horizontal="center" vertical="center"/>
      <protection hidden="1"/>
    </xf>
    <xf numFmtId="14" fontId="20" fillId="0" borderId="7" xfId="0" applyNumberFormat="1" applyFont="1" applyFill="1" applyBorder="1" applyAlignment="1" applyProtection="1">
      <alignment horizontal="center" vertical="center"/>
      <protection hidden="1"/>
    </xf>
    <xf numFmtId="14" fontId="20" fillId="0" borderId="9" xfId="0" applyNumberFormat="1" applyFont="1" applyFill="1" applyBorder="1" applyAlignment="1" applyProtection="1">
      <alignment horizontal="center" vertical="center"/>
      <protection hidden="1"/>
    </xf>
    <xf numFmtId="14" fontId="20" fillId="0" borderId="10" xfId="0" applyNumberFormat="1" applyFont="1" applyFill="1" applyBorder="1" applyAlignment="1" applyProtection="1">
      <alignment horizontal="center" vertical="center"/>
      <protection hidden="1"/>
    </xf>
    <xf numFmtId="14" fontId="20" fillId="0" borderId="11" xfId="0" applyNumberFormat="1" applyFont="1" applyFill="1" applyBorder="1" applyAlignment="1" applyProtection="1">
      <alignment horizontal="center" vertical="center"/>
      <protection hidden="1"/>
    </xf>
    <xf numFmtId="3" fontId="22" fillId="0" borderId="1" xfId="0" applyNumberFormat="1" applyFont="1" applyBorder="1" applyAlignment="1" applyProtection="1">
      <alignment horizontal="center" vertical="center" wrapText="1"/>
      <protection hidden="1"/>
    </xf>
    <xf numFmtId="3" fontId="42" fillId="0" borderId="0" xfId="0" applyNumberFormat="1" applyFont="1" applyAlignment="1" applyProtection="1">
      <alignment horizontal="center" vertical="center"/>
      <protection hidden="1"/>
    </xf>
    <xf numFmtId="0" fontId="52" fillId="0" borderId="0" xfId="0" applyFont="1" applyAlignment="1" applyProtection="1">
      <alignment horizontal="center" vertical="center"/>
      <protection hidden="1"/>
    </xf>
    <xf numFmtId="0" fontId="51" fillId="0" borderId="3" xfId="0" applyFont="1" applyBorder="1" applyAlignment="1" applyProtection="1">
      <alignment horizontal="center" vertical="center"/>
      <protection hidden="1"/>
    </xf>
    <xf numFmtId="0" fontId="51" fillId="0" borderId="2" xfId="0" applyFont="1" applyBorder="1" applyAlignment="1" applyProtection="1">
      <alignment horizontal="center" vertical="center"/>
      <protection hidden="1"/>
    </xf>
    <xf numFmtId="0" fontId="58" fillId="6" borderId="1" xfId="1" applyFont="1" applyFill="1" applyBorder="1" applyAlignment="1" applyProtection="1">
      <alignment horizontal="center" vertical="center"/>
      <protection locked="0" hidden="1"/>
    </xf>
    <xf numFmtId="0" fontId="57" fillId="0" borderId="0" xfId="0" applyFont="1" applyAlignment="1" applyProtection="1">
      <alignment horizontal="center" vertical="center"/>
      <protection hidden="1"/>
    </xf>
    <xf numFmtId="166" fontId="55" fillId="0" borderId="0" xfId="0" applyNumberFormat="1" applyFont="1" applyAlignment="1" applyProtection="1">
      <alignment horizontal="center" vertical="center"/>
      <protection hidden="1"/>
    </xf>
    <xf numFmtId="0" fontId="44" fillId="0" borderId="0" xfId="0" applyFont="1" applyAlignment="1" applyProtection="1">
      <alignment horizontal="center" vertical="center"/>
      <protection hidden="1"/>
    </xf>
    <xf numFmtId="3" fontId="55" fillId="0" borderId="0" xfId="0" applyNumberFormat="1" applyFont="1" applyAlignment="1" applyProtection="1">
      <alignment horizontal="left" vertical="center"/>
      <protection hidden="1"/>
    </xf>
    <xf numFmtId="0" fontId="0" fillId="0" borderId="0" xfId="0" applyAlignment="1" applyProtection="1">
      <alignment horizontal="left" vertical="center"/>
      <protection hidden="1"/>
    </xf>
    <xf numFmtId="0" fontId="46" fillId="6" borderId="7" xfId="0" applyFont="1" applyFill="1" applyBorder="1" applyAlignment="1" applyProtection="1">
      <alignment horizontal="center" vertical="center"/>
      <protection locked="0" hidden="1"/>
    </xf>
    <xf numFmtId="0" fontId="46" fillId="6" borderId="11" xfId="0" applyFont="1" applyFill="1" applyBorder="1" applyAlignment="1" applyProtection="1">
      <alignment horizontal="center" vertical="center"/>
      <protection locked="0" hidden="1"/>
    </xf>
    <xf numFmtId="0" fontId="42" fillId="0" borderId="5" xfId="0" applyFont="1" applyBorder="1" applyAlignment="1" applyProtection="1">
      <alignment horizontal="center" vertical="center"/>
      <protection hidden="1"/>
    </xf>
    <xf numFmtId="0" fontId="42" fillId="0" borderId="9" xfId="0" applyFont="1" applyBorder="1" applyAlignment="1" applyProtection="1">
      <alignment horizontal="center" vertical="center"/>
      <protection hidden="1"/>
    </xf>
    <xf numFmtId="0" fontId="28" fillId="6" borderId="4" xfId="1" applyFont="1" applyFill="1" applyBorder="1" applyAlignment="1" applyProtection="1">
      <alignment horizontal="center" vertical="center"/>
      <protection locked="0" hidden="1"/>
    </xf>
    <xf numFmtId="0" fontId="28" fillId="6" borderId="0" xfId="1" applyFont="1" applyFill="1" applyBorder="1" applyAlignment="1" applyProtection="1">
      <alignment horizontal="center" vertical="center"/>
      <protection locked="0" hidden="1"/>
    </xf>
    <xf numFmtId="0" fontId="43" fillId="0" borderId="0" xfId="0" applyFont="1" applyAlignment="1" applyProtection="1">
      <alignment horizontal="center" vertical="center"/>
      <protection hidden="1"/>
    </xf>
    <xf numFmtId="0" fontId="36" fillId="0" borderId="5" xfId="1" applyFont="1" applyFill="1" applyBorder="1" applyAlignment="1" applyProtection="1">
      <alignment horizontal="center" vertical="center"/>
      <protection hidden="1"/>
    </xf>
    <xf numFmtId="0" fontId="36" fillId="0" borderId="6" xfId="1" applyFont="1" applyFill="1" applyBorder="1" applyAlignment="1" applyProtection="1">
      <alignment horizontal="center" vertical="center"/>
      <protection hidden="1"/>
    </xf>
    <xf numFmtId="0" fontId="36" fillId="0" borderId="7" xfId="1" applyFont="1" applyFill="1" applyBorder="1" applyAlignment="1" applyProtection="1">
      <alignment horizontal="center" vertical="center"/>
      <protection hidden="1"/>
    </xf>
    <xf numFmtId="0" fontId="36" fillId="0" borderId="9" xfId="1" applyFont="1" applyFill="1" applyBorder="1" applyAlignment="1" applyProtection="1">
      <alignment horizontal="center" vertical="center"/>
      <protection hidden="1"/>
    </xf>
    <xf numFmtId="0" fontId="36" fillId="0" borderId="10" xfId="1" applyFont="1" applyFill="1" applyBorder="1" applyAlignment="1" applyProtection="1">
      <alignment horizontal="center" vertical="center"/>
      <protection hidden="1"/>
    </xf>
    <xf numFmtId="0" fontId="36" fillId="0" borderId="11" xfId="1" applyFont="1" applyFill="1" applyBorder="1" applyAlignment="1" applyProtection="1">
      <alignment horizontal="center" vertical="center"/>
      <protection hidden="1"/>
    </xf>
    <xf numFmtId="0" fontId="20" fillId="10" borderId="0" xfId="0" applyFont="1" applyFill="1" applyProtection="1"/>
  </cellXfs>
  <cellStyles count="4">
    <cellStyle name="Comma" xfId="2" builtinId="3"/>
    <cellStyle name="Hyperlink" xfId="1" builtinId="8"/>
    <cellStyle name="Normal" xfId="0" builtinId="0"/>
    <cellStyle name="Normal 2" xfId="3"/>
  </cellStyles>
  <dxfs count="3">
    <dxf>
      <font>
        <b/>
        <i val="0"/>
        <color rgb="FFFF0000"/>
      </font>
    </dxf>
    <dxf>
      <font>
        <b/>
        <i val="0"/>
      </font>
      <fill>
        <patternFill>
          <bgColor rgb="FFFF0000"/>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Ke khung full" table="0" count="1">
      <tableStyleElement type="wholeTable" dxfId="2"/>
    </tableStyle>
  </tableStyles>
  <colors>
    <mruColors>
      <color rgb="FF0000FF"/>
      <color rgb="FFCCCC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2:Q72"/>
  <sheetViews>
    <sheetView showGridLines="0" zoomScale="90" zoomScaleNormal="90" workbookViewId="0">
      <selection activeCell="A68" sqref="A68:A72"/>
    </sheetView>
  </sheetViews>
  <sheetFormatPr defaultRowHeight="15"/>
  <cols>
    <col min="1" max="16384" width="9.140625" style="10"/>
  </cols>
  <sheetData>
    <row r="2" spans="1:17" ht="18.75">
      <c r="A2" s="353" t="s">
        <v>39</v>
      </c>
      <c r="B2" s="353"/>
      <c r="C2" s="353"/>
      <c r="D2" s="353"/>
      <c r="E2" s="353"/>
      <c r="F2" s="353"/>
      <c r="G2" s="353"/>
      <c r="H2" s="353"/>
      <c r="I2" s="353"/>
      <c r="J2" s="353"/>
      <c r="K2" s="353"/>
      <c r="L2" s="353"/>
      <c r="M2" s="353"/>
      <c r="N2" s="353"/>
      <c r="O2" s="353"/>
      <c r="P2" s="353"/>
      <c r="Q2" s="9"/>
    </row>
    <row r="3" spans="1:17" ht="3.75" customHeight="1">
      <c r="A3" s="9"/>
      <c r="B3" s="9"/>
      <c r="C3" s="9"/>
      <c r="D3" s="9"/>
      <c r="E3" s="9"/>
      <c r="F3" s="9"/>
      <c r="G3" s="9"/>
      <c r="H3" s="9"/>
      <c r="I3" s="9"/>
      <c r="J3" s="9"/>
      <c r="K3" s="9"/>
      <c r="L3" s="9"/>
      <c r="M3" s="9"/>
      <c r="N3" s="9"/>
      <c r="O3" s="9"/>
      <c r="P3" s="9"/>
      <c r="Q3" s="9"/>
    </row>
    <row r="4" spans="1:17" ht="18.75">
      <c r="A4" s="11" t="s">
        <v>40</v>
      </c>
      <c r="B4" s="12"/>
      <c r="C4" s="12"/>
      <c r="D4" s="12"/>
      <c r="E4" s="12"/>
      <c r="F4" s="12"/>
      <c r="G4" s="12"/>
      <c r="H4" s="12"/>
      <c r="I4" s="12"/>
      <c r="J4" s="12"/>
      <c r="K4" s="12"/>
      <c r="L4" s="12"/>
      <c r="M4" s="12"/>
      <c r="N4" s="12"/>
      <c r="O4" s="12"/>
      <c r="P4" s="12"/>
      <c r="Q4" s="9"/>
    </row>
    <row r="5" spans="1:17" ht="15.75">
      <c r="A5" s="12"/>
      <c r="B5" s="13" t="s">
        <v>41</v>
      </c>
      <c r="C5" s="12"/>
      <c r="D5" s="12"/>
      <c r="E5" s="12"/>
      <c r="F5" s="12"/>
      <c r="G5" s="12"/>
      <c r="H5" s="12"/>
      <c r="I5" s="12"/>
      <c r="J5" s="12"/>
      <c r="K5" s="12"/>
      <c r="L5" s="12"/>
      <c r="M5" s="12"/>
      <c r="N5" s="12"/>
      <c r="O5" s="12"/>
      <c r="P5" s="12"/>
      <c r="Q5" s="9"/>
    </row>
    <row r="6" spans="1:17" ht="15.75">
      <c r="A6" s="12"/>
      <c r="B6" s="13" t="s">
        <v>42</v>
      </c>
      <c r="C6" s="12"/>
      <c r="D6" s="12"/>
      <c r="E6" s="12"/>
      <c r="F6" s="12"/>
      <c r="G6" s="12"/>
      <c r="H6" s="12"/>
      <c r="I6" s="12"/>
      <c r="J6" s="12"/>
      <c r="K6" s="12"/>
      <c r="L6" s="12"/>
      <c r="M6" s="12"/>
      <c r="N6" s="12"/>
      <c r="O6" s="12"/>
      <c r="P6" s="12"/>
      <c r="Q6" s="9"/>
    </row>
    <row r="7" spans="1:17" ht="15.75">
      <c r="A7" s="12"/>
      <c r="B7" s="13" t="s">
        <v>43</v>
      </c>
      <c r="C7" s="12"/>
      <c r="D7" s="12"/>
      <c r="E7" s="12"/>
      <c r="F7" s="12"/>
      <c r="G7" s="12"/>
      <c r="H7" s="12"/>
      <c r="I7" s="12"/>
      <c r="J7" s="12"/>
      <c r="K7" s="12"/>
      <c r="L7" s="12"/>
      <c r="M7" s="12"/>
      <c r="N7" s="12"/>
      <c r="O7" s="12"/>
      <c r="P7" s="12"/>
      <c r="Q7" s="9"/>
    </row>
    <row r="8" spans="1:17" ht="15.75">
      <c r="A8" s="12"/>
      <c r="B8" s="13" t="s">
        <v>44</v>
      </c>
      <c r="C8" s="12"/>
      <c r="D8" s="12"/>
      <c r="E8" s="12"/>
      <c r="F8" s="12"/>
      <c r="G8" s="12"/>
      <c r="H8" s="12"/>
      <c r="I8" s="12"/>
      <c r="J8" s="12"/>
      <c r="K8" s="12"/>
      <c r="L8" s="12"/>
      <c r="M8" s="12"/>
      <c r="N8" s="12"/>
      <c r="O8" s="12"/>
      <c r="P8" s="12"/>
      <c r="Q8" s="9"/>
    </row>
    <row r="9" spans="1:17" ht="15.75">
      <c r="A9" s="12"/>
      <c r="B9" s="13" t="s">
        <v>45</v>
      </c>
      <c r="C9" s="12"/>
      <c r="D9" s="12"/>
      <c r="E9" s="12"/>
      <c r="F9" s="12"/>
      <c r="G9" s="12"/>
      <c r="H9" s="12"/>
      <c r="I9" s="12"/>
      <c r="J9" s="12"/>
      <c r="K9" s="12"/>
      <c r="L9" s="12"/>
      <c r="M9" s="12"/>
      <c r="N9" s="12"/>
      <c r="O9" s="12"/>
      <c r="P9" s="12"/>
      <c r="Q9" s="9"/>
    </row>
    <row r="10" spans="1:17" ht="18.75">
      <c r="A10" s="11" t="s">
        <v>46</v>
      </c>
      <c r="B10" s="12"/>
      <c r="C10" s="12"/>
      <c r="D10" s="12"/>
      <c r="E10" s="12"/>
      <c r="F10" s="12"/>
      <c r="G10" s="12"/>
      <c r="H10" s="12"/>
      <c r="I10" s="12"/>
      <c r="J10" s="12"/>
      <c r="K10" s="12"/>
      <c r="L10" s="12"/>
      <c r="M10" s="12"/>
      <c r="N10" s="12"/>
      <c r="O10" s="12"/>
      <c r="P10" s="12"/>
      <c r="Q10" s="9"/>
    </row>
    <row r="11" spans="1:17" ht="15.75">
      <c r="A11" s="12"/>
      <c r="B11" s="14" t="s">
        <v>47</v>
      </c>
      <c r="C11" s="12"/>
      <c r="D11" s="12"/>
      <c r="E11" s="12"/>
      <c r="F11" s="12"/>
      <c r="G11" s="12"/>
      <c r="H11" s="12"/>
      <c r="I11" s="12"/>
      <c r="J11" s="12"/>
      <c r="K11" s="12"/>
      <c r="L11" s="12"/>
      <c r="M11" s="12"/>
      <c r="N11" s="12"/>
      <c r="O11" s="12"/>
      <c r="P11" s="12"/>
      <c r="Q11" s="9"/>
    </row>
    <row r="12" spans="1:17" ht="15.75">
      <c r="A12" s="12"/>
      <c r="B12" s="12"/>
      <c r="C12" s="13" t="s">
        <v>48</v>
      </c>
      <c r="D12" s="12"/>
      <c r="E12" s="12"/>
      <c r="F12" s="12"/>
      <c r="G12" s="12"/>
      <c r="H12" s="12"/>
      <c r="I12" s="12"/>
      <c r="J12" s="12"/>
      <c r="K12" s="12"/>
      <c r="L12" s="12"/>
      <c r="M12" s="12"/>
      <c r="N12" s="12"/>
      <c r="O12" s="12"/>
      <c r="P12" s="12"/>
      <c r="Q12" s="9"/>
    </row>
    <row r="13" spans="1:17" ht="15.75">
      <c r="A13" s="12"/>
      <c r="B13" s="12"/>
      <c r="C13" s="12"/>
      <c r="D13" s="354" t="s">
        <v>49</v>
      </c>
      <c r="E13" s="355"/>
      <c r="F13" s="355"/>
      <c r="G13" s="355"/>
      <c r="H13" s="355"/>
      <c r="I13" s="355"/>
      <c r="J13" s="355"/>
      <c r="K13" s="355"/>
      <c r="L13" s="355"/>
      <c r="M13" s="355"/>
      <c r="N13" s="355"/>
      <c r="O13" s="355"/>
      <c r="P13" s="355"/>
      <c r="Q13" s="9"/>
    </row>
    <row r="14" spans="1:17" ht="15.75">
      <c r="A14" s="12"/>
      <c r="B14" s="12"/>
      <c r="C14" s="12"/>
      <c r="D14" s="354" t="s">
        <v>50</v>
      </c>
      <c r="E14" s="355"/>
      <c r="F14" s="355"/>
      <c r="G14" s="355"/>
      <c r="H14" s="355"/>
      <c r="I14" s="355"/>
      <c r="J14" s="355"/>
      <c r="K14" s="355"/>
      <c r="L14" s="355"/>
      <c r="M14" s="355"/>
      <c r="N14" s="355"/>
      <c r="O14" s="355"/>
      <c r="P14" s="355"/>
      <c r="Q14" s="9"/>
    </row>
    <row r="15" spans="1:17" ht="15.75">
      <c r="A15" s="12"/>
      <c r="B15" s="12"/>
      <c r="C15" s="12"/>
      <c r="D15" s="12"/>
      <c r="E15" s="356" t="s">
        <v>51</v>
      </c>
      <c r="F15" s="356"/>
      <c r="G15" s="356"/>
      <c r="H15" s="356"/>
      <c r="I15" s="356"/>
      <c r="J15" s="356"/>
      <c r="K15" s="356"/>
      <c r="L15" s="356"/>
      <c r="M15" s="356"/>
      <c r="N15" s="356"/>
      <c r="O15" s="356"/>
      <c r="P15" s="356"/>
      <c r="Q15" s="9"/>
    </row>
    <row r="16" spans="1:17" ht="33" customHeight="1">
      <c r="A16" s="12"/>
      <c r="B16" s="12"/>
      <c r="C16" s="12"/>
      <c r="D16" s="12"/>
      <c r="E16" s="351" t="s">
        <v>52</v>
      </c>
      <c r="F16" s="352"/>
      <c r="G16" s="352"/>
      <c r="H16" s="352"/>
      <c r="I16" s="352"/>
      <c r="J16" s="352"/>
      <c r="K16" s="352"/>
      <c r="L16" s="352"/>
      <c r="M16" s="352"/>
      <c r="N16" s="352"/>
      <c r="O16" s="352"/>
      <c r="P16" s="352"/>
      <c r="Q16" s="9"/>
    </row>
    <row r="17" spans="1:17" ht="33" customHeight="1">
      <c r="A17" s="12"/>
      <c r="B17" s="12"/>
      <c r="C17" s="12"/>
      <c r="D17" s="357" t="s">
        <v>53</v>
      </c>
      <c r="E17" s="352"/>
      <c r="F17" s="352"/>
      <c r="G17" s="352"/>
      <c r="H17" s="352"/>
      <c r="I17" s="352"/>
      <c r="J17" s="352"/>
      <c r="K17" s="352"/>
      <c r="L17" s="352"/>
      <c r="M17" s="352"/>
      <c r="N17" s="352"/>
      <c r="O17" s="352"/>
      <c r="P17" s="352"/>
      <c r="Q17" s="9"/>
    </row>
    <row r="18" spans="1:17" ht="15.75">
      <c r="A18" s="12"/>
      <c r="B18" s="14" t="s">
        <v>54</v>
      </c>
      <c r="C18" s="12"/>
      <c r="D18" s="12"/>
      <c r="E18" s="12"/>
      <c r="F18" s="12"/>
      <c r="G18" s="12"/>
      <c r="H18" s="12"/>
      <c r="I18" s="12"/>
      <c r="J18" s="12"/>
      <c r="K18" s="12"/>
      <c r="L18" s="12"/>
      <c r="M18" s="12"/>
      <c r="N18" s="12"/>
      <c r="O18" s="12"/>
      <c r="P18" s="12"/>
      <c r="Q18" s="9"/>
    </row>
    <row r="19" spans="1:17" ht="15.75">
      <c r="A19" s="12"/>
      <c r="B19" s="12"/>
      <c r="C19" s="12" t="s">
        <v>55</v>
      </c>
      <c r="D19" s="12"/>
      <c r="E19" s="12"/>
      <c r="F19" s="12"/>
      <c r="G19" s="12"/>
      <c r="H19" s="12"/>
      <c r="I19" s="12"/>
      <c r="J19" s="12"/>
      <c r="K19" s="12"/>
      <c r="L19" s="12"/>
      <c r="M19" s="12"/>
      <c r="N19" s="12"/>
      <c r="O19" s="12"/>
      <c r="P19" s="12"/>
      <c r="Q19" s="9"/>
    </row>
    <row r="20" spans="1:17" ht="15.75">
      <c r="A20" s="12"/>
      <c r="B20" s="15" t="s">
        <v>56</v>
      </c>
      <c r="C20" s="12"/>
      <c r="D20" s="12"/>
      <c r="E20" s="12"/>
      <c r="F20" s="12"/>
      <c r="G20" s="12"/>
      <c r="H20" s="12"/>
      <c r="I20" s="12"/>
      <c r="J20" s="12"/>
      <c r="K20" s="12"/>
      <c r="L20" s="12"/>
      <c r="M20" s="12"/>
      <c r="N20" s="12"/>
      <c r="O20" s="12"/>
      <c r="P20" s="12"/>
      <c r="Q20" s="9"/>
    </row>
    <row r="21" spans="1:17" ht="15.75">
      <c r="A21" s="12"/>
      <c r="B21" s="357" t="s">
        <v>57</v>
      </c>
      <c r="C21" s="357"/>
      <c r="D21" s="357"/>
      <c r="E21" s="357"/>
      <c r="F21" s="357"/>
      <c r="G21" s="357"/>
      <c r="H21" s="357"/>
      <c r="I21" s="357"/>
      <c r="J21" s="357"/>
      <c r="K21" s="357"/>
      <c r="L21" s="357"/>
      <c r="M21" s="357"/>
      <c r="N21" s="357"/>
      <c r="O21" s="357"/>
      <c r="P21" s="357"/>
      <c r="Q21" s="9"/>
    </row>
    <row r="22" spans="1:17" ht="15.75">
      <c r="A22" s="12"/>
      <c r="B22" s="12"/>
      <c r="C22" s="351" t="s">
        <v>58</v>
      </c>
      <c r="D22" s="352"/>
      <c r="E22" s="352"/>
      <c r="F22" s="352"/>
      <c r="G22" s="352"/>
      <c r="H22" s="352"/>
      <c r="I22" s="352"/>
      <c r="J22" s="352"/>
      <c r="K22" s="352"/>
      <c r="L22" s="352"/>
      <c r="M22" s="352"/>
      <c r="N22" s="352"/>
      <c r="O22" s="352"/>
      <c r="P22" s="352"/>
      <c r="Q22" s="9"/>
    </row>
    <row r="23" spans="1:17" ht="15.75">
      <c r="A23" s="12"/>
      <c r="B23" s="12"/>
      <c r="C23" s="351" t="s">
        <v>59</v>
      </c>
      <c r="D23" s="352"/>
      <c r="E23" s="352"/>
      <c r="F23" s="352"/>
      <c r="G23" s="352"/>
      <c r="H23" s="352"/>
      <c r="I23" s="352"/>
      <c r="J23" s="352"/>
      <c r="K23" s="352"/>
      <c r="L23" s="352"/>
      <c r="M23" s="352"/>
      <c r="N23" s="352"/>
      <c r="O23" s="352"/>
      <c r="P23" s="352"/>
      <c r="Q23" s="9"/>
    </row>
    <row r="24" spans="1:17" ht="15.75">
      <c r="A24" s="12"/>
      <c r="B24" s="12"/>
      <c r="C24" s="13" t="s">
        <v>60</v>
      </c>
      <c r="D24" s="12"/>
      <c r="E24" s="12"/>
      <c r="F24" s="12"/>
      <c r="G24" s="12"/>
      <c r="H24" s="12"/>
      <c r="I24" s="12"/>
      <c r="J24" s="12"/>
      <c r="K24" s="12"/>
      <c r="L24" s="12"/>
      <c r="M24" s="12"/>
      <c r="N24" s="12"/>
      <c r="O24" s="12"/>
      <c r="P24" s="12"/>
      <c r="Q24" s="9"/>
    </row>
    <row r="25" spans="1:17" ht="15.75">
      <c r="A25" s="12"/>
      <c r="B25" s="12"/>
      <c r="C25" s="351" t="s">
        <v>61</v>
      </c>
      <c r="D25" s="352"/>
      <c r="E25" s="352"/>
      <c r="F25" s="352"/>
      <c r="G25" s="352"/>
      <c r="H25" s="352"/>
      <c r="I25" s="352"/>
      <c r="J25" s="352"/>
      <c r="K25" s="352"/>
      <c r="L25" s="352"/>
      <c r="M25" s="352"/>
      <c r="N25" s="352"/>
      <c r="O25" s="352"/>
      <c r="P25" s="352"/>
      <c r="Q25" s="9"/>
    </row>
    <row r="26" spans="1:17" ht="15.75">
      <c r="A26" s="12"/>
      <c r="B26" s="12"/>
      <c r="C26" s="351" t="s">
        <v>62</v>
      </c>
      <c r="D26" s="352"/>
      <c r="E26" s="352"/>
      <c r="F26" s="352"/>
      <c r="G26" s="352"/>
      <c r="H26" s="352"/>
      <c r="I26" s="352"/>
      <c r="J26" s="352"/>
      <c r="K26" s="352"/>
      <c r="L26" s="352"/>
      <c r="M26" s="352"/>
      <c r="N26" s="352"/>
      <c r="O26" s="352"/>
      <c r="P26" s="352"/>
      <c r="Q26" s="9"/>
    </row>
    <row r="27" spans="1:17" ht="15.75">
      <c r="A27" s="12"/>
      <c r="B27" s="12"/>
      <c r="C27" s="13" t="s">
        <v>63</v>
      </c>
      <c r="D27" s="12"/>
      <c r="E27" s="12"/>
      <c r="F27" s="12"/>
      <c r="G27" s="12"/>
      <c r="H27" s="12"/>
      <c r="I27" s="12"/>
      <c r="J27" s="12"/>
      <c r="K27" s="12"/>
      <c r="L27" s="12"/>
      <c r="M27" s="12"/>
      <c r="N27" s="12"/>
      <c r="O27" s="12"/>
      <c r="P27" s="12"/>
      <c r="Q27" s="9"/>
    </row>
    <row r="28" spans="1:17" ht="15.75">
      <c r="A28" s="12"/>
      <c r="B28" s="12"/>
      <c r="C28" s="351" t="s">
        <v>64</v>
      </c>
      <c r="D28" s="352"/>
      <c r="E28" s="352"/>
      <c r="F28" s="352"/>
      <c r="G28" s="352"/>
      <c r="H28" s="352"/>
      <c r="I28" s="352"/>
      <c r="J28" s="352"/>
      <c r="K28" s="352"/>
      <c r="L28" s="352"/>
      <c r="M28" s="352"/>
      <c r="N28" s="352"/>
      <c r="O28" s="352"/>
      <c r="P28" s="352"/>
      <c r="Q28" s="9"/>
    </row>
    <row r="29" spans="1:17" ht="15.75">
      <c r="A29" s="12"/>
      <c r="B29" s="15" t="s">
        <v>65</v>
      </c>
      <c r="C29" s="12"/>
      <c r="D29" s="12"/>
      <c r="E29" s="12"/>
      <c r="F29" s="12"/>
      <c r="G29" s="12"/>
      <c r="H29" s="12"/>
      <c r="I29" s="12"/>
      <c r="J29" s="12"/>
      <c r="K29" s="12"/>
      <c r="L29" s="12"/>
      <c r="M29" s="12"/>
      <c r="N29" s="12"/>
      <c r="O29" s="12"/>
      <c r="P29" s="12"/>
      <c r="Q29" s="9"/>
    </row>
    <row r="30" spans="1:17" ht="15.75">
      <c r="A30" s="12"/>
      <c r="B30" s="12" t="s">
        <v>66</v>
      </c>
      <c r="C30" s="12"/>
      <c r="D30" s="12"/>
      <c r="E30" s="12"/>
      <c r="F30" s="12"/>
      <c r="G30" s="12"/>
      <c r="H30" s="12"/>
      <c r="I30" s="12"/>
      <c r="J30" s="12"/>
      <c r="K30" s="12"/>
      <c r="L30" s="12"/>
      <c r="M30" s="12"/>
      <c r="N30" s="12"/>
      <c r="O30" s="12"/>
      <c r="P30" s="12"/>
      <c r="Q30" s="9"/>
    </row>
    <row r="31" spans="1:17" ht="15.75">
      <c r="A31" s="12"/>
      <c r="B31" s="12" t="s">
        <v>67</v>
      </c>
      <c r="C31" s="12"/>
      <c r="D31" s="12"/>
      <c r="E31" s="12"/>
      <c r="F31" s="12"/>
      <c r="G31" s="12"/>
      <c r="H31" s="12"/>
      <c r="I31" s="12"/>
      <c r="J31" s="12"/>
      <c r="K31" s="12"/>
      <c r="L31" s="12"/>
      <c r="M31" s="12"/>
      <c r="N31" s="12"/>
      <c r="O31" s="12"/>
      <c r="P31" s="12"/>
      <c r="Q31" s="9"/>
    </row>
    <row r="32" spans="1:17" ht="15.75">
      <c r="A32" s="12"/>
      <c r="B32" s="15" t="s">
        <v>68</v>
      </c>
      <c r="C32" s="12"/>
      <c r="D32" s="12"/>
      <c r="E32" s="12"/>
      <c r="F32" s="12"/>
      <c r="G32" s="12"/>
      <c r="H32" s="12"/>
      <c r="I32" s="12"/>
      <c r="J32" s="12"/>
      <c r="K32" s="12"/>
      <c r="L32" s="12"/>
      <c r="M32" s="12"/>
      <c r="N32" s="12"/>
      <c r="O32" s="12"/>
      <c r="P32" s="12"/>
      <c r="Q32" s="9"/>
    </row>
    <row r="33" spans="1:17" ht="15.75">
      <c r="A33" s="12"/>
      <c r="B33" s="12" t="s">
        <v>69</v>
      </c>
      <c r="C33" s="12"/>
      <c r="D33" s="12"/>
      <c r="E33" s="12"/>
      <c r="F33" s="12"/>
      <c r="G33" s="12"/>
      <c r="H33" s="12"/>
      <c r="I33" s="12"/>
      <c r="J33" s="12"/>
      <c r="K33" s="12"/>
      <c r="L33" s="12"/>
      <c r="M33" s="12"/>
      <c r="N33" s="12"/>
      <c r="O33" s="12"/>
      <c r="P33" s="12"/>
      <c r="Q33" s="9"/>
    </row>
    <row r="34" spans="1:17" ht="15.75">
      <c r="A34" s="12"/>
      <c r="B34" s="12"/>
      <c r="C34" s="13" t="s">
        <v>70</v>
      </c>
      <c r="D34" s="12"/>
      <c r="E34" s="12"/>
      <c r="F34" s="12"/>
      <c r="G34" s="12"/>
      <c r="H34" s="12"/>
      <c r="I34" s="12"/>
      <c r="J34" s="12"/>
      <c r="K34" s="12"/>
      <c r="L34" s="12"/>
      <c r="M34" s="12"/>
      <c r="N34" s="12"/>
      <c r="O34" s="12"/>
      <c r="P34" s="12"/>
      <c r="Q34" s="9"/>
    </row>
    <row r="35" spans="1:17" ht="15.75">
      <c r="A35" s="12"/>
      <c r="B35" s="12"/>
      <c r="C35" s="13" t="s">
        <v>71</v>
      </c>
      <c r="D35" s="12"/>
      <c r="E35" s="12"/>
      <c r="F35" s="12"/>
      <c r="G35" s="12"/>
      <c r="H35" s="12"/>
      <c r="I35" s="12"/>
      <c r="J35" s="12"/>
      <c r="K35" s="12"/>
      <c r="L35" s="12"/>
      <c r="M35" s="12"/>
      <c r="N35" s="12"/>
      <c r="O35" s="12"/>
      <c r="P35" s="12"/>
      <c r="Q35" s="9"/>
    </row>
    <row r="36" spans="1:17" ht="15.75">
      <c r="A36" s="12"/>
      <c r="B36" s="12"/>
      <c r="C36" s="13" t="s">
        <v>72</v>
      </c>
      <c r="D36" s="12"/>
      <c r="E36" s="12"/>
      <c r="F36" s="12"/>
      <c r="G36" s="12"/>
      <c r="H36" s="12"/>
      <c r="I36" s="12"/>
      <c r="J36" s="12"/>
      <c r="K36" s="12"/>
      <c r="L36" s="12"/>
      <c r="M36" s="12"/>
      <c r="N36" s="12"/>
      <c r="O36" s="12"/>
      <c r="P36" s="12"/>
      <c r="Q36" s="9"/>
    </row>
    <row r="37" spans="1:17" ht="33.75" customHeight="1">
      <c r="A37" s="12"/>
      <c r="B37" s="12"/>
      <c r="C37" s="351" t="s">
        <v>73</v>
      </c>
      <c r="D37" s="352"/>
      <c r="E37" s="352"/>
      <c r="F37" s="352"/>
      <c r="G37" s="352"/>
      <c r="H37" s="352"/>
      <c r="I37" s="352"/>
      <c r="J37" s="352"/>
      <c r="K37" s="352"/>
      <c r="L37" s="352"/>
      <c r="M37" s="352"/>
      <c r="N37" s="352"/>
      <c r="O37" s="352"/>
      <c r="P37" s="352"/>
      <c r="Q37" s="9"/>
    </row>
    <row r="38" spans="1:17" ht="21" customHeight="1">
      <c r="A38" s="12"/>
      <c r="B38" s="12"/>
      <c r="C38" s="351" t="s">
        <v>74</v>
      </c>
      <c r="D38" s="352"/>
      <c r="E38" s="352"/>
      <c r="F38" s="352"/>
      <c r="G38" s="352"/>
      <c r="H38" s="352"/>
      <c r="I38" s="352"/>
      <c r="J38" s="352"/>
      <c r="K38" s="352"/>
      <c r="L38" s="352"/>
      <c r="M38" s="352"/>
      <c r="N38" s="352"/>
      <c r="O38" s="352"/>
      <c r="P38" s="352"/>
      <c r="Q38" s="9"/>
    </row>
    <row r="39" spans="1:17" ht="33" customHeight="1">
      <c r="A39" s="12"/>
      <c r="B39" s="12"/>
      <c r="C39" s="351" t="s">
        <v>75</v>
      </c>
      <c r="D39" s="351"/>
      <c r="E39" s="351"/>
      <c r="F39" s="351"/>
      <c r="G39" s="351"/>
      <c r="H39" s="351"/>
      <c r="I39" s="351"/>
      <c r="J39" s="351"/>
      <c r="K39" s="351"/>
      <c r="L39" s="351"/>
      <c r="M39" s="351"/>
      <c r="N39" s="351"/>
      <c r="O39" s="351"/>
      <c r="P39" s="351"/>
      <c r="Q39" s="16"/>
    </row>
    <row r="40" spans="1:17" ht="15.75">
      <c r="A40" s="12"/>
      <c r="B40" s="12"/>
      <c r="C40" s="351" t="s">
        <v>76</v>
      </c>
      <c r="D40" s="352"/>
      <c r="E40" s="352"/>
      <c r="F40" s="352"/>
      <c r="G40" s="352"/>
      <c r="H40" s="352"/>
      <c r="I40" s="352"/>
      <c r="J40" s="352"/>
      <c r="K40" s="352"/>
      <c r="L40" s="352"/>
      <c r="M40" s="352"/>
      <c r="N40" s="352"/>
      <c r="O40" s="352"/>
      <c r="P40" s="352"/>
      <c r="Q40" s="9"/>
    </row>
    <row r="41" spans="1:17" ht="15.75">
      <c r="A41" s="12"/>
      <c r="B41" s="12"/>
      <c r="C41" s="17"/>
      <c r="D41" s="18"/>
      <c r="E41" s="18"/>
      <c r="F41" s="18"/>
      <c r="G41" s="18"/>
      <c r="H41" s="18"/>
      <c r="I41" s="18"/>
      <c r="J41" s="18"/>
      <c r="K41" s="18"/>
      <c r="L41" s="18"/>
      <c r="M41" s="18"/>
      <c r="N41" s="18"/>
      <c r="O41" s="18"/>
      <c r="P41" s="18"/>
      <c r="Q41" s="9"/>
    </row>
    <row r="42" spans="1:17" ht="15.75">
      <c r="A42" s="12"/>
      <c r="B42" s="14" t="s">
        <v>77</v>
      </c>
      <c r="C42" s="12"/>
      <c r="D42" s="12"/>
      <c r="E42" s="12"/>
      <c r="F42" s="12"/>
      <c r="G42" s="12"/>
      <c r="H42" s="12"/>
      <c r="I42" s="12"/>
      <c r="J42" s="12"/>
      <c r="K42" s="12"/>
      <c r="L42" s="12"/>
      <c r="M42" s="12"/>
      <c r="N42" s="12"/>
      <c r="O42" s="12"/>
      <c r="P42" s="12"/>
      <c r="Q42" s="9"/>
    </row>
    <row r="43" spans="1:17" ht="15.75">
      <c r="A43" s="12"/>
      <c r="B43" s="12"/>
      <c r="C43" s="12" t="s">
        <v>78</v>
      </c>
      <c r="D43" s="12"/>
      <c r="E43" s="12"/>
      <c r="F43" s="12"/>
      <c r="G43" s="12"/>
      <c r="H43" s="12"/>
      <c r="I43" s="12"/>
      <c r="J43" s="12"/>
      <c r="K43" s="12"/>
      <c r="L43" s="12"/>
      <c r="M43" s="12"/>
      <c r="N43" s="12"/>
      <c r="O43" s="12"/>
      <c r="P43" s="12"/>
      <c r="Q43" s="9"/>
    </row>
    <row r="44" spans="1:17" ht="15.75">
      <c r="A44" s="12"/>
      <c r="B44" s="15" t="s">
        <v>79</v>
      </c>
      <c r="C44" s="12"/>
      <c r="D44" s="12"/>
      <c r="E44" s="12"/>
      <c r="F44" s="12"/>
      <c r="G44" s="12"/>
      <c r="H44" s="12"/>
      <c r="I44" s="12"/>
      <c r="J44" s="12"/>
      <c r="K44" s="12"/>
      <c r="L44" s="12"/>
      <c r="M44" s="12"/>
      <c r="N44" s="12"/>
      <c r="O44" s="12"/>
      <c r="P44" s="12"/>
      <c r="Q44" s="9"/>
    </row>
    <row r="45" spans="1:17" ht="15.75">
      <c r="A45" s="12"/>
      <c r="B45" s="12" t="s">
        <v>80</v>
      </c>
      <c r="C45" s="12"/>
      <c r="D45" s="12"/>
      <c r="E45" s="12"/>
      <c r="F45" s="12"/>
      <c r="G45" s="12"/>
      <c r="H45" s="12"/>
      <c r="I45" s="12"/>
      <c r="J45" s="12"/>
      <c r="K45" s="12"/>
      <c r="L45" s="12"/>
      <c r="M45" s="12"/>
      <c r="N45" s="12"/>
      <c r="O45" s="12"/>
      <c r="P45" s="12"/>
      <c r="Q45" s="9"/>
    </row>
    <row r="46" spans="1:17" ht="15.75">
      <c r="A46" s="12"/>
      <c r="B46" s="12"/>
      <c r="C46" s="13" t="s">
        <v>81</v>
      </c>
      <c r="D46" s="12"/>
      <c r="E46" s="12"/>
      <c r="F46" s="12"/>
      <c r="G46" s="12"/>
      <c r="H46" s="12"/>
      <c r="I46" s="12"/>
      <c r="J46" s="12"/>
      <c r="K46" s="12"/>
      <c r="L46" s="12"/>
      <c r="M46" s="12"/>
      <c r="N46" s="12"/>
      <c r="O46" s="12"/>
      <c r="P46" s="12"/>
      <c r="Q46" s="9"/>
    </row>
    <row r="47" spans="1:17" ht="15.75">
      <c r="A47" s="12"/>
      <c r="B47" s="12"/>
      <c r="C47" s="13" t="s">
        <v>82</v>
      </c>
      <c r="D47" s="12"/>
      <c r="E47" s="12"/>
      <c r="F47" s="12"/>
      <c r="G47" s="12"/>
      <c r="H47" s="12"/>
      <c r="I47" s="12"/>
      <c r="J47" s="12"/>
      <c r="K47" s="12"/>
      <c r="L47" s="12"/>
      <c r="M47" s="12"/>
      <c r="N47" s="12"/>
      <c r="O47" s="12"/>
      <c r="P47" s="12"/>
      <c r="Q47" s="9"/>
    </row>
    <row r="48" spans="1:17" ht="15.75">
      <c r="A48" s="12"/>
      <c r="B48" s="12"/>
      <c r="C48" s="13" t="s">
        <v>83</v>
      </c>
      <c r="D48" s="12"/>
      <c r="E48" s="12"/>
      <c r="F48" s="12"/>
      <c r="G48" s="12"/>
      <c r="H48" s="12"/>
      <c r="I48" s="12"/>
      <c r="J48" s="12"/>
      <c r="K48" s="12"/>
      <c r="L48" s="12"/>
      <c r="M48" s="12"/>
      <c r="N48" s="12"/>
      <c r="O48" s="12"/>
      <c r="P48" s="12"/>
      <c r="Q48" s="9"/>
    </row>
    <row r="49" spans="1:17" ht="33" customHeight="1">
      <c r="A49" s="12"/>
      <c r="B49" s="12"/>
      <c r="C49" s="351" t="s">
        <v>84</v>
      </c>
      <c r="D49" s="352"/>
      <c r="E49" s="352"/>
      <c r="F49" s="352"/>
      <c r="G49" s="352"/>
      <c r="H49" s="352"/>
      <c r="I49" s="352"/>
      <c r="J49" s="352"/>
      <c r="K49" s="352"/>
      <c r="L49" s="352"/>
      <c r="M49" s="352"/>
      <c r="N49" s="352"/>
      <c r="O49" s="352"/>
      <c r="P49" s="352"/>
      <c r="Q49" s="9"/>
    </row>
    <row r="50" spans="1:17" ht="15.75">
      <c r="A50" s="12"/>
      <c r="B50" s="15" t="s">
        <v>85</v>
      </c>
      <c r="C50" s="12"/>
      <c r="D50" s="12"/>
      <c r="E50" s="12"/>
      <c r="F50" s="12"/>
      <c r="G50" s="12"/>
      <c r="H50" s="12"/>
      <c r="I50" s="12"/>
      <c r="J50" s="12"/>
      <c r="K50" s="12"/>
      <c r="L50" s="12"/>
      <c r="M50" s="12"/>
      <c r="N50" s="12"/>
      <c r="O50" s="12"/>
      <c r="P50" s="12"/>
      <c r="Q50" s="9"/>
    </row>
    <row r="51" spans="1:17" ht="15.75">
      <c r="A51" s="12"/>
      <c r="B51" s="12" t="s">
        <v>86</v>
      </c>
      <c r="C51" s="12"/>
      <c r="D51" s="12"/>
      <c r="E51" s="12"/>
      <c r="F51" s="12"/>
      <c r="G51" s="12"/>
      <c r="H51" s="12"/>
      <c r="I51" s="12"/>
      <c r="J51" s="12"/>
      <c r="K51" s="12"/>
      <c r="L51" s="12"/>
      <c r="M51" s="12"/>
      <c r="N51" s="12"/>
      <c r="O51" s="12"/>
      <c r="P51" s="12"/>
      <c r="Q51" s="9"/>
    </row>
    <row r="52" spans="1:17" ht="15.75">
      <c r="A52" s="12"/>
      <c r="B52" s="12"/>
      <c r="C52" s="13" t="s">
        <v>87</v>
      </c>
      <c r="D52" s="12"/>
      <c r="E52" s="12"/>
      <c r="F52" s="12"/>
      <c r="G52" s="12"/>
      <c r="H52" s="12"/>
      <c r="I52" s="12"/>
      <c r="J52" s="12"/>
      <c r="K52" s="12"/>
      <c r="L52" s="12"/>
      <c r="M52" s="12"/>
      <c r="N52" s="12"/>
      <c r="O52" s="12"/>
      <c r="P52" s="12"/>
      <c r="Q52" s="9"/>
    </row>
    <row r="53" spans="1:17" ht="15.75">
      <c r="A53" s="12"/>
      <c r="B53" s="12"/>
      <c r="C53" s="13" t="s">
        <v>88</v>
      </c>
      <c r="D53" s="12"/>
      <c r="E53" s="12"/>
      <c r="F53" s="12"/>
      <c r="G53" s="12"/>
      <c r="H53" s="12"/>
      <c r="I53" s="12"/>
      <c r="J53" s="12"/>
      <c r="K53" s="12"/>
      <c r="L53" s="12"/>
      <c r="M53" s="12"/>
      <c r="N53" s="12"/>
      <c r="O53" s="12"/>
      <c r="P53" s="12"/>
      <c r="Q53" s="9"/>
    </row>
    <row r="54" spans="1:17" ht="15.75">
      <c r="A54" s="12"/>
      <c r="B54" s="15" t="s">
        <v>89</v>
      </c>
      <c r="C54" s="12"/>
      <c r="D54" s="12"/>
      <c r="E54" s="12"/>
      <c r="F54" s="12"/>
      <c r="G54" s="12"/>
      <c r="H54" s="12"/>
      <c r="I54" s="12"/>
      <c r="J54" s="12"/>
      <c r="K54" s="12"/>
      <c r="L54" s="12"/>
      <c r="M54" s="12"/>
      <c r="N54" s="12"/>
      <c r="O54" s="12"/>
      <c r="P54" s="12"/>
      <c r="Q54" s="9"/>
    </row>
    <row r="55" spans="1:17" ht="15.75">
      <c r="A55" s="12"/>
      <c r="B55" s="12" t="s">
        <v>90</v>
      </c>
      <c r="C55" s="12"/>
      <c r="D55" s="12"/>
      <c r="E55" s="12"/>
      <c r="F55" s="12"/>
      <c r="G55" s="12"/>
      <c r="H55" s="12"/>
      <c r="I55" s="12"/>
      <c r="J55" s="12"/>
      <c r="K55" s="12"/>
      <c r="L55" s="12"/>
      <c r="M55" s="12"/>
      <c r="N55" s="12"/>
      <c r="O55" s="12"/>
      <c r="P55" s="12"/>
      <c r="Q55" s="9"/>
    </row>
    <row r="56" spans="1:17" ht="15.75">
      <c r="A56" s="12"/>
      <c r="B56" s="12"/>
      <c r="C56" s="13" t="s">
        <v>91</v>
      </c>
      <c r="D56" s="12"/>
      <c r="E56" s="12"/>
      <c r="F56" s="12"/>
      <c r="G56" s="12"/>
      <c r="H56" s="12"/>
      <c r="I56" s="12"/>
      <c r="J56" s="12"/>
      <c r="K56" s="12"/>
      <c r="L56" s="12"/>
      <c r="M56" s="12"/>
      <c r="N56" s="12"/>
      <c r="O56" s="12"/>
      <c r="P56" s="12"/>
      <c r="Q56" s="9"/>
    </row>
    <row r="57" spans="1:17" ht="46.5" customHeight="1">
      <c r="A57" s="12"/>
      <c r="B57" s="12"/>
      <c r="C57" s="351" t="s">
        <v>92</v>
      </c>
      <c r="D57" s="352"/>
      <c r="E57" s="352"/>
      <c r="F57" s="352"/>
      <c r="G57" s="352"/>
      <c r="H57" s="352"/>
      <c r="I57" s="352"/>
      <c r="J57" s="352"/>
      <c r="K57" s="352"/>
      <c r="L57" s="352"/>
      <c r="M57" s="352"/>
      <c r="N57" s="352"/>
      <c r="O57" s="352"/>
      <c r="P57" s="352"/>
      <c r="Q57" s="9"/>
    </row>
    <row r="58" spans="1:17" ht="15.75">
      <c r="A58" s="9"/>
      <c r="B58" s="19" t="s">
        <v>93</v>
      </c>
      <c r="C58" s="9"/>
      <c r="D58" s="9"/>
      <c r="E58" s="9"/>
      <c r="F58" s="9"/>
      <c r="G58" s="9"/>
      <c r="H58" s="9"/>
      <c r="I58" s="9"/>
      <c r="J58" s="9"/>
      <c r="K58" s="9"/>
      <c r="L58" s="9"/>
      <c r="M58" s="9"/>
      <c r="N58" s="9"/>
      <c r="O58" s="9"/>
      <c r="P58" s="9"/>
      <c r="Q58" s="9"/>
    </row>
    <row r="59" spans="1:17" ht="15.75">
      <c r="A59" s="9"/>
      <c r="B59" s="9" t="s">
        <v>94</v>
      </c>
      <c r="C59" s="9"/>
      <c r="D59" s="9"/>
      <c r="E59" s="9"/>
      <c r="F59" s="9"/>
      <c r="G59" s="9"/>
      <c r="H59" s="9"/>
      <c r="I59" s="9"/>
      <c r="J59" s="9"/>
      <c r="K59" s="9"/>
      <c r="L59" s="9"/>
      <c r="M59" s="9"/>
      <c r="N59" s="9"/>
      <c r="O59" s="9"/>
      <c r="P59" s="9"/>
      <c r="Q59" s="9"/>
    </row>
    <row r="60" spans="1:17" ht="15.75">
      <c r="A60" s="9"/>
      <c r="B60" s="9"/>
      <c r="C60" s="20" t="s">
        <v>95</v>
      </c>
      <c r="D60" s="9"/>
      <c r="E60" s="9"/>
      <c r="F60" s="9"/>
      <c r="G60" s="9"/>
      <c r="H60" s="9"/>
      <c r="I60" s="9"/>
      <c r="J60" s="9"/>
      <c r="K60" s="9"/>
      <c r="L60" s="9"/>
      <c r="M60" s="9"/>
      <c r="N60" s="9"/>
      <c r="O60" s="9"/>
      <c r="P60" s="9"/>
      <c r="Q60" s="9"/>
    </row>
    <row r="61" spans="1:17" ht="15.75">
      <c r="A61" s="9"/>
      <c r="B61" s="9"/>
      <c r="C61" s="20" t="s">
        <v>96</v>
      </c>
      <c r="D61" s="9"/>
      <c r="E61" s="9"/>
      <c r="F61" s="9"/>
      <c r="G61" s="9"/>
      <c r="H61" s="9"/>
      <c r="I61" s="9"/>
      <c r="J61" s="9"/>
      <c r="K61" s="9"/>
      <c r="L61" s="9"/>
      <c r="M61" s="9"/>
      <c r="N61" s="9"/>
      <c r="O61" s="9"/>
      <c r="P61" s="9"/>
      <c r="Q61" s="9"/>
    </row>
    <row r="62" spans="1:17" ht="15.75">
      <c r="A62" s="9"/>
      <c r="B62" s="9"/>
      <c r="C62" s="20" t="s">
        <v>97</v>
      </c>
      <c r="D62" s="9"/>
      <c r="E62" s="9"/>
      <c r="F62" s="9"/>
      <c r="G62" s="9"/>
      <c r="H62" s="9"/>
      <c r="I62" s="9"/>
      <c r="J62" s="9"/>
      <c r="K62" s="9"/>
      <c r="L62" s="9"/>
      <c r="M62" s="9"/>
      <c r="N62" s="9"/>
      <c r="O62" s="9"/>
      <c r="P62" s="9"/>
      <c r="Q62" s="9"/>
    </row>
    <row r="63" spans="1:17" ht="15.75">
      <c r="A63" s="9"/>
      <c r="B63" s="9"/>
      <c r="C63" s="20" t="s">
        <v>98</v>
      </c>
      <c r="D63" s="9"/>
      <c r="E63" s="9"/>
      <c r="F63" s="9"/>
      <c r="G63" s="9"/>
      <c r="H63" s="9"/>
      <c r="I63" s="9"/>
      <c r="J63" s="9"/>
      <c r="K63" s="9"/>
      <c r="L63" s="9"/>
      <c r="M63" s="9"/>
      <c r="N63" s="9"/>
      <c r="O63" s="9"/>
      <c r="P63" s="9"/>
      <c r="Q63" s="9"/>
    </row>
    <row r="64" spans="1:17" ht="31.5" customHeight="1">
      <c r="C64" s="358" t="s">
        <v>99</v>
      </c>
      <c r="D64" s="358"/>
      <c r="E64" s="358"/>
      <c r="F64" s="358"/>
      <c r="G64" s="358"/>
      <c r="H64" s="358"/>
      <c r="I64" s="358"/>
      <c r="J64" s="358"/>
      <c r="K64" s="358"/>
      <c r="L64" s="358"/>
      <c r="M64" s="358"/>
      <c r="N64" s="358"/>
      <c r="O64" s="358"/>
      <c r="P64" s="358"/>
    </row>
    <row r="65" spans="1:3" ht="15.75">
      <c r="C65" s="21" t="s">
        <v>100</v>
      </c>
    </row>
    <row r="66" spans="1:3" ht="15.75">
      <c r="C66" s="21" t="s">
        <v>101</v>
      </c>
    </row>
    <row r="68" spans="1:3" ht="15.75">
      <c r="A68" s="5" t="s">
        <v>102</v>
      </c>
    </row>
    <row r="69" spans="1:3" ht="15.75">
      <c r="A69" s="5" t="s">
        <v>103</v>
      </c>
    </row>
    <row r="70" spans="1:3" ht="15.75">
      <c r="A70" s="5" t="s">
        <v>104</v>
      </c>
    </row>
    <row r="71" spans="1:3" ht="15.75">
      <c r="A71" s="5" t="s">
        <v>105</v>
      </c>
    </row>
    <row r="72" spans="1:3" ht="15.75">
      <c r="A72" s="5" t="s">
        <v>106</v>
      </c>
    </row>
  </sheetData>
  <mergeCells count="19">
    <mergeCell ref="C64:P64"/>
    <mergeCell ref="C37:P37"/>
    <mergeCell ref="C38:P38"/>
    <mergeCell ref="C39:P39"/>
    <mergeCell ref="C40:P40"/>
    <mergeCell ref="C49:P49"/>
    <mergeCell ref="C57:P57"/>
    <mergeCell ref="C28:P28"/>
    <mergeCell ref="A2:P2"/>
    <mergeCell ref="D13:P13"/>
    <mergeCell ref="D14:P14"/>
    <mergeCell ref="E15:P15"/>
    <mergeCell ref="E16:P16"/>
    <mergeCell ref="D17:P17"/>
    <mergeCell ref="B21:P21"/>
    <mergeCell ref="C22:P22"/>
    <mergeCell ref="C23:P23"/>
    <mergeCell ref="C25:P25"/>
    <mergeCell ref="C26:P2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tabColor rgb="FF002060"/>
  </sheetPr>
  <dimension ref="B1:U41"/>
  <sheetViews>
    <sheetView showGridLines="0" workbookViewId="0">
      <selection activeCell="U31" sqref="U31"/>
    </sheetView>
  </sheetViews>
  <sheetFormatPr defaultRowHeight="12.75"/>
  <cols>
    <col min="1" max="1" width="2.140625" style="23" customWidth="1"/>
    <col min="2" max="2" width="1.42578125" style="23" customWidth="1"/>
    <col min="3" max="3" width="2.42578125" style="23" customWidth="1"/>
    <col min="4" max="6" width="8.5703125" style="23" customWidth="1"/>
    <col min="7" max="7" width="12.85546875" style="23" customWidth="1"/>
    <col min="8" max="8" width="8.85546875" style="23" customWidth="1"/>
    <col min="9" max="10" width="8.5703125" style="23" customWidth="1"/>
    <col min="11" max="11" width="1.42578125" style="23" customWidth="1"/>
    <col min="12" max="12" width="2.5703125" style="23" customWidth="1"/>
    <col min="13" max="13" width="11.42578125" style="23" customWidth="1"/>
    <col min="14" max="14" width="5.7109375" style="23" customWidth="1"/>
    <col min="15" max="19" width="8.5703125" style="23" customWidth="1"/>
    <col min="20" max="20" width="1.42578125" style="23" customWidth="1"/>
    <col min="21" max="16384" width="9.140625" style="23"/>
  </cols>
  <sheetData>
    <row r="1" spans="2:20" ht="3.75" customHeight="1"/>
    <row r="2" spans="2:20" ht="7.5" customHeight="1">
      <c r="B2" s="24"/>
      <c r="C2" s="25"/>
      <c r="D2" s="25"/>
      <c r="E2" s="25"/>
      <c r="F2" s="25"/>
      <c r="G2" s="25"/>
      <c r="H2" s="25"/>
      <c r="I2" s="25"/>
      <c r="J2" s="25"/>
      <c r="K2" s="25"/>
      <c r="L2" s="25"/>
      <c r="M2" s="25"/>
      <c r="N2" s="25"/>
      <c r="O2" s="25"/>
      <c r="P2" s="25"/>
      <c r="Q2" s="25"/>
      <c r="R2" s="25"/>
      <c r="S2" s="25"/>
      <c r="T2" s="26"/>
    </row>
    <row r="3" spans="2:20" ht="22.5" customHeight="1">
      <c r="B3" s="27"/>
      <c r="C3" s="363" t="s">
        <v>241</v>
      </c>
      <c r="D3" s="363"/>
      <c r="E3" s="363"/>
      <c r="F3" s="363"/>
      <c r="G3" s="363"/>
      <c r="H3" s="363"/>
      <c r="I3" s="363"/>
      <c r="J3" s="363"/>
      <c r="K3" s="363"/>
      <c r="L3" s="363"/>
      <c r="M3" s="363"/>
      <c r="N3" s="363"/>
      <c r="O3" s="363"/>
      <c r="P3" s="363"/>
      <c r="Q3" s="363"/>
      <c r="R3" s="363"/>
      <c r="S3" s="363"/>
      <c r="T3" s="29"/>
    </row>
    <row r="4" spans="2:20" ht="7.5" customHeight="1">
      <c r="B4" s="27"/>
      <c r="C4" s="28"/>
      <c r="D4" s="30"/>
      <c r="E4" s="30"/>
      <c r="F4" s="30"/>
      <c r="G4" s="30"/>
      <c r="H4" s="30"/>
      <c r="I4" s="30"/>
      <c r="J4" s="30"/>
      <c r="K4" s="30"/>
      <c r="L4" s="30"/>
      <c r="M4" s="30"/>
      <c r="N4" s="30"/>
      <c r="O4" s="30"/>
      <c r="P4" s="30"/>
      <c r="Q4" s="30"/>
      <c r="R4" s="30"/>
      <c r="S4" s="30"/>
      <c r="T4" s="29"/>
    </row>
    <row r="5" spans="2:20" ht="18.75" customHeight="1">
      <c r="B5" s="27"/>
      <c r="C5" s="28"/>
      <c r="D5" s="370" t="s">
        <v>0</v>
      </c>
      <c r="E5" s="370"/>
      <c r="F5" s="365" t="s">
        <v>175</v>
      </c>
      <c r="G5" s="365"/>
      <c r="H5" s="365"/>
      <c r="I5" s="365"/>
      <c r="J5" s="365"/>
      <c r="K5" s="365"/>
      <c r="L5" s="365"/>
      <c r="M5" s="365"/>
      <c r="N5" s="365"/>
      <c r="O5" s="365"/>
      <c r="P5" s="365"/>
      <c r="Q5" s="365"/>
      <c r="R5" s="365"/>
      <c r="S5" s="365"/>
      <c r="T5" s="29"/>
    </row>
    <row r="6" spans="2:20" ht="18.75" customHeight="1">
      <c r="B6" s="27"/>
      <c r="C6" s="28"/>
      <c r="D6" s="31" t="s">
        <v>1</v>
      </c>
      <c r="E6" s="30"/>
      <c r="F6" s="365" t="s">
        <v>176</v>
      </c>
      <c r="G6" s="365"/>
      <c r="H6" s="365"/>
      <c r="I6" s="365"/>
      <c r="J6" s="365"/>
      <c r="K6" s="32"/>
      <c r="L6" s="32"/>
      <c r="M6" s="31" t="s">
        <v>2</v>
      </c>
      <c r="N6" s="365" t="s">
        <v>177</v>
      </c>
      <c r="O6" s="365"/>
      <c r="P6" s="365"/>
      <c r="Q6" s="365"/>
      <c r="R6" s="365"/>
      <c r="S6" s="365"/>
      <c r="T6" s="29"/>
    </row>
    <row r="7" spans="2:20" ht="18.75" customHeight="1">
      <c r="B7" s="27"/>
      <c r="C7" s="28"/>
      <c r="D7" s="370" t="s">
        <v>14</v>
      </c>
      <c r="E7" s="370"/>
      <c r="F7" s="370"/>
      <c r="G7" s="22">
        <v>41640</v>
      </c>
      <c r="H7" s="33"/>
      <c r="I7" s="33"/>
      <c r="J7" s="33"/>
      <c r="K7" s="32"/>
      <c r="L7" s="32"/>
      <c r="M7" s="34" t="s">
        <v>240</v>
      </c>
      <c r="N7" s="371">
        <v>42004</v>
      </c>
      <c r="O7" s="372"/>
      <c r="P7" s="33"/>
      <c r="Q7" s="33"/>
      <c r="R7" s="33"/>
      <c r="S7" s="33"/>
      <c r="T7" s="29"/>
    </row>
    <row r="8" spans="2:20" ht="7.5" customHeight="1">
      <c r="B8" s="27"/>
      <c r="C8" s="28"/>
      <c r="D8" s="30"/>
      <c r="E8" s="30"/>
      <c r="F8" s="30"/>
      <c r="G8" s="30"/>
      <c r="H8" s="30"/>
      <c r="I8" s="30"/>
      <c r="J8" s="30"/>
      <c r="K8" s="30"/>
      <c r="L8" s="30"/>
      <c r="M8" s="30"/>
      <c r="N8" s="30"/>
      <c r="O8" s="30"/>
      <c r="P8" s="30"/>
      <c r="Q8" s="30"/>
      <c r="R8" s="30"/>
      <c r="S8" s="30"/>
      <c r="T8" s="29"/>
    </row>
    <row r="9" spans="2:20" ht="22.5" customHeight="1">
      <c r="B9" s="35"/>
      <c r="C9" s="36"/>
      <c r="D9" s="368" t="s">
        <v>3</v>
      </c>
      <c r="E9" s="368"/>
      <c r="F9" s="368"/>
      <c r="G9" s="368"/>
      <c r="H9" s="368"/>
      <c r="I9" s="368"/>
      <c r="J9" s="368"/>
      <c r="K9" s="369"/>
      <c r="L9" s="369"/>
      <c r="M9" s="368"/>
      <c r="N9" s="368"/>
      <c r="O9" s="368"/>
      <c r="P9" s="368"/>
      <c r="Q9" s="368"/>
      <c r="R9" s="368"/>
      <c r="S9" s="368"/>
      <c r="T9" s="37"/>
    </row>
    <row r="10" spans="2:20" ht="7.5" customHeight="1">
      <c r="B10" s="35"/>
      <c r="C10" s="38"/>
      <c r="D10" s="39"/>
      <c r="E10" s="39"/>
      <c r="F10" s="39"/>
      <c r="G10" s="39"/>
      <c r="H10" s="39"/>
      <c r="I10" s="39"/>
      <c r="J10" s="39"/>
      <c r="K10" s="40"/>
      <c r="L10" s="41"/>
      <c r="M10" s="39"/>
      <c r="N10" s="39"/>
      <c r="O10" s="39"/>
      <c r="P10" s="39"/>
      <c r="Q10" s="39"/>
      <c r="R10" s="39"/>
      <c r="S10" s="39"/>
      <c r="T10" s="37"/>
    </row>
    <row r="11" spans="2:20" ht="18.75" customHeight="1">
      <c r="B11" s="35"/>
      <c r="C11" s="42"/>
      <c r="D11" s="367" t="s">
        <v>4</v>
      </c>
      <c r="E11" s="367"/>
      <c r="F11" s="367"/>
      <c r="G11" s="367"/>
      <c r="H11" s="367"/>
      <c r="I11" s="367"/>
      <c r="J11" s="367"/>
      <c r="K11" s="43"/>
      <c r="L11" s="44"/>
      <c r="M11" s="367" t="s">
        <v>5</v>
      </c>
      <c r="N11" s="367"/>
      <c r="O11" s="367"/>
      <c r="P11" s="367"/>
      <c r="Q11" s="367"/>
      <c r="R11" s="367"/>
      <c r="S11" s="367"/>
      <c r="T11" s="37"/>
    </row>
    <row r="12" spans="2:20" ht="18.75" customHeight="1">
      <c r="B12" s="45"/>
      <c r="C12" s="39" t="s">
        <v>36</v>
      </c>
      <c r="D12" s="366" t="s">
        <v>233</v>
      </c>
      <c r="E12" s="366"/>
      <c r="F12" s="366"/>
      <c r="G12" s="366"/>
      <c r="H12" s="366"/>
      <c r="I12" s="366"/>
      <c r="J12" s="366"/>
      <c r="K12" s="46"/>
      <c r="L12" s="47" t="s">
        <v>36</v>
      </c>
      <c r="M12" s="366" t="s">
        <v>237</v>
      </c>
      <c r="N12" s="366"/>
      <c r="O12" s="366"/>
      <c r="P12" s="366"/>
      <c r="Q12" s="366"/>
      <c r="R12" s="366"/>
      <c r="S12" s="366"/>
      <c r="T12" s="37"/>
    </row>
    <row r="13" spans="2:20" ht="18.75" customHeight="1">
      <c r="B13" s="45"/>
      <c r="C13" s="39" t="s">
        <v>37</v>
      </c>
      <c r="D13" s="361" t="s">
        <v>234</v>
      </c>
      <c r="E13" s="361"/>
      <c r="F13" s="361"/>
      <c r="G13" s="361"/>
      <c r="H13" s="361"/>
      <c r="I13" s="361"/>
      <c r="J13" s="362"/>
      <c r="K13" s="46"/>
      <c r="L13" s="47" t="s">
        <v>37</v>
      </c>
      <c r="M13" s="361" t="s">
        <v>238</v>
      </c>
      <c r="N13" s="361"/>
      <c r="O13" s="361"/>
      <c r="P13" s="361"/>
      <c r="Q13" s="361"/>
      <c r="R13" s="361"/>
      <c r="S13" s="361"/>
      <c r="T13" s="37"/>
    </row>
    <row r="14" spans="2:20" ht="18.75" customHeight="1">
      <c r="B14" s="45"/>
      <c r="C14" s="39" t="s">
        <v>236</v>
      </c>
      <c r="D14" s="366" t="s">
        <v>235</v>
      </c>
      <c r="E14" s="366"/>
      <c r="F14" s="366"/>
      <c r="G14" s="366"/>
      <c r="H14" s="366"/>
      <c r="I14" s="366"/>
      <c r="J14" s="366"/>
      <c r="K14" s="46"/>
      <c r="L14" s="47" t="s">
        <v>38</v>
      </c>
      <c r="M14" s="366" t="s">
        <v>239</v>
      </c>
      <c r="N14" s="366"/>
      <c r="O14" s="366"/>
      <c r="P14" s="366"/>
      <c r="Q14" s="366"/>
      <c r="R14" s="366"/>
      <c r="S14" s="366"/>
      <c r="T14" s="37"/>
    </row>
    <row r="15" spans="2:20" ht="7.5" customHeight="1">
      <c r="B15" s="48"/>
      <c r="C15" s="49"/>
      <c r="D15" s="49"/>
      <c r="E15" s="49"/>
      <c r="F15" s="49"/>
      <c r="G15" s="49"/>
      <c r="H15" s="49"/>
      <c r="I15" s="49"/>
      <c r="J15" s="49"/>
      <c r="K15" s="49"/>
      <c r="L15" s="49"/>
      <c r="M15" s="49"/>
      <c r="N15" s="49"/>
      <c r="O15" s="49"/>
      <c r="P15" s="49"/>
      <c r="Q15" s="49"/>
      <c r="R15" s="49"/>
      <c r="S15" s="49"/>
      <c r="T15" s="50"/>
    </row>
    <row r="16" spans="2:20" ht="7.5" customHeight="1"/>
    <row r="17" spans="2:21" ht="18.75" hidden="1" customHeight="1">
      <c r="D17" s="51" t="s">
        <v>6</v>
      </c>
      <c r="E17" s="52"/>
      <c r="F17" s="52"/>
      <c r="G17" s="52"/>
      <c r="H17" s="52"/>
      <c r="I17" s="52"/>
      <c r="J17" s="52"/>
      <c r="K17" s="52"/>
      <c r="L17" s="52"/>
      <c r="M17" s="52"/>
      <c r="N17" s="52"/>
      <c r="O17" s="52"/>
      <c r="P17" s="52"/>
      <c r="Q17" s="52"/>
      <c r="R17" s="52"/>
      <c r="S17" s="52"/>
      <c r="T17" s="53"/>
    </row>
    <row r="18" spans="2:21" ht="30" hidden="1" customHeight="1">
      <c r="D18" s="360" t="s">
        <v>7</v>
      </c>
      <c r="E18" s="360"/>
      <c r="F18" s="360"/>
      <c r="G18" s="360"/>
      <c r="H18" s="360"/>
      <c r="I18" s="360"/>
      <c r="J18" s="360"/>
      <c r="K18" s="360"/>
      <c r="L18" s="360"/>
      <c r="M18" s="360"/>
      <c r="N18" s="360"/>
      <c r="O18" s="360"/>
      <c r="P18" s="360"/>
      <c r="Q18" s="360"/>
      <c r="R18" s="360"/>
      <c r="S18" s="360"/>
      <c r="T18" s="360"/>
    </row>
    <row r="19" spans="2:21" ht="30" hidden="1" customHeight="1">
      <c r="D19" s="360" t="s">
        <v>8</v>
      </c>
      <c r="E19" s="360"/>
      <c r="F19" s="360"/>
      <c r="G19" s="360"/>
      <c r="H19" s="360"/>
      <c r="I19" s="360"/>
      <c r="J19" s="360"/>
      <c r="K19" s="360"/>
      <c r="L19" s="360"/>
      <c r="M19" s="360"/>
      <c r="N19" s="360"/>
      <c r="O19" s="360"/>
      <c r="P19" s="360"/>
      <c r="Q19" s="360"/>
      <c r="R19" s="360"/>
      <c r="S19" s="360"/>
      <c r="T19" s="360"/>
    </row>
    <row r="20" spans="2:21" ht="45" hidden="1" customHeight="1">
      <c r="D20" s="360" t="s">
        <v>9</v>
      </c>
      <c r="E20" s="360"/>
      <c r="F20" s="360"/>
      <c r="G20" s="360"/>
      <c r="H20" s="360"/>
      <c r="I20" s="360"/>
      <c r="J20" s="360"/>
      <c r="K20" s="360"/>
      <c r="L20" s="360"/>
      <c r="M20" s="360"/>
      <c r="N20" s="360"/>
      <c r="O20" s="360"/>
      <c r="P20" s="360"/>
      <c r="Q20" s="360"/>
      <c r="R20" s="360"/>
      <c r="S20" s="360"/>
      <c r="T20" s="53"/>
    </row>
    <row r="21" spans="2:21" ht="45" hidden="1" customHeight="1">
      <c r="D21" s="360" t="s">
        <v>10</v>
      </c>
      <c r="E21" s="360"/>
      <c r="F21" s="360"/>
      <c r="G21" s="360"/>
      <c r="H21" s="360"/>
      <c r="I21" s="360"/>
      <c r="J21" s="360"/>
      <c r="K21" s="360"/>
      <c r="L21" s="360"/>
      <c r="M21" s="360"/>
      <c r="N21" s="360"/>
      <c r="O21" s="360"/>
      <c r="P21" s="360"/>
      <c r="Q21" s="360"/>
      <c r="R21" s="360"/>
      <c r="S21" s="360"/>
      <c r="T21" s="360"/>
    </row>
    <row r="22" spans="2:21" ht="39.950000000000003" hidden="1" customHeight="1">
      <c r="D22" s="360" t="s">
        <v>11</v>
      </c>
      <c r="E22" s="364"/>
      <c r="F22" s="364"/>
      <c r="G22" s="364"/>
      <c r="H22" s="364"/>
      <c r="I22" s="364"/>
      <c r="J22" s="364"/>
      <c r="K22" s="364"/>
      <c r="L22" s="364"/>
      <c r="M22" s="364"/>
      <c r="N22" s="364"/>
      <c r="O22" s="364"/>
      <c r="P22" s="364"/>
      <c r="Q22" s="364"/>
      <c r="R22" s="364"/>
      <c r="S22" s="364"/>
      <c r="T22" s="364"/>
    </row>
    <row r="23" spans="2:21" ht="45" hidden="1" customHeight="1">
      <c r="D23" s="359" t="s">
        <v>12</v>
      </c>
      <c r="E23" s="359"/>
      <c r="F23" s="359"/>
      <c r="G23" s="359"/>
      <c r="H23" s="359"/>
      <c r="I23" s="359"/>
      <c r="J23" s="359"/>
      <c r="K23" s="359"/>
      <c r="L23" s="359"/>
      <c r="M23" s="359"/>
      <c r="N23" s="359"/>
      <c r="O23" s="359"/>
      <c r="P23" s="359"/>
      <c r="Q23" s="359"/>
      <c r="R23" s="359"/>
      <c r="S23" s="359"/>
      <c r="T23" s="54"/>
    </row>
    <row r="24" spans="2:21" ht="7.5" customHeight="1"/>
    <row r="25" spans="2:21" ht="18.75" customHeight="1">
      <c r="D25" s="55" t="s">
        <v>148</v>
      </c>
      <c r="E25" s="60">
        <v>60000</v>
      </c>
      <c r="F25" s="55" t="s">
        <v>149</v>
      </c>
      <c r="G25" s="56" t="s">
        <v>153</v>
      </c>
      <c r="H25" s="61">
        <v>10000</v>
      </c>
      <c r="I25" s="56" t="s">
        <v>149</v>
      </c>
      <c r="J25" s="56"/>
      <c r="K25" s="56"/>
      <c r="L25" s="56"/>
      <c r="M25" s="56"/>
      <c r="N25" s="56"/>
      <c r="O25" s="56"/>
      <c r="P25" s="56"/>
      <c r="Q25" s="56"/>
      <c r="R25" s="56"/>
      <c r="S25" s="56"/>
      <c r="T25" s="56"/>
    </row>
    <row r="26" spans="2:21" ht="18.75" customHeight="1">
      <c r="D26" s="57" t="s">
        <v>150</v>
      </c>
      <c r="E26" s="60">
        <v>150000</v>
      </c>
      <c r="F26" s="57" t="s">
        <v>151</v>
      </c>
    </row>
    <row r="27" spans="2:21" ht="18.75" customHeight="1">
      <c r="B27" s="58"/>
      <c r="C27" s="58"/>
      <c r="D27" s="59" t="s">
        <v>20</v>
      </c>
      <c r="E27" s="60">
        <v>250000</v>
      </c>
      <c r="F27" s="59" t="s">
        <v>152</v>
      </c>
      <c r="G27" s="58"/>
      <c r="H27" s="58"/>
      <c r="I27" s="58"/>
      <c r="J27" s="58"/>
      <c r="K27" s="58"/>
      <c r="L27" s="58"/>
      <c r="M27" s="58"/>
      <c r="N27" s="58"/>
      <c r="O27" s="58"/>
      <c r="P27" s="58"/>
      <c r="Q27" s="58"/>
      <c r="R27" s="58"/>
      <c r="S27" s="58"/>
    </row>
    <row r="28" spans="2:21" ht="18.75" customHeight="1">
      <c r="B28" s="431"/>
      <c r="C28" s="431"/>
      <c r="D28" s="431"/>
      <c r="E28" s="431"/>
      <c r="F28" s="431"/>
      <c r="G28" s="431"/>
      <c r="H28" s="431"/>
      <c r="I28" s="431"/>
      <c r="J28" s="431"/>
      <c r="K28" s="431"/>
      <c r="L28" s="431"/>
      <c r="M28" s="431"/>
      <c r="N28" s="431"/>
      <c r="O28" s="431"/>
      <c r="P28" s="431"/>
      <c r="Q28" s="431"/>
      <c r="R28" s="431"/>
      <c r="S28" s="431"/>
      <c r="T28" s="431"/>
      <c r="U28" s="431"/>
    </row>
    <row r="29" spans="2:21" ht="18.75" customHeight="1">
      <c r="B29"/>
      <c r="C29"/>
      <c r="D29"/>
      <c r="E29"/>
      <c r="F29"/>
      <c r="G29"/>
      <c r="H29"/>
      <c r="I29"/>
      <c r="J29"/>
      <c r="K29"/>
      <c r="L29"/>
      <c r="M29"/>
      <c r="N29"/>
      <c r="O29"/>
      <c r="P29"/>
      <c r="Q29"/>
      <c r="R29"/>
      <c r="S29"/>
      <c r="T29" s="431"/>
      <c r="U29" s="431"/>
    </row>
    <row r="30" spans="2:21" ht="18.75" customHeight="1">
      <c r="B30"/>
      <c r="C30"/>
      <c r="D30"/>
      <c r="E30"/>
      <c r="F30"/>
      <c r="G30"/>
      <c r="H30"/>
      <c r="I30"/>
      <c r="J30"/>
      <c r="K30"/>
      <c r="L30"/>
      <c r="M30"/>
      <c r="N30"/>
      <c r="O30"/>
      <c r="P30"/>
      <c r="Q30"/>
      <c r="R30"/>
      <c r="S30"/>
      <c r="T30" s="431"/>
      <c r="U30" s="431"/>
    </row>
    <row r="31" spans="2:21" ht="18.75" customHeight="1">
      <c r="B31"/>
      <c r="C31"/>
      <c r="D31"/>
      <c r="E31"/>
      <c r="F31"/>
      <c r="G31"/>
      <c r="H31"/>
      <c r="I31"/>
      <c r="J31"/>
      <c r="K31"/>
      <c r="L31"/>
      <c r="M31"/>
      <c r="N31"/>
      <c r="O31"/>
      <c r="P31"/>
      <c r="Q31"/>
      <c r="R31"/>
      <c r="S31"/>
      <c r="T31" s="431"/>
      <c r="U31" s="431"/>
    </row>
    <row r="32" spans="2:21" ht="18.75" customHeight="1"/>
    <row r="33" ht="18.75" customHeight="1"/>
    <row r="34" ht="18.75" customHeight="1"/>
    <row r="35" ht="18.75" customHeight="1"/>
    <row r="36" ht="18.75" customHeight="1"/>
    <row r="37" ht="18.75" customHeight="1"/>
    <row r="38" ht="18.75" customHeight="1"/>
    <row r="39" ht="18.75" customHeight="1"/>
    <row r="40" ht="18.75" customHeight="1"/>
    <row r="41" ht="18.75" customHeight="1"/>
  </sheetData>
  <mergeCells count="22">
    <mergeCell ref="D14:J14"/>
    <mergeCell ref="M12:S12"/>
    <mergeCell ref="N7:O7"/>
    <mergeCell ref="D18:T18"/>
    <mergeCell ref="D21:T21"/>
    <mergeCell ref="M13:S13"/>
    <mergeCell ref="D13:J13"/>
    <mergeCell ref="C3:S3"/>
    <mergeCell ref="F5:S5"/>
    <mergeCell ref="M14:S14"/>
    <mergeCell ref="D19:T19"/>
    <mergeCell ref="M11:S11"/>
    <mergeCell ref="D9:S9"/>
    <mergeCell ref="D11:J11"/>
    <mergeCell ref="D5:E5"/>
    <mergeCell ref="F6:J6"/>
    <mergeCell ref="D7:F7"/>
    <mergeCell ref="N6:S6"/>
    <mergeCell ref="D12:J12"/>
    <mergeCell ref="D23:S23"/>
    <mergeCell ref="D20:S20"/>
    <mergeCell ref="D22:T22"/>
  </mergeCells>
  <hyperlinks>
    <hyperlink ref="D12:J12" location="DMHH!A1" display="Danh mục Hàng hoá"/>
    <hyperlink ref="M12:S12" location="TongHop!A1" display="Báo cáo tổng hợp Chi phí, doanh thu"/>
    <hyperlink ref="M14:S14" location="In!A1" display="In biên lai thanh toán"/>
    <hyperlink ref="D13" location="'NHAP XUAT'!A1" display="Nhập xuất hàng hoá"/>
    <hyperlink ref="M13:S13" location="'Check Phong'!A1" display="Check phòng"/>
    <hyperlink ref="D14:J14" location="'Ghi So'!A1" display="Ghi sổ phát sinh"/>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tabColor theme="7" tint="0.59999389629810485"/>
  </sheetPr>
  <dimension ref="A1:K1012"/>
  <sheetViews>
    <sheetView showGridLines="0" showZeros="0" zoomScale="90" zoomScaleNormal="90" workbookViewId="0">
      <pane xSplit="3" ySplit="12" topLeftCell="D13" activePane="bottomRight" state="frozen"/>
      <selection activeCell="E15" sqref="E15"/>
      <selection pane="topRight" activeCell="E15" sqref="E15"/>
      <selection pane="bottomLeft" activeCell="E15" sqref="E15"/>
      <selection pane="bottomRight" activeCell="E1002" sqref="E1002"/>
    </sheetView>
  </sheetViews>
  <sheetFormatPr defaultRowHeight="14.25"/>
  <cols>
    <col min="1" max="1" width="7.140625" style="64" customWidth="1"/>
    <col min="2" max="2" width="7.140625" style="64" hidden="1" customWidth="1"/>
    <col min="3" max="4" width="12.5703125" style="65" customWidth="1"/>
    <col min="5" max="5" width="34.140625" style="64" customWidth="1"/>
    <col min="6" max="6" width="9.42578125" style="67" customWidth="1"/>
    <col min="7" max="7" width="12.42578125" style="63" customWidth="1"/>
    <col min="8" max="8" width="9.140625" style="64"/>
    <col min="9" max="9" width="10.42578125" style="64" bestFit="1" customWidth="1"/>
    <col min="10" max="10" width="15" style="64" bestFit="1" customWidth="1"/>
    <col min="11" max="11" width="10.42578125" style="65" hidden="1" customWidth="1"/>
    <col min="12" max="16384" width="9.140625" style="64"/>
  </cols>
  <sheetData>
    <row r="1" spans="1:11" ht="15" customHeight="1">
      <c r="A1" s="373" t="s">
        <v>3</v>
      </c>
      <c r="B1" s="62"/>
      <c r="C1" s="375"/>
      <c r="D1" s="376"/>
      <c r="E1" s="376"/>
      <c r="F1" s="376"/>
      <c r="K1" s="65" t="str">
        <f>"DMHH!"&amp;ADDRESS(8,3)&amp;":"&amp;ADDRESS(7+COUNTA(DMHH!$C$8:$C$507),3)</f>
        <v>DMHH!$C$8:$C$15</v>
      </c>
    </row>
    <row r="2" spans="1:11" ht="15" customHeight="1">
      <c r="A2" s="374"/>
      <c r="B2" s="66"/>
      <c r="C2" s="375"/>
      <c r="D2" s="376"/>
      <c r="E2" s="376"/>
      <c r="F2" s="376"/>
    </row>
    <row r="3" spans="1:11" ht="9" customHeight="1"/>
    <row r="4" spans="1:11" ht="19.5" customHeight="1">
      <c r="C4" s="68" t="s">
        <v>133</v>
      </c>
      <c r="D4" s="68"/>
    </row>
    <row r="5" spans="1:11" ht="3.75" customHeight="1"/>
    <row r="6" spans="1:11" s="69" customFormat="1" ht="15.75" hidden="1" customHeight="1">
      <c r="D6" s="69">
        <v>1</v>
      </c>
      <c r="E6" s="69">
        <v>2</v>
      </c>
      <c r="F6" s="69">
        <v>3</v>
      </c>
      <c r="G6" s="69">
        <v>4</v>
      </c>
      <c r="H6" s="69">
        <v>5</v>
      </c>
      <c r="I6" s="69">
        <v>6</v>
      </c>
      <c r="J6" s="69">
        <v>7</v>
      </c>
      <c r="K6" s="69">
        <v>8</v>
      </c>
    </row>
    <row r="7" spans="1:11" s="70" customFormat="1" ht="28.5" customHeight="1">
      <c r="C7" s="71" t="s">
        <v>20</v>
      </c>
      <c r="D7" s="71" t="s">
        <v>160</v>
      </c>
      <c r="E7" s="72" t="s">
        <v>132</v>
      </c>
      <c r="F7" s="73" t="s">
        <v>140</v>
      </c>
      <c r="G7" s="74" t="s">
        <v>134</v>
      </c>
      <c r="H7" s="74" t="s">
        <v>141</v>
      </c>
      <c r="I7" s="74" t="s">
        <v>135</v>
      </c>
      <c r="J7" s="74" t="s">
        <v>136</v>
      </c>
      <c r="K7" s="75" t="s">
        <v>157</v>
      </c>
    </row>
    <row r="8" spans="1:11" s="70" customFormat="1" ht="14.25" hidden="1" customHeight="1">
      <c r="C8" s="76"/>
      <c r="D8" s="76" t="s">
        <v>228</v>
      </c>
      <c r="E8" s="77" t="s">
        <v>161</v>
      </c>
      <c r="F8" s="78" t="s">
        <v>162</v>
      </c>
      <c r="G8" s="79" t="s">
        <v>163</v>
      </c>
      <c r="H8" s="79" t="s">
        <v>164</v>
      </c>
      <c r="I8" s="79" t="s">
        <v>165</v>
      </c>
      <c r="J8" s="79" t="s">
        <v>166</v>
      </c>
      <c r="K8" s="80" t="s">
        <v>28</v>
      </c>
    </row>
    <row r="9" spans="1:11" s="70" customFormat="1" ht="14.25" customHeight="1">
      <c r="C9" s="76" t="s">
        <v>167</v>
      </c>
      <c r="D9" s="76" t="s">
        <v>168</v>
      </c>
      <c r="E9" s="77" t="s">
        <v>169</v>
      </c>
      <c r="F9" s="78" t="s">
        <v>170</v>
      </c>
      <c r="G9" s="79" t="s">
        <v>171</v>
      </c>
      <c r="H9" s="79" t="s">
        <v>172</v>
      </c>
      <c r="I9" s="79" t="s">
        <v>173</v>
      </c>
      <c r="J9" s="79" t="s">
        <v>174</v>
      </c>
      <c r="K9" s="80"/>
    </row>
    <row r="10" spans="1:11" ht="15" customHeight="1">
      <c r="B10" s="64">
        <f>IF(G10=In!$C$1,1,0)</f>
        <v>0</v>
      </c>
      <c r="C10" s="91">
        <v>41881</v>
      </c>
      <c r="D10" s="92" t="s">
        <v>229</v>
      </c>
      <c r="E10" s="93" t="s">
        <v>109</v>
      </c>
      <c r="F10" s="94">
        <v>20</v>
      </c>
      <c r="G10" s="94"/>
      <c r="H10" s="95"/>
      <c r="I10" s="81">
        <f>IF(E10="",0,VLOOKUP(E10,DMHH!$D$8:$H$507,IF(H10="",4,5),0))</f>
        <v>12000</v>
      </c>
      <c r="J10" s="81">
        <f>F10*I10+H10*I10</f>
        <v>240000</v>
      </c>
      <c r="K10" s="65">
        <f>IF(C10="",K8,C10)</f>
        <v>41881</v>
      </c>
    </row>
    <row r="11" spans="1:11" ht="15" customHeight="1">
      <c r="B11" s="64">
        <f>IF(G11=In!$C$1,MAX('NHAP XUAT'!$B$10:B10)+1,0)</f>
        <v>0</v>
      </c>
      <c r="C11" s="96"/>
      <c r="D11" s="97" t="s">
        <v>110</v>
      </c>
      <c r="E11" s="98" t="s">
        <v>111</v>
      </c>
      <c r="F11" s="99">
        <v>20</v>
      </c>
      <c r="G11" s="99"/>
      <c r="H11" s="100"/>
      <c r="I11" s="82">
        <f>IF(E11="",0,VLOOKUP(E11,DMHH!$D$8:$H$507,IF(H11="",4,5),0))</f>
        <v>10000</v>
      </c>
      <c r="J11" s="82">
        <f t="shared" ref="J11:J12" si="0">F11*I11+H11*I11</f>
        <v>200000</v>
      </c>
      <c r="K11" s="65">
        <f t="shared" ref="K11:K74" si="1">IF(C11="",K10,C11)</f>
        <v>41881</v>
      </c>
    </row>
    <row r="12" spans="1:11" s="83" customFormat="1" ht="20.100000000000001" customHeight="1">
      <c r="B12" s="64">
        <f>IF(G12=In!$C$1,MAX('NHAP XUAT'!$B$10:B11)+1,0)</f>
        <v>0</v>
      </c>
      <c r="C12" s="101"/>
      <c r="D12" s="97" t="s">
        <v>112</v>
      </c>
      <c r="E12" s="98" t="s">
        <v>113</v>
      </c>
      <c r="F12" s="99">
        <v>20</v>
      </c>
      <c r="G12" s="102"/>
      <c r="H12" s="103"/>
      <c r="I12" s="82">
        <f>IF(E12="",0,VLOOKUP(E12,DMHH!$D$8:$H$507,IF(H12="",4,5),0))</f>
        <v>7000</v>
      </c>
      <c r="J12" s="82">
        <f t="shared" si="0"/>
        <v>140000</v>
      </c>
      <c r="K12" s="65">
        <f t="shared" si="1"/>
        <v>41881</v>
      </c>
    </row>
    <row r="13" spans="1:11" ht="20.100000000000001" customHeight="1">
      <c r="B13" s="64">
        <f>IF(G13=In!$C$1,MAX('NHAP XUAT'!$B$10:B12)+1,0)</f>
        <v>0</v>
      </c>
      <c r="C13" s="101"/>
      <c r="D13" s="97" t="s">
        <v>114</v>
      </c>
      <c r="E13" s="104" t="s">
        <v>115</v>
      </c>
      <c r="F13" s="99">
        <v>20</v>
      </c>
      <c r="G13" s="99"/>
      <c r="H13" s="100"/>
      <c r="I13" s="82">
        <f>IF(E13="",0,VLOOKUP(E13,DMHH!$D$8:$H$507,IF(H13="",4,5),0))</f>
        <v>7000</v>
      </c>
      <c r="J13" s="82">
        <f t="shared" ref="J13:J76" si="2">F13*I13+H13*I13</f>
        <v>140000</v>
      </c>
      <c r="K13" s="65">
        <f t="shared" si="1"/>
        <v>41881</v>
      </c>
    </row>
    <row r="14" spans="1:11" ht="20.100000000000001" customHeight="1">
      <c r="B14" s="64">
        <f>IF(G14=In!$C$1,MAX('NHAP XUAT'!$B$10:B13)+1,0)</f>
        <v>0</v>
      </c>
      <c r="C14" s="101"/>
      <c r="D14" s="97" t="s">
        <v>116</v>
      </c>
      <c r="E14" s="104" t="s">
        <v>156</v>
      </c>
      <c r="F14" s="99">
        <v>20</v>
      </c>
      <c r="G14" s="99"/>
      <c r="H14" s="100"/>
      <c r="I14" s="82">
        <f>IF(E14="",0,VLOOKUP(E14,DMHH!$D$8:$H$507,IF(H14="",4,5),0))</f>
        <v>5000</v>
      </c>
      <c r="J14" s="82">
        <f t="shared" si="2"/>
        <v>100000</v>
      </c>
      <c r="K14" s="65">
        <f t="shared" si="1"/>
        <v>41881</v>
      </c>
    </row>
    <row r="15" spans="1:11" ht="20.100000000000001" customHeight="1">
      <c r="B15" s="64">
        <f>IF(G15=In!$C$1,MAX('NHAP XUAT'!$B$10:B14)+1,0)</f>
        <v>0</v>
      </c>
      <c r="C15" s="101"/>
      <c r="D15" s="97" t="s">
        <v>117</v>
      </c>
      <c r="E15" s="104" t="s">
        <v>118</v>
      </c>
      <c r="F15" s="99">
        <v>20</v>
      </c>
      <c r="G15" s="99"/>
      <c r="H15" s="100"/>
      <c r="I15" s="82">
        <f>IF(E15="",0,VLOOKUP(E15,DMHH!$D$8:$H$507,IF(H15="",4,5),0))</f>
        <v>10000</v>
      </c>
      <c r="J15" s="82">
        <f t="shared" si="2"/>
        <v>200000</v>
      </c>
      <c r="K15" s="65">
        <f t="shared" si="1"/>
        <v>41881</v>
      </c>
    </row>
    <row r="16" spans="1:11" ht="20.100000000000001" customHeight="1">
      <c r="B16" s="64">
        <f>IF(G16=In!$C$1,MAX('NHAP XUAT'!$B$10:B15)+1,0)</f>
        <v>0</v>
      </c>
      <c r="C16" s="101"/>
      <c r="D16" s="97" t="s">
        <v>119</v>
      </c>
      <c r="E16" s="104" t="s">
        <v>120</v>
      </c>
      <c r="F16" s="99">
        <v>20</v>
      </c>
      <c r="G16" s="99"/>
      <c r="H16" s="100"/>
      <c r="I16" s="82">
        <f>IF(E16="",0,VLOOKUP(E16,DMHH!$D$8:$H$507,IF(H16="",4,5),0))</f>
        <v>15000</v>
      </c>
      <c r="J16" s="82">
        <f t="shared" si="2"/>
        <v>300000</v>
      </c>
      <c r="K16" s="65">
        <f t="shared" si="1"/>
        <v>41881</v>
      </c>
    </row>
    <row r="17" spans="2:11" ht="20.100000000000001" customHeight="1">
      <c r="B17" s="64">
        <f>IF(G17=In!$C$1,MAX('NHAP XUAT'!$B$10:B16)+1,0)</f>
        <v>0</v>
      </c>
      <c r="C17" s="101"/>
      <c r="D17" s="97" t="s">
        <v>121</v>
      </c>
      <c r="E17" s="104" t="s">
        <v>122</v>
      </c>
      <c r="F17" s="99">
        <v>20</v>
      </c>
      <c r="G17" s="99"/>
      <c r="H17" s="100"/>
      <c r="I17" s="82">
        <f>IF(E17="",0,VLOOKUP(E17,DMHH!$D$8:$H$507,IF(H17="",4,5),0))</f>
        <v>3000</v>
      </c>
      <c r="J17" s="82">
        <f t="shared" si="2"/>
        <v>60000</v>
      </c>
      <c r="K17" s="65">
        <f t="shared" si="1"/>
        <v>41881</v>
      </c>
    </row>
    <row r="18" spans="2:11" ht="20.100000000000001" customHeight="1">
      <c r="B18" s="64">
        <f>IF(G18=In!$C$1,MAX('NHAP XUAT'!$B$10:B17)+1,0)</f>
        <v>1</v>
      </c>
      <c r="C18" s="101">
        <v>41883</v>
      </c>
      <c r="D18" s="101" t="s">
        <v>110</v>
      </c>
      <c r="E18" s="105" t="s">
        <v>111</v>
      </c>
      <c r="F18" s="106"/>
      <c r="G18" s="99" t="s">
        <v>226</v>
      </c>
      <c r="H18" s="100">
        <v>1</v>
      </c>
      <c r="I18" s="82">
        <f>IF(E18="",0,VLOOKUP(E18,DMHH!$D$8:$H$507,IF(H18="",4,5),0))</f>
        <v>20000</v>
      </c>
      <c r="J18" s="82">
        <f t="shared" si="2"/>
        <v>20000</v>
      </c>
      <c r="K18" s="65">
        <f t="shared" si="1"/>
        <v>41883</v>
      </c>
    </row>
    <row r="19" spans="2:11" ht="20.100000000000001" customHeight="1">
      <c r="B19" s="64">
        <f>IF(G19=In!$C$1,MAX('NHAP XUAT'!$B$10:B18)+1,0)</f>
        <v>0</v>
      </c>
      <c r="C19" s="101"/>
      <c r="D19" s="101" t="s">
        <v>116</v>
      </c>
      <c r="E19" s="104" t="s">
        <v>156</v>
      </c>
      <c r="F19" s="106"/>
      <c r="G19" s="99" t="s">
        <v>227</v>
      </c>
      <c r="H19" s="100">
        <v>2</v>
      </c>
      <c r="I19" s="82">
        <f>IF(E19="",0,VLOOKUP(E19,DMHH!$D$8:$H$507,IF(H19="",4,5),0))</f>
        <v>10000</v>
      </c>
      <c r="J19" s="82">
        <f t="shared" si="2"/>
        <v>20000</v>
      </c>
      <c r="K19" s="65">
        <f t="shared" si="1"/>
        <v>41883</v>
      </c>
    </row>
    <row r="20" spans="2:11" ht="20.100000000000001" customHeight="1">
      <c r="B20" s="64">
        <f>IF(G20=In!$C$1,MAX('NHAP XUAT'!$B$10:B19)+1,0)</f>
        <v>2</v>
      </c>
      <c r="C20" s="101"/>
      <c r="D20" s="101" t="s">
        <v>112</v>
      </c>
      <c r="E20" s="105" t="s">
        <v>113</v>
      </c>
      <c r="F20" s="106"/>
      <c r="G20" s="99" t="s">
        <v>226</v>
      </c>
      <c r="H20" s="100">
        <v>2</v>
      </c>
      <c r="I20" s="82">
        <f>IF(E20="",0,VLOOKUP(E20,DMHH!$D$8:$H$507,IF(H20="",4,5),0))</f>
        <v>10000</v>
      </c>
      <c r="J20" s="82">
        <f t="shared" si="2"/>
        <v>20000</v>
      </c>
      <c r="K20" s="65">
        <f t="shared" si="1"/>
        <v>41883</v>
      </c>
    </row>
    <row r="21" spans="2:11" ht="20.100000000000001" customHeight="1">
      <c r="B21" s="64">
        <f>IF(G21=In!$C$1,MAX('NHAP XUAT'!$B$10:B20)+1,0)</f>
        <v>0</v>
      </c>
      <c r="C21" s="101"/>
      <c r="D21" s="101"/>
      <c r="E21" s="105"/>
      <c r="F21" s="106"/>
      <c r="G21" s="99"/>
      <c r="H21" s="100"/>
      <c r="I21" s="82">
        <f>IF(E21="",0,VLOOKUP(E21,DMHH!$D$8:$H$507,IF(H21="",4,5),0))</f>
        <v>0</v>
      </c>
      <c r="J21" s="82">
        <f t="shared" si="2"/>
        <v>0</v>
      </c>
      <c r="K21" s="65">
        <f t="shared" si="1"/>
        <v>41883</v>
      </c>
    </row>
    <row r="22" spans="2:11" ht="20.100000000000001" customHeight="1">
      <c r="B22" s="64">
        <f>IF(G22=In!$C$1,MAX('NHAP XUAT'!$B$10:B21)+1,0)</f>
        <v>0</v>
      </c>
      <c r="C22" s="101"/>
      <c r="D22" s="101"/>
      <c r="E22" s="105"/>
      <c r="F22" s="106"/>
      <c r="G22" s="99"/>
      <c r="H22" s="100"/>
      <c r="I22" s="82">
        <f>IF(E22="",0,VLOOKUP(E22,DMHH!$D$8:$H$507,IF(H22="",4,5),0))</f>
        <v>0</v>
      </c>
      <c r="J22" s="82">
        <f t="shared" si="2"/>
        <v>0</v>
      </c>
      <c r="K22" s="65">
        <f t="shared" si="1"/>
        <v>41883</v>
      </c>
    </row>
    <row r="23" spans="2:11" ht="20.100000000000001" customHeight="1">
      <c r="B23" s="64">
        <f>IF(G23=In!$C$1,MAX('NHAP XUAT'!$B$10:B22)+1,0)</f>
        <v>0</v>
      </c>
      <c r="C23" s="101"/>
      <c r="D23" s="101"/>
      <c r="E23" s="105"/>
      <c r="F23" s="106"/>
      <c r="G23" s="99"/>
      <c r="H23" s="100"/>
      <c r="I23" s="82">
        <f>IF(E23="",0,VLOOKUP(E23,DMHH!$D$8:$H$507,IF(H23="",4,5),0))</f>
        <v>0</v>
      </c>
      <c r="J23" s="82">
        <f t="shared" si="2"/>
        <v>0</v>
      </c>
      <c r="K23" s="65">
        <f t="shared" si="1"/>
        <v>41883</v>
      </c>
    </row>
    <row r="24" spans="2:11" ht="20.100000000000001" customHeight="1">
      <c r="B24" s="64">
        <f>IF(G24=In!$C$1,MAX('NHAP XUAT'!$B$10:B23)+1,0)</f>
        <v>0</v>
      </c>
      <c r="C24" s="101"/>
      <c r="D24" s="101"/>
      <c r="E24" s="105"/>
      <c r="F24" s="106"/>
      <c r="G24" s="99"/>
      <c r="H24" s="100"/>
      <c r="I24" s="82">
        <f>IF(E24="",0,VLOOKUP(E24,DMHH!$D$8:$H$507,IF(H24="",4,5),0))</f>
        <v>0</v>
      </c>
      <c r="J24" s="82">
        <f t="shared" si="2"/>
        <v>0</v>
      </c>
      <c r="K24" s="65">
        <f t="shared" si="1"/>
        <v>41883</v>
      </c>
    </row>
    <row r="25" spans="2:11" ht="20.100000000000001" customHeight="1">
      <c r="B25" s="64">
        <f>IF(G25=In!$C$1,MAX('NHAP XUAT'!$B$10:B24)+1,0)</f>
        <v>0</v>
      </c>
      <c r="C25" s="101"/>
      <c r="D25" s="101"/>
      <c r="E25" s="105"/>
      <c r="F25" s="106"/>
      <c r="G25" s="99"/>
      <c r="H25" s="100"/>
      <c r="I25" s="82">
        <f>IF(E25="",0,VLOOKUP(E25,DMHH!$D$8:$H$507,IF(H25="",4,5),0))</f>
        <v>0</v>
      </c>
      <c r="J25" s="82">
        <f t="shared" si="2"/>
        <v>0</v>
      </c>
      <c r="K25" s="65">
        <f t="shared" si="1"/>
        <v>41883</v>
      </c>
    </row>
    <row r="26" spans="2:11" ht="20.100000000000001" customHeight="1">
      <c r="C26" s="101"/>
      <c r="D26" s="101"/>
      <c r="E26" s="105"/>
      <c r="F26" s="106"/>
      <c r="G26" s="99"/>
      <c r="H26" s="100"/>
      <c r="I26" s="82">
        <f>IF(E26="",0,VLOOKUP(E26,DMHH!$D$8:$H$507,IF(H26="",4,5),0))</f>
        <v>0</v>
      </c>
      <c r="J26" s="82">
        <f t="shared" si="2"/>
        <v>0</v>
      </c>
      <c r="K26" s="65">
        <f t="shared" si="1"/>
        <v>41883</v>
      </c>
    </row>
    <row r="27" spans="2:11" ht="20.100000000000001" customHeight="1">
      <c r="C27" s="101"/>
      <c r="D27" s="101"/>
      <c r="E27" s="105"/>
      <c r="F27" s="106"/>
      <c r="G27" s="99"/>
      <c r="H27" s="100"/>
      <c r="I27" s="82">
        <f>IF(E27="",0,VLOOKUP(E27,DMHH!$D$8:$H$507,IF(H27="",4,5),0))</f>
        <v>0</v>
      </c>
      <c r="J27" s="82">
        <f t="shared" si="2"/>
        <v>0</v>
      </c>
      <c r="K27" s="65">
        <f t="shared" si="1"/>
        <v>41883</v>
      </c>
    </row>
    <row r="28" spans="2:11" ht="20.100000000000001" customHeight="1">
      <c r="C28" s="107"/>
      <c r="D28" s="107"/>
      <c r="E28" s="105"/>
      <c r="F28" s="106"/>
      <c r="G28" s="99"/>
      <c r="H28" s="100"/>
      <c r="I28" s="82">
        <f>IF(E28="",0,VLOOKUP(E28,DMHH!$D$8:$H$507,IF(H28="",4,5),0))</f>
        <v>0</v>
      </c>
      <c r="J28" s="82">
        <f t="shared" si="2"/>
        <v>0</v>
      </c>
      <c r="K28" s="65">
        <f t="shared" si="1"/>
        <v>41883</v>
      </c>
    </row>
    <row r="29" spans="2:11" ht="20.100000000000001" customHeight="1">
      <c r="C29" s="107"/>
      <c r="D29" s="107"/>
      <c r="E29" s="105"/>
      <c r="F29" s="106"/>
      <c r="G29" s="99"/>
      <c r="H29" s="100"/>
      <c r="I29" s="82">
        <f>IF(E29="",0,VLOOKUP(E29,DMHH!$D$8:$H$507,IF(H29="",4,5),0))</f>
        <v>0</v>
      </c>
      <c r="J29" s="82">
        <f t="shared" si="2"/>
        <v>0</v>
      </c>
      <c r="K29" s="65">
        <f t="shared" si="1"/>
        <v>41883</v>
      </c>
    </row>
    <row r="30" spans="2:11" ht="20.100000000000001" customHeight="1">
      <c r="C30" s="101"/>
      <c r="D30" s="101"/>
      <c r="E30" s="105"/>
      <c r="F30" s="106"/>
      <c r="G30" s="99"/>
      <c r="H30" s="100"/>
      <c r="I30" s="82">
        <f>IF(E30="",0,VLOOKUP(E30,DMHH!$D$8:$H$507,IF(H30="",4,5),0))</f>
        <v>0</v>
      </c>
      <c r="J30" s="82">
        <f t="shared" si="2"/>
        <v>0</v>
      </c>
      <c r="K30" s="65">
        <f t="shared" si="1"/>
        <v>41883</v>
      </c>
    </row>
    <row r="31" spans="2:11" ht="20.100000000000001" customHeight="1">
      <c r="C31" s="101"/>
      <c r="D31" s="101"/>
      <c r="E31" s="105"/>
      <c r="F31" s="106"/>
      <c r="G31" s="99"/>
      <c r="H31" s="100"/>
      <c r="I31" s="82">
        <f>IF(E31="",0,VLOOKUP(E31,DMHH!$D$8:$H$507,IF(H31="",4,5),0))</f>
        <v>0</v>
      </c>
      <c r="J31" s="82">
        <f t="shared" si="2"/>
        <v>0</v>
      </c>
      <c r="K31" s="65">
        <f t="shared" si="1"/>
        <v>41883</v>
      </c>
    </row>
    <row r="32" spans="2:11" ht="20.100000000000001" customHeight="1">
      <c r="C32" s="101"/>
      <c r="D32" s="101"/>
      <c r="E32" s="105"/>
      <c r="F32" s="106"/>
      <c r="G32" s="99"/>
      <c r="H32" s="100"/>
      <c r="I32" s="82">
        <f>IF(E32="",0,VLOOKUP(E32,DMHH!$D$8:$H$507,IF(H32="",4,5),0))</f>
        <v>0</v>
      </c>
      <c r="J32" s="82">
        <f t="shared" si="2"/>
        <v>0</v>
      </c>
      <c r="K32" s="65">
        <f t="shared" si="1"/>
        <v>41883</v>
      </c>
    </row>
    <row r="33" spans="3:11" ht="20.100000000000001" customHeight="1">
      <c r="C33" s="101"/>
      <c r="D33" s="101"/>
      <c r="E33" s="105"/>
      <c r="F33" s="106"/>
      <c r="G33" s="99"/>
      <c r="H33" s="100"/>
      <c r="I33" s="82">
        <f>IF(E33="",0,VLOOKUP(E33,DMHH!$D$8:$H$507,IF(H33="",4,5),0))</f>
        <v>0</v>
      </c>
      <c r="J33" s="82">
        <f t="shared" si="2"/>
        <v>0</v>
      </c>
      <c r="K33" s="65">
        <f t="shared" si="1"/>
        <v>41883</v>
      </c>
    </row>
    <row r="34" spans="3:11" ht="20.100000000000001" customHeight="1">
      <c r="C34" s="101"/>
      <c r="D34" s="101"/>
      <c r="E34" s="105"/>
      <c r="F34" s="106"/>
      <c r="G34" s="99"/>
      <c r="H34" s="100"/>
      <c r="I34" s="82">
        <f>IF(E34="",0,VLOOKUP(E34,DMHH!$D$8:$H$507,IF(H34="",4,5),0))</f>
        <v>0</v>
      </c>
      <c r="J34" s="82">
        <f t="shared" si="2"/>
        <v>0</v>
      </c>
      <c r="K34" s="65">
        <f t="shared" si="1"/>
        <v>41883</v>
      </c>
    </row>
    <row r="35" spans="3:11" ht="20.100000000000001" customHeight="1">
      <c r="C35" s="101"/>
      <c r="D35" s="101"/>
      <c r="E35" s="105"/>
      <c r="F35" s="106"/>
      <c r="G35" s="99"/>
      <c r="H35" s="100"/>
      <c r="I35" s="82">
        <f>IF(E35="",0,VLOOKUP(E35,DMHH!$D$8:$H$507,IF(H35="",4,5),0))</f>
        <v>0</v>
      </c>
      <c r="J35" s="82">
        <f t="shared" si="2"/>
        <v>0</v>
      </c>
      <c r="K35" s="65">
        <f t="shared" si="1"/>
        <v>41883</v>
      </c>
    </row>
    <row r="36" spans="3:11" ht="20.100000000000001" customHeight="1">
      <c r="C36" s="101"/>
      <c r="D36" s="101"/>
      <c r="E36" s="105"/>
      <c r="F36" s="106"/>
      <c r="G36" s="99"/>
      <c r="H36" s="100"/>
      <c r="I36" s="82">
        <f>IF(E36="",0,VLOOKUP(E36,DMHH!$D$8:$H$507,IF(H36="",4,5),0))</f>
        <v>0</v>
      </c>
      <c r="J36" s="82">
        <f t="shared" si="2"/>
        <v>0</v>
      </c>
      <c r="K36" s="65">
        <f t="shared" si="1"/>
        <v>41883</v>
      </c>
    </row>
    <row r="37" spans="3:11" ht="20.100000000000001" customHeight="1">
      <c r="C37" s="101"/>
      <c r="D37" s="101"/>
      <c r="E37" s="105"/>
      <c r="F37" s="106"/>
      <c r="G37" s="99"/>
      <c r="H37" s="100"/>
      <c r="I37" s="82">
        <f>IF(E37="",0,VLOOKUP(E37,DMHH!$D$8:$H$507,IF(H37="",4,5),0))</f>
        <v>0</v>
      </c>
      <c r="J37" s="82">
        <f t="shared" si="2"/>
        <v>0</v>
      </c>
      <c r="K37" s="65">
        <f t="shared" si="1"/>
        <v>41883</v>
      </c>
    </row>
    <row r="38" spans="3:11" ht="20.100000000000001" customHeight="1">
      <c r="C38" s="101"/>
      <c r="D38" s="101"/>
      <c r="E38" s="105"/>
      <c r="F38" s="106"/>
      <c r="G38" s="99"/>
      <c r="H38" s="100"/>
      <c r="I38" s="82">
        <f>IF(E38="",0,VLOOKUP(E38,DMHH!$D$8:$H$507,IF(H38="",4,5),0))</f>
        <v>0</v>
      </c>
      <c r="J38" s="82">
        <f t="shared" si="2"/>
        <v>0</v>
      </c>
      <c r="K38" s="65">
        <f t="shared" si="1"/>
        <v>41883</v>
      </c>
    </row>
    <row r="39" spans="3:11" ht="20.100000000000001" customHeight="1">
      <c r="C39" s="101"/>
      <c r="D39" s="101"/>
      <c r="E39" s="105"/>
      <c r="F39" s="106"/>
      <c r="G39" s="99"/>
      <c r="H39" s="100"/>
      <c r="I39" s="82">
        <f>IF(E39="",0,VLOOKUP(E39,DMHH!$D$8:$H$507,IF(H39="",4,5),0))</f>
        <v>0</v>
      </c>
      <c r="J39" s="82">
        <f t="shared" si="2"/>
        <v>0</v>
      </c>
      <c r="K39" s="65">
        <f t="shared" si="1"/>
        <v>41883</v>
      </c>
    </row>
    <row r="40" spans="3:11" ht="20.100000000000001" customHeight="1">
      <c r="C40" s="101"/>
      <c r="D40" s="101"/>
      <c r="E40" s="105"/>
      <c r="F40" s="106"/>
      <c r="G40" s="99"/>
      <c r="H40" s="100"/>
      <c r="I40" s="82">
        <f>IF(E40="",0,VLOOKUP(E40,DMHH!$D$8:$H$507,IF(H40="",4,5),0))</f>
        <v>0</v>
      </c>
      <c r="J40" s="82">
        <f t="shared" si="2"/>
        <v>0</v>
      </c>
      <c r="K40" s="65">
        <f t="shared" si="1"/>
        <v>41883</v>
      </c>
    </row>
    <row r="41" spans="3:11" ht="20.100000000000001" customHeight="1">
      <c r="C41" s="101"/>
      <c r="D41" s="101"/>
      <c r="E41" s="105"/>
      <c r="F41" s="106"/>
      <c r="G41" s="99"/>
      <c r="H41" s="100"/>
      <c r="I41" s="82">
        <f>IF(E41="",0,VLOOKUP(E41,DMHH!$D$8:$H$507,IF(H41="",4,5),0))</f>
        <v>0</v>
      </c>
      <c r="J41" s="82">
        <f t="shared" si="2"/>
        <v>0</v>
      </c>
      <c r="K41" s="65">
        <f t="shared" si="1"/>
        <v>41883</v>
      </c>
    </row>
    <row r="42" spans="3:11" ht="20.100000000000001" customHeight="1">
      <c r="C42" s="101"/>
      <c r="D42" s="101"/>
      <c r="E42" s="105"/>
      <c r="F42" s="106"/>
      <c r="G42" s="99"/>
      <c r="H42" s="100"/>
      <c r="I42" s="82">
        <f>IF(E42="",0,VLOOKUP(E42,DMHH!$D$8:$H$507,IF(H42="",4,5),0))</f>
        <v>0</v>
      </c>
      <c r="J42" s="82">
        <f t="shared" si="2"/>
        <v>0</v>
      </c>
      <c r="K42" s="65">
        <f t="shared" si="1"/>
        <v>41883</v>
      </c>
    </row>
    <row r="43" spans="3:11" ht="20.100000000000001" customHeight="1">
      <c r="C43" s="101"/>
      <c r="D43" s="101"/>
      <c r="E43" s="105"/>
      <c r="F43" s="106"/>
      <c r="G43" s="99"/>
      <c r="H43" s="100"/>
      <c r="I43" s="82">
        <f>IF(E43="",0,VLOOKUP(E43,DMHH!$D$8:$H$507,IF(H43="",4,5),0))</f>
        <v>0</v>
      </c>
      <c r="J43" s="82">
        <f t="shared" si="2"/>
        <v>0</v>
      </c>
      <c r="K43" s="65">
        <f t="shared" si="1"/>
        <v>41883</v>
      </c>
    </row>
    <row r="44" spans="3:11" ht="20.100000000000001" customHeight="1">
      <c r="C44" s="101"/>
      <c r="D44" s="101"/>
      <c r="E44" s="105"/>
      <c r="F44" s="106"/>
      <c r="G44" s="99"/>
      <c r="H44" s="100"/>
      <c r="I44" s="82">
        <f>IF(E44="",0,VLOOKUP(E44,DMHH!$D$8:$H$507,IF(H44="",4,5),0))</f>
        <v>0</v>
      </c>
      <c r="J44" s="82">
        <f t="shared" si="2"/>
        <v>0</v>
      </c>
      <c r="K44" s="65">
        <f t="shared" si="1"/>
        <v>41883</v>
      </c>
    </row>
    <row r="45" spans="3:11" ht="20.100000000000001" customHeight="1">
      <c r="C45" s="101"/>
      <c r="D45" s="101"/>
      <c r="E45" s="105"/>
      <c r="F45" s="106"/>
      <c r="G45" s="99"/>
      <c r="H45" s="100"/>
      <c r="I45" s="82">
        <f>IF(E45="",0,VLOOKUP(E45,DMHH!$D$8:$H$507,IF(H45="",4,5),0))</f>
        <v>0</v>
      </c>
      <c r="J45" s="82">
        <f t="shared" si="2"/>
        <v>0</v>
      </c>
      <c r="K45" s="65">
        <f t="shared" si="1"/>
        <v>41883</v>
      </c>
    </row>
    <row r="46" spans="3:11" ht="20.100000000000001" customHeight="1">
      <c r="C46" s="101"/>
      <c r="D46" s="101"/>
      <c r="E46" s="105"/>
      <c r="F46" s="106"/>
      <c r="G46" s="99"/>
      <c r="H46" s="100"/>
      <c r="I46" s="82">
        <f>IF(E46="",0,VLOOKUP(E46,DMHH!$D$8:$H$507,IF(H46="",4,5),0))</f>
        <v>0</v>
      </c>
      <c r="J46" s="82">
        <f t="shared" si="2"/>
        <v>0</v>
      </c>
      <c r="K46" s="65">
        <f t="shared" si="1"/>
        <v>41883</v>
      </c>
    </row>
    <row r="47" spans="3:11" ht="20.100000000000001" customHeight="1">
      <c r="C47" s="101"/>
      <c r="D47" s="101"/>
      <c r="E47" s="105"/>
      <c r="F47" s="106"/>
      <c r="G47" s="99"/>
      <c r="H47" s="100"/>
      <c r="I47" s="82">
        <f>IF(E47="",0,VLOOKUP(E47,DMHH!$D$8:$H$507,IF(H47="",4,5),0))</f>
        <v>0</v>
      </c>
      <c r="J47" s="82">
        <f t="shared" si="2"/>
        <v>0</v>
      </c>
      <c r="K47" s="65">
        <f t="shared" si="1"/>
        <v>41883</v>
      </c>
    </row>
    <row r="48" spans="3:11" ht="20.100000000000001" customHeight="1">
      <c r="C48" s="101"/>
      <c r="D48" s="101"/>
      <c r="E48" s="105"/>
      <c r="F48" s="106"/>
      <c r="G48" s="99"/>
      <c r="H48" s="100"/>
      <c r="I48" s="82">
        <f>IF(E48="",0,VLOOKUP(E48,DMHH!$D$8:$H$507,IF(H48="",4,5),0))</f>
        <v>0</v>
      </c>
      <c r="J48" s="82">
        <f t="shared" si="2"/>
        <v>0</v>
      </c>
      <c r="K48" s="65">
        <f t="shared" si="1"/>
        <v>41883</v>
      </c>
    </row>
    <row r="49" spans="3:11" ht="20.100000000000001" customHeight="1">
      <c r="C49" s="101"/>
      <c r="D49" s="101"/>
      <c r="E49" s="105"/>
      <c r="F49" s="106"/>
      <c r="G49" s="99"/>
      <c r="H49" s="100"/>
      <c r="I49" s="82">
        <f>IF(E49="",0,VLOOKUP(E49,DMHH!$D$8:$H$507,IF(H49="",4,5),0))</f>
        <v>0</v>
      </c>
      <c r="J49" s="82">
        <f t="shared" si="2"/>
        <v>0</v>
      </c>
      <c r="K49" s="65">
        <f t="shared" si="1"/>
        <v>41883</v>
      </c>
    </row>
    <row r="50" spans="3:11" ht="20.100000000000001" customHeight="1">
      <c r="C50" s="101"/>
      <c r="D50" s="101"/>
      <c r="E50" s="105"/>
      <c r="F50" s="106"/>
      <c r="G50" s="99"/>
      <c r="H50" s="100"/>
      <c r="I50" s="82">
        <f>IF(E50="",0,VLOOKUP(E50,DMHH!$D$8:$H$507,IF(H50="",4,5),0))</f>
        <v>0</v>
      </c>
      <c r="J50" s="82">
        <f t="shared" si="2"/>
        <v>0</v>
      </c>
      <c r="K50" s="65">
        <f t="shared" si="1"/>
        <v>41883</v>
      </c>
    </row>
    <row r="51" spans="3:11" ht="20.100000000000001" customHeight="1">
      <c r="C51" s="101"/>
      <c r="D51" s="101"/>
      <c r="E51" s="105"/>
      <c r="F51" s="106"/>
      <c r="G51" s="99"/>
      <c r="H51" s="100"/>
      <c r="I51" s="82">
        <f>IF(E51="",0,VLOOKUP(E51,DMHH!$D$8:$H$507,IF(H51="",4,5),0))</f>
        <v>0</v>
      </c>
      <c r="J51" s="82">
        <f t="shared" si="2"/>
        <v>0</v>
      </c>
      <c r="K51" s="65">
        <f t="shared" si="1"/>
        <v>41883</v>
      </c>
    </row>
    <row r="52" spans="3:11" ht="20.100000000000001" customHeight="1">
      <c r="C52" s="101"/>
      <c r="D52" s="101"/>
      <c r="E52" s="105"/>
      <c r="F52" s="106"/>
      <c r="G52" s="99"/>
      <c r="H52" s="100"/>
      <c r="I52" s="82">
        <f>IF(E52="",0,VLOOKUP(E52,DMHH!$D$8:$H$507,IF(H52="",4,5),0))</f>
        <v>0</v>
      </c>
      <c r="J52" s="82">
        <f t="shared" si="2"/>
        <v>0</v>
      </c>
      <c r="K52" s="65">
        <f t="shared" si="1"/>
        <v>41883</v>
      </c>
    </row>
    <row r="53" spans="3:11" ht="20.100000000000001" customHeight="1">
      <c r="C53" s="101"/>
      <c r="D53" s="101"/>
      <c r="E53" s="105"/>
      <c r="F53" s="106"/>
      <c r="G53" s="99"/>
      <c r="H53" s="100"/>
      <c r="I53" s="82">
        <f>IF(E53="",0,VLOOKUP(E53,DMHH!$D$8:$H$507,IF(H53="",4,5),0))</f>
        <v>0</v>
      </c>
      <c r="J53" s="82">
        <f t="shared" si="2"/>
        <v>0</v>
      </c>
      <c r="K53" s="65">
        <f t="shared" si="1"/>
        <v>41883</v>
      </c>
    </row>
    <row r="54" spans="3:11" ht="20.100000000000001" customHeight="1">
      <c r="C54" s="101"/>
      <c r="D54" s="101"/>
      <c r="E54" s="105"/>
      <c r="F54" s="106"/>
      <c r="G54" s="99"/>
      <c r="H54" s="100"/>
      <c r="I54" s="82">
        <f>IF(E54="",0,VLOOKUP(E54,DMHH!$D$8:$H$507,IF(H54="",4,5),0))</f>
        <v>0</v>
      </c>
      <c r="J54" s="82">
        <f t="shared" si="2"/>
        <v>0</v>
      </c>
      <c r="K54" s="65">
        <f t="shared" si="1"/>
        <v>41883</v>
      </c>
    </row>
    <row r="55" spans="3:11" ht="20.100000000000001" customHeight="1">
      <c r="C55" s="101"/>
      <c r="D55" s="101"/>
      <c r="E55" s="105"/>
      <c r="F55" s="106"/>
      <c r="G55" s="99"/>
      <c r="H55" s="100"/>
      <c r="I55" s="82">
        <f>IF(E55="",0,VLOOKUP(E55,DMHH!$D$8:$H$507,IF(H55="",4,5),0))</f>
        <v>0</v>
      </c>
      <c r="J55" s="82">
        <f t="shared" si="2"/>
        <v>0</v>
      </c>
      <c r="K55" s="65">
        <f t="shared" si="1"/>
        <v>41883</v>
      </c>
    </row>
    <row r="56" spans="3:11" ht="20.100000000000001" customHeight="1">
      <c r="C56" s="101"/>
      <c r="D56" s="101"/>
      <c r="E56" s="105"/>
      <c r="F56" s="106"/>
      <c r="G56" s="99"/>
      <c r="H56" s="100"/>
      <c r="I56" s="82">
        <f>IF(E56="",0,VLOOKUP(E56,DMHH!$D$8:$H$507,IF(H56="",4,5),0))</f>
        <v>0</v>
      </c>
      <c r="J56" s="82">
        <f t="shared" si="2"/>
        <v>0</v>
      </c>
      <c r="K56" s="65">
        <f t="shared" si="1"/>
        <v>41883</v>
      </c>
    </row>
    <row r="57" spans="3:11" ht="20.100000000000001" customHeight="1">
      <c r="C57" s="101"/>
      <c r="D57" s="101"/>
      <c r="E57" s="105"/>
      <c r="F57" s="106"/>
      <c r="G57" s="99"/>
      <c r="H57" s="100"/>
      <c r="I57" s="82">
        <f>IF(E57="",0,VLOOKUP(E57,DMHH!$D$8:$H$507,IF(H57="",4,5),0))</f>
        <v>0</v>
      </c>
      <c r="J57" s="82">
        <f t="shared" si="2"/>
        <v>0</v>
      </c>
      <c r="K57" s="65">
        <f t="shared" si="1"/>
        <v>41883</v>
      </c>
    </row>
    <row r="58" spans="3:11" ht="20.100000000000001" customHeight="1">
      <c r="C58" s="101"/>
      <c r="D58" s="101"/>
      <c r="E58" s="105"/>
      <c r="F58" s="106"/>
      <c r="G58" s="99"/>
      <c r="H58" s="100"/>
      <c r="I58" s="82">
        <f>IF(E58="",0,VLOOKUP(E58,DMHH!$D$8:$H$507,IF(H58="",4,5),0))</f>
        <v>0</v>
      </c>
      <c r="J58" s="82">
        <f t="shared" si="2"/>
        <v>0</v>
      </c>
      <c r="K58" s="65">
        <f t="shared" si="1"/>
        <v>41883</v>
      </c>
    </row>
    <row r="59" spans="3:11" ht="20.100000000000001" customHeight="1">
      <c r="C59" s="101"/>
      <c r="D59" s="101"/>
      <c r="E59" s="105"/>
      <c r="F59" s="106"/>
      <c r="G59" s="99"/>
      <c r="H59" s="100"/>
      <c r="I59" s="82">
        <f>IF(E59="",0,VLOOKUP(E59,DMHH!$D$8:$H$507,IF(H59="",4,5),0))</f>
        <v>0</v>
      </c>
      <c r="J59" s="82">
        <f t="shared" si="2"/>
        <v>0</v>
      </c>
      <c r="K59" s="65">
        <f t="shared" si="1"/>
        <v>41883</v>
      </c>
    </row>
    <row r="60" spans="3:11" ht="20.100000000000001" customHeight="1">
      <c r="C60" s="101"/>
      <c r="D60" s="101"/>
      <c r="E60" s="105"/>
      <c r="F60" s="106"/>
      <c r="G60" s="99"/>
      <c r="H60" s="100"/>
      <c r="I60" s="82">
        <f>IF(E60="",0,VLOOKUP(E60,DMHH!$D$8:$H$507,IF(H60="",4,5),0))</f>
        <v>0</v>
      </c>
      <c r="J60" s="82">
        <f t="shared" si="2"/>
        <v>0</v>
      </c>
      <c r="K60" s="65">
        <f t="shared" si="1"/>
        <v>41883</v>
      </c>
    </row>
    <row r="61" spans="3:11" ht="20.100000000000001" customHeight="1">
      <c r="C61" s="101"/>
      <c r="D61" s="101"/>
      <c r="E61" s="105"/>
      <c r="F61" s="108"/>
      <c r="G61" s="99"/>
      <c r="H61" s="100"/>
      <c r="I61" s="82">
        <f>IF(E61="",0,VLOOKUP(E61,DMHH!$D$8:$H$507,IF(H61="",4,5),0))</f>
        <v>0</v>
      </c>
      <c r="J61" s="82">
        <f t="shared" si="2"/>
        <v>0</v>
      </c>
      <c r="K61" s="65">
        <f t="shared" si="1"/>
        <v>41883</v>
      </c>
    </row>
    <row r="62" spans="3:11" ht="20.100000000000001" customHeight="1">
      <c r="C62" s="101"/>
      <c r="D62" s="101"/>
      <c r="E62" s="105"/>
      <c r="F62" s="108"/>
      <c r="G62" s="99"/>
      <c r="H62" s="100"/>
      <c r="I62" s="82">
        <f>IF(E62="",0,VLOOKUP(E62,DMHH!$D$8:$H$507,IF(H62="",4,5),0))</f>
        <v>0</v>
      </c>
      <c r="J62" s="82">
        <f t="shared" si="2"/>
        <v>0</v>
      </c>
      <c r="K62" s="65">
        <f t="shared" si="1"/>
        <v>41883</v>
      </c>
    </row>
    <row r="63" spans="3:11" ht="20.100000000000001" customHeight="1">
      <c r="C63" s="101"/>
      <c r="D63" s="101"/>
      <c r="E63" s="105"/>
      <c r="F63" s="108"/>
      <c r="G63" s="99"/>
      <c r="H63" s="100"/>
      <c r="I63" s="82">
        <f>IF(E63="",0,VLOOKUP(E63,DMHH!$D$8:$H$507,IF(H63="",4,5),0))</f>
        <v>0</v>
      </c>
      <c r="J63" s="82">
        <f t="shared" si="2"/>
        <v>0</v>
      </c>
      <c r="K63" s="65">
        <f t="shared" si="1"/>
        <v>41883</v>
      </c>
    </row>
    <row r="64" spans="3:11" ht="20.100000000000001" customHeight="1">
      <c r="C64" s="101"/>
      <c r="D64" s="101"/>
      <c r="E64" s="105"/>
      <c r="F64" s="108"/>
      <c r="G64" s="99"/>
      <c r="H64" s="100"/>
      <c r="I64" s="82">
        <f>IF(E64="",0,VLOOKUP(E64,DMHH!$D$8:$H$507,IF(H64="",4,5),0))</f>
        <v>0</v>
      </c>
      <c r="J64" s="82">
        <f t="shared" si="2"/>
        <v>0</v>
      </c>
      <c r="K64" s="65">
        <f t="shared" si="1"/>
        <v>41883</v>
      </c>
    </row>
    <row r="65" spans="3:11" ht="20.100000000000001" customHeight="1">
      <c r="C65" s="101"/>
      <c r="D65" s="101"/>
      <c r="E65" s="105"/>
      <c r="F65" s="108"/>
      <c r="G65" s="99"/>
      <c r="H65" s="100"/>
      <c r="I65" s="82">
        <f>IF(E65="",0,VLOOKUP(E65,DMHH!$D$8:$H$507,IF(H65="",4,5),0))</f>
        <v>0</v>
      </c>
      <c r="J65" s="82">
        <f t="shared" si="2"/>
        <v>0</v>
      </c>
      <c r="K65" s="65">
        <f t="shared" si="1"/>
        <v>41883</v>
      </c>
    </row>
    <row r="66" spans="3:11" ht="20.100000000000001" customHeight="1">
      <c r="C66" s="101"/>
      <c r="D66" s="101"/>
      <c r="E66" s="105"/>
      <c r="F66" s="108"/>
      <c r="G66" s="99"/>
      <c r="H66" s="100"/>
      <c r="I66" s="82">
        <f>IF(E66="",0,VLOOKUP(E66,DMHH!$D$8:$H$507,IF(H66="",4,5),0))</f>
        <v>0</v>
      </c>
      <c r="J66" s="82">
        <f t="shared" si="2"/>
        <v>0</v>
      </c>
      <c r="K66" s="65">
        <f t="shared" si="1"/>
        <v>41883</v>
      </c>
    </row>
    <row r="67" spans="3:11" ht="20.100000000000001" customHeight="1">
      <c r="C67" s="101"/>
      <c r="D67" s="101"/>
      <c r="E67" s="105"/>
      <c r="F67" s="108"/>
      <c r="G67" s="99"/>
      <c r="H67" s="100"/>
      <c r="I67" s="82">
        <f>IF(E67="",0,VLOOKUP(E67,DMHH!$D$8:$H$507,IF(H67="",4,5),0))</f>
        <v>0</v>
      </c>
      <c r="J67" s="82">
        <f t="shared" si="2"/>
        <v>0</v>
      </c>
      <c r="K67" s="65">
        <f t="shared" si="1"/>
        <v>41883</v>
      </c>
    </row>
    <row r="68" spans="3:11" ht="20.100000000000001" customHeight="1">
      <c r="C68" s="101"/>
      <c r="D68" s="101"/>
      <c r="E68" s="105"/>
      <c r="F68" s="108"/>
      <c r="G68" s="99"/>
      <c r="H68" s="100"/>
      <c r="I68" s="82">
        <f>IF(E68="",0,VLOOKUP(E68,DMHH!$D$8:$H$507,IF(H68="",4,5),0))</f>
        <v>0</v>
      </c>
      <c r="J68" s="82">
        <f t="shared" si="2"/>
        <v>0</v>
      </c>
      <c r="K68" s="65">
        <f t="shared" si="1"/>
        <v>41883</v>
      </c>
    </row>
    <row r="69" spans="3:11" ht="20.100000000000001" customHeight="1">
      <c r="C69" s="101"/>
      <c r="D69" s="101"/>
      <c r="E69" s="105"/>
      <c r="F69" s="108"/>
      <c r="G69" s="99"/>
      <c r="H69" s="100"/>
      <c r="I69" s="82">
        <f>IF(E69="",0,VLOOKUP(E69,DMHH!$D$8:$H$507,IF(H69="",4,5),0))</f>
        <v>0</v>
      </c>
      <c r="J69" s="82">
        <f t="shared" si="2"/>
        <v>0</v>
      </c>
      <c r="K69" s="65">
        <f t="shared" si="1"/>
        <v>41883</v>
      </c>
    </row>
    <row r="70" spans="3:11" ht="20.100000000000001" customHeight="1">
      <c r="C70" s="101"/>
      <c r="D70" s="101"/>
      <c r="E70" s="105"/>
      <c r="F70" s="108"/>
      <c r="G70" s="99"/>
      <c r="H70" s="100"/>
      <c r="I70" s="82">
        <f>IF(E70="",0,VLOOKUP(E70,DMHH!$D$8:$H$507,IF(H70="",4,5),0))</f>
        <v>0</v>
      </c>
      <c r="J70" s="82">
        <f t="shared" si="2"/>
        <v>0</v>
      </c>
      <c r="K70" s="65">
        <f t="shared" si="1"/>
        <v>41883</v>
      </c>
    </row>
    <row r="71" spans="3:11" ht="20.100000000000001" customHeight="1">
      <c r="C71" s="101"/>
      <c r="D71" s="101"/>
      <c r="E71" s="105"/>
      <c r="F71" s="108"/>
      <c r="G71" s="99"/>
      <c r="H71" s="100"/>
      <c r="I71" s="82">
        <f>IF(E71="",0,VLOOKUP(E71,DMHH!$D$8:$H$507,IF(H71="",4,5),0))</f>
        <v>0</v>
      </c>
      <c r="J71" s="82">
        <f t="shared" si="2"/>
        <v>0</v>
      </c>
      <c r="K71" s="65">
        <f t="shared" si="1"/>
        <v>41883</v>
      </c>
    </row>
    <row r="72" spans="3:11" ht="20.100000000000001" customHeight="1">
      <c r="C72" s="101"/>
      <c r="D72" s="101"/>
      <c r="E72" s="105"/>
      <c r="F72" s="108"/>
      <c r="G72" s="99"/>
      <c r="H72" s="100"/>
      <c r="I72" s="82">
        <f>IF(E72="",0,VLOOKUP(E72,DMHH!$D$8:$H$507,IF(H72="",4,5),0))</f>
        <v>0</v>
      </c>
      <c r="J72" s="82">
        <f t="shared" si="2"/>
        <v>0</v>
      </c>
      <c r="K72" s="65">
        <f t="shared" si="1"/>
        <v>41883</v>
      </c>
    </row>
    <row r="73" spans="3:11" ht="20.100000000000001" customHeight="1">
      <c r="C73" s="101"/>
      <c r="D73" s="101"/>
      <c r="E73" s="105"/>
      <c r="F73" s="108"/>
      <c r="G73" s="99"/>
      <c r="H73" s="100"/>
      <c r="I73" s="82">
        <f>IF(E73="",0,VLOOKUP(E73,DMHH!$D$8:$H$507,IF(H73="",4,5),0))</f>
        <v>0</v>
      </c>
      <c r="J73" s="82">
        <f t="shared" si="2"/>
        <v>0</v>
      </c>
      <c r="K73" s="65">
        <f t="shared" si="1"/>
        <v>41883</v>
      </c>
    </row>
    <row r="74" spans="3:11" ht="20.100000000000001" customHeight="1">
      <c r="C74" s="101"/>
      <c r="D74" s="101"/>
      <c r="E74" s="105"/>
      <c r="F74" s="108"/>
      <c r="G74" s="99"/>
      <c r="H74" s="100"/>
      <c r="I74" s="82">
        <f>IF(E74="",0,VLOOKUP(E74,DMHH!$D$8:$H$507,IF(H74="",4,5),0))</f>
        <v>0</v>
      </c>
      <c r="J74" s="82">
        <f t="shared" si="2"/>
        <v>0</v>
      </c>
      <c r="K74" s="65">
        <f t="shared" si="1"/>
        <v>41883</v>
      </c>
    </row>
    <row r="75" spans="3:11" ht="20.100000000000001" customHeight="1">
      <c r="C75" s="101"/>
      <c r="D75" s="101"/>
      <c r="E75" s="105"/>
      <c r="F75" s="108"/>
      <c r="G75" s="99"/>
      <c r="H75" s="100"/>
      <c r="I75" s="82">
        <f>IF(E75="",0,VLOOKUP(E75,DMHH!$D$8:$H$507,IF(H75="",4,5),0))</f>
        <v>0</v>
      </c>
      <c r="J75" s="82">
        <f t="shared" si="2"/>
        <v>0</v>
      </c>
      <c r="K75" s="65">
        <f t="shared" ref="K75:K138" si="3">IF(C75="",K74,C75)</f>
        <v>41883</v>
      </c>
    </row>
    <row r="76" spans="3:11" ht="20.100000000000001" customHeight="1">
      <c r="C76" s="101"/>
      <c r="D76" s="101"/>
      <c r="E76" s="105"/>
      <c r="F76" s="106"/>
      <c r="G76" s="99"/>
      <c r="H76" s="100"/>
      <c r="I76" s="82">
        <f>IF(E76="",0,VLOOKUP(E76,DMHH!$D$8:$H$507,IF(H76="",4,5),0))</f>
        <v>0</v>
      </c>
      <c r="J76" s="82">
        <f t="shared" si="2"/>
        <v>0</v>
      </c>
      <c r="K76" s="65">
        <f t="shared" si="3"/>
        <v>41883</v>
      </c>
    </row>
    <row r="77" spans="3:11" ht="20.100000000000001" customHeight="1">
      <c r="C77" s="101"/>
      <c r="D77" s="101"/>
      <c r="E77" s="105"/>
      <c r="F77" s="108"/>
      <c r="G77" s="99"/>
      <c r="H77" s="100"/>
      <c r="I77" s="82">
        <f>IF(E77="",0,VLOOKUP(E77,DMHH!$D$8:$H$507,IF(H77="",4,5),0))</f>
        <v>0</v>
      </c>
      <c r="J77" s="82">
        <f t="shared" ref="J77:J140" si="4">F77*I77+H77*I77</f>
        <v>0</v>
      </c>
      <c r="K77" s="65">
        <f t="shared" si="3"/>
        <v>41883</v>
      </c>
    </row>
    <row r="78" spans="3:11" ht="20.100000000000001" customHeight="1">
      <c r="C78" s="101"/>
      <c r="D78" s="101"/>
      <c r="E78" s="105"/>
      <c r="F78" s="108"/>
      <c r="G78" s="99"/>
      <c r="H78" s="100"/>
      <c r="I78" s="82">
        <f>IF(E78="",0,VLOOKUP(E78,DMHH!$D$8:$H$507,IF(H78="",4,5),0))</f>
        <v>0</v>
      </c>
      <c r="J78" s="82">
        <f t="shared" si="4"/>
        <v>0</v>
      </c>
      <c r="K78" s="65">
        <f t="shared" si="3"/>
        <v>41883</v>
      </c>
    </row>
    <row r="79" spans="3:11" ht="20.100000000000001" customHeight="1">
      <c r="C79" s="101"/>
      <c r="D79" s="101"/>
      <c r="E79" s="105"/>
      <c r="F79" s="108"/>
      <c r="G79" s="99"/>
      <c r="H79" s="100"/>
      <c r="I79" s="82">
        <f>IF(E79="",0,VLOOKUP(E79,DMHH!$D$8:$H$507,IF(H79="",4,5),0))</f>
        <v>0</v>
      </c>
      <c r="J79" s="82">
        <f t="shared" si="4"/>
        <v>0</v>
      </c>
      <c r="K79" s="65">
        <f t="shared" si="3"/>
        <v>41883</v>
      </c>
    </row>
    <row r="80" spans="3:11" ht="20.100000000000001" customHeight="1">
      <c r="C80" s="101"/>
      <c r="D80" s="101"/>
      <c r="E80" s="105"/>
      <c r="F80" s="108"/>
      <c r="G80" s="99"/>
      <c r="H80" s="100"/>
      <c r="I80" s="82">
        <f>IF(E80="",0,VLOOKUP(E80,DMHH!$D$8:$H$507,IF(H80="",4,5),0))</f>
        <v>0</v>
      </c>
      <c r="J80" s="82">
        <f t="shared" si="4"/>
        <v>0</v>
      </c>
      <c r="K80" s="65">
        <f t="shared" si="3"/>
        <v>41883</v>
      </c>
    </row>
    <row r="81" spans="3:11" ht="20.100000000000001" customHeight="1">
      <c r="C81" s="101"/>
      <c r="D81" s="101"/>
      <c r="E81" s="105"/>
      <c r="F81" s="108"/>
      <c r="G81" s="99"/>
      <c r="H81" s="100"/>
      <c r="I81" s="82">
        <f>IF(E81="",0,VLOOKUP(E81,DMHH!$D$8:$H$507,IF(H81="",4,5),0))</f>
        <v>0</v>
      </c>
      <c r="J81" s="82">
        <f t="shared" si="4"/>
        <v>0</v>
      </c>
      <c r="K81" s="65">
        <f t="shared" si="3"/>
        <v>41883</v>
      </c>
    </row>
    <row r="82" spans="3:11" ht="20.100000000000001" customHeight="1">
      <c r="C82" s="101"/>
      <c r="D82" s="101"/>
      <c r="E82" s="105"/>
      <c r="F82" s="108"/>
      <c r="G82" s="99"/>
      <c r="H82" s="100"/>
      <c r="I82" s="82">
        <f>IF(E82="",0,VLOOKUP(E82,DMHH!$D$8:$H$507,IF(H82="",4,5),0))</f>
        <v>0</v>
      </c>
      <c r="J82" s="82">
        <f t="shared" si="4"/>
        <v>0</v>
      </c>
      <c r="K82" s="65">
        <f t="shared" si="3"/>
        <v>41883</v>
      </c>
    </row>
    <row r="83" spans="3:11" ht="20.100000000000001" customHeight="1">
      <c r="C83" s="101"/>
      <c r="D83" s="101"/>
      <c r="E83" s="105"/>
      <c r="F83" s="108"/>
      <c r="G83" s="99"/>
      <c r="H83" s="100"/>
      <c r="I83" s="82">
        <f>IF(E83="",0,VLOOKUP(E83,DMHH!$D$8:$H$507,IF(H83="",4,5),0))</f>
        <v>0</v>
      </c>
      <c r="J83" s="82">
        <f t="shared" si="4"/>
        <v>0</v>
      </c>
      <c r="K83" s="65">
        <f t="shared" si="3"/>
        <v>41883</v>
      </c>
    </row>
    <row r="84" spans="3:11" ht="20.100000000000001" customHeight="1">
      <c r="C84" s="101"/>
      <c r="D84" s="101"/>
      <c r="E84" s="105"/>
      <c r="F84" s="108"/>
      <c r="G84" s="99"/>
      <c r="H84" s="100"/>
      <c r="I84" s="82">
        <f>IF(E84="",0,VLOOKUP(E84,DMHH!$D$8:$H$507,IF(H84="",4,5),0))</f>
        <v>0</v>
      </c>
      <c r="J84" s="82">
        <f t="shared" si="4"/>
        <v>0</v>
      </c>
      <c r="K84" s="65">
        <f t="shared" si="3"/>
        <v>41883</v>
      </c>
    </row>
    <row r="85" spans="3:11" ht="20.100000000000001" customHeight="1">
      <c r="C85" s="101"/>
      <c r="D85" s="101"/>
      <c r="E85" s="105"/>
      <c r="F85" s="108"/>
      <c r="G85" s="99"/>
      <c r="H85" s="100"/>
      <c r="I85" s="82">
        <f>IF(E85="",0,VLOOKUP(E85,DMHH!$D$8:$H$507,IF(H85="",4,5),0))</f>
        <v>0</v>
      </c>
      <c r="J85" s="82">
        <f t="shared" si="4"/>
        <v>0</v>
      </c>
      <c r="K85" s="65">
        <f t="shared" si="3"/>
        <v>41883</v>
      </c>
    </row>
    <row r="86" spans="3:11" ht="20.100000000000001" customHeight="1">
      <c r="C86" s="101"/>
      <c r="D86" s="101"/>
      <c r="E86" s="105"/>
      <c r="F86" s="108"/>
      <c r="G86" s="99"/>
      <c r="H86" s="100"/>
      <c r="I86" s="82">
        <f>IF(E86="",0,VLOOKUP(E86,DMHH!$D$8:$H$507,IF(H86="",4,5),0))</f>
        <v>0</v>
      </c>
      <c r="J86" s="82">
        <f t="shared" si="4"/>
        <v>0</v>
      </c>
      <c r="K86" s="65">
        <f t="shared" si="3"/>
        <v>41883</v>
      </c>
    </row>
    <row r="87" spans="3:11" ht="20.100000000000001" customHeight="1">
      <c r="C87" s="101"/>
      <c r="D87" s="101"/>
      <c r="E87" s="105"/>
      <c r="F87" s="108"/>
      <c r="G87" s="99"/>
      <c r="H87" s="100"/>
      <c r="I87" s="82">
        <f>IF(E87="",0,VLOOKUP(E87,DMHH!$D$8:$H$507,IF(H87="",4,5),0))</f>
        <v>0</v>
      </c>
      <c r="J87" s="82">
        <f t="shared" si="4"/>
        <v>0</v>
      </c>
      <c r="K87" s="65">
        <f t="shared" si="3"/>
        <v>41883</v>
      </c>
    </row>
    <row r="88" spans="3:11" ht="20.100000000000001" customHeight="1">
      <c r="C88" s="101"/>
      <c r="D88" s="101"/>
      <c r="E88" s="105"/>
      <c r="F88" s="108"/>
      <c r="G88" s="99"/>
      <c r="H88" s="100"/>
      <c r="I88" s="82">
        <f>IF(E88="",0,VLOOKUP(E88,DMHH!$D$8:$H$507,IF(H88="",4,5),0))</f>
        <v>0</v>
      </c>
      <c r="J88" s="82">
        <f t="shared" si="4"/>
        <v>0</v>
      </c>
      <c r="K88" s="65">
        <f t="shared" si="3"/>
        <v>41883</v>
      </c>
    </row>
    <row r="89" spans="3:11" ht="20.100000000000001" customHeight="1">
      <c r="C89" s="101"/>
      <c r="D89" s="101"/>
      <c r="E89" s="105"/>
      <c r="F89" s="108"/>
      <c r="G89" s="99"/>
      <c r="H89" s="100"/>
      <c r="I89" s="82">
        <f>IF(E89="",0,VLOOKUP(E89,DMHH!$D$8:$H$507,IF(H89="",4,5),0))</f>
        <v>0</v>
      </c>
      <c r="J89" s="82">
        <f t="shared" si="4"/>
        <v>0</v>
      </c>
      <c r="K89" s="65">
        <f t="shared" si="3"/>
        <v>41883</v>
      </c>
    </row>
    <row r="90" spans="3:11" ht="20.100000000000001" customHeight="1">
      <c r="C90" s="101"/>
      <c r="D90" s="101"/>
      <c r="E90" s="105"/>
      <c r="F90" s="108"/>
      <c r="G90" s="99"/>
      <c r="H90" s="100"/>
      <c r="I90" s="82">
        <f>IF(E90="",0,VLOOKUP(E90,DMHH!$D$8:$H$507,IF(H90="",4,5),0))</f>
        <v>0</v>
      </c>
      <c r="J90" s="82">
        <f t="shared" si="4"/>
        <v>0</v>
      </c>
      <c r="K90" s="65">
        <f t="shared" si="3"/>
        <v>41883</v>
      </c>
    </row>
    <row r="91" spans="3:11" ht="20.100000000000001" customHeight="1">
      <c r="C91" s="101"/>
      <c r="D91" s="101"/>
      <c r="E91" s="105"/>
      <c r="F91" s="108"/>
      <c r="G91" s="99"/>
      <c r="H91" s="100"/>
      <c r="I91" s="82">
        <f>IF(E91="",0,VLOOKUP(E91,DMHH!$D$8:$H$507,IF(H91="",4,5),0))</f>
        <v>0</v>
      </c>
      <c r="J91" s="82">
        <f t="shared" si="4"/>
        <v>0</v>
      </c>
      <c r="K91" s="65">
        <f t="shared" si="3"/>
        <v>41883</v>
      </c>
    </row>
    <row r="92" spans="3:11" ht="20.100000000000001" customHeight="1">
      <c r="C92" s="101"/>
      <c r="D92" s="101"/>
      <c r="E92" s="105"/>
      <c r="F92" s="108"/>
      <c r="G92" s="99"/>
      <c r="H92" s="100"/>
      <c r="I92" s="82">
        <f>IF(E92="",0,VLOOKUP(E92,DMHH!$D$8:$H$507,IF(H92="",4,5),0))</f>
        <v>0</v>
      </c>
      <c r="J92" s="82">
        <f t="shared" si="4"/>
        <v>0</v>
      </c>
      <c r="K92" s="65">
        <f t="shared" si="3"/>
        <v>41883</v>
      </c>
    </row>
    <row r="93" spans="3:11" ht="20.100000000000001" customHeight="1">
      <c r="C93" s="101"/>
      <c r="D93" s="101"/>
      <c r="E93" s="105"/>
      <c r="F93" s="108"/>
      <c r="G93" s="99"/>
      <c r="H93" s="100"/>
      <c r="I93" s="82">
        <f>IF(E93="",0,VLOOKUP(E93,DMHH!$D$8:$H$507,IF(H93="",4,5),0))</f>
        <v>0</v>
      </c>
      <c r="J93" s="82">
        <f t="shared" si="4"/>
        <v>0</v>
      </c>
      <c r="K93" s="65">
        <f t="shared" si="3"/>
        <v>41883</v>
      </c>
    </row>
    <row r="94" spans="3:11" ht="20.100000000000001" customHeight="1">
      <c r="C94" s="101"/>
      <c r="D94" s="101"/>
      <c r="E94" s="105"/>
      <c r="F94" s="108"/>
      <c r="G94" s="99"/>
      <c r="H94" s="100"/>
      <c r="I94" s="82">
        <f>IF(E94="",0,VLOOKUP(E94,DMHH!$D$8:$H$507,IF(H94="",4,5),0))</f>
        <v>0</v>
      </c>
      <c r="J94" s="82">
        <f t="shared" si="4"/>
        <v>0</v>
      </c>
      <c r="K94" s="65">
        <f t="shared" si="3"/>
        <v>41883</v>
      </c>
    </row>
    <row r="95" spans="3:11" ht="20.100000000000001" customHeight="1">
      <c r="C95" s="101"/>
      <c r="D95" s="101"/>
      <c r="E95" s="105"/>
      <c r="F95" s="108"/>
      <c r="G95" s="99"/>
      <c r="H95" s="100"/>
      <c r="I95" s="82">
        <f>IF(E95="",0,VLOOKUP(E95,DMHH!$D$8:$H$507,IF(H95="",4,5),0))</f>
        <v>0</v>
      </c>
      <c r="J95" s="82">
        <f t="shared" si="4"/>
        <v>0</v>
      </c>
      <c r="K95" s="65">
        <f t="shared" si="3"/>
        <v>41883</v>
      </c>
    </row>
    <row r="96" spans="3:11" ht="20.100000000000001" customHeight="1">
      <c r="C96" s="101"/>
      <c r="D96" s="101"/>
      <c r="E96" s="105"/>
      <c r="F96" s="108"/>
      <c r="G96" s="99"/>
      <c r="H96" s="100"/>
      <c r="I96" s="82">
        <f>IF(E96="",0,VLOOKUP(E96,DMHH!$D$8:$H$507,IF(H96="",4,5),0))</f>
        <v>0</v>
      </c>
      <c r="J96" s="82">
        <f t="shared" si="4"/>
        <v>0</v>
      </c>
      <c r="K96" s="65">
        <f t="shared" si="3"/>
        <v>41883</v>
      </c>
    </row>
    <row r="97" spans="3:11" ht="20.100000000000001" customHeight="1">
      <c r="C97" s="101"/>
      <c r="D97" s="101"/>
      <c r="E97" s="105"/>
      <c r="F97" s="108"/>
      <c r="G97" s="99"/>
      <c r="H97" s="100"/>
      <c r="I97" s="82">
        <f>IF(E97="",0,VLOOKUP(E97,DMHH!$D$8:$H$507,IF(H97="",4,5),0))</f>
        <v>0</v>
      </c>
      <c r="J97" s="82">
        <f t="shared" si="4"/>
        <v>0</v>
      </c>
      <c r="K97" s="65">
        <f t="shared" si="3"/>
        <v>41883</v>
      </c>
    </row>
    <row r="98" spans="3:11" ht="20.100000000000001" customHeight="1">
      <c r="C98" s="101"/>
      <c r="D98" s="101"/>
      <c r="E98" s="105"/>
      <c r="F98" s="109"/>
      <c r="G98" s="99"/>
      <c r="H98" s="100"/>
      <c r="I98" s="82">
        <f>IF(E98="",0,VLOOKUP(E98,DMHH!$D$8:$H$507,IF(H98="",4,5),0))</f>
        <v>0</v>
      </c>
      <c r="J98" s="82">
        <f t="shared" si="4"/>
        <v>0</v>
      </c>
      <c r="K98" s="65">
        <f t="shared" si="3"/>
        <v>41883</v>
      </c>
    </row>
    <row r="99" spans="3:11" ht="20.100000000000001" customHeight="1">
      <c r="C99" s="101"/>
      <c r="D99" s="101"/>
      <c r="E99" s="105"/>
      <c r="F99" s="109"/>
      <c r="G99" s="99"/>
      <c r="H99" s="100"/>
      <c r="I99" s="82">
        <f>IF(E99="",0,VLOOKUP(E99,DMHH!$D$8:$H$507,IF(H99="",4,5),0))</f>
        <v>0</v>
      </c>
      <c r="J99" s="82">
        <f t="shared" si="4"/>
        <v>0</v>
      </c>
      <c r="K99" s="65">
        <f t="shared" si="3"/>
        <v>41883</v>
      </c>
    </row>
    <row r="100" spans="3:11" ht="20.100000000000001" customHeight="1">
      <c r="C100" s="101"/>
      <c r="D100" s="101"/>
      <c r="E100" s="105"/>
      <c r="F100" s="110"/>
      <c r="G100" s="99"/>
      <c r="H100" s="100"/>
      <c r="I100" s="82">
        <f>IF(E100="",0,VLOOKUP(E100,DMHH!$D$8:$H$507,IF(H100="",4,5),0))</f>
        <v>0</v>
      </c>
      <c r="J100" s="82">
        <f t="shared" si="4"/>
        <v>0</v>
      </c>
      <c r="K100" s="65">
        <f t="shared" si="3"/>
        <v>41883</v>
      </c>
    </row>
    <row r="101" spans="3:11" ht="20.100000000000001" customHeight="1">
      <c r="C101" s="101"/>
      <c r="D101" s="101"/>
      <c r="E101" s="105"/>
      <c r="F101" s="110"/>
      <c r="G101" s="99"/>
      <c r="H101" s="100"/>
      <c r="I101" s="82">
        <f>IF(E101="",0,VLOOKUP(E101,DMHH!$D$8:$H$507,IF(H101="",4,5),0))</f>
        <v>0</v>
      </c>
      <c r="J101" s="82">
        <f t="shared" si="4"/>
        <v>0</v>
      </c>
      <c r="K101" s="65">
        <f t="shared" si="3"/>
        <v>41883</v>
      </c>
    </row>
    <row r="102" spans="3:11" ht="20.100000000000001" customHeight="1">
      <c r="C102" s="101"/>
      <c r="D102" s="101"/>
      <c r="E102" s="105"/>
      <c r="F102" s="110"/>
      <c r="G102" s="99"/>
      <c r="H102" s="100"/>
      <c r="I102" s="82">
        <f>IF(E102="",0,VLOOKUP(E102,DMHH!$D$8:$H$507,IF(H102="",4,5),0))</f>
        <v>0</v>
      </c>
      <c r="J102" s="82">
        <f t="shared" si="4"/>
        <v>0</v>
      </c>
      <c r="K102" s="65">
        <f t="shared" si="3"/>
        <v>41883</v>
      </c>
    </row>
    <row r="103" spans="3:11" ht="20.100000000000001" customHeight="1">
      <c r="C103" s="101"/>
      <c r="D103" s="101"/>
      <c r="E103" s="105"/>
      <c r="F103" s="110"/>
      <c r="G103" s="99"/>
      <c r="H103" s="100"/>
      <c r="I103" s="82">
        <f>IF(E103="",0,VLOOKUP(E103,DMHH!$D$8:$H$507,IF(H103="",4,5),0))</f>
        <v>0</v>
      </c>
      <c r="J103" s="82">
        <f t="shared" si="4"/>
        <v>0</v>
      </c>
      <c r="K103" s="65">
        <f t="shared" si="3"/>
        <v>41883</v>
      </c>
    </row>
    <row r="104" spans="3:11" ht="20.100000000000001" customHeight="1">
      <c r="C104" s="101"/>
      <c r="D104" s="101"/>
      <c r="E104" s="105"/>
      <c r="F104" s="110"/>
      <c r="G104" s="99"/>
      <c r="H104" s="100"/>
      <c r="I104" s="82">
        <f>IF(E104="",0,VLOOKUP(E104,DMHH!$D$8:$H$507,IF(H104="",4,5),0))</f>
        <v>0</v>
      </c>
      <c r="J104" s="82">
        <f t="shared" si="4"/>
        <v>0</v>
      </c>
      <c r="K104" s="65">
        <f t="shared" si="3"/>
        <v>41883</v>
      </c>
    </row>
    <row r="105" spans="3:11" ht="20.100000000000001" customHeight="1">
      <c r="C105" s="101"/>
      <c r="D105" s="101"/>
      <c r="E105" s="105"/>
      <c r="F105" s="110"/>
      <c r="G105" s="99"/>
      <c r="H105" s="100"/>
      <c r="I105" s="82">
        <f>IF(E105="",0,VLOOKUP(E105,DMHH!$D$8:$H$507,IF(H105="",4,5),0))</f>
        <v>0</v>
      </c>
      <c r="J105" s="82">
        <f t="shared" si="4"/>
        <v>0</v>
      </c>
      <c r="K105" s="65">
        <f t="shared" si="3"/>
        <v>41883</v>
      </c>
    </row>
    <row r="106" spans="3:11" ht="20.100000000000001" customHeight="1">
      <c r="C106" s="101"/>
      <c r="D106" s="101"/>
      <c r="E106" s="105"/>
      <c r="F106" s="110"/>
      <c r="G106" s="99"/>
      <c r="H106" s="100"/>
      <c r="I106" s="82">
        <f>IF(E106="",0,VLOOKUP(E106,DMHH!$D$8:$H$507,IF(H106="",4,5),0))</f>
        <v>0</v>
      </c>
      <c r="J106" s="82">
        <f t="shared" si="4"/>
        <v>0</v>
      </c>
      <c r="K106" s="65">
        <f t="shared" si="3"/>
        <v>41883</v>
      </c>
    </row>
    <row r="107" spans="3:11" ht="20.100000000000001" customHeight="1">
      <c r="C107" s="101"/>
      <c r="D107" s="101"/>
      <c r="E107" s="105"/>
      <c r="F107" s="110"/>
      <c r="G107" s="99"/>
      <c r="H107" s="100"/>
      <c r="I107" s="82">
        <f>IF(E107="",0,VLOOKUP(E107,DMHH!$D$8:$H$507,IF(H107="",4,5),0))</f>
        <v>0</v>
      </c>
      <c r="J107" s="82">
        <f t="shared" si="4"/>
        <v>0</v>
      </c>
      <c r="K107" s="65">
        <f t="shared" si="3"/>
        <v>41883</v>
      </c>
    </row>
    <row r="108" spans="3:11" ht="20.100000000000001" customHeight="1">
      <c r="C108" s="101"/>
      <c r="D108" s="101"/>
      <c r="E108" s="105"/>
      <c r="F108" s="110"/>
      <c r="G108" s="99"/>
      <c r="H108" s="100"/>
      <c r="I108" s="82">
        <f>IF(E108="",0,VLOOKUP(E108,DMHH!$D$8:$H$507,IF(H108="",4,5),0))</f>
        <v>0</v>
      </c>
      <c r="J108" s="82">
        <f t="shared" si="4"/>
        <v>0</v>
      </c>
      <c r="K108" s="65">
        <f t="shared" si="3"/>
        <v>41883</v>
      </c>
    </row>
    <row r="109" spans="3:11" ht="20.100000000000001" customHeight="1">
      <c r="C109" s="101"/>
      <c r="D109" s="101"/>
      <c r="E109" s="105"/>
      <c r="F109" s="110"/>
      <c r="G109" s="99"/>
      <c r="H109" s="100"/>
      <c r="I109" s="82">
        <f>IF(E109="",0,VLOOKUP(E109,DMHH!$D$8:$H$507,IF(H109="",4,5),0))</f>
        <v>0</v>
      </c>
      <c r="J109" s="82">
        <f t="shared" si="4"/>
        <v>0</v>
      </c>
      <c r="K109" s="65">
        <f t="shared" si="3"/>
        <v>41883</v>
      </c>
    </row>
    <row r="110" spans="3:11" ht="20.100000000000001" customHeight="1">
      <c r="C110" s="101"/>
      <c r="D110" s="101"/>
      <c r="E110" s="105"/>
      <c r="F110" s="110"/>
      <c r="G110" s="99"/>
      <c r="H110" s="100"/>
      <c r="I110" s="82">
        <f>IF(E110="",0,VLOOKUP(E110,DMHH!$D$8:$H$507,IF(H110="",4,5),0))</f>
        <v>0</v>
      </c>
      <c r="J110" s="82">
        <f t="shared" si="4"/>
        <v>0</v>
      </c>
      <c r="K110" s="65">
        <f t="shared" si="3"/>
        <v>41883</v>
      </c>
    </row>
    <row r="111" spans="3:11" ht="20.100000000000001" customHeight="1">
      <c r="C111" s="101"/>
      <c r="D111" s="101"/>
      <c r="E111" s="105"/>
      <c r="F111" s="110"/>
      <c r="G111" s="99"/>
      <c r="H111" s="100"/>
      <c r="I111" s="82">
        <f>IF(E111="",0,VLOOKUP(E111,DMHH!$D$8:$H$507,IF(H111="",4,5),0))</f>
        <v>0</v>
      </c>
      <c r="J111" s="82">
        <f t="shared" si="4"/>
        <v>0</v>
      </c>
      <c r="K111" s="65">
        <f t="shared" si="3"/>
        <v>41883</v>
      </c>
    </row>
    <row r="112" spans="3:11" ht="20.100000000000001" customHeight="1">
      <c r="C112" s="101"/>
      <c r="D112" s="101"/>
      <c r="E112" s="105"/>
      <c r="F112" s="110"/>
      <c r="G112" s="99"/>
      <c r="H112" s="100"/>
      <c r="I112" s="82">
        <f>IF(E112="",0,VLOOKUP(E112,DMHH!$D$8:$H$507,IF(H112="",4,5),0))</f>
        <v>0</v>
      </c>
      <c r="J112" s="82">
        <f t="shared" si="4"/>
        <v>0</v>
      </c>
      <c r="K112" s="65">
        <f t="shared" si="3"/>
        <v>41883</v>
      </c>
    </row>
    <row r="113" spans="3:11" ht="20.100000000000001" customHeight="1">
      <c r="C113" s="101"/>
      <c r="D113" s="101"/>
      <c r="E113" s="105"/>
      <c r="F113" s="110"/>
      <c r="G113" s="99"/>
      <c r="H113" s="100"/>
      <c r="I113" s="82">
        <f>IF(E113="",0,VLOOKUP(E113,DMHH!$D$8:$H$507,IF(H113="",4,5),0))</f>
        <v>0</v>
      </c>
      <c r="J113" s="82">
        <f t="shared" si="4"/>
        <v>0</v>
      </c>
      <c r="K113" s="65">
        <f t="shared" si="3"/>
        <v>41883</v>
      </c>
    </row>
    <row r="114" spans="3:11" ht="20.100000000000001" customHeight="1">
      <c r="C114" s="101"/>
      <c r="D114" s="101"/>
      <c r="E114" s="105"/>
      <c r="F114" s="110"/>
      <c r="G114" s="99"/>
      <c r="H114" s="100"/>
      <c r="I114" s="82">
        <f>IF(E114="",0,VLOOKUP(E114,DMHH!$D$8:$H$507,IF(H114="",4,5),0))</f>
        <v>0</v>
      </c>
      <c r="J114" s="82">
        <f t="shared" si="4"/>
        <v>0</v>
      </c>
      <c r="K114" s="65">
        <f t="shared" si="3"/>
        <v>41883</v>
      </c>
    </row>
    <row r="115" spans="3:11" ht="20.100000000000001" customHeight="1">
      <c r="C115" s="101"/>
      <c r="D115" s="101"/>
      <c r="E115" s="105"/>
      <c r="F115" s="106"/>
      <c r="G115" s="99"/>
      <c r="H115" s="100"/>
      <c r="I115" s="82">
        <f>IF(E115="",0,VLOOKUP(E115,DMHH!$D$8:$H$507,IF(H115="",4,5),0))</f>
        <v>0</v>
      </c>
      <c r="J115" s="82">
        <f t="shared" si="4"/>
        <v>0</v>
      </c>
      <c r="K115" s="65">
        <f t="shared" si="3"/>
        <v>41883</v>
      </c>
    </row>
    <row r="116" spans="3:11" ht="20.100000000000001" customHeight="1">
      <c r="C116" s="101"/>
      <c r="D116" s="101"/>
      <c r="E116" s="105"/>
      <c r="F116" s="110"/>
      <c r="G116" s="99"/>
      <c r="H116" s="100"/>
      <c r="I116" s="82">
        <f>IF(E116="",0,VLOOKUP(E116,DMHH!$D$8:$H$507,IF(H116="",4,5),0))</f>
        <v>0</v>
      </c>
      <c r="J116" s="82">
        <f t="shared" si="4"/>
        <v>0</v>
      </c>
      <c r="K116" s="65">
        <f t="shared" si="3"/>
        <v>41883</v>
      </c>
    </row>
    <row r="117" spans="3:11" ht="20.100000000000001" customHeight="1">
      <c r="C117" s="101"/>
      <c r="D117" s="101"/>
      <c r="E117" s="105"/>
      <c r="F117" s="111"/>
      <c r="G117" s="99"/>
      <c r="H117" s="100"/>
      <c r="I117" s="82">
        <f>IF(E117="",0,VLOOKUP(E117,DMHH!$D$8:$H$507,IF(H117="",4,5),0))</f>
        <v>0</v>
      </c>
      <c r="J117" s="82">
        <f t="shared" si="4"/>
        <v>0</v>
      </c>
      <c r="K117" s="65">
        <f t="shared" si="3"/>
        <v>41883</v>
      </c>
    </row>
    <row r="118" spans="3:11" ht="20.100000000000001" customHeight="1">
      <c r="C118" s="101"/>
      <c r="D118" s="101"/>
      <c r="E118" s="105"/>
      <c r="F118" s="111"/>
      <c r="G118" s="99"/>
      <c r="H118" s="100"/>
      <c r="I118" s="82">
        <f>IF(E118="",0,VLOOKUP(E118,DMHH!$D$8:$H$507,IF(H118="",4,5),0))</f>
        <v>0</v>
      </c>
      <c r="J118" s="82">
        <f t="shared" si="4"/>
        <v>0</v>
      </c>
      <c r="K118" s="65">
        <f t="shared" si="3"/>
        <v>41883</v>
      </c>
    </row>
    <row r="119" spans="3:11" ht="20.100000000000001" customHeight="1">
      <c r="C119" s="101"/>
      <c r="D119" s="101"/>
      <c r="E119" s="105"/>
      <c r="F119" s="111"/>
      <c r="G119" s="99"/>
      <c r="H119" s="100"/>
      <c r="I119" s="82">
        <f>IF(E119="",0,VLOOKUP(E119,DMHH!$D$8:$H$507,IF(H119="",4,5),0))</f>
        <v>0</v>
      </c>
      <c r="J119" s="82">
        <f t="shared" si="4"/>
        <v>0</v>
      </c>
      <c r="K119" s="65">
        <f t="shared" si="3"/>
        <v>41883</v>
      </c>
    </row>
    <row r="120" spans="3:11" ht="20.100000000000001" customHeight="1">
      <c r="C120" s="101"/>
      <c r="D120" s="101"/>
      <c r="E120" s="105"/>
      <c r="F120" s="111"/>
      <c r="G120" s="99"/>
      <c r="H120" s="100"/>
      <c r="I120" s="82">
        <f>IF(E120="",0,VLOOKUP(E120,DMHH!$D$8:$H$507,IF(H120="",4,5),0))</f>
        <v>0</v>
      </c>
      <c r="J120" s="82">
        <f t="shared" si="4"/>
        <v>0</v>
      </c>
      <c r="K120" s="65">
        <f t="shared" si="3"/>
        <v>41883</v>
      </c>
    </row>
    <row r="121" spans="3:11" ht="20.100000000000001" customHeight="1">
      <c r="C121" s="101"/>
      <c r="D121" s="101"/>
      <c r="E121" s="105"/>
      <c r="F121" s="111"/>
      <c r="G121" s="99"/>
      <c r="H121" s="100"/>
      <c r="I121" s="82">
        <f>IF(E121="",0,VLOOKUP(E121,DMHH!$D$8:$H$507,IF(H121="",4,5),0))</f>
        <v>0</v>
      </c>
      <c r="J121" s="82">
        <f t="shared" si="4"/>
        <v>0</v>
      </c>
      <c r="K121" s="65">
        <f t="shared" si="3"/>
        <v>41883</v>
      </c>
    </row>
    <row r="122" spans="3:11" ht="20.100000000000001" customHeight="1">
      <c r="C122" s="101"/>
      <c r="D122" s="101"/>
      <c r="E122" s="105"/>
      <c r="F122" s="111"/>
      <c r="G122" s="99"/>
      <c r="H122" s="100"/>
      <c r="I122" s="82">
        <f>IF(E122="",0,VLOOKUP(E122,DMHH!$D$8:$H$507,IF(H122="",4,5),0))</f>
        <v>0</v>
      </c>
      <c r="J122" s="82">
        <f t="shared" si="4"/>
        <v>0</v>
      </c>
      <c r="K122" s="65">
        <f t="shared" si="3"/>
        <v>41883</v>
      </c>
    </row>
    <row r="123" spans="3:11" ht="20.100000000000001" customHeight="1">
      <c r="C123" s="101"/>
      <c r="D123" s="101"/>
      <c r="E123" s="105"/>
      <c r="F123" s="111"/>
      <c r="G123" s="99"/>
      <c r="H123" s="100"/>
      <c r="I123" s="82">
        <f>IF(E123="",0,VLOOKUP(E123,DMHH!$D$8:$H$507,IF(H123="",4,5),0))</f>
        <v>0</v>
      </c>
      <c r="J123" s="82">
        <f t="shared" si="4"/>
        <v>0</v>
      </c>
      <c r="K123" s="65">
        <f t="shared" si="3"/>
        <v>41883</v>
      </c>
    </row>
    <row r="124" spans="3:11" ht="20.100000000000001" customHeight="1">
      <c r="C124" s="101"/>
      <c r="D124" s="101"/>
      <c r="E124" s="105"/>
      <c r="F124" s="111"/>
      <c r="G124" s="99"/>
      <c r="H124" s="100"/>
      <c r="I124" s="82">
        <f>IF(E124="",0,VLOOKUP(E124,DMHH!$D$8:$H$507,IF(H124="",4,5),0))</f>
        <v>0</v>
      </c>
      <c r="J124" s="82">
        <f t="shared" si="4"/>
        <v>0</v>
      </c>
      <c r="K124" s="65">
        <f t="shared" si="3"/>
        <v>41883</v>
      </c>
    </row>
    <row r="125" spans="3:11" ht="20.100000000000001" customHeight="1">
      <c r="C125" s="101"/>
      <c r="D125" s="101"/>
      <c r="E125" s="105"/>
      <c r="F125" s="111"/>
      <c r="G125" s="99"/>
      <c r="H125" s="100"/>
      <c r="I125" s="82">
        <f>IF(E125="",0,VLOOKUP(E125,DMHH!$D$8:$H$507,IF(H125="",4,5),0))</f>
        <v>0</v>
      </c>
      <c r="J125" s="82">
        <f t="shared" si="4"/>
        <v>0</v>
      </c>
      <c r="K125" s="65">
        <f t="shared" si="3"/>
        <v>41883</v>
      </c>
    </row>
    <row r="126" spans="3:11" ht="20.100000000000001" customHeight="1">
      <c r="C126" s="101"/>
      <c r="D126" s="101"/>
      <c r="E126" s="105"/>
      <c r="F126" s="111"/>
      <c r="G126" s="99"/>
      <c r="H126" s="100"/>
      <c r="I126" s="82">
        <f>IF(E126="",0,VLOOKUP(E126,DMHH!$D$8:$H$507,IF(H126="",4,5),0))</f>
        <v>0</v>
      </c>
      <c r="J126" s="82">
        <f t="shared" si="4"/>
        <v>0</v>
      </c>
      <c r="K126" s="65">
        <f t="shared" si="3"/>
        <v>41883</v>
      </c>
    </row>
    <row r="127" spans="3:11" ht="20.100000000000001" customHeight="1">
      <c r="C127" s="101"/>
      <c r="D127" s="101"/>
      <c r="E127" s="105"/>
      <c r="F127" s="111"/>
      <c r="G127" s="99"/>
      <c r="H127" s="100"/>
      <c r="I127" s="82">
        <f>IF(E127="",0,VLOOKUP(E127,DMHH!$D$8:$H$507,IF(H127="",4,5),0))</f>
        <v>0</v>
      </c>
      <c r="J127" s="82">
        <f t="shared" si="4"/>
        <v>0</v>
      </c>
      <c r="K127" s="65">
        <f t="shared" si="3"/>
        <v>41883</v>
      </c>
    </row>
    <row r="128" spans="3:11" ht="20.100000000000001" customHeight="1">
      <c r="C128" s="101"/>
      <c r="D128" s="101"/>
      <c r="E128" s="105"/>
      <c r="F128" s="111"/>
      <c r="G128" s="99"/>
      <c r="H128" s="100"/>
      <c r="I128" s="82">
        <f>IF(E128="",0,VLOOKUP(E128,DMHH!$D$8:$H$507,IF(H128="",4,5),0))</f>
        <v>0</v>
      </c>
      <c r="J128" s="82">
        <f t="shared" si="4"/>
        <v>0</v>
      </c>
      <c r="K128" s="65">
        <f t="shared" si="3"/>
        <v>41883</v>
      </c>
    </row>
    <row r="129" spans="3:11" ht="20.100000000000001" customHeight="1">
      <c r="C129" s="101"/>
      <c r="D129" s="101"/>
      <c r="E129" s="105"/>
      <c r="F129" s="111"/>
      <c r="G129" s="99"/>
      <c r="H129" s="100"/>
      <c r="I129" s="82">
        <f>IF(E129="",0,VLOOKUP(E129,DMHH!$D$8:$H$507,IF(H129="",4,5),0))</f>
        <v>0</v>
      </c>
      <c r="J129" s="82">
        <f t="shared" si="4"/>
        <v>0</v>
      </c>
      <c r="K129" s="65">
        <f t="shared" si="3"/>
        <v>41883</v>
      </c>
    </row>
    <row r="130" spans="3:11" ht="20.100000000000001" customHeight="1">
      <c r="C130" s="101"/>
      <c r="D130" s="101"/>
      <c r="E130" s="105"/>
      <c r="F130" s="111"/>
      <c r="G130" s="99"/>
      <c r="H130" s="100"/>
      <c r="I130" s="82">
        <f>IF(E130="",0,VLOOKUP(E130,DMHH!$D$8:$H$507,IF(H130="",4,5),0))</f>
        <v>0</v>
      </c>
      <c r="J130" s="82">
        <f t="shared" si="4"/>
        <v>0</v>
      </c>
      <c r="K130" s="65">
        <f t="shared" si="3"/>
        <v>41883</v>
      </c>
    </row>
    <row r="131" spans="3:11" ht="20.100000000000001" customHeight="1">
      <c r="C131" s="101"/>
      <c r="D131" s="101"/>
      <c r="E131" s="105"/>
      <c r="F131" s="111"/>
      <c r="G131" s="99"/>
      <c r="H131" s="100"/>
      <c r="I131" s="82">
        <f>IF(E131="",0,VLOOKUP(E131,DMHH!$D$8:$H$507,IF(H131="",4,5),0))</f>
        <v>0</v>
      </c>
      <c r="J131" s="82">
        <f t="shared" si="4"/>
        <v>0</v>
      </c>
      <c r="K131" s="65">
        <f t="shared" si="3"/>
        <v>41883</v>
      </c>
    </row>
    <row r="132" spans="3:11" ht="20.100000000000001" customHeight="1">
      <c r="C132" s="101"/>
      <c r="D132" s="101"/>
      <c r="E132" s="105"/>
      <c r="F132" s="111"/>
      <c r="G132" s="99"/>
      <c r="H132" s="100"/>
      <c r="I132" s="82">
        <f>IF(E132="",0,VLOOKUP(E132,DMHH!$D$8:$H$507,IF(H132="",4,5),0))</f>
        <v>0</v>
      </c>
      <c r="J132" s="82">
        <f t="shared" si="4"/>
        <v>0</v>
      </c>
      <c r="K132" s="65">
        <f t="shared" si="3"/>
        <v>41883</v>
      </c>
    </row>
    <row r="133" spans="3:11" ht="20.100000000000001" customHeight="1">
      <c r="C133" s="101"/>
      <c r="D133" s="101"/>
      <c r="E133" s="105"/>
      <c r="F133" s="111"/>
      <c r="G133" s="99"/>
      <c r="H133" s="100"/>
      <c r="I133" s="82">
        <f>IF(E133="",0,VLOOKUP(E133,DMHH!$D$8:$H$507,IF(H133="",4,5),0))</f>
        <v>0</v>
      </c>
      <c r="J133" s="82">
        <f t="shared" si="4"/>
        <v>0</v>
      </c>
      <c r="K133" s="65">
        <f t="shared" si="3"/>
        <v>41883</v>
      </c>
    </row>
    <row r="134" spans="3:11" ht="20.100000000000001" customHeight="1">
      <c r="C134" s="101"/>
      <c r="D134" s="101"/>
      <c r="E134" s="105"/>
      <c r="F134" s="111"/>
      <c r="G134" s="99"/>
      <c r="H134" s="100"/>
      <c r="I134" s="82">
        <f>IF(E134="",0,VLOOKUP(E134,DMHH!$D$8:$H$507,IF(H134="",4,5),0))</f>
        <v>0</v>
      </c>
      <c r="J134" s="82">
        <f t="shared" si="4"/>
        <v>0</v>
      </c>
      <c r="K134" s="65">
        <f t="shared" si="3"/>
        <v>41883</v>
      </c>
    </row>
    <row r="135" spans="3:11" ht="20.100000000000001" customHeight="1">
      <c r="C135" s="101"/>
      <c r="D135" s="101"/>
      <c r="E135" s="105"/>
      <c r="F135" s="111"/>
      <c r="G135" s="99"/>
      <c r="H135" s="100"/>
      <c r="I135" s="82">
        <f>IF(E135="",0,VLOOKUP(E135,DMHH!$D$8:$H$507,IF(H135="",4,5),0))</f>
        <v>0</v>
      </c>
      <c r="J135" s="82">
        <f t="shared" si="4"/>
        <v>0</v>
      </c>
      <c r="K135" s="65">
        <f t="shared" si="3"/>
        <v>41883</v>
      </c>
    </row>
    <row r="136" spans="3:11" ht="20.100000000000001" customHeight="1">
      <c r="C136" s="101"/>
      <c r="D136" s="101"/>
      <c r="E136" s="105"/>
      <c r="F136" s="111"/>
      <c r="G136" s="99"/>
      <c r="H136" s="100"/>
      <c r="I136" s="82">
        <f>IF(E136="",0,VLOOKUP(E136,DMHH!$D$8:$H$507,IF(H136="",4,5),0))</f>
        <v>0</v>
      </c>
      <c r="J136" s="82">
        <f t="shared" si="4"/>
        <v>0</v>
      </c>
      <c r="K136" s="65">
        <f t="shared" si="3"/>
        <v>41883</v>
      </c>
    </row>
    <row r="137" spans="3:11" ht="20.100000000000001" customHeight="1">
      <c r="C137" s="101"/>
      <c r="D137" s="101"/>
      <c r="E137" s="105"/>
      <c r="F137" s="111"/>
      <c r="G137" s="99"/>
      <c r="H137" s="100"/>
      <c r="I137" s="82">
        <f>IF(E137="",0,VLOOKUP(E137,DMHH!$D$8:$H$507,IF(H137="",4,5),0))</f>
        <v>0</v>
      </c>
      <c r="J137" s="82">
        <f t="shared" si="4"/>
        <v>0</v>
      </c>
      <c r="K137" s="65">
        <f t="shared" si="3"/>
        <v>41883</v>
      </c>
    </row>
    <row r="138" spans="3:11" ht="20.100000000000001" customHeight="1">
      <c r="C138" s="101"/>
      <c r="D138" s="101"/>
      <c r="E138" s="105"/>
      <c r="F138" s="111"/>
      <c r="G138" s="99"/>
      <c r="H138" s="100"/>
      <c r="I138" s="82">
        <f>IF(E138="",0,VLOOKUP(E138,DMHH!$D$8:$H$507,IF(H138="",4,5),0))</f>
        <v>0</v>
      </c>
      <c r="J138" s="82">
        <f t="shared" si="4"/>
        <v>0</v>
      </c>
      <c r="K138" s="65">
        <f t="shared" si="3"/>
        <v>41883</v>
      </c>
    </row>
    <row r="139" spans="3:11" ht="20.100000000000001" customHeight="1">
      <c r="C139" s="101"/>
      <c r="D139" s="101"/>
      <c r="E139" s="105"/>
      <c r="F139" s="111"/>
      <c r="G139" s="99"/>
      <c r="H139" s="100"/>
      <c r="I139" s="82">
        <f>IF(E139="",0,VLOOKUP(E139,DMHH!$D$8:$H$507,IF(H139="",4,5),0))</f>
        <v>0</v>
      </c>
      <c r="J139" s="82">
        <f t="shared" si="4"/>
        <v>0</v>
      </c>
      <c r="K139" s="65">
        <f t="shared" ref="K139:K202" si="5">IF(C139="",K138,C139)</f>
        <v>41883</v>
      </c>
    </row>
    <row r="140" spans="3:11" ht="20.100000000000001" customHeight="1">
      <c r="C140" s="101"/>
      <c r="D140" s="101"/>
      <c r="E140" s="105"/>
      <c r="F140" s="111"/>
      <c r="G140" s="99"/>
      <c r="H140" s="100"/>
      <c r="I140" s="82">
        <f>IF(E140="",0,VLOOKUP(E140,DMHH!$D$8:$H$507,IF(H140="",4,5),0))</f>
        <v>0</v>
      </c>
      <c r="J140" s="82">
        <f t="shared" si="4"/>
        <v>0</v>
      </c>
      <c r="K140" s="65">
        <f t="shared" si="5"/>
        <v>41883</v>
      </c>
    </row>
    <row r="141" spans="3:11" ht="20.100000000000001" customHeight="1">
      <c r="C141" s="101"/>
      <c r="D141" s="101"/>
      <c r="E141" s="105"/>
      <c r="F141" s="111"/>
      <c r="G141" s="99"/>
      <c r="H141" s="100"/>
      <c r="I141" s="82">
        <f>IF(E141="",0,VLOOKUP(E141,DMHH!$D$8:$H$507,IF(H141="",4,5),0))</f>
        <v>0</v>
      </c>
      <c r="J141" s="82">
        <f t="shared" ref="J141:J204" si="6">F141*I141+H141*I141</f>
        <v>0</v>
      </c>
      <c r="K141" s="65">
        <f t="shared" si="5"/>
        <v>41883</v>
      </c>
    </row>
    <row r="142" spans="3:11" ht="20.100000000000001" customHeight="1">
      <c r="C142" s="101"/>
      <c r="D142" s="101"/>
      <c r="E142" s="105"/>
      <c r="F142" s="111"/>
      <c r="G142" s="99"/>
      <c r="H142" s="100"/>
      <c r="I142" s="82">
        <f>IF(E142="",0,VLOOKUP(E142,DMHH!$D$8:$H$507,IF(H142="",4,5),0))</f>
        <v>0</v>
      </c>
      <c r="J142" s="82">
        <f t="shared" si="6"/>
        <v>0</v>
      </c>
      <c r="K142" s="65">
        <f t="shared" si="5"/>
        <v>41883</v>
      </c>
    </row>
    <row r="143" spans="3:11" ht="20.100000000000001" customHeight="1">
      <c r="C143" s="101"/>
      <c r="D143" s="101"/>
      <c r="E143" s="105"/>
      <c r="F143" s="111"/>
      <c r="G143" s="99"/>
      <c r="H143" s="100"/>
      <c r="I143" s="82">
        <f>IF(E143="",0,VLOOKUP(E143,DMHH!$D$8:$H$507,IF(H143="",4,5),0))</f>
        <v>0</v>
      </c>
      <c r="J143" s="82">
        <f t="shared" si="6"/>
        <v>0</v>
      </c>
      <c r="K143" s="65">
        <f t="shared" si="5"/>
        <v>41883</v>
      </c>
    </row>
    <row r="144" spans="3:11" ht="20.100000000000001" customHeight="1">
      <c r="C144" s="101"/>
      <c r="D144" s="101"/>
      <c r="E144" s="105"/>
      <c r="F144" s="111"/>
      <c r="G144" s="99"/>
      <c r="H144" s="100"/>
      <c r="I144" s="82">
        <f>IF(E144="",0,VLOOKUP(E144,DMHH!$D$8:$H$507,IF(H144="",4,5),0))</f>
        <v>0</v>
      </c>
      <c r="J144" s="82">
        <f t="shared" si="6"/>
        <v>0</v>
      </c>
      <c r="K144" s="65">
        <f t="shared" si="5"/>
        <v>41883</v>
      </c>
    </row>
    <row r="145" spans="3:11" ht="20.100000000000001" customHeight="1">
      <c r="C145" s="101"/>
      <c r="D145" s="101"/>
      <c r="E145" s="105"/>
      <c r="F145" s="111"/>
      <c r="G145" s="99"/>
      <c r="H145" s="100"/>
      <c r="I145" s="82">
        <f>IF(E145="",0,VLOOKUP(E145,DMHH!$D$8:$H$507,IF(H145="",4,5),0))</f>
        <v>0</v>
      </c>
      <c r="J145" s="82">
        <f t="shared" si="6"/>
        <v>0</v>
      </c>
      <c r="K145" s="65">
        <f t="shared" si="5"/>
        <v>41883</v>
      </c>
    </row>
    <row r="146" spans="3:11" ht="20.100000000000001" customHeight="1">
      <c r="C146" s="101"/>
      <c r="D146" s="101"/>
      <c r="E146" s="105"/>
      <c r="F146" s="111"/>
      <c r="G146" s="99"/>
      <c r="H146" s="100"/>
      <c r="I146" s="82">
        <f>IF(E146="",0,VLOOKUP(E146,DMHH!$D$8:$H$507,IF(H146="",4,5),0))</f>
        <v>0</v>
      </c>
      <c r="J146" s="82">
        <f t="shared" si="6"/>
        <v>0</v>
      </c>
      <c r="K146" s="65">
        <f t="shared" si="5"/>
        <v>41883</v>
      </c>
    </row>
    <row r="147" spans="3:11" ht="20.100000000000001" customHeight="1">
      <c r="C147" s="101"/>
      <c r="D147" s="101"/>
      <c r="E147" s="105"/>
      <c r="F147" s="111"/>
      <c r="G147" s="99"/>
      <c r="H147" s="100"/>
      <c r="I147" s="82">
        <f>IF(E147="",0,VLOOKUP(E147,DMHH!$D$8:$H$507,IF(H147="",4,5),0))</f>
        <v>0</v>
      </c>
      <c r="J147" s="82">
        <f t="shared" si="6"/>
        <v>0</v>
      </c>
      <c r="K147" s="65">
        <f t="shared" si="5"/>
        <v>41883</v>
      </c>
    </row>
    <row r="148" spans="3:11" ht="20.100000000000001" customHeight="1">
      <c r="C148" s="101"/>
      <c r="D148" s="101"/>
      <c r="E148" s="105"/>
      <c r="F148" s="111"/>
      <c r="G148" s="99"/>
      <c r="H148" s="100"/>
      <c r="I148" s="82">
        <f>IF(E148="",0,VLOOKUP(E148,DMHH!$D$8:$H$507,IF(H148="",4,5),0))</f>
        <v>0</v>
      </c>
      <c r="J148" s="82">
        <f t="shared" si="6"/>
        <v>0</v>
      </c>
      <c r="K148" s="65">
        <f t="shared" si="5"/>
        <v>41883</v>
      </c>
    </row>
    <row r="149" spans="3:11" ht="20.100000000000001" customHeight="1">
      <c r="C149" s="101"/>
      <c r="D149" s="101"/>
      <c r="E149" s="105"/>
      <c r="F149" s="111"/>
      <c r="G149" s="99"/>
      <c r="H149" s="100"/>
      <c r="I149" s="82">
        <f>IF(E149="",0,VLOOKUP(E149,DMHH!$D$8:$H$507,IF(H149="",4,5),0))</f>
        <v>0</v>
      </c>
      <c r="J149" s="82">
        <f t="shared" si="6"/>
        <v>0</v>
      </c>
      <c r="K149" s="65">
        <f t="shared" si="5"/>
        <v>41883</v>
      </c>
    </row>
    <row r="150" spans="3:11" ht="20.100000000000001" customHeight="1">
      <c r="C150" s="101"/>
      <c r="D150" s="101"/>
      <c r="E150" s="105"/>
      <c r="F150" s="111"/>
      <c r="G150" s="99"/>
      <c r="H150" s="100"/>
      <c r="I150" s="82">
        <f>IF(E150="",0,VLOOKUP(E150,DMHH!$D$8:$H$507,IF(H150="",4,5),0))</f>
        <v>0</v>
      </c>
      <c r="J150" s="82">
        <f t="shared" si="6"/>
        <v>0</v>
      </c>
      <c r="K150" s="65">
        <f t="shared" si="5"/>
        <v>41883</v>
      </c>
    </row>
    <row r="151" spans="3:11" ht="20.100000000000001" customHeight="1">
      <c r="C151" s="101"/>
      <c r="D151" s="101"/>
      <c r="E151" s="105"/>
      <c r="F151" s="111"/>
      <c r="G151" s="99"/>
      <c r="H151" s="100"/>
      <c r="I151" s="82">
        <f>IF(E151="",0,VLOOKUP(E151,DMHH!$D$8:$H$507,IF(H151="",4,5),0))</f>
        <v>0</v>
      </c>
      <c r="J151" s="82">
        <f t="shared" si="6"/>
        <v>0</v>
      </c>
      <c r="K151" s="65">
        <f t="shared" si="5"/>
        <v>41883</v>
      </c>
    </row>
    <row r="152" spans="3:11" ht="20.100000000000001" customHeight="1">
      <c r="C152" s="101"/>
      <c r="D152" s="101"/>
      <c r="E152" s="105"/>
      <c r="F152" s="111"/>
      <c r="G152" s="99"/>
      <c r="H152" s="100"/>
      <c r="I152" s="82">
        <f>IF(E152="",0,VLOOKUP(E152,DMHH!$D$8:$H$507,IF(H152="",4,5),0))</f>
        <v>0</v>
      </c>
      <c r="J152" s="82">
        <f t="shared" si="6"/>
        <v>0</v>
      </c>
      <c r="K152" s="65">
        <f t="shared" si="5"/>
        <v>41883</v>
      </c>
    </row>
    <row r="153" spans="3:11" ht="20.100000000000001" customHeight="1">
      <c r="C153" s="101"/>
      <c r="D153" s="101"/>
      <c r="E153" s="105"/>
      <c r="F153" s="111"/>
      <c r="G153" s="99"/>
      <c r="H153" s="100"/>
      <c r="I153" s="82">
        <f>IF(E153="",0,VLOOKUP(E153,DMHH!$D$8:$H$507,IF(H153="",4,5),0))</f>
        <v>0</v>
      </c>
      <c r="J153" s="82">
        <f t="shared" si="6"/>
        <v>0</v>
      </c>
      <c r="K153" s="65">
        <f t="shared" si="5"/>
        <v>41883</v>
      </c>
    </row>
    <row r="154" spans="3:11" ht="20.100000000000001" customHeight="1">
      <c r="C154" s="101"/>
      <c r="D154" s="101"/>
      <c r="E154" s="105"/>
      <c r="F154" s="111"/>
      <c r="G154" s="99"/>
      <c r="H154" s="100"/>
      <c r="I154" s="82">
        <f>IF(E154="",0,VLOOKUP(E154,DMHH!$D$8:$H$507,IF(H154="",4,5),0))</f>
        <v>0</v>
      </c>
      <c r="J154" s="82">
        <f t="shared" si="6"/>
        <v>0</v>
      </c>
      <c r="K154" s="65">
        <f t="shared" si="5"/>
        <v>41883</v>
      </c>
    </row>
    <row r="155" spans="3:11" ht="20.100000000000001" customHeight="1">
      <c r="C155" s="101"/>
      <c r="D155" s="101"/>
      <c r="E155" s="105"/>
      <c r="F155" s="111"/>
      <c r="G155" s="99"/>
      <c r="H155" s="100"/>
      <c r="I155" s="82">
        <f>IF(E155="",0,VLOOKUP(E155,DMHH!$D$8:$H$507,IF(H155="",4,5),0))</f>
        <v>0</v>
      </c>
      <c r="J155" s="82">
        <f t="shared" si="6"/>
        <v>0</v>
      </c>
      <c r="K155" s="65">
        <f t="shared" si="5"/>
        <v>41883</v>
      </c>
    </row>
    <row r="156" spans="3:11" ht="20.100000000000001" customHeight="1">
      <c r="C156" s="101"/>
      <c r="D156" s="101"/>
      <c r="E156" s="105"/>
      <c r="F156" s="111"/>
      <c r="G156" s="99"/>
      <c r="H156" s="100"/>
      <c r="I156" s="82">
        <f>IF(E156="",0,VLOOKUP(E156,DMHH!$D$8:$H$507,IF(H156="",4,5),0))</f>
        <v>0</v>
      </c>
      <c r="J156" s="82">
        <f t="shared" si="6"/>
        <v>0</v>
      </c>
      <c r="K156" s="65">
        <f t="shared" si="5"/>
        <v>41883</v>
      </c>
    </row>
    <row r="157" spans="3:11" ht="20.100000000000001" customHeight="1">
      <c r="C157" s="101"/>
      <c r="D157" s="101"/>
      <c r="E157" s="105"/>
      <c r="F157" s="111"/>
      <c r="G157" s="99"/>
      <c r="H157" s="100"/>
      <c r="I157" s="82">
        <f>IF(E157="",0,VLOOKUP(E157,DMHH!$D$8:$H$507,IF(H157="",4,5),0))</f>
        <v>0</v>
      </c>
      <c r="J157" s="82">
        <f t="shared" si="6"/>
        <v>0</v>
      </c>
      <c r="K157" s="65">
        <f t="shared" si="5"/>
        <v>41883</v>
      </c>
    </row>
    <row r="158" spans="3:11" ht="20.100000000000001" customHeight="1">
      <c r="C158" s="101"/>
      <c r="D158" s="101"/>
      <c r="E158" s="105"/>
      <c r="F158" s="111"/>
      <c r="G158" s="99"/>
      <c r="H158" s="100"/>
      <c r="I158" s="82">
        <f>IF(E158="",0,VLOOKUP(E158,DMHH!$D$8:$H$507,IF(H158="",4,5),0))</f>
        <v>0</v>
      </c>
      <c r="J158" s="82">
        <f t="shared" si="6"/>
        <v>0</v>
      </c>
      <c r="K158" s="65">
        <f t="shared" si="5"/>
        <v>41883</v>
      </c>
    </row>
    <row r="159" spans="3:11" ht="20.100000000000001" customHeight="1">
      <c r="C159" s="101"/>
      <c r="D159" s="101"/>
      <c r="E159" s="105"/>
      <c r="F159" s="111"/>
      <c r="G159" s="99"/>
      <c r="H159" s="100"/>
      <c r="I159" s="82">
        <f>IF(E159="",0,VLOOKUP(E159,DMHH!$D$8:$H$507,IF(H159="",4,5),0))</f>
        <v>0</v>
      </c>
      <c r="J159" s="82">
        <f t="shared" si="6"/>
        <v>0</v>
      </c>
      <c r="K159" s="65">
        <f t="shared" si="5"/>
        <v>41883</v>
      </c>
    </row>
    <row r="160" spans="3:11" ht="20.100000000000001" customHeight="1">
      <c r="C160" s="101"/>
      <c r="D160" s="101"/>
      <c r="E160" s="105"/>
      <c r="F160" s="106"/>
      <c r="G160" s="99"/>
      <c r="H160" s="100"/>
      <c r="I160" s="82">
        <f>IF(E160="",0,VLOOKUP(E160,DMHH!$D$8:$H$507,IF(H160="",4,5),0))</f>
        <v>0</v>
      </c>
      <c r="J160" s="82">
        <f t="shared" si="6"/>
        <v>0</v>
      </c>
      <c r="K160" s="65">
        <f t="shared" si="5"/>
        <v>41883</v>
      </c>
    </row>
    <row r="161" spans="3:11" ht="20.100000000000001" customHeight="1">
      <c r="C161" s="101"/>
      <c r="D161" s="101"/>
      <c r="E161" s="105"/>
      <c r="F161" s="110"/>
      <c r="G161" s="99"/>
      <c r="H161" s="100"/>
      <c r="I161" s="82">
        <f>IF(E161="",0,VLOOKUP(E161,DMHH!$D$8:$H$507,IF(H161="",4,5),0))</f>
        <v>0</v>
      </c>
      <c r="J161" s="82">
        <f t="shared" si="6"/>
        <v>0</v>
      </c>
      <c r="K161" s="65">
        <f t="shared" si="5"/>
        <v>41883</v>
      </c>
    </row>
    <row r="162" spans="3:11" ht="20.100000000000001" customHeight="1">
      <c r="C162" s="101"/>
      <c r="D162" s="101"/>
      <c r="E162" s="105"/>
      <c r="F162" s="106"/>
      <c r="G162" s="99"/>
      <c r="H162" s="100"/>
      <c r="I162" s="82">
        <f>IF(E162="",0,VLOOKUP(E162,DMHH!$D$8:$H$507,IF(H162="",4,5),0))</f>
        <v>0</v>
      </c>
      <c r="J162" s="82">
        <f t="shared" si="6"/>
        <v>0</v>
      </c>
      <c r="K162" s="65">
        <f t="shared" si="5"/>
        <v>41883</v>
      </c>
    </row>
    <row r="163" spans="3:11" ht="20.100000000000001" customHeight="1">
      <c r="C163" s="101"/>
      <c r="D163" s="101"/>
      <c r="E163" s="105"/>
      <c r="F163" s="106"/>
      <c r="G163" s="99"/>
      <c r="H163" s="100"/>
      <c r="I163" s="82">
        <f>IF(E163="",0,VLOOKUP(E163,DMHH!$D$8:$H$507,IF(H163="",4,5),0))</f>
        <v>0</v>
      </c>
      <c r="J163" s="82">
        <f t="shared" si="6"/>
        <v>0</v>
      </c>
      <c r="K163" s="65">
        <f t="shared" si="5"/>
        <v>41883</v>
      </c>
    </row>
    <row r="164" spans="3:11" ht="20.100000000000001" customHeight="1">
      <c r="C164" s="101"/>
      <c r="D164" s="101"/>
      <c r="E164" s="105"/>
      <c r="F164" s="106"/>
      <c r="G164" s="99"/>
      <c r="H164" s="100"/>
      <c r="I164" s="82">
        <f>IF(E164="",0,VLOOKUP(E164,DMHH!$D$8:$H$507,IF(H164="",4,5),0))</f>
        <v>0</v>
      </c>
      <c r="J164" s="82">
        <f t="shared" si="6"/>
        <v>0</v>
      </c>
      <c r="K164" s="65">
        <f t="shared" si="5"/>
        <v>41883</v>
      </c>
    </row>
    <row r="165" spans="3:11" ht="20.100000000000001" customHeight="1">
      <c r="C165" s="101"/>
      <c r="D165" s="101"/>
      <c r="E165" s="105"/>
      <c r="F165" s="106"/>
      <c r="G165" s="99"/>
      <c r="H165" s="100"/>
      <c r="I165" s="82">
        <f>IF(E165="",0,VLOOKUP(E165,DMHH!$D$8:$H$507,IF(H165="",4,5),0))</f>
        <v>0</v>
      </c>
      <c r="J165" s="82">
        <f t="shared" si="6"/>
        <v>0</v>
      </c>
      <c r="K165" s="65">
        <f t="shared" si="5"/>
        <v>41883</v>
      </c>
    </row>
    <row r="166" spans="3:11" ht="20.100000000000001" customHeight="1">
      <c r="C166" s="101"/>
      <c r="D166" s="101"/>
      <c r="E166" s="105"/>
      <c r="F166" s="106"/>
      <c r="G166" s="99"/>
      <c r="H166" s="100"/>
      <c r="I166" s="82">
        <f>IF(E166="",0,VLOOKUP(E166,DMHH!$D$8:$H$507,IF(H166="",4,5),0))</f>
        <v>0</v>
      </c>
      <c r="J166" s="82">
        <f t="shared" si="6"/>
        <v>0</v>
      </c>
      <c r="K166" s="65">
        <f t="shared" si="5"/>
        <v>41883</v>
      </c>
    </row>
    <row r="167" spans="3:11" ht="20.100000000000001" customHeight="1">
      <c r="C167" s="101"/>
      <c r="D167" s="101"/>
      <c r="E167" s="105"/>
      <c r="F167" s="106"/>
      <c r="G167" s="99"/>
      <c r="H167" s="100"/>
      <c r="I167" s="82">
        <f>IF(E167="",0,VLOOKUP(E167,DMHH!$D$8:$H$507,IF(H167="",4,5),0))</f>
        <v>0</v>
      </c>
      <c r="J167" s="82">
        <f t="shared" si="6"/>
        <v>0</v>
      </c>
      <c r="K167" s="65">
        <f t="shared" si="5"/>
        <v>41883</v>
      </c>
    </row>
    <row r="168" spans="3:11" ht="20.100000000000001" customHeight="1">
      <c r="C168" s="101"/>
      <c r="D168" s="101"/>
      <c r="E168" s="105"/>
      <c r="F168" s="106"/>
      <c r="G168" s="99"/>
      <c r="H168" s="100"/>
      <c r="I168" s="82">
        <f>IF(E168="",0,VLOOKUP(E168,DMHH!$D$8:$H$507,IF(H168="",4,5),0))</f>
        <v>0</v>
      </c>
      <c r="J168" s="82">
        <f t="shared" si="6"/>
        <v>0</v>
      </c>
      <c r="K168" s="65">
        <f t="shared" si="5"/>
        <v>41883</v>
      </c>
    </row>
    <row r="169" spans="3:11" ht="20.100000000000001" customHeight="1">
      <c r="C169" s="101"/>
      <c r="D169" s="101"/>
      <c r="E169" s="105"/>
      <c r="F169" s="106"/>
      <c r="G169" s="99"/>
      <c r="H169" s="100"/>
      <c r="I169" s="82">
        <f>IF(E169="",0,VLOOKUP(E169,DMHH!$D$8:$H$507,IF(H169="",4,5),0))</f>
        <v>0</v>
      </c>
      <c r="J169" s="82">
        <f t="shared" si="6"/>
        <v>0</v>
      </c>
      <c r="K169" s="65">
        <f t="shared" si="5"/>
        <v>41883</v>
      </c>
    </row>
    <row r="170" spans="3:11" ht="20.100000000000001" customHeight="1">
      <c r="C170" s="101"/>
      <c r="D170" s="101"/>
      <c r="E170" s="105"/>
      <c r="F170" s="106"/>
      <c r="G170" s="99"/>
      <c r="H170" s="100"/>
      <c r="I170" s="82">
        <f>IF(E170="",0,VLOOKUP(E170,DMHH!$D$8:$H$507,IF(H170="",4,5),0))</f>
        <v>0</v>
      </c>
      <c r="J170" s="82">
        <f t="shared" si="6"/>
        <v>0</v>
      </c>
      <c r="K170" s="65">
        <f t="shared" si="5"/>
        <v>41883</v>
      </c>
    </row>
    <row r="171" spans="3:11" ht="20.100000000000001" customHeight="1">
      <c r="C171" s="101"/>
      <c r="D171" s="101"/>
      <c r="E171" s="105"/>
      <c r="F171" s="106"/>
      <c r="G171" s="99"/>
      <c r="H171" s="100"/>
      <c r="I171" s="82">
        <f>IF(E171="",0,VLOOKUP(E171,DMHH!$D$8:$H$507,IF(H171="",4,5),0))</f>
        <v>0</v>
      </c>
      <c r="J171" s="82">
        <f t="shared" si="6"/>
        <v>0</v>
      </c>
      <c r="K171" s="65">
        <f t="shared" si="5"/>
        <v>41883</v>
      </c>
    </row>
    <row r="172" spans="3:11" ht="20.100000000000001" customHeight="1">
      <c r="C172" s="101"/>
      <c r="D172" s="101"/>
      <c r="E172" s="105"/>
      <c r="F172" s="106"/>
      <c r="G172" s="99"/>
      <c r="H172" s="100"/>
      <c r="I172" s="82">
        <f>IF(E172="",0,VLOOKUP(E172,DMHH!$D$8:$H$507,IF(H172="",4,5),0))</f>
        <v>0</v>
      </c>
      <c r="J172" s="82">
        <f t="shared" si="6"/>
        <v>0</v>
      </c>
      <c r="K172" s="65">
        <f t="shared" si="5"/>
        <v>41883</v>
      </c>
    </row>
    <row r="173" spans="3:11" ht="20.100000000000001" customHeight="1">
      <c r="C173" s="101"/>
      <c r="D173" s="101"/>
      <c r="E173" s="105"/>
      <c r="F173" s="106"/>
      <c r="G173" s="99"/>
      <c r="H173" s="100"/>
      <c r="I173" s="82">
        <f>IF(E173="",0,VLOOKUP(E173,DMHH!$D$8:$H$507,IF(H173="",4,5),0))</f>
        <v>0</v>
      </c>
      <c r="J173" s="82">
        <f t="shared" si="6"/>
        <v>0</v>
      </c>
      <c r="K173" s="65">
        <f t="shared" si="5"/>
        <v>41883</v>
      </c>
    </row>
    <row r="174" spans="3:11" ht="20.100000000000001" customHeight="1">
      <c r="C174" s="101"/>
      <c r="D174" s="101"/>
      <c r="E174" s="105"/>
      <c r="F174" s="106"/>
      <c r="G174" s="99"/>
      <c r="H174" s="100"/>
      <c r="I174" s="82">
        <f>IF(E174="",0,VLOOKUP(E174,DMHH!$D$8:$H$507,IF(H174="",4,5),0))</f>
        <v>0</v>
      </c>
      <c r="J174" s="82">
        <f t="shared" si="6"/>
        <v>0</v>
      </c>
      <c r="K174" s="65">
        <f t="shared" si="5"/>
        <v>41883</v>
      </c>
    </row>
    <row r="175" spans="3:11" ht="20.100000000000001" customHeight="1">
      <c r="C175" s="101"/>
      <c r="D175" s="101"/>
      <c r="E175" s="105"/>
      <c r="F175" s="106"/>
      <c r="G175" s="99"/>
      <c r="H175" s="100"/>
      <c r="I175" s="82">
        <f>IF(E175="",0,VLOOKUP(E175,DMHH!$D$8:$H$507,IF(H175="",4,5),0))</f>
        <v>0</v>
      </c>
      <c r="J175" s="82">
        <f t="shared" si="6"/>
        <v>0</v>
      </c>
      <c r="K175" s="65">
        <f t="shared" si="5"/>
        <v>41883</v>
      </c>
    </row>
    <row r="176" spans="3:11" ht="20.100000000000001" customHeight="1">
      <c r="C176" s="101"/>
      <c r="D176" s="101"/>
      <c r="E176" s="105"/>
      <c r="F176" s="106"/>
      <c r="G176" s="99"/>
      <c r="H176" s="100"/>
      <c r="I176" s="82">
        <f>IF(E176="",0,VLOOKUP(E176,DMHH!$D$8:$H$507,IF(H176="",4,5),0))</f>
        <v>0</v>
      </c>
      <c r="J176" s="82">
        <f t="shared" si="6"/>
        <v>0</v>
      </c>
      <c r="K176" s="65">
        <f t="shared" si="5"/>
        <v>41883</v>
      </c>
    </row>
    <row r="177" spans="3:11" ht="20.100000000000001" customHeight="1">
      <c r="C177" s="101"/>
      <c r="D177" s="101"/>
      <c r="E177" s="105"/>
      <c r="F177" s="106"/>
      <c r="G177" s="99"/>
      <c r="H177" s="100"/>
      <c r="I177" s="82">
        <f>IF(E177="",0,VLOOKUP(E177,DMHH!$D$8:$H$507,IF(H177="",4,5),0))</f>
        <v>0</v>
      </c>
      <c r="J177" s="82">
        <f t="shared" si="6"/>
        <v>0</v>
      </c>
      <c r="K177" s="65">
        <f t="shared" si="5"/>
        <v>41883</v>
      </c>
    </row>
    <row r="178" spans="3:11" ht="20.100000000000001" customHeight="1">
      <c r="C178" s="101"/>
      <c r="D178" s="101"/>
      <c r="E178" s="105"/>
      <c r="F178" s="106"/>
      <c r="G178" s="99"/>
      <c r="H178" s="100"/>
      <c r="I178" s="82">
        <f>IF(E178="",0,VLOOKUP(E178,DMHH!$D$8:$H$507,IF(H178="",4,5),0))</f>
        <v>0</v>
      </c>
      <c r="J178" s="82">
        <f t="shared" si="6"/>
        <v>0</v>
      </c>
      <c r="K178" s="65">
        <f t="shared" si="5"/>
        <v>41883</v>
      </c>
    </row>
    <row r="179" spans="3:11" ht="20.100000000000001" customHeight="1">
      <c r="C179" s="101"/>
      <c r="D179" s="101"/>
      <c r="E179" s="105"/>
      <c r="F179" s="110"/>
      <c r="G179" s="99"/>
      <c r="H179" s="100"/>
      <c r="I179" s="82">
        <f>IF(E179="",0,VLOOKUP(E179,DMHH!$D$8:$H$507,IF(H179="",4,5),0))</f>
        <v>0</v>
      </c>
      <c r="J179" s="82">
        <f t="shared" si="6"/>
        <v>0</v>
      </c>
      <c r="K179" s="65">
        <f t="shared" si="5"/>
        <v>41883</v>
      </c>
    </row>
    <row r="180" spans="3:11" ht="20.100000000000001" customHeight="1">
      <c r="C180" s="101"/>
      <c r="D180" s="101"/>
      <c r="E180" s="105"/>
      <c r="F180" s="110"/>
      <c r="G180" s="99"/>
      <c r="H180" s="100"/>
      <c r="I180" s="82">
        <f>IF(E180="",0,VLOOKUP(E180,DMHH!$D$8:$H$507,IF(H180="",4,5),0))</f>
        <v>0</v>
      </c>
      <c r="J180" s="82">
        <f t="shared" si="6"/>
        <v>0</v>
      </c>
      <c r="K180" s="65">
        <f t="shared" si="5"/>
        <v>41883</v>
      </c>
    </row>
    <row r="181" spans="3:11" ht="20.100000000000001" customHeight="1">
      <c r="C181" s="101"/>
      <c r="D181" s="101"/>
      <c r="E181" s="105"/>
      <c r="F181" s="110"/>
      <c r="G181" s="99"/>
      <c r="H181" s="100"/>
      <c r="I181" s="82">
        <f>IF(E181="",0,VLOOKUP(E181,DMHH!$D$8:$H$507,IF(H181="",4,5),0))</f>
        <v>0</v>
      </c>
      <c r="J181" s="82">
        <f t="shared" si="6"/>
        <v>0</v>
      </c>
      <c r="K181" s="65">
        <f t="shared" si="5"/>
        <v>41883</v>
      </c>
    </row>
    <row r="182" spans="3:11" ht="20.100000000000001" customHeight="1">
      <c r="C182" s="101"/>
      <c r="D182" s="101"/>
      <c r="E182" s="105"/>
      <c r="F182" s="110"/>
      <c r="G182" s="99"/>
      <c r="H182" s="100"/>
      <c r="I182" s="82">
        <f>IF(E182="",0,VLOOKUP(E182,DMHH!$D$8:$H$507,IF(H182="",4,5),0))</f>
        <v>0</v>
      </c>
      <c r="J182" s="82">
        <f t="shared" si="6"/>
        <v>0</v>
      </c>
      <c r="K182" s="65">
        <f t="shared" si="5"/>
        <v>41883</v>
      </c>
    </row>
    <row r="183" spans="3:11" ht="20.100000000000001" customHeight="1">
      <c r="C183" s="101"/>
      <c r="D183" s="101"/>
      <c r="E183" s="105"/>
      <c r="F183" s="110"/>
      <c r="G183" s="99"/>
      <c r="H183" s="100"/>
      <c r="I183" s="82">
        <f>IF(E183="",0,VLOOKUP(E183,DMHH!$D$8:$H$507,IF(H183="",4,5),0))</f>
        <v>0</v>
      </c>
      <c r="J183" s="82">
        <f t="shared" si="6"/>
        <v>0</v>
      </c>
      <c r="K183" s="65">
        <f t="shared" si="5"/>
        <v>41883</v>
      </c>
    </row>
    <row r="184" spans="3:11" ht="20.100000000000001" customHeight="1">
      <c r="C184" s="101"/>
      <c r="D184" s="101"/>
      <c r="E184" s="105"/>
      <c r="F184" s="110"/>
      <c r="G184" s="99"/>
      <c r="H184" s="100"/>
      <c r="I184" s="82">
        <f>IF(E184="",0,VLOOKUP(E184,DMHH!$D$8:$H$507,IF(H184="",4,5),0))</f>
        <v>0</v>
      </c>
      <c r="J184" s="82">
        <f t="shared" si="6"/>
        <v>0</v>
      </c>
      <c r="K184" s="65">
        <f t="shared" si="5"/>
        <v>41883</v>
      </c>
    </row>
    <row r="185" spans="3:11" ht="20.100000000000001" customHeight="1">
      <c r="C185" s="101"/>
      <c r="D185" s="101"/>
      <c r="E185" s="105"/>
      <c r="F185" s="110"/>
      <c r="G185" s="99"/>
      <c r="H185" s="100"/>
      <c r="I185" s="82">
        <f>IF(E185="",0,VLOOKUP(E185,DMHH!$D$8:$H$507,IF(H185="",4,5),0))</f>
        <v>0</v>
      </c>
      <c r="J185" s="82">
        <f t="shared" si="6"/>
        <v>0</v>
      </c>
      <c r="K185" s="65">
        <f t="shared" si="5"/>
        <v>41883</v>
      </c>
    </row>
    <row r="186" spans="3:11" ht="20.100000000000001" customHeight="1">
      <c r="C186" s="101"/>
      <c r="D186" s="101"/>
      <c r="E186" s="105"/>
      <c r="F186" s="110"/>
      <c r="G186" s="99"/>
      <c r="H186" s="100"/>
      <c r="I186" s="82">
        <f>IF(E186="",0,VLOOKUP(E186,DMHH!$D$8:$H$507,IF(H186="",4,5),0))</f>
        <v>0</v>
      </c>
      <c r="J186" s="82">
        <f t="shared" si="6"/>
        <v>0</v>
      </c>
      <c r="K186" s="65">
        <f t="shared" si="5"/>
        <v>41883</v>
      </c>
    </row>
    <row r="187" spans="3:11" ht="20.100000000000001" customHeight="1">
      <c r="C187" s="101"/>
      <c r="D187" s="101"/>
      <c r="E187" s="105"/>
      <c r="F187" s="110"/>
      <c r="G187" s="99"/>
      <c r="H187" s="100"/>
      <c r="I187" s="82">
        <f>IF(E187="",0,VLOOKUP(E187,DMHH!$D$8:$H$507,IF(H187="",4,5),0))</f>
        <v>0</v>
      </c>
      <c r="J187" s="82">
        <f t="shared" si="6"/>
        <v>0</v>
      </c>
      <c r="K187" s="65">
        <f t="shared" si="5"/>
        <v>41883</v>
      </c>
    </row>
    <row r="188" spans="3:11" ht="20.100000000000001" customHeight="1">
      <c r="C188" s="101"/>
      <c r="D188" s="101"/>
      <c r="E188" s="105"/>
      <c r="F188" s="110"/>
      <c r="G188" s="99"/>
      <c r="H188" s="100"/>
      <c r="I188" s="82">
        <f>IF(E188="",0,VLOOKUP(E188,DMHH!$D$8:$H$507,IF(H188="",4,5),0))</f>
        <v>0</v>
      </c>
      <c r="J188" s="82">
        <f t="shared" si="6"/>
        <v>0</v>
      </c>
      <c r="K188" s="65">
        <f t="shared" si="5"/>
        <v>41883</v>
      </c>
    </row>
    <row r="189" spans="3:11" ht="20.100000000000001" customHeight="1">
      <c r="C189" s="101"/>
      <c r="D189" s="101"/>
      <c r="E189" s="105"/>
      <c r="F189" s="110"/>
      <c r="G189" s="99"/>
      <c r="H189" s="100"/>
      <c r="I189" s="82">
        <f>IF(E189="",0,VLOOKUP(E189,DMHH!$D$8:$H$507,IF(H189="",4,5),0))</f>
        <v>0</v>
      </c>
      <c r="J189" s="82">
        <f t="shared" si="6"/>
        <v>0</v>
      </c>
      <c r="K189" s="65">
        <f t="shared" si="5"/>
        <v>41883</v>
      </c>
    </row>
    <row r="190" spans="3:11" ht="20.100000000000001" customHeight="1">
      <c r="C190" s="101"/>
      <c r="D190" s="101"/>
      <c r="E190" s="105"/>
      <c r="F190" s="110"/>
      <c r="G190" s="99"/>
      <c r="H190" s="100"/>
      <c r="I190" s="82">
        <f>IF(E190="",0,VLOOKUP(E190,DMHH!$D$8:$H$507,IF(H190="",4,5),0))</f>
        <v>0</v>
      </c>
      <c r="J190" s="82">
        <f t="shared" si="6"/>
        <v>0</v>
      </c>
      <c r="K190" s="65">
        <f t="shared" si="5"/>
        <v>41883</v>
      </c>
    </row>
    <row r="191" spans="3:11" ht="20.100000000000001" customHeight="1">
      <c r="C191" s="101"/>
      <c r="D191" s="101"/>
      <c r="E191" s="105"/>
      <c r="F191" s="110"/>
      <c r="G191" s="99"/>
      <c r="H191" s="100"/>
      <c r="I191" s="82">
        <f>IF(E191="",0,VLOOKUP(E191,DMHH!$D$8:$H$507,IF(H191="",4,5),0))</f>
        <v>0</v>
      </c>
      <c r="J191" s="82">
        <f t="shared" si="6"/>
        <v>0</v>
      </c>
      <c r="K191" s="65">
        <f t="shared" si="5"/>
        <v>41883</v>
      </c>
    </row>
    <row r="192" spans="3:11" ht="20.100000000000001" customHeight="1">
      <c r="C192" s="101"/>
      <c r="D192" s="101"/>
      <c r="E192" s="105"/>
      <c r="F192" s="110"/>
      <c r="G192" s="99"/>
      <c r="H192" s="100"/>
      <c r="I192" s="82">
        <f>IF(E192="",0,VLOOKUP(E192,DMHH!$D$8:$H$507,IF(H192="",4,5),0))</f>
        <v>0</v>
      </c>
      <c r="J192" s="82">
        <f t="shared" si="6"/>
        <v>0</v>
      </c>
      <c r="K192" s="65">
        <f t="shared" si="5"/>
        <v>41883</v>
      </c>
    </row>
    <row r="193" spans="3:11" ht="20.100000000000001" customHeight="1">
      <c r="C193" s="101"/>
      <c r="D193" s="101"/>
      <c r="E193" s="105"/>
      <c r="F193" s="110"/>
      <c r="G193" s="99"/>
      <c r="H193" s="100"/>
      <c r="I193" s="82">
        <f>IF(E193="",0,VLOOKUP(E193,DMHH!$D$8:$H$507,IF(H193="",4,5),0))</f>
        <v>0</v>
      </c>
      <c r="J193" s="82">
        <f t="shared" si="6"/>
        <v>0</v>
      </c>
      <c r="K193" s="65">
        <f t="shared" si="5"/>
        <v>41883</v>
      </c>
    </row>
    <row r="194" spans="3:11" ht="20.100000000000001" customHeight="1">
      <c r="C194" s="101"/>
      <c r="D194" s="101"/>
      <c r="E194" s="105"/>
      <c r="F194" s="110"/>
      <c r="G194" s="99"/>
      <c r="H194" s="100"/>
      <c r="I194" s="82">
        <f>IF(E194="",0,VLOOKUP(E194,DMHH!$D$8:$H$507,IF(H194="",4,5),0))</f>
        <v>0</v>
      </c>
      <c r="J194" s="82">
        <f t="shared" si="6"/>
        <v>0</v>
      </c>
      <c r="K194" s="65">
        <f t="shared" si="5"/>
        <v>41883</v>
      </c>
    </row>
    <row r="195" spans="3:11" ht="20.100000000000001" customHeight="1">
      <c r="C195" s="101"/>
      <c r="D195" s="101"/>
      <c r="E195" s="105"/>
      <c r="F195" s="110"/>
      <c r="G195" s="99"/>
      <c r="H195" s="100"/>
      <c r="I195" s="82">
        <f>IF(E195="",0,VLOOKUP(E195,DMHH!$D$8:$H$507,IF(H195="",4,5),0))</f>
        <v>0</v>
      </c>
      <c r="J195" s="82">
        <f t="shared" si="6"/>
        <v>0</v>
      </c>
      <c r="K195" s="65">
        <f t="shared" si="5"/>
        <v>41883</v>
      </c>
    </row>
    <row r="196" spans="3:11" ht="20.100000000000001" customHeight="1">
      <c r="C196" s="101"/>
      <c r="D196" s="101"/>
      <c r="E196" s="105"/>
      <c r="F196" s="106"/>
      <c r="G196" s="99"/>
      <c r="H196" s="100"/>
      <c r="I196" s="82">
        <f>IF(E196="",0,VLOOKUP(E196,DMHH!$D$8:$H$507,IF(H196="",4,5),0))</f>
        <v>0</v>
      </c>
      <c r="J196" s="82">
        <f t="shared" si="6"/>
        <v>0</v>
      </c>
      <c r="K196" s="65">
        <f t="shared" si="5"/>
        <v>41883</v>
      </c>
    </row>
    <row r="197" spans="3:11" ht="20.100000000000001" customHeight="1">
      <c r="C197" s="101"/>
      <c r="D197" s="101"/>
      <c r="E197" s="105"/>
      <c r="F197" s="110"/>
      <c r="G197" s="99"/>
      <c r="H197" s="100"/>
      <c r="I197" s="82">
        <f>IF(E197="",0,VLOOKUP(E197,DMHH!$D$8:$H$507,IF(H197="",4,5),0))</f>
        <v>0</v>
      </c>
      <c r="J197" s="82">
        <f t="shared" si="6"/>
        <v>0</v>
      </c>
      <c r="K197" s="65">
        <f t="shared" si="5"/>
        <v>41883</v>
      </c>
    </row>
    <row r="198" spans="3:11" ht="20.100000000000001" customHeight="1">
      <c r="C198" s="101"/>
      <c r="D198" s="101"/>
      <c r="E198" s="105"/>
      <c r="F198" s="111"/>
      <c r="G198" s="99"/>
      <c r="H198" s="100"/>
      <c r="I198" s="82">
        <f>IF(E198="",0,VLOOKUP(E198,DMHH!$D$8:$H$507,IF(H198="",4,5),0))</f>
        <v>0</v>
      </c>
      <c r="J198" s="82">
        <f t="shared" si="6"/>
        <v>0</v>
      </c>
      <c r="K198" s="65">
        <f t="shared" si="5"/>
        <v>41883</v>
      </c>
    </row>
    <row r="199" spans="3:11" ht="20.100000000000001" customHeight="1">
      <c r="C199" s="101"/>
      <c r="D199" s="101"/>
      <c r="E199" s="105"/>
      <c r="F199" s="111"/>
      <c r="G199" s="99"/>
      <c r="H199" s="100"/>
      <c r="I199" s="82">
        <f>IF(E199="",0,VLOOKUP(E199,DMHH!$D$8:$H$507,IF(H199="",4,5),0))</f>
        <v>0</v>
      </c>
      <c r="J199" s="82">
        <f t="shared" si="6"/>
        <v>0</v>
      </c>
      <c r="K199" s="65">
        <f t="shared" si="5"/>
        <v>41883</v>
      </c>
    </row>
    <row r="200" spans="3:11" ht="20.100000000000001" customHeight="1">
      <c r="C200" s="101"/>
      <c r="D200" s="101"/>
      <c r="E200" s="105"/>
      <c r="F200" s="111"/>
      <c r="G200" s="99"/>
      <c r="H200" s="100"/>
      <c r="I200" s="82">
        <f>IF(E200="",0,VLOOKUP(E200,DMHH!$D$8:$H$507,IF(H200="",4,5),0))</f>
        <v>0</v>
      </c>
      <c r="J200" s="82">
        <f t="shared" si="6"/>
        <v>0</v>
      </c>
      <c r="K200" s="65">
        <f t="shared" si="5"/>
        <v>41883</v>
      </c>
    </row>
    <row r="201" spans="3:11" ht="20.100000000000001" customHeight="1">
      <c r="C201" s="101"/>
      <c r="D201" s="101"/>
      <c r="E201" s="105"/>
      <c r="F201" s="111"/>
      <c r="G201" s="99"/>
      <c r="H201" s="100"/>
      <c r="I201" s="82">
        <f>IF(E201="",0,VLOOKUP(E201,DMHH!$D$8:$H$507,IF(H201="",4,5),0))</f>
        <v>0</v>
      </c>
      <c r="J201" s="82">
        <f t="shared" si="6"/>
        <v>0</v>
      </c>
      <c r="K201" s="65">
        <f t="shared" si="5"/>
        <v>41883</v>
      </c>
    </row>
    <row r="202" spans="3:11" ht="20.100000000000001" customHeight="1">
      <c r="C202" s="101"/>
      <c r="D202" s="101"/>
      <c r="E202" s="105"/>
      <c r="F202" s="111"/>
      <c r="G202" s="99"/>
      <c r="H202" s="100"/>
      <c r="I202" s="82">
        <f>IF(E202="",0,VLOOKUP(E202,DMHH!$D$8:$H$507,IF(H202="",4,5),0))</f>
        <v>0</v>
      </c>
      <c r="J202" s="82">
        <f t="shared" si="6"/>
        <v>0</v>
      </c>
      <c r="K202" s="65">
        <f t="shared" si="5"/>
        <v>41883</v>
      </c>
    </row>
    <row r="203" spans="3:11" ht="20.100000000000001" customHeight="1">
      <c r="C203" s="101"/>
      <c r="D203" s="101"/>
      <c r="E203" s="105"/>
      <c r="F203" s="111"/>
      <c r="G203" s="99"/>
      <c r="H203" s="100"/>
      <c r="I203" s="82">
        <f>IF(E203="",0,VLOOKUP(E203,DMHH!$D$8:$H$507,IF(H203="",4,5),0))</f>
        <v>0</v>
      </c>
      <c r="J203" s="82">
        <f t="shared" si="6"/>
        <v>0</v>
      </c>
      <c r="K203" s="65">
        <f t="shared" ref="K203:K266" si="7">IF(C203="",K202,C203)</f>
        <v>41883</v>
      </c>
    </row>
    <row r="204" spans="3:11" ht="20.100000000000001" customHeight="1">
      <c r="C204" s="101"/>
      <c r="D204" s="101"/>
      <c r="E204" s="105"/>
      <c r="F204" s="111"/>
      <c r="G204" s="99"/>
      <c r="H204" s="100"/>
      <c r="I204" s="82">
        <f>IF(E204="",0,VLOOKUP(E204,DMHH!$D$8:$H$507,IF(H204="",4,5),0))</f>
        <v>0</v>
      </c>
      <c r="J204" s="82">
        <f t="shared" si="6"/>
        <v>0</v>
      </c>
      <c r="K204" s="65">
        <f t="shared" si="7"/>
        <v>41883</v>
      </c>
    </row>
    <row r="205" spans="3:11" ht="20.100000000000001" customHeight="1">
      <c r="C205" s="101"/>
      <c r="D205" s="101"/>
      <c r="E205" s="105"/>
      <c r="F205" s="111"/>
      <c r="G205" s="99"/>
      <c r="H205" s="100"/>
      <c r="I205" s="82">
        <f>IF(E205="",0,VLOOKUP(E205,DMHH!$D$8:$H$507,IF(H205="",4,5),0))</f>
        <v>0</v>
      </c>
      <c r="J205" s="82">
        <f t="shared" ref="J205:J268" si="8">F205*I205+H205*I205</f>
        <v>0</v>
      </c>
      <c r="K205" s="65">
        <f t="shared" si="7"/>
        <v>41883</v>
      </c>
    </row>
    <row r="206" spans="3:11" ht="20.100000000000001" customHeight="1">
      <c r="C206" s="101"/>
      <c r="D206" s="101"/>
      <c r="E206" s="105"/>
      <c r="F206" s="111"/>
      <c r="G206" s="99"/>
      <c r="H206" s="100"/>
      <c r="I206" s="82">
        <f>IF(E206="",0,VLOOKUP(E206,DMHH!$D$8:$H$507,IF(H206="",4,5),0))</f>
        <v>0</v>
      </c>
      <c r="J206" s="82">
        <f t="shared" si="8"/>
        <v>0</v>
      </c>
      <c r="K206" s="65">
        <f t="shared" si="7"/>
        <v>41883</v>
      </c>
    </row>
    <row r="207" spans="3:11" ht="20.100000000000001" customHeight="1">
      <c r="C207" s="101"/>
      <c r="D207" s="101"/>
      <c r="E207" s="105"/>
      <c r="F207" s="111"/>
      <c r="G207" s="99"/>
      <c r="H207" s="100"/>
      <c r="I207" s="82">
        <f>IF(E207="",0,VLOOKUP(E207,DMHH!$D$8:$H$507,IF(H207="",4,5),0))</f>
        <v>0</v>
      </c>
      <c r="J207" s="82">
        <f t="shared" si="8"/>
        <v>0</v>
      </c>
      <c r="K207" s="65">
        <f t="shared" si="7"/>
        <v>41883</v>
      </c>
    </row>
    <row r="208" spans="3:11" ht="20.100000000000001" customHeight="1">
      <c r="C208" s="101"/>
      <c r="D208" s="101"/>
      <c r="E208" s="105"/>
      <c r="F208" s="111"/>
      <c r="G208" s="99"/>
      <c r="H208" s="100"/>
      <c r="I208" s="82">
        <f>IF(E208="",0,VLOOKUP(E208,DMHH!$D$8:$H$507,IF(H208="",4,5),0))</f>
        <v>0</v>
      </c>
      <c r="J208" s="82">
        <f t="shared" si="8"/>
        <v>0</v>
      </c>
      <c r="K208" s="65">
        <f t="shared" si="7"/>
        <v>41883</v>
      </c>
    </row>
    <row r="209" spans="3:11" ht="20.100000000000001" customHeight="1">
      <c r="C209" s="101"/>
      <c r="D209" s="101"/>
      <c r="E209" s="105"/>
      <c r="F209" s="111"/>
      <c r="G209" s="99"/>
      <c r="H209" s="100"/>
      <c r="I209" s="82">
        <f>IF(E209="",0,VLOOKUP(E209,DMHH!$D$8:$H$507,IF(H209="",4,5),0))</f>
        <v>0</v>
      </c>
      <c r="J209" s="82">
        <f t="shared" si="8"/>
        <v>0</v>
      </c>
      <c r="K209" s="65">
        <f t="shared" si="7"/>
        <v>41883</v>
      </c>
    </row>
    <row r="210" spans="3:11" ht="20.100000000000001" customHeight="1">
      <c r="C210" s="101"/>
      <c r="D210" s="101"/>
      <c r="E210" s="105"/>
      <c r="F210" s="111"/>
      <c r="G210" s="99"/>
      <c r="H210" s="100"/>
      <c r="I210" s="82">
        <f>IF(E210="",0,VLOOKUP(E210,DMHH!$D$8:$H$507,IF(H210="",4,5),0))</f>
        <v>0</v>
      </c>
      <c r="J210" s="82">
        <f t="shared" si="8"/>
        <v>0</v>
      </c>
      <c r="K210" s="65">
        <f t="shared" si="7"/>
        <v>41883</v>
      </c>
    </row>
    <row r="211" spans="3:11" ht="20.100000000000001" customHeight="1">
      <c r="C211" s="101"/>
      <c r="D211" s="101"/>
      <c r="E211" s="105"/>
      <c r="F211" s="111"/>
      <c r="G211" s="99"/>
      <c r="H211" s="100"/>
      <c r="I211" s="82">
        <f>IF(E211="",0,VLOOKUP(E211,DMHH!$D$8:$H$507,IF(H211="",4,5),0))</f>
        <v>0</v>
      </c>
      <c r="J211" s="82">
        <f t="shared" si="8"/>
        <v>0</v>
      </c>
      <c r="K211" s="65">
        <f t="shared" si="7"/>
        <v>41883</v>
      </c>
    </row>
    <row r="212" spans="3:11" ht="20.100000000000001" customHeight="1">
      <c r="C212" s="101"/>
      <c r="D212" s="101"/>
      <c r="E212" s="105"/>
      <c r="F212" s="111"/>
      <c r="G212" s="99"/>
      <c r="H212" s="100"/>
      <c r="I212" s="82">
        <f>IF(E212="",0,VLOOKUP(E212,DMHH!$D$8:$H$507,IF(H212="",4,5),0))</f>
        <v>0</v>
      </c>
      <c r="J212" s="82">
        <f t="shared" si="8"/>
        <v>0</v>
      </c>
      <c r="K212" s="65">
        <f t="shared" si="7"/>
        <v>41883</v>
      </c>
    </row>
    <row r="213" spans="3:11" ht="20.100000000000001" customHeight="1">
      <c r="C213" s="101"/>
      <c r="D213" s="101"/>
      <c r="E213" s="105"/>
      <c r="F213" s="111"/>
      <c r="G213" s="99"/>
      <c r="H213" s="100"/>
      <c r="I213" s="82">
        <f>IF(E213="",0,VLOOKUP(E213,DMHH!$D$8:$H$507,IF(H213="",4,5),0))</f>
        <v>0</v>
      </c>
      <c r="J213" s="82">
        <f t="shared" si="8"/>
        <v>0</v>
      </c>
      <c r="K213" s="65">
        <f t="shared" si="7"/>
        <v>41883</v>
      </c>
    </row>
    <row r="214" spans="3:11" ht="20.100000000000001" customHeight="1">
      <c r="C214" s="101"/>
      <c r="D214" s="101"/>
      <c r="E214" s="105"/>
      <c r="F214" s="111"/>
      <c r="G214" s="99"/>
      <c r="H214" s="100"/>
      <c r="I214" s="82">
        <f>IF(E214="",0,VLOOKUP(E214,DMHH!$D$8:$H$507,IF(H214="",4,5),0))</f>
        <v>0</v>
      </c>
      <c r="J214" s="82">
        <f t="shared" si="8"/>
        <v>0</v>
      </c>
      <c r="K214" s="65">
        <f t="shared" si="7"/>
        <v>41883</v>
      </c>
    </row>
    <row r="215" spans="3:11" ht="20.100000000000001" customHeight="1">
      <c r="C215" s="101"/>
      <c r="D215" s="101"/>
      <c r="E215" s="105"/>
      <c r="F215" s="111"/>
      <c r="G215" s="99"/>
      <c r="H215" s="100"/>
      <c r="I215" s="82">
        <f>IF(E215="",0,VLOOKUP(E215,DMHH!$D$8:$H$507,IF(H215="",4,5),0))</f>
        <v>0</v>
      </c>
      <c r="J215" s="82">
        <f t="shared" si="8"/>
        <v>0</v>
      </c>
      <c r="K215" s="65">
        <f t="shared" si="7"/>
        <v>41883</v>
      </c>
    </row>
    <row r="216" spans="3:11" ht="20.100000000000001" customHeight="1">
      <c r="C216" s="101"/>
      <c r="D216" s="101"/>
      <c r="E216" s="105"/>
      <c r="F216" s="111"/>
      <c r="G216" s="99"/>
      <c r="H216" s="100"/>
      <c r="I216" s="82">
        <f>IF(E216="",0,VLOOKUP(E216,DMHH!$D$8:$H$507,IF(H216="",4,5),0))</f>
        <v>0</v>
      </c>
      <c r="J216" s="82">
        <f t="shared" si="8"/>
        <v>0</v>
      </c>
      <c r="K216" s="65">
        <f t="shared" si="7"/>
        <v>41883</v>
      </c>
    </row>
    <row r="217" spans="3:11" ht="20.100000000000001" customHeight="1">
      <c r="C217" s="101"/>
      <c r="D217" s="101"/>
      <c r="E217" s="105"/>
      <c r="F217" s="111"/>
      <c r="G217" s="99"/>
      <c r="H217" s="100"/>
      <c r="I217" s="82">
        <f>IF(E217="",0,VLOOKUP(E217,DMHH!$D$8:$H$507,IF(H217="",4,5),0))</f>
        <v>0</v>
      </c>
      <c r="J217" s="82">
        <f t="shared" si="8"/>
        <v>0</v>
      </c>
      <c r="K217" s="65">
        <f t="shared" si="7"/>
        <v>41883</v>
      </c>
    </row>
    <row r="218" spans="3:11" ht="20.100000000000001" customHeight="1">
      <c r="C218" s="101"/>
      <c r="D218" s="101"/>
      <c r="E218" s="105"/>
      <c r="F218" s="111"/>
      <c r="G218" s="99"/>
      <c r="H218" s="100"/>
      <c r="I218" s="82">
        <f>IF(E218="",0,VLOOKUP(E218,DMHH!$D$8:$H$507,IF(H218="",4,5),0))</f>
        <v>0</v>
      </c>
      <c r="J218" s="82">
        <f t="shared" si="8"/>
        <v>0</v>
      </c>
      <c r="K218" s="65">
        <f t="shared" si="7"/>
        <v>41883</v>
      </c>
    </row>
    <row r="219" spans="3:11" ht="20.100000000000001" customHeight="1">
      <c r="C219" s="101"/>
      <c r="D219" s="101"/>
      <c r="E219" s="105"/>
      <c r="F219" s="111"/>
      <c r="G219" s="99"/>
      <c r="H219" s="100"/>
      <c r="I219" s="82">
        <f>IF(E219="",0,VLOOKUP(E219,DMHH!$D$8:$H$507,IF(H219="",4,5),0))</f>
        <v>0</v>
      </c>
      <c r="J219" s="82">
        <f t="shared" si="8"/>
        <v>0</v>
      </c>
      <c r="K219" s="65">
        <f t="shared" si="7"/>
        <v>41883</v>
      </c>
    </row>
    <row r="220" spans="3:11" ht="20.100000000000001" customHeight="1">
      <c r="C220" s="101"/>
      <c r="D220" s="101"/>
      <c r="E220" s="105"/>
      <c r="F220" s="111"/>
      <c r="G220" s="99"/>
      <c r="H220" s="100"/>
      <c r="I220" s="82">
        <f>IF(E220="",0,VLOOKUP(E220,DMHH!$D$8:$H$507,IF(H220="",4,5),0))</f>
        <v>0</v>
      </c>
      <c r="J220" s="82">
        <f t="shared" si="8"/>
        <v>0</v>
      </c>
      <c r="K220" s="65">
        <f t="shared" si="7"/>
        <v>41883</v>
      </c>
    </row>
    <row r="221" spans="3:11" ht="20.100000000000001" customHeight="1">
      <c r="C221" s="101"/>
      <c r="D221" s="101"/>
      <c r="E221" s="105"/>
      <c r="F221" s="111"/>
      <c r="G221" s="99"/>
      <c r="H221" s="100"/>
      <c r="I221" s="82">
        <f>IF(E221="",0,VLOOKUP(E221,DMHH!$D$8:$H$507,IF(H221="",4,5),0))</f>
        <v>0</v>
      </c>
      <c r="J221" s="82">
        <f t="shared" si="8"/>
        <v>0</v>
      </c>
      <c r="K221" s="65">
        <f t="shared" si="7"/>
        <v>41883</v>
      </c>
    </row>
    <row r="222" spans="3:11" ht="20.100000000000001" customHeight="1">
      <c r="C222" s="101"/>
      <c r="D222" s="101"/>
      <c r="E222" s="105"/>
      <c r="F222" s="111"/>
      <c r="G222" s="99"/>
      <c r="H222" s="100"/>
      <c r="I222" s="82">
        <f>IF(E222="",0,VLOOKUP(E222,DMHH!$D$8:$H$507,IF(H222="",4,5),0))</f>
        <v>0</v>
      </c>
      <c r="J222" s="82">
        <f t="shared" si="8"/>
        <v>0</v>
      </c>
      <c r="K222" s="65">
        <f t="shared" si="7"/>
        <v>41883</v>
      </c>
    </row>
    <row r="223" spans="3:11" ht="20.100000000000001" customHeight="1">
      <c r="C223" s="101"/>
      <c r="D223" s="101"/>
      <c r="E223" s="105"/>
      <c r="F223" s="111"/>
      <c r="G223" s="99"/>
      <c r="H223" s="100"/>
      <c r="I223" s="82">
        <f>IF(E223="",0,VLOOKUP(E223,DMHH!$D$8:$H$507,IF(H223="",4,5),0))</f>
        <v>0</v>
      </c>
      <c r="J223" s="82">
        <f t="shared" si="8"/>
        <v>0</v>
      </c>
      <c r="K223" s="65">
        <f t="shared" si="7"/>
        <v>41883</v>
      </c>
    </row>
    <row r="224" spans="3:11" ht="20.100000000000001" customHeight="1">
      <c r="C224" s="101"/>
      <c r="D224" s="101"/>
      <c r="E224" s="105"/>
      <c r="F224" s="111"/>
      <c r="G224" s="99"/>
      <c r="H224" s="100"/>
      <c r="I224" s="82">
        <f>IF(E224="",0,VLOOKUP(E224,DMHH!$D$8:$H$507,IF(H224="",4,5),0))</f>
        <v>0</v>
      </c>
      <c r="J224" s="82">
        <f t="shared" si="8"/>
        <v>0</v>
      </c>
      <c r="K224" s="65">
        <f t="shared" si="7"/>
        <v>41883</v>
      </c>
    </row>
    <row r="225" spans="3:11" ht="20.100000000000001" customHeight="1">
      <c r="C225" s="101"/>
      <c r="D225" s="101"/>
      <c r="E225" s="105"/>
      <c r="F225" s="111"/>
      <c r="G225" s="99"/>
      <c r="H225" s="100"/>
      <c r="I225" s="82">
        <f>IF(E225="",0,VLOOKUP(E225,DMHH!$D$8:$H$507,IF(H225="",4,5),0))</f>
        <v>0</v>
      </c>
      <c r="J225" s="82">
        <f t="shared" si="8"/>
        <v>0</v>
      </c>
      <c r="K225" s="65">
        <f t="shared" si="7"/>
        <v>41883</v>
      </c>
    </row>
    <row r="226" spans="3:11" ht="20.100000000000001" customHeight="1">
      <c r="C226" s="101"/>
      <c r="D226" s="101"/>
      <c r="E226" s="105"/>
      <c r="F226" s="111"/>
      <c r="G226" s="99"/>
      <c r="H226" s="100"/>
      <c r="I226" s="82">
        <f>IF(E226="",0,VLOOKUP(E226,DMHH!$D$8:$H$507,IF(H226="",4,5),0))</f>
        <v>0</v>
      </c>
      <c r="J226" s="82">
        <f t="shared" si="8"/>
        <v>0</v>
      </c>
      <c r="K226" s="65">
        <f t="shared" si="7"/>
        <v>41883</v>
      </c>
    </row>
    <row r="227" spans="3:11" ht="20.100000000000001" customHeight="1">
      <c r="C227" s="101"/>
      <c r="D227" s="101"/>
      <c r="E227" s="105"/>
      <c r="F227" s="111"/>
      <c r="G227" s="99"/>
      <c r="H227" s="100"/>
      <c r="I227" s="82">
        <f>IF(E227="",0,VLOOKUP(E227,DMHH!$D$8:$H$507,IF(H227="",4,5),0))</f>
        <v>0</v>
      </c>
      <c r="J227" s="82">
        <f t="shared" si="8"/>
        <v>0</v>
      </c>
      <c r="K227" s="65">
        <f t="shared" si="7"/>
        <v>41883</v>
      </c>
    </row>
    <row r="228" spans="3:11" ht="20.100000000000001" customHeight="1">
      <c r="C228" s="101"/>
      <c r="D228" s="101"/>
      <c r="E228" s="105"/>
      <c r="F228" s="111"/>
      <c r="G228" s="99"/>
      <c r="H228" s="100"/>
      <c r="I228" s="82">
        <f>IF(E228="",0,VLOOKUP(E228,DMHH!$D$8:$H$507,IF(H228="",4,5),0))</f>
        <v>0</v>
      </c>
      <c r="J228" s="82">
        <f t="shared" si="8"/>
        <v>0</v>
      </c>
      <c r="K228" s="65">
        <f t="shared" si="7"/>
        <v>41883</v>
      </c>
    </row>
    <row r="229" spans="3:11" ht="20.100000000000001" customHeight="1">
      <c r="C229" s="101"/>
      <c r="D229" s="101"/>
      <c r="E229" s="105"/>
      <c r="F229" s="111"/>
      <c r="G229" s="99"/>
      <c r="H229" s="100"/>
      <c r="I229" s="82">
        <f>IF(E229="",0,VLOOKUP(E229,DMHH!$D$8:$H$507,IF(H229="",4,5),0))</f>
        <v>0</v>
      </c>
      <c r="J229" s="82">
        <f t="shared" si="8"/>
        <v>0</v>
      </c>
      <c r="K229" s="65">
        <f t="shared" si="7"/>
        <v>41883</v>
      </c>
    </row>
    <row r="230" spans="3:11" ht="20.100000000000001" customHeight="1">
      <c r="C230" s="101"/>
      <c r="D230" s="101"/>
      <c r="E230" s="105"/>
      <c r="F230" s="111"/>
      <c r="G230" s="99"/>
      <c r="H230" s="100"/>
      <c r="I230" s="82">
        <f>IF(E230="",0,VLOOKUP(E230,DMHH!$D$8:$H$507,IF(H230="",4,5),0))</f>
        <v>0</v>
      </c>
      <c r="J230" s="82">
        <f t="shared" si="8"/>
        <v>0</v>
      </c>
      <c r="K230" s="65">
        <f t="shared" si="7"/>
        <v>41883</v>
      </c>
    </row>
    <row r="231" spans="3:11" ht="20.100000000000001" customHeight="1">
      <c r="C231" s="101"/>
      <c r="D231" s="101"/>
      <c r="E231" s="105"/>
      <c r="F231" s="111"/>
      <c r="G231" s="99"/>
      <c r="H231" s="100"/>
      <c r="I231" s="82">
        <f>IF(E231="",0,VLOOKUP(E231,DMHH!$D$8:$H$507,IF(H231="",4,5),0))</f>
        <v>0</v>
      </c>
      <c r="J231" s="82">
        <f t="shared" si="8"/>
        <v>0</v>
      </c>
      <c r="K231" s="65">
        <f t="shared" si="7"/>
        <v>41883</v>
      </c>
    </row>
    <row r="232" spans="3:11" ht="20.100000000000001" customHeight="1">
      <c r="C232" s="101"/>
      <c r="D232" s="101"/>
      <c r="E232" s="105"/>
      <c r="F232" s="111"/>
      <c r="G232" s="99"/>
      <c r="H232" s="100"/>
      <c r="I232" s="82">
        <f>IF(E232="",0,VLOOKUP(E232,DMHH!$D$8:$H$507,IF(H232="",4,5),0))</f>
        <v>0</v>
      </c>
      <c r="J232" s="82">
        <f t="shared" si="8"/>
        <v>0</v>
      </c>
      <c r="K232" s="65">
        <f t="shared" si="7"/>
        <v>41883</v>
      </c>
    </row>
    <row r="233" spans="3:11" ht="20.100000000000001" customHeight="1">
      <c r="C233" s="101"/>
      <c r="D233" s="101"/>
      <c r="E233" s="105"/>
      <c r="F233" s="111"/>
      <c r="G233" s="99"/>
      <c r="H233" s="100"/>
      <c r="I233" s="82">
        <f>IF(E233="",0,VLOOKUP(E233,DMHH!$D$8:$H$507,IF(H233="",4,5),0))</f>
        <v>0</v>
      </c>
      <c r="J233" s="82">
        <f t="shared" si="8"/>
        <v>0</v>
      </c>
      <c r="K233" s="65">
        <f t="shared" si="7"/>
        <v>41883</v>
      </c>
    </row>
    <row r="234" spans="3:11" ht="20.100000000000001" customHeight="1">
      <c r="C234" s="101"/>
      <c r="D234" s="101"/>
      <c r="E234" s="105"/>
      <c r="F234" s="111"/>
      <c r="G234" s="99"/>
      <c r="H234" s="100"/>
      <c r="I234" s="82">
        <f>IF(E234="",0,VLOOKUP(E234,DMHH!$D$8:$H$507,IF(H234="",4,5),0))</f>
        <v>0</v>
      </c>
      <c r="J234" s="82">
        <f t="shared" si="8"/>
        <v>0</v>
      </c>
      <c r="K234" s="65">
        <f t="shared" si="7"/>
        <v>41883</v>
      </c>
    </row>
    <row r="235" spans="3:11" ht="20.100000000000001" customHeight="1">
      <c r="C235" s="101"/>
      <c r="D235" s="101"/>
      <c r="E235" s="105"/>
      <c r="F235" s="111"/>
      <c r="G235" s="99"/>
      <c r="H235" s="100"/>
      <c r="I235" s="82">
        <f>IF(E235="",0,VLOOKUP(E235,DMHH!$D$8:$H$507,IF(H235="",4,5),0))</f>
        <v>0</v>
      </c>
      <c r="J235" s="82">
        <f t="shared" si="8"/>
        <v>0</v>
      </c>
      <c r="K235" s="65">
        <f t="shared" si="7"/>
        <v>41883</v>
      </c>
    </row>
    <row r="236" spans="3:11" ht="20.100000000000001" customHeight="1">
      <c r="C236" s="101"/>
      <c r="D236" s="101"/>
      <c r="E236" s="105"/>
      <c r="F236" s="111"/>
      <c r="G236" s="99"/>
      <c r="H236" s="100"/>
      <c r="I236" s="82">
        <f>IF(E236="",0,VLOOKUP(E236,DMHH!$D$8:$H$507,IF(H236="",4,5),0))</f>
        <v>0</v>
      </c>
      <c r="J236" s="82">
        <f t="shared" si="8"/>
        <v>0</v>
      </c>
      <c r="K236" s="65">
        <f t="shared" si="7"/>
        <v>41883</v>
      </c>
    </row>
    <row r="237" spans="3:11" ht="20.100000000000001" customHeight="1">
      <c r="C237" s="101"/>
      <c r="D237" s="101"/>
      <c r="E237" s="105"/>
      <c r="F237" s="111"/>
      <c r="G237" s="99"/>
      <c r="H237" s="100"/>
      <c r="I237" s="82">
        <f>IF(E237="",0,VLOOKUP(E237,DMHH!$D$8:$H$507,IF(H237="",4,5),0))</f>
        <v>0</v>
      </c>
      <c r="J237" s="82">
        <f t="shared" si="8"/>
        <v>0</v>
      </c>
      <c r="K237" s="65">
        <f t="shared" si="7"/>
        <v>41883</v>
      </c>
    </row>
    <row r="238" spans="3:11" ht="20.100000000000001" customHeight="1">
      <c r="C238" s="101"/>
      <c r="D238" s="101"/>
      <c r="E238" s="105"/>
      <c r="F238" s="111"/>
      <c r="G238" s="99"/>
      <c r="H238" s="100"/>
      <c r="I238" s="82">
        <f>IF(E238="",0,VLOOKUP(E238,DMHH!$D$8:$H$507,IF(H238="",4,5),0))</f>
        <v>0</v>
      </c>
      <c r="J238" s="82">
        <f t="shared" si="8"/>
        <v>0</v>
      </c>
      <c r="K238" s="65">
        <f t="shared" si="7"/>
        <v>41883</v>
      </c>
    </row>
    <row r="239" spans="3:11" ht="20.100000000000001" customHeight="1">
      <c r="C239" s="101"/>
      <c r="D239" s="101"/>
      <c r="E239" s="105"/>
      <c r="F239" s="111"/>
      <c r="G239" s="99"/>
      <c r="H239" s="100"/>
      <c r="I239" s="82">
        <f>IF(E239="",0,VLOOKUP(E239,DMHH!$D$8:$H$507,IF(H239="",4,5),0))</f>
        <v>0</v>
      </c>
      <c r="J239" s="82">
        <f t="shared" si="8"/>
        <v>0</v>
      </c>
      <c r="K239" s="65">
        <f t="shared" si="7"/>
        <v>41883</v>
      </c>
    </row>
    <row r="240" spans="3:11" ht="20.100000000000001" customHeight="1">
      <c r="C240" s="101"/>
      <c r="D240" s="101"/>
      <c r="E240" s="105"/>
      <c r="F240" s="111"/>
      <c r="G240" s="99"/>
      <c r="H240" s="100"/>
      <c r="I240" s="82">
        <f>IF(E240="",0,VLOOKUP(E240,DMHH!$D$8:$H$507,IF(H240="",4,5),0))</f>
        <v>0</v>
      </c>
      <c r="J240" s="82">
        <f t="shared" si="8"/>
        <v>0</v>
      </c>
      <c r="K240" s="65">
        <f t="shared" si="7"/>
        <v>41883</v>
      </c>
    </row>
    <row r="241" spans="3:11" ht="20.100000000000001" customHeight="1">
      <c r="C241" s="101"/>
      <c r="D241" s="101"/>
      <c r="E241" s="105"/>
      <c r="F241" s="106"/>
      <c r="G241" s="99"/>
      <c r="H241" s="100"/>
      <c r="I241" s="82">
        <f>IF(E241="",0,VLOOKUP(E241,DMHH!$D$8:$H$507,IF(H241="",4,5),0))</f>
        <v>0</v>
      </c>
      <c r="J241" s="82">
        <f t="shared" si="8"/>
        <v>0</v>
      </c>
      <c r="K241" s="65">
        <f t="shared" si="7"/>
        <v>41883</v>
      </c>
    </row>
    <row r="242" spans="3:11" ht="20.100000000000001" customHeight="1">
      <c r="C242" s="101"/>
      <c r="D242" s="101"/>
      <c r="E242" s="105"/>
      <c r="F242" s="110"/>
      <c r="G242" s="99"/>
      <c r="H242" s="100"/>
      <c r="I242" s="82">
        <f>IF(E242="",0,VLOOKUP(E242,DMHH!$D$8:$H$507,IF(H242="",4,5),0))</f>
        <v>0</v>
      </c>
      <c r="J242" s="82">
        <f t="shared" si="8"/>
        <v>0</v>
      </c>
      <c r="K242" s="65">
        <f t="shared" si="7"/>
        <v>41883</v>
      </c>
    </row>
    <row r="243" spans="3:11" ht="20.100000000000001" customHeight="1">
      <c r="C243" s="101"/>
      <c r="D243" s="101"/>
      <c r="E243" s="105"/>
      <c r="F243" s="106"/>
      <c r="G243" s="99"/>
      <c r="H243" s="100"/>
      <c r="I243" s="82">
        <f>IF(E243="",0,VLOOKUP(E243,DMHH!$D$8:$H$507,IF(H243="",4,5),0))</f>
        <v>0</v>
      </c>
      <c r="J243" s="82">
        <f t="shared" si="8"/>
        <v>0</v>
      </c>
      <c r="K243" s="65">
        <f t="shared" si="7"/>
        <v>41883</v>
      </c>
    </row>
    <row r="244" spans="3:11" ht="20.100000000000001" customHeight="1">
      <c r="C244" s="101"/>
      <c r="D244" s="101"/>
      <c r="E244" s="105"/>
      <c r="F244" s="106"/>
      <c r="G244" s="99"/>
      <c r="H244" s="100"/>
      <c r="I244" s="82">
        <f>IF(E244="",0,VLOOKUP(E244,DMHH!$D$8:$H$507,IF(H244="",4,5),0))</f>
        <v>0</v>
      </c>
      <c r="J244" s="82">
        <f t="shared" si="8"/>
        <v>0</v>
      </c>
      <c r="K244" s="65">
        <f t="shared" si="7"/>
        <v>41883</v>
      </c>
    </row>
    <row r="245" spans="3:11" ht="20.100000000000001" customHeight="1">
      <c r="C245" s="101"/>
      <c r="D245" s="101"/>
      <c r="E245" s="105"/>
      <c r="F245" s="106"/>
      <c r="G245" s="99"/>
      <c r="H245" s="100"/>
      <c r="I245" s="82">
        <f>IF(E245="",0,VLOOKUP(E245,DMHH!$D$8:$H$507,IF(H245="",4,5),0))</f>
        <v>0</v>
      </c>
      <c r="J245" s="82">
        <f t="shared" si="8"/>
        <v>0</v>
      </c>
      <c r="K245" s="65">
        <f t="shared" si="7"/>
        <v>41883</v>
      </c>
    </row>
    <row r="246" spans="3:11" ht="20.100000000000001" customHeight="1">
      <c r="C246" s="101"/>
      <c r="D246" s="101"/>
      <c r="E246" s="105"/>
      <c r="F246" s="106"/>
      <c r="G246" s="99"/>
      <c r="H246" s="100"/>
      <c r="I246" s="82">
        <f>IF(E246="",0,VLOOKUP(E246,DMHH!$D$8:$H$507,IF(H246="",4,5),0))</f>
        <v>0</v>
      </c>
      <c r="J246" s="82">
        <f t="shared" si="8"/>
        <v>0</v>
      </c>
      <c r="K246" s="65">
        <f t="shared" si="7"/>
        <v>41883</v>
      </c>
    </row>
    <row r="247" spans="3:11" ht="20.100000000000001" customHeight="1">
      <c r="C247" s="101"/>
      <c r="D247" s="101"/>
      <c r="E247" s="105"/>
      <c r="F247" s="106"/>
      <c r="G247" s="99"/>
      <c r="H247" s="100"/>
      <c r="I247" s="82">
        <f>IF(E247="",0,VLOOKUP(E247,DMHH!$D$8:$H$507,IF(H247="",4,5),0))</f>
        <v>0</v>
      </c>
      <c r="J247" s="82">
        <f t="shared" si="8"/>
        <v>0</v>
      </c>
      <c r="K247" s="65">
        <f t="shared" si="7"/>
        <v>41883</v>
      </c>
    </row>
    <row r="248" spans="3:11" ht="20.100000000000001" customHeight="1">
      <c r="C248" s="101"/>
      <c r="D248" s="101"/>
      <c r="E248" s="105"/>
      <c r="F248" s="106"/>
      <c r="G248" s="99"/>
      <c r="H248" s="100"/>
      <c r="I248" s="82">
        <f>IF(E248="",0,VLOOKUP(E248,DMHH!$D$8:$H$507,IF(H248="",4,5),0))</f>
        <v>0</v>
      </c>
      <c r="J248" s="82">
        <f t="shared" si="8"/>
        <v>0</v>
      </c>
      <c r="K248" s="65">
        <f t="shared" si="7"/>
        <v>41883</v>
      </c>
    </row>
    <row r="249" spans="3:11" ht="20.100000000000001" customHeight="1">
      <c r="C249" s="101"/>
      <c r="D249" s="101"/>
      <c r="E249" s="105"/>
      <c r="F249" s="106"/>
      <c r="G249" s="99"/>
      <c r="H249" s="100"/>
      <c r="I249" s="82">
        <f>IF(E249="",0,VLOOKUP(E249,DMHH!$D$8:$H$507,IF(H249="",4,5),0))</f>
        <v>0</v>
      </c>
      <c r="J249" s="82">
        <f t="shared" si="8"/>
        <v>0</v>
      </c>
      <c r="K249" s="65">
        <f t="shared" si="7"/>
        <v>41883</v>
      </c>
    </row>
    <row r="250" spans="3:11" ht="20.100000000000001" customHeight="1">
      <c r="C250" s="101"/>
      <c r="D250" s="101"/>
      <c r="E250" s="105"/>
      <c r="F250" s="106"/>
      <c r="G250" s="99"/>
      <c r="H250" s="100"/>
      <c r="I250" s="82">
        <f>IF(E250="",0,VLOOKUP(E250,DMHH!$D$8:$H$507,IF(H250="",4,5),0))</f>
        <v>0</v>
      </c>
      <c r="J250" s="82">
        <f t="shared" si="8"/>
        <v>0</v>
      </c>
      <c r="K250" s="65">
        <f t="shared" si="7"/>
        <v>41883</v>
      </c>
    </row>
    <row r="251" spans="3:11" ht="20.100000000000001" customHeight="1">
      <c r="C251" s="101"/>
      <c r="D251" s="101"/>
      <c r="E251" s="105"/>
      <c r="F251" s="106"/>
      <c r="G251" s="99"/>
      <c r="H251" s="100"/>
      <c r="I251" s="82">
        <f>IF(E251="",0,VLOOKUP(E251,DMHH!$D$8:$H$507,IF(H251="",4,5),0))</f>
        <v>0</v>
      </c>
      <c r="J251" s="82">
        <f t="shared" si="8"/>
        <v>0</v>
      </c>
      <c r="K251" s="65">
        <f t="shared" si="7"/>
        <v>41883</v>
      </c>
    </row>
    <row r="252" spans="3:11" ht="20.100000000000001" customHeight="1">
      <c r="C252" s="101"/>
      <c r="D252" s="101"/>
      <c r="E252" s="105"/>
      <c r="F252" s="106"/>
      <c r="G252" s="99"/>
      <c r="H252" s="100"/>
      <c r="I252" s="82">
        <f>IF(E252="",0,VLOOKUP(E252,DMHH!$D$8:$H$507,IF(H252="",4,5),0))</f>
        <v>0</v>
      </c>
      <c r="J252" s="82">
        <f t="shared" si="8"/>
        <v>0</v>
      </c>
      <c r="K252" s="65">
        <f t="shared" si="7"/>
        <v>41883</v>
      </c>
    </row>
    <row r="253" spans="3:11" ht="20.100000000000001" customHeight="1">
      <c r="C253" s="101"/>
      <c r="D253" s="101"/>
      <c r="E253" s="105"/>
      <c r="F253" s="106"/>
      <c r="G253" s="99"/>
      <c r="H253" s="100"/>
      <c r="I253" s="82">
        <f>IF(E253="",0,VLOOKUP(E253,DMHH!$D$8:$H$507,IF(H253="",4,5),0))</f>
        <v>0</v>
      </c>
      <c r="J253" s="82">
        <f t="shared" si="8"/>
        <v>0</v>
      </c>
      <c r="K253" s="65">
        <f t="shared" si="7"/>
        <v>41883</v>
      </c>
    </row>
    <row r="254" spans="3:11" ht="20.100000000000001" customHeight="1">
      <c r="C254" s="101"/>
      <c r="D254" s="101"/>
      <c r="E254" s="105"/>
      <c r="F254" s="106"/>
      <c r="G254" s="99"/>
      <c r="H254" s="100"/>
      <c r="I254" s="82">
        <f>IF(E254="",0,VLOOKUP(E254,DMHH!$D$8:$H$507,IF(H254="",4,5),0))</f>
        <v>0</v>
      </c>
      <c r="J254" s="82">
        <f t="shared" si="8"/>
        <v>0</v>
      </c>
      <c r="K254" s="65">
        <f t="shared" si="7"/>
        <v>41883</v>
      </c>
    </row>
    <row r="255" spans="3:11" ht="20.100000000000001" customHeight="1">
      <c r="C255" s="101"/>
      <c r="D255" s="101"/>
      <c r="E255" s="105"/>
      <c r="F255" s="106"/>
      <c r="G255" s="99"/>
      <c r="H255" s="100"/>
      <c r="I255" s="82">
        <f>IF(E255="",0,VLOOKUP(E255,DMHH!$D$8:$H$507,IF(H255="",4,5),0))</f>
        <v>0</v>
      </c>
      <c r="J255" s="82">
        <f t="shared" si="8"/>
        <v>0</v>
      </c>
      <c r="K255" s="65">
        <f t="shared" si="7"/>
        <v>41883</v>
      </c>
    </row>
    <row r="256" spans="3:11" ht="20.100000000000001" customHeight="1">
      <c r="C256" s="101"/>
      <c r="D256" s="101"/>
      <c r="E256" s="105"/>
      <c r="F256" s="106"/>
      <c r="G256" s="99"/>
      <c r="H256" s="100"/>
      <c r="I256" s="82">
        <f>IF(E256="",0,VLOOKUP(E256,DMHH!$D$8:$H$507,IF(H256="",4,5),0))</f>
        <v>0</v>
      </c>
      <c r="J256" s="82">
        <f t="shared" si="8"/>
        <v>0</v>
      </c>
      <c r="K256" s="65">
        <f t="shared" si="7"/>
        <v>41883</v>
      </c>
    </row>
    <row r="257" spans="3:11" ht="20.100000000000001" customHeight="1">
      <c r="C257" s="101"/>
      <c r="D257" s="101"/>
      <c r="E257" s="105"/>
      <c r="F257" s="106"/>
      <c r="G257" s="99"/>
      <c r="H257" s="100"/>
      <c r="I257" s="82">
        <f>IF(E257="",0,VLOOKUP(E257,DMHH!$D$8:$H$507,IF(H257="",4,5),0))</f>
        <v>0</v>
      </c>
      <c r="J257" s="82">
        <f t="shared" si="8"/>
        <v>0</v>
      </c>
      <c r="K257" s="65">
        <f t="shared" si="7"/>
        <v>41883</v>
      </c>
    </row>
    <row r="258" spans="3:11" ht="20.100000000000001" customHeight="1">
      <c r="C258" s="101"/>
      <c r="D258" s="101"/>
      <c r="E258" s="105"/>
      <c r="F258" s="106"/>
      <c r="G258" s="99"/>
      <c r="H258" s="100"/>
      <c r="I258" s="82">
        <f>IF(E258="",0,VLOOKUP(E258,DMHH!$D$8:$H$507,IF(H258="",4,5),0))</f>
        <v>0</v>
      </c>
      <c r="J258" s="82">
        <f t="shared" si="8"/>
        <v>0</v>
      </c>
      <c r="K258" s="65">
        <f t="shared" si="7"/>
        <v>41883</v>
      </c>
    </row>
    <row r="259" spans="3:11" ht="20.100000000000001" customHeight="1">
      <c r="C259" s="101"/>
      <c r="D259" s="101"/>
      <c r="E259" s="105"/>
      <c r="F259" s="106"/>
      <c r="G259" s="99"/>
      <c r="H259" s="100"/>
      <c r="I259" s="82">
        <f>IF(E259="",0,VLOOKUP(E259,DMHH!$D$8:$H$507,IF(H259="",4,5),0))</f>
        <v>0</v>
      </c>
      <c r="J259" s="82">
        <f t="shared" si="8"/>
        <v>0</v>
      </c>
      <c r="K259" s="65">
        <f t="shared" si="7"/>
        <v>41883</v>
      </c>
    </row>
    <row r="260" spans="3:11" ht="20.100000000000001" customHeight="1">
      <c r="C260" s="101"/>
      <c r="D260" s="101"/>
      <c r="E260" s="105"/>
      <c r="F260" s="106"/>
      <c r="G260" s="99"/>
      <c r="H260" s="100"/>
      <c r="I260" s="82">
        <f>IF(E260="",0,VLOOKUP(E260,DMHH!$D$8:$H$507,IF(H260="",4,5),0))</f>
        <v>0</v>
      </c>
      <c r="J260" s="82">
        <f t="shared" si="8"/>
        <v>0</v>
      </c>
      <c r="K260" s="65">
        <f t="shared" si="7"/>
        <v>41883</v>
      </c>
    </row>
    <row r="261" spans="3:11" ht="20.100000000000001" customHeight="1">
      <c r="C261" s="101"/>
      <c r="D261" s="101"/>
      <c r="E261" s="105"/>
      <c r="F261" s="106"/>
      <c r="G261" s="99"/>
      <c r="H261" s="100"/>
      <c r="I261" s="82">
        <f>IF(E261="",0,VLOOKUP(E261,DMHH!$D$8:$H$507,IF(H261="",4,5),0))</f>
        <v>0</v>
      </c>
      <c r="J261" s="82">
        <f t="shared" si="8"/>
        <v>0</v>
      </c>
      <c r="K261" s="65">
        <f t="shared" si="7"/>
        <v>41883</v>
      </c>
    </row>
    <row r="262" spans="3:11" ht="20.100000000000001" customHeight="1">
      <c r="C262" s="101"/>
      <c r="D262" s="101"/>
      <c r="E262" s="105"/>
      <c r="F262" s="106"/>
      <c r="G262" s="99"/>
      <c r="H262" s="100"/>
      <c r="I262" s="82">
        <f>IF(E262="",0,VLOOKUP(E262,DMHH!$D$8:$H$507,IF(H262="",4,5),0))</f>
        <v>0</v>
      </c>
      <c r="J262" s="82">
        <f t="shared" si="8"/>
        <v>0</v>
      </c>
      <c r="K262" s="65">
        <f t="shared" si="7"/>
        <v>41883</v>
      </c>
    </row>
    <row r="263" spans="3:11" ht="20.100000000000001" customHeight="1">
      <c r="C263" s="101"/>
      <c r="D263" s="101"/>
      <c r="E263" s="105"/>
      <c r="F263" s="106"/>
      <c r="G263" s="99"/>
      <c r="H263" s="100"/>
      <c r="I263" s="82">
        <f>IF(E263="",0,VLOOKUP(E263,DMHH!$D$8:$H$507,IF(H263="",4,5),0))</f>
        <v>0</v>
      </c>
      <c r="J263" s="82">
        <f t="shared" si="8"/>
        <v>0</v>
      </c>
      <c r="K263" s="65">
        <f t="shared" si="7"/>
        <v>41883</v>
      </c>
    </row>
    <row r="264" spans="3:11" ht="20.100000000000001" customHeight="1">
      <c r="C264" s="101"/>
      <c r="D264" s="101"/>
      <c r="E264" s="105"/>
      <c r="F264" s="106"/>
      <c r="G264" s="99"/>
      <c r="H264" s="100"/>
      <c r="I264" s="82">
        <f>IF(E264="",0,VLOOKUP(E264,DMHH!$D$8:$H$507,IF(H264="",4,5),0))</f>
        <v>0</v>
      </c>
      <c r="J264" s="82">
        <f t="shared" si="8"/>
        <v>0</v>
      </c>
      <c r="K264" s="65">
        <f t="shared" si="7"/>
        <v>41883</v>
      </c>
    </row>
    <row r="265" spans="3:11" ht="20.100000000000001" customHeight="1">
      <c r="C265" s="101"/>
      <c r="D265" s="101"/>
      <c r="E265" s="105"/>
      <c r="F265" s="106"/>
      <c r="G265" s="99"/>
      <c r="H265" s="100"/>
      <c r="I265" s="82">
        <f>IF(E265="",0,VLOOKUP(E265,DMHH!$D$8:$H$507,IF(H265="",4,5),0))</f>
        <v>0</v>
      </c>
      <c r="J265" s="82">
        <f t="shared" si="8"/>
        <v>0</v>
      </c>
      <c r="K265" s="65">
        <f t="shared" si="7"/>
        <v>41883</v>
      </c>
    </row>
    <row r="266" spans="3:11" ht="20.100000000000001" customHeight="1">
      <c r="C266" s="101"/>
      <c r="D266" s="101"/>
      <c r="E266" s="105"/>
      <c r="F266" s="106"/>
      <c r="G266" s="99"/>
      <c r="H266" s="100"/>
      <c r="I266" s="82">
        <f>IF(E266="",0,VLOOKUP(E266,DMHH!$D$8:$H$507,IF(H266="",4,5),0))</f>
        <v>0</v>
      </c>
      <c r="J266" s="82">
        <f t="shared" si="8"/>
        <v>0</v>
      </c>
      <c r="K266" s="65">
        <f t="shared" si="7"/>
        <v>41883</v>
      </c>
    </row>
    <row r="267" spans="3:11" ht="20.100000000000001" customHeight="1">
      <c r="C267" s="101"/>
      <c r="D267" s="101"/>
      <c r="E267" s="105"/>
      <c r="F267" s="106"/>
      <c r="G267" s="99"/>
      <c r="H267" s="100"/>
      <c r="I267" s="82">
        <f>IF(E267="",0,VLOOKUP(E267,DMHH!$D$8:$H$507,IF(H267="",4,5),0))</f>
        <v>0</v>
      </c>
      <c r="J267" s="82">
        <f t="shared" si="8"/>
        <v>0</v>
      </c>
      <c r="K267" s="65">
        <f t="shared" ref="K267:K330" si="9">IF(C267="",K266,C267)</f>
        <v>41883</v>
      </c>
    </row>
    <row r="268" spans="3:11" ht="20.100000000000001" customHeight="1">
      <c r="C268" s="101"/>
      <c r="D268" s="101"/>
      <c r="E268" s="105"/>
      <c r="F268" s="106"/>
      <c r="G268" s="99"/>
      <c r="H268" s="100"/>
      <c r="I268" s="82">
        <f>IF(E268="",0,VLOOKUP(E268,DMHH!$D$8:$H$507,IF(H268="",4,5),0))</f>
        <v>0</v>
      </c>
      <c r="J268" s="82">
        <f t="shared" si="8"/>
        <v>0</v>
      </c>
      <c r="K268" s="65">
        <f t="shared" si="9"/>
        <v>41883</v>
      </c>
    </row>
    <row r="269" spans="3:11" ht="20.100000000000001" customHeight="1">
      <c r="C269" s="101"/>
      <c r="D269" s="101"/>
      <c r="E269" s="105"/>
      <c r="F269" s="106"/>
      <c r="G269" s="99"/>
      <c r="H269" s="100"/>
      <c r="I269" s="82">
        <f>IF(E269="",0,VLOOKUP(E269,DMHH!$D$8:$H$507,IF(H269="",4,5),0))</f>
        <v>0</v>
      </c>
      <c r="J269" s="82">
        <f t="shared" ref="J269:J332" si="10">F269*I269+H269*I269</f>
        <v>0</v>
      </c>
      <c r="K269" s="65">
        <f t="shared" si="9"/>
        <v>41883</v>
      </c>
    </row>
    <row r="270" spans="3:11" ht="20.100000000000001" customHeight="1">
      <c r="C270" s="101"/>
      <c r="D270" s="101"/>
      <c r="E270" s="105"/>
      <c r="F270" s="106"/>
      <c r="G270" s="99"/>
      <c r="H270" s="100"/>
      <c r="I270" s="82">
        <f>IF(E270="",0,VLOOKUP(E270,DMHH!$D$8:$H$507,IF(H270="",4,5),0))</f>
        <v>0</v>
      </c>
      <c r="J270" s="82">
        <f t="shared" si="10"/>
        <v>0</v>
      </c>
      <c r="K270" s="65">
        <f t="shared" si="9"/>
        <v>41883</v>
      </c>
    </row>
    <row r="271" spans="3:11" ht="20.100000000000001" customHeight="1">
      <c r="C271" s="101"/>
      <c r="D271" s="101"/>
      <c r="E271" s="105"/>
      <c r="F271" s="106"/>
      <c r="G271" s="99"/>
      <c r="H271" s="100"/>
      <c r="I271" s="82">
        <f>IF(E271="",0,VLOOKUP(E271,DMHH!$D$8:$H$507,IF(H271="",4,5),0))</f>
        <v>0</v>
      </c>
      <c r="J271" s="82">
        <f t="shared" si="10"/>
        <v>0</v>
      </c>
      <c r="K271" s="65">
        <f t="shared" si="9"/>
        <v>41883</v>
      </c>
    </row>
    <row r="272" spans="3:11" ht="20.100000000000001" customHeight="1">
      <c r="C272" s="101"/>
      <c r="D272" s="101"/>
      <c r="E272" s="105"/>
      <c r="F272" s="106"/>
      <c r="G272" s="99"/>
      <c r="H272" s="100"/>
      <c r="I272" s="82">
        <f>IF(E272="",0,VLOOKUP(E272,DMHH!$D$8:$H$507,IF(H272="",4,5),0))</f>
        <v>0</v>
      </c>
      <c r="J272" s="82">
        <f t="shared" si="10"/>
        <v>0</v>
      </c>
      <c r="K272" s="65">
        <f t="shared" si="9"/>
        <v>41883</v>
      </c>
    </row>
    <row r="273" spans="3:11" ht="20.100000000000001" customHeight="1">
      <c r="C273" s="101"/>
      <c r="D273" s="101"/>
      <c r="E273" s="105"/>
      <c r="F273" s="106"/>
      <c r="G273" s="99"/>
      <c r="H273" s="100"/>
      <c r="I273" s="82">
        <f>IF(E273="",0,VLOOKUP(E273,DMHH!$D$8:$H$507,IF(H273="",4,5),0))</f>
        <v>0</v>
      </c>
      <c r="J273" s="82">
        <f t="shared" si="10"/>
        <v>0</v>
      </c>
      <c r="K273" s="65">
        <f t="shared" si="9"/>
        <v>41883</v>
      </c>
    </row>
    <row r="274" spans="3:11" ht="20.100000000000001" customHeight="1">
      <c r="C274" s="101"/>
      <c r="D274" s="101"/>
      <c r="E274" s="105"/>
      <c r="F274" s="106"/>
      <c r="G274" s="99"/>
      <c r="H274" s="100"/>
      <c r="I274" s="82">
        <f>IF(E274="",0,VLOOKUP(E274,DMHH!$D$8:$H$507,IF(H274="",4,5),0))</f>
        <v>0</v>
      </c>
      <c r="J274" s="82">
        <f t="shared" si="10"/>
        <v>0</v>
      </c>
      <c r="K274" s="65">
        <f t="shared" si="9"/>
        <v>41883</v>
      </c>
    </row>
    <row r="275" spans="3:11" ht="20.100000000000001" customHeight="1">
      <c r="C275" s="101"/>
      <c r="D275" s="101"/>
      <c r="E275" s="105"/>
      <c r="F275" s="106"/>
      <c r="G275" s="99"/>
      <c r="H275" s="100"/>
      <c r="I275" s="82">
        <f>IF(E275="",0,VLOOKUP(E275,DMHH!$D$8:$H$507,IF(H275="",4,5),0))</f>
        <v>0</v>
      </c>
      <c r="J275" s="82">
        <f t="shared" si="10"/>
        <v>0</v>
      </c>
      <c r="K275" s="65">
        <f t="shared" si="9"/>
        <v>41883</v>
      </c>
    </row>
    <row r="276" spans="3:11" ht="20.100000000000001" customHeight="1">
      <c r="C276" s="101"/>
      <c r="D276" s="101"/>
      <c r="E276" s="105"/>
      <c r="F276" s="106"/>
      <c r="G276" s="99"/>
      <c r="H276" s="100"/>
      <c r="I276" s="82">
        <f>IF(E276="",0,VLOOKUP(E276,DMHH!$D$8:$H$507,IF(H276="",4,5),0))</f>
        <v>0</v>
      </c>
      <c r="J276" s="82">
        <f t="shared" si="10"/>
        <v>0</v>
      </c>
      <c r="K276" s="65">
        <f t="shared" si="9"/>
        <v>41883</v>
      </c>
    </row>
    <row r="277" spans="3:11" ht="20.100000000000001" customHeight="1">
      <c r="C277" s="101"/>
      <c r="D277" s="101"/>
      <c r="E277" s="105"/>
      <c r="F277" s="106"/>
      <c r="G277" s="99"/>
      <c r="H277" s="100"/>
      <c r="I277" s="82">
        <f>IF(E277="",0,VLOOKUP(E277,DMHH!$D$8:$H$507,IF(H277="",4,5),0))</f>
        <v>0</v>
      </c>
      <c r="J277" s="82">
        <f t="shared" si="10"/>
        <v>0</v>
      </c>
      <c r="K277" s="65">
        <f t="shared" si="9"/>
        <v>41883</v>
      </c>
    </row>
    <row r="278" spans="3:11" ht="20.100000000000001" customHeight="1">
      <c r="C278" s="101"/>
      <c r="D278" s="101"/>
      <c r="E278" s="105"/>
      <c r="F278" s="106"/>
      <c r="G278" s="99"/>
      <c r="H278" s="100"/>
      <c r="I278" s="82">
        <f>IF(E278="",0,VLOOKUP(E278,DMHH!$D$8:$H$507,IF(H278="",4,5),0))</f>
        <v>0</v>
      </c>
      <c r="J278" s="82">
        <f t="shared" si="10"/>
        <v>0</v>
      </c>
      <c r="K278" s="65">
        <f t="shared" si="9"/>
        <v>41883</v>
      </c>
    </row>
    <row r="279" spans="3:11" ht="20.100000000000001" customHeight="1">
      <c r="C279" s="101"/>
      <c r="D279" s="101"/>
      <c r="E279" s="105"/>
      <c r="F279" s="106"/>
      <c r="G279" s="99"/>
      <c r="H279" s="100"/>
      <c r="I279" s="82">
        <f>IF(E279="",0,VLOOKUP(E279,DMHH!$D$8:$H$507,IF(H279="",4,5),0))</f>
        <v>0</v>
      </c>
      <c r="J279" s="82">
        <f t="shared" si="10"/>
        <v>0</v>
      </c>
      <c r="K279" s="65">
        <f t="shared" si="9"/>
        <v>41883</v>
      </c>
    </row>
    <row r="280" spans="3:11" ht="20.100000000000001" customHeight="1">
      <c r="C280" s="101"/>
      <c r="D280" s="101"/>
      <c r="E280" s="105"/>
      <c r="F280" s="106"/>
      <c r="G280" s="99"/>
      <c r="H280" s="100"/>
      <c r="I280" s="82">
        <f>IF(E280="",0,VLOOKUP(E280,DMHH!$D$8:$H$507,IF(H280="",4,5),0))</f>
        <v>0</v>
      </c>
      <c r="J280" s="82">
        <f t="shared" si="10"/>
        <v>0</v>
      </c>
      <c r="K280" s="65">
        <f t="shared" si="9"/>
        <v>41883</v>
      </c>
    </row>
    <row r="281" spans="3:11" ht="20.100000000000001" customHeight="1">
      <c r="C281" s="101"/>
      <c r="D281" s="101"/>
      <c r="E281" s="105"/>
      <c r="F281" s="106"/>
      <c r="G281" s="99"/>
      <c r="H281" s="100"/>
      <c r="I281" s="82">
        <f>IF(E281="",0,VLOOKUP(E281,DMHH!$D$8:$H$507,IF(H281="",4,5),0))</f>
        <v>0</v>
      </c>
      <c r="J281" s="82">
        <f t="shared" si="10"/>
        <v>0</v>
      </c>
      <c r="K281" s="65">
        <f t="shared" si="9"/>
        <v>41883</v>
      </c>
    </row>
    <row r="282" spans="3:11" ht="20.100000000000001" customHeight="1">
      <c r="C282" s="101"/>
      <c r="D282" s="101"/>
      <c r="E282" s="105"/>
      <c r="F282" s="106"/>
      <c r="G282" s="99"/>
      <c r="H282" s="100"/>
      <c r="I282" s="82">
        <f>IF(E282="",0,VLOOKUP(E282,DMHH!$D$8:$H$507,IF(H282="",4,5),0))</f>
        <v>0</v>
      </c>
      <c r="J282" s="82">
        <f t="shared" si="10"/>
        <v>0</v>
      </c>
      <c r="K282" s="65">
        <f t="shared" si="9"/>
        <v>41883</v>
      </c>
    </row>
    <row r="283" spans="3:11" ht="20.100000000000001" customHeight="1">
      <c r="C283" s="101"/>
      <c r="D283" s="101"/>
      <c r="E283" s="105"/>
      <c r="F283" s="106"/>
      <c r="G283" s="99"/>
      <c r="H283" s="100"/>
      <c r="I283" s="82">
        <f>IF(E283="",0,VLOOKUP(E283,DMHH!$D$8:$H$507,IF(H283="",4,5),0))</f>
        <v>0</v>
      </c>
      <c r="J283" s="82">
        <f t="shared" si="10"/>
        <v>0</v>
      </c>
      <c r="K283" s="65">
        <f t="shared" si="9"/>
        <v>41883</v>
      </c>
    </row>
    <row r="284" spans="3:11" ht="20.100000000000001" customHeight="1">
      <c r="C284" s="101"/>
      <c r="D284" s="101"/>
      <c r="E284" s="105"/>
      <c r="F284" s="106"/>
      <c r="G284" s="99"/>
      <c r="H284" s="100"/>
      <c r="I284" s="82">
        <f>IF(E284="",0,VLOOKUP(E284,DMHH!$D$8:$H$507,IF(H284="",4,5),0))</f>
        <v>0</v>
      </c>
      <c r="J284" s="82">
        <f t="shared" si="10"/>
        <v>0</v>
      </c>
      <c r="K284" s="65">
        <f t="shared" si="9"/>
        <v>41883</v>
      </c>
    </row>
    <row r="285" spans="3:11" ht="20.100000000000001" customHeight="1">
      <c r="C285" s="101"/>
      <c r="D285" s="101"/>
      <c r="E285" s="105"/>
      <c r="F285" s="106"/>
      <c r="G285" s="99"/>
      <c r="H285" s="100"/>
      <c r="I285" s="82">
        <f>IF(E285="",0,VLOOKUP(E285,DMHH!$D$8:$H$507,IF(H285="",4,5),0))</f>
        <v>0</v>
      </c>
      <c r="J285" s="82">
        <f t="shared" si="10"/>
        <v>0</v>
      </c>
      <c r="K285" s="65">
        <f t="shared" si="9"/>
        <v>41883</v>
      </c>
    </row>
    <row r="286" spans="3:11" ht="20.100000000000001" customHeight="1">
      <c r="C286" s="101"/>
      <c r="D286" s="101"/>
      <c r="E286" s="105"/>
      <c r="F286" s="106"/>
      <c r="G286" s="99"/>
      <c r="H286" s="100"/>
      <c r="I286" s="82">
        <f>IF(E286="",0,VLOOKUP(E286,DMHH!$D$8:$H$507,IF(H286="",4,5),0))</f>
        <v>0</v>
      </c>
      <c r="J286" s="82">
        <f t="shared" si="10"/>
        <v>0</v>
      </c>
      <c r="K286" s="65">
        <f t="shared" si="9"/>
        <v>41883</v>
      </c>
    </row>
    <row r="287" spans="3:11" ht="20.100000000000001" customHeight="1">
      <c r="C287" s="101"/>
      <c r="D287" s="101"/>
      <c r="E287" s="105"/>
      <c r="F287" s="106"/>
      <c r="G287" s="99"/>
      <c r="H287" s="100"/>
      <c r="I287" s="82">
        <f>IF(E287="",0,VLOOKUP(E287,DMHH!$D$8:$H$507,IF(H287="",4,5),0))</f>
        <v>0</v>
      </c>
      <c r="J287" s="82">
        <f t="shared" si="10"/>
        <v>0</v>
      </c>
      <c r="K287" s="65">
        <f t="shared" si="9"/>
        <v>41883</v>
      </c>
    </row>
    <row r="288" spans="3:11" ht="20.100000000000001" customHeight="1">
      <c r="C288" s="101"/>
      <c r="D288" s="101"/>
      <c r="E288" s="105"/>
      <c r="F288" s="106"/>
      <c r="G288" s="99"/>
      <c r="H288" s="100"/>
      <c r="I288" s="82">
        <f>IF(E288="",0,VLOOKUP(E288,DMHH!$D$8:$H$507,IF(H288="",4,5),0))</f>
        <v>0</v>
      </c>
      <c r="J288" s="82">
        <f t="shared" si="10"/>
        <v>0</v>
      </c>
      <c r="K288" s="65">
        <f t="shared" si="9"/>
        <v>41883</v>
      </c>
    </row>
    <row r="289" spans="3:11" ht="20.100000000000001" customHeight="1">
      <c r="C289" s="101"/>
      <c r="D289" s="101"/>
      <c r="E289" s="105"/>
      <c r="F289" s="106"/>
      <c r="G289" s="99"/>
      <c r="H289" s="100"/>
      <c r="I289" s="82">
        <f>IF(E289="",0,VLOOKUP(E289,DMHH!$D$8:$H$507,IF(H289="",4,5),0))</f>
        <v>0</v>
      </c>
      <c r="J289" s="82">
        <f t="shared" si="10"/>
        <v>0</v>
      </c>
      <c r="K289" s="65">
        <f t="shared" si="9"/>
        <v>41883</v>
      </c>
    </row>
    <row r="290" spans="3:11" ht="20.100000000000001" customHeight="1">
      <c r="C290" s="101"/>
      <c r="D290" s="101"/>
      <c r="E290" s="105"/>
      <c r="F290" s="106"/>
      <c r="G290" s="99"/>
      <c r="H290" s="100"/>
      <c r="I290" s="82">
        <f>IF(E290="",0,VLOOKUP(E290,DMHH!$D$8:$H$507,IF(H290="",4,5),0))</f>
        <v>0</v>
      </c>
      <c r="J290" s="82">
        <f t="shared" si="10"/>
        <v>0</v>
      </c>
      <c r="K290" s="65">
        <f t="shared" si="9"/>
        <v>41883</v>
      </c>
    </row>
    <row r="291" spans="3:11" ht="20.100000000000001" customHeight="1">
      <c r="C291" s="101"/>
      <c r="D291" s="101"/>
      <c r="E291" s="105"/>
      <c r="F291" s="106"/>
      <c r="G291" s="99"/>
      <c r="H291" s="100"/>
      <c r="I291" s="82">
        <f>IF(E291="",0,VLOOKUP(E291,DMHH!$D$8:$H$507,IF(H291="",4,5),0))</f>
        <v>0</v>
      </c>
      <c r="J291" s="82">
        <f t="shared" si="10"/>
        <v>0</v>
      </c>
      <c r="K291" s="65">
        <f t="shared" si="9"/>
        <v>41883</v>
      </c>
    </row>
    <row r="292" spans="3:11" ht="20.100000000000001" customHeight="1">
      <c r="C292" s="101"/>
      <c r="D292" s="101"/>
      <c r="E292" s="105"/>
      <c r="F292" s="106"/>
      <c r="G292" s="99"/>
      <c r="H292" s="100"/>
      <c r="I292" s="82">
        <f>IF(E292="",0,VLOOKUP(E292,DMHH!$D$8:$H$507,IF(H292="",4,5),0))</f>
        <v>0</v>
      </c>
      <c r="J292" s="82">
        <f t="shared" si="10"/>
        <v>0</v>
      </c>
      <c r="K292" s="65">
        <f t="shared" si="9"/>
        <v>41883</v>
      </c>
    </row>
    <row r="293" spans="3:11" ht="20.100000000000001" customHeight="1">
      <c r="C293" s="101"/>
      <c r="D293" s="101"/>
      <c r="E293" s="105"/>
      <c r="F293" s="106"/>
      <c r="G293" s="99"/>
      <c r="H293" s="100"/>
      <c r="I293" s="82">
        <f>IF(E293="",0,VLOOKUP(E293,DMHH!$D$8:$H$507,IF(H293="",4,5),0))</f>
        <v>0</v>
      </c>
      <c r="J293" s="82">
        <f t="shared" si="10"/>
        <v>0</v>
      </c>
      <c r="K293" s="65">
        <f t="shared" si="9"/>
        <v>41883</v>
      </c>
    </row>
    <row r="294" spans="3:11" ht="20.100000000000001" customHeight="1">
      <c r="C294" s="101"/>
      <c r="D294" s="101"/>
      <c r="E294" s="105"/>
      <c r="F294" s="106"/>
      <c r="G294" s="99"/>
      <c r="H294" s="100"/>
      <c r="I294" s="82">
        <f>IF(E294="",0,VLOOKUP(E294,DMHH!$D$8:$H$507,IF(H294="",4,5),0))</f>
        <v>0</v>
      </c>
      <c r="J294" s="82">
        <f t="shared" si="10"/>
        <v>0</v>
      </c>
      <c r="K294" s="65">
        <f t="shared" si="9"/>
        <v>41883</v>
      </c>
    </row>
    <row r="295" spans="3:11" ht="20.100000000000001" customHeight="1">
      <c r="C295" s="101"/>
      <c r="D295" s="101"/>
      <c r="E295" s="105"/>
      <c r="F295" s="106"/>
      <c r="G295" s="99"/>
      <c r="H295" s="100"/>
      <c r="I295" s="82">
        <f>IF(E295="",0,VLOOKUP(E295,DMHH!$D$8:$H$507,IF(H295="",4,5),0))</f>
        <v>0</v>
      </c>
      <c r="J295" s="82">
        <f t="shared" si="10"/>
        <v>0</v>
      </c>
      <c r="K295" s="65">
        <f t="shared" si="9"/>
        <v>41883</v>
      </c>
    </row>
    <row r="296" spans="3:11" ht="20.100000000000001" customHeight="1">
      <c r="C296" s="101"/>
      <c r="D296" s="101"/>
      <c r="E296" s="105"/>
      <c r="F296" s="106"/>
      <c r="G296" s="99"/>
      <c r="H296" s="100"/>
      <c r="I296" s="82">
        <f>IF(E296="",0,VLOOKUP(E296,DMHH!$D$8:$H$507,IF(H296="",4,5),0))</f>
        <v>0</v>
      </c>
      <c r="J296" s="82">
        <f t="shared" si="10"/>
        <v>0</v>
      </c>
      <c r="K296" s="65">
        <f t="shared" si="9"/>
        <v>41883</v>
      </c>
    </row>
    <row r="297" spans="3:11" ht="20.100000000000001" customHeight="1">
      <c r="C297" s="101"/>
      <c r="D297" s="101"/>
      <c r="E297" s="105"/>
      <c r="F297" s="106"/>
      <c r="G297" s="99"/>
      <c r="H297" s="100"/>
      <c r="I297" s="82">
        <f>IF(E297="",0,VLOOKUP(E297,DMHH!$D$8:$H$507,IF(H297="",4,5),0))</f>
        <v>0</v>
      </c>
      <c r="J297" s="82">
        <f t="shared" si="10"/>
        <v>0</v>
      </c>
      <c r="K297" s="65">
        <f t="shared" si="9"/>
        <v>41883</v>
      </c>
    </row>
    <row r="298" spans="3:11" ht="20.100000000000001" customHeight="1">
      <c r="C298" s="101"/>
      <c r="D298" s="101"/>
      <c r="E298" s="105"/>
      <c r="F298" s="106"/>
      <c r="G298" s="99"/>
      <c r="H298" s="100"/>
      <c r="I298" s="82">
        <f>IF(E298="",0,VLOOKUP(E298,DMHH!$D$8:$H$507,IF(H298="",4,5),0))</f>
        <v>0</v>
      </c>
      <c r="J298" s="82">
        <f t="shared" si="10"/>
        <v>0</v>
      </c>
      <c r="K298" s="65">
        <f t="shared" si="9"/>
        <v>41883</v>
      </c>
    </row>
    <row r="299" spans="3:11" ht="20.100000000000001" customHeight="1">
      <c r="C299" s="101"/>
      <c r="D299" s="101"/>
      <c r="E299" s="105"/>
      <c r="F299" s="106"/>
      <c r="G299" s="99"/>
      <c r="H299" s="100"/>
      <c r="I299" s="82">
        <f>IF(E299="",0,VLOOKUP(E299,DMHH!$D$8:$H$507,IF(H299="",4,5),0))</f>
        <v>0</v>
      </c>
      <c r="J299" s="82">
        <f t="shared" si="10"/>
        <v>0</v>
      </c>
      <c r="K299" s="65">
        <f t="shared" si="9"/>
        <v>41883</v>
      </c>
    </row>
    <row r="300" spans="3:11" ht="20.100000000000001" customHeight="1">
      <c r="C300" s="101"/>
      <c r="D300" s="101"/>
      <c r="E300" s="105"/>
      <c r="F300" s="106"/>
      <c r="G300" s="99"/>
      <c r="H300" s="100"/>
      <c r="I300" s="82">
        <f>IF(E300="",0,VLOOKUP(E300,DMHH!$D$8:$H$507,IF(H300="",4,5),0))</f>
        <v>0</v>
      </c>
      <c r="J300" s="82">
        <f t="shared" si="10"/>
        <v>0</v>
      </c>
      <c r="K300" s="65">
        <f t="shared" si="9"/>
        <v>41883</v>
      </c>
    </row>
    <row r="301" spans="3:11" ht="20.100000000000001" customHeight="1">
      <c r="C301" s="101"/>
      <c r="D301" s="101"/>
      <c r="E301" s="105"/>
      <c r="F301" s="106"/>
      <c r="G301" s="99"/>
      <c r="H301" s="100"/>
      <c r="I301" s="82">
        <f>IF(E301="",0,VLOOKUP(E301,DMHH!$D$8:$H$507,IF(H301="",4,5),0))</f>
        <v>0</v>
      </c>
      <c r="J301" s="82">
        <f t="shared" si="10"/>
        <v>0</v>
      </c>
      <c r="K301" s="65">
        <f t="shared" si="9"/>
        <v>41883</v>
      </c>
    </row>
    <row r="302" spans="3:11" ht="20.100000000000001" customHeight="1">
      <c r="C302" s="101"/>
      <c r="D302" s="101"/>
      <c r="E302" s="105"/>
      <c r="F302" s="106"/>
      <c r="G302" s="99"/>
      <c r="H302" s="100"/>
      <c r="I302" s="82">
        <f>IF(E302="",0,VLOOKUP(E302,DMHH!$D$8:$H$507,IF(H302="",4,5),0))</f>
        <v>0</v>
      </c>
      <c r="J302" s="82">
        <f t="shared" si="10"/>
        <v>0</v>
      </c>
      <c r="K302" s="65">
        <f t="shared" si="9"/>
        <v>41883</v>
      </c>
    </row>
    <row r="303" spans="3:11" ht="20.100000000000001" customHeight="1">
      <c r="C303" s="101"/>
      <c r="D303" s="101"/>
      <c r="E303" s="105"/>
      <c r="F303" s="106"/>
      <c r="G303" s="99"/>
      <c r="H303" s="100"/>
      <c r="I303" s="82">
        <f>IF(E303="",0,VLOOKUP(E303,DMHH!$D$8:$H$507,IF(H303="",4,5),0))</f>
        <v>0</v>
      </c>
      <c r="J303" s="82">
        <f t="shared" si="10"/>
        <v>0</v>
      </c>
      <c r="K303" s="65">
        <f t="shared" si="9"/>
        <v>41883</v>
      </c>
    </row>
    <row r="304" spans="3:11" ht="20.100000000000001" customHeight="1">
      <c r="C304" s="101"/>
      <c r="D304" s="101"/>
      <c r="E304" s="105"/>
      <c r="F304" s="106"/>
      <c r="G304" s="99"/>
      <c r="H304" s="100"/>
      <c r="I304" s="82">
        <f>IF(E304="",0,VLOOKUP(E304,DMHH!$D$8:$H$507,IF(H304="",4,5),0))</f>
        <v>0</v>
      </c>
      <c r="J304" s="82">
        <f t="shared" si="10"/>
        <v>0</v>
      </c>
      <c r="K304" s="65">
        <f t="shared" si="9"/>
        <v>41883</v>
      </c>
    </row>
    <row r="305" spans="3:11" ht="20.100000000000001" customHeight="1">
      <c r="C305" s="101"/>
      <c r="D305" s="101"/>
      <c r="E305" s="105"/>
      <c r="F305" s="106"/>
      <c r="G305" s="99"/>
      <c r="H305" s="100"/>
      <c r="I305" s="82">
        <f>IF(E305="",0,VLOOKUP(E305,DMHH!$D$8:$H$507,IF(H305="",4,5),0))</f>
        <v>0</v>
      </c>
      <c r="J305" s="82">
        <f t="shared" si="10"/>
        <v>0</v>
      </c>
      <c r="K305" s="65">
        <f t="shared" si="9"/>
        <v>41883</v>
      </c>
    </row>
    <row r="306" spans="3:11" ht="20.100000000000001" customHeight="1">
      <c r="C306" s="101"/>
      <c r="D306" s="101"/>
      <c r="E306" s="105"/>
      <c r="F306" s="106"/>
      <c r="G306" s="99"/>
      <c r="H306" s="100"/>
      <c r="I306" s="82">
        <f>IF(E306="",0,VLOOKUP(E306,DMHH!$D$8:$H$507,IF(H306="",4,5),0))</f>
        <v>0</v>
      </c>
      <c r="J306" s="82">
        <f t="shared" si="10"/>
        <v>0</v>
      </c>
      <c r="K306" s="65">
        <f t="shared" si="9"/>
        <v>41883</v>
      </c>
    </row>
    <row r="307" spans="3:11" ht="20.100000000000001" customHeight="1">
      <c r="C307" s="101"/>
      <c r="D307" s="101"/>
      <c r="E307" s="105"/>
      <c r="F307" s="108"/>
      <c r="G307" s="99"/>
      <c r="H307" s="100"/>
      <c r="I307" s="82">
        <f>IF(E307="",0,VLOOKUP(E307,DMHH!$D$8:$H$507,IF(H307="",4,5),0))</f>
        <v>0</v>
      </c>
      <c r="J307" s="82">
        <f t="shared" si="10"/>
        <v>0</v>
      </c>
      <c r="K307" s="65">
        <f t="shared" si="9"/>
        <v>41883</v>
      </c>
    </row>
    <row r="308" spans="3:11" ht="20.100000000000001" customHeight="1">
      <c r="C308" s="101"/>
      <c r="D308" s="101"/>
      <c r="E308" s="105"/>
      <c r="F308" s="106"/>
      <c r="G308" s="99"/>
      <c r="H308" s="100"/>
      <c r="I308" s="82">
        <f>IF(E308="",0,VLOOKUP(E308,DMHH!$D$8:$H$507,IF(H308="",4,5),0))</f>
        <v>0</v>
      </c>
      <c r="J308" s="82">
        <f t="shared" si="10"/>
        <v>0</v>
      </c>
      <c r="K308" s="65">
        <f t="shared" si="9"/>
        <v>41883</v>
      </c>
    </row>
    <row r="309" spans="3:11" ht="20.100000000000001" customHeight="1">
      <c r="C309" s="101"/>
      <c r="D309" s="101"/>
      <c r="E309" s="105"/>
      <c r="F309" s="106"/>
      <c r="G309" s="99"/>
      <c r="H309" s="100"/>
      <c r="I309" s="82">
        <f>IF(E309="",0,VLOOKUP(E309,DMHH!$D$8:$H$507,IF(H309="",4,5),0))</f>
        <v>0</v>
      </c>
      <c r="J309" s="82">
        <f t="shared" si="10"/>
        <v>0</v>
      </c>
      <c r="K309" s="65">
        <f t="shared" si="9"/>
        <v>41883</v>
      </c>
    </row>
    <row r="310" spans="3:11" ht="20.100000000000001" customHeight="1">
      <c r="C310" s="101"/>
      <c r="D310" s="101"/>
      <c r="E310" s="105"/>
      <c r="F310" s="106"/>
      <c r="G310" s="99"/>
      <c r="H310" s="100"/>
      <c r="I310" s="82">
        <f>IF(E310="",0,VLOOKUP(E310,DMHH!$D$8:$H$507,IF(H310="",4,5),0))</f>
        <v>0</v>
      </c>
      <c r="J310" s="82">
        <f t="shared" si="10"/>
        <v>0</v>
      </c>
      <c r="K310" s="65">
        <f t="shared" si="9"/>
        <v>41883</v>
      </c>
    </row>
    <row r="311" spans="3:11" ht="20.100000000000001" customHeight="1">
      <c r="C311" s="101"/>
      <c r="D311" s="101"/>
      <c r="E311" s="105"/>
      <c r="F311" s="106"/>
      <c r="G311" s="99"/>
      <c r="H311" s="100"/>
      <c r="I311" s="82">
        <f>IF(E311="",0,VLOOKUP(E311,DMHH!$D$8:$H$507,IF(H311="",4,5),0))</f>
        <v>0</v>
      </c>
      <c r="J311" s="82">
        <f t="shared" si="10"/>
        <v>0</v>
      </c>
      <c r="K311" s="65">
        <f t="shared" si="9"/>
        <v>41883</v>
      </c>
    </row>
    <row r="312" spans="3:11" ht="20.100000000000001" customHeight="1">
      <c r="C312" s="101"/>
      <c r="D312" s="101"/>
      <c r="E312" s="105"/>
      <c r="F312" s="106"/>
      <c r="G312" s="99"/>
      <c r="H312" s="100"/>
      <c r="I312" s="82">
        <f>IF(E312="",0,VLOOKUP(E312,DMHH!$D$8:$H$507,IF(H312="",4,5),0))</f>
        <v>0</v>
      </c>
      <c r="J312" s="82">
        <f t="shared" si="10"/>
        <v>0</v>
      </c>
      <c r="K312" s="65">
        <f t="shared" si="9"/>
        <v>41883</v>
      </c>
    </row>
    <row r="313" spans="3:11" ht="20.100000000000001" customHeight="1">
      <c r="C313" s="101"/>
      <c r="D313" s="101"/>
      <c r="E313" s="105"/>
      <c r="F313" s="106"/>
      <c r="G313" s="99"/>
      <c r="H313" s="100"/>
      <c r="I313" s="82">
        <f>IF(E313="",0,VLOOKUP(E313,DMHH!$D$8:$H$507,IF(H313="",4,5),0))</f>
        <v>0</v>
      </c>
      <c r="J313" s="82">
        <f t="shared" si="10"/>
        <v>0</v>
      </c>
      <c r="K313" s="65">
        <f t="shared" si="9"/>
        <v>41883</v>
      </c>
    </row>
    <row r="314" spans="3:11" ht="20.100000000000001" customHeight="1">
      <c r="C314" s="101"/>
      <c r="D314" s="101"/>
      <c r="E314" s="105"/>
      <c r="F314" s="106"/>
      <c r="G314" s="99"/>
      <c r="H314" s="100"/>
      <c r="I314" s="82">
        <f>IF(E314="",0,VLOOKUP(E314,DMHH!$D$8:$H$507,IF(H314="",4,5),0))</f>
        <v>0</v>
      </c>
      <c r="J314" s="82">
        <f t="shared" si="10"/>
        <v>0</v>
      </c>
      <c r="K314" s="65">
        <f t="shared" si="9"/>
        <v>41883</v>
      </c>
    </row>
    <row r="315" spans="3:11" ht="20.100000000000001" customHeight="1">
      <c r="C315" s="101"/>
      <c r="D315" s="101"/>
      <c r="E315" s="105"/>
      <c r="F315" s="106"/>
      <c r="G315" s="99"/>
      <c r="H315" s="100"/>
      <c r="I315" s="82">
        <f>IF(E315="",0,VLOOKUP(E315,DMHH!$D$8:$H$507,IF(H315="",4,5),0))</f>
        <v>0</v>
      </c>
      <c r="J315" s="82">
        <f t="shared" si="10"/>
        <v>0</v>
      </c>
      <c r="K315" s="65">
        <f t="shared" si="9"/>
        <v>41883</v>
      </c>
    </row>
    <row r="316" spans="3:11" ht="20.100000000000001" customHeight="1">
      <c r="C316" s="101"/>
      <c r="D316" s="101"/>
      <c r="E316" s="105"/>
      <c r="F316" s="106"/>
      <c r="G316" s="99"/>
      <c r="H316" s="100"/>
      <c r="I316" s="82">
        <f>IF(E316="",0,VLOOKUP(E316,DMHH!$D$8:$H$507,IF(H316="",4,5),0))</f>
        <v>0</v>
      </c>
      <c r="J316" s="82">
        <f t="shared" si="10"/>
        <v>0</v>
      </c>
      <c r="K316" s="65">
        <f t="shared" si="9"/>
        <v>41883</v>
      </c>
    </row>
    <row r="317" spans="3:11" ht="20.100000000000001" customHeight="1">
      <c r="C317" s="101"/>
      <c r="D317" s="101"/>
      <c r="E317" s="105"/>
      <c r="F317" s="106"/>
      <c r="G317" s="99"/>
      <c r="H317" s="100"/>
      <c r="I317" s="82">
        <f>IF(E317="",0,VLOOKUP(E317,DMHH!$D$8:$H$507,IF(H317="",4,5),0))</f>
        <v>0</v>
      </c>
      <c r="J317" s="82">
        <f t="shared" si="10"/>
        <v>0</v>
      </c>
      <c r="K317" s="65">
        <f t="shared" si="9"/>
        <v>41883</v>
      </c>
    </row>
    <row r="318" spans="3:11" ht="20.100000000000001" customHeight="1">
      <c r="C318" s="101"/>
      <c r="D318" s="101"/>
      <c r="E318" s="105"/>
      <c r="F318" s="106"/>
      <c r="G318" s="99"/>
      <c r="H318" s="100"/>
      <c r="I318" s="82">
        <f>IF(E318="",0,VLOOKUP(E318,DMHH!$D$8:$H$507,IF(H318="",4,5),0))</f>
        <v>0</v>
      </c>
      <c r="J318" s="82">
        <f t="shared" si="10"/>
        <v>0</v>
      </c>
      <c r="K318" s="65">
        <f t="shared" si="9"/>
        <v>41883</v>
      </c>
    </row>
    <row r="319" spans="3:11" ht="20.100000000000001" customHeight="1">
      <c r="C319" s="101"/>
      <c r="D319" s="101"/>
      <c r="E319" s="105"/>
      <c r="F319" s="106"/>
      <c r="G319" s="99"/>
      <c r="H319" s="100"/>
      <c r="I319" s="82">
        <f>IF(E319="",0,VLOOKUP(E319,DMHH!$D$8:$H$507,IF(H319="",4,5),0))</f>
        <v>0</v>
      </c>
      <c r="J319" s="82">
        <f t="shared" si="10"/>
        <v>0</v>
      </c>
      <c r="K319" s="65">
        <f t="shared" si="9"/>
        <v>41883</v>
      </c>
    </row>
    <row r="320" spans="3:11" ht="20.100000000000001" customHeight="1">
      <c r="C320" s="101"/>
      <c r="D320" s="101"/>
      <c r="E320" s="105"/>
      <c r="F320" s="108"/>
      <c r="G320" s="99"/>
      <c r="H320" s="100"/>
      <c r="I320" s="82">
        <f>IF(E320="",0,VLOOKUP(E320,DMHH!$D$8:$H$507,IF(H320="",4,5),0))</f>
        <v>0</v>
      </c>
      <c r="J320" s="82">
        <f t="shared" si="10"/>
        <v>0</v>
      </c>
      <c r="K320" s="65">
        <f t="shared" si="9"/>
        <v>41883</v>
      </c>
    </row>
    <row r="321" spans="3:11" ht="20.100000000000001" customHeight="1">
      <c r="C321" s="101"/>
      <c r="D321" s="101"/>
      <c r="E321" s="105"/>
      <c r="F321" s="108"/>
      <c r="G321" s="99"/>
      <c r="H321" s="100"/>
      <c r="I321" s="82">
        <f>IF(E321="",0,VLOOKUP(E321,DMHH!$D$8:$H$507,IF(H321="",4,5),0))</f>
        <v>0</v>
      </c>
      <c r="J321" s="82">
        <f t="shared" si="10"/>
        <v>0</v>
      </c>
      <c r="K321" s="65">
        <f t="shared" si="9"/>
        <v>41883</v>
      </c>
    </row>
    <row r="322" spans="3:11" ht="20.100000000000001" customHeight="1">
      <c r="C322" s="101"/>
      <c r="D322" s="101"/>
      <c r="E322" s="105"/>
      <c r="F322" s="106"/>
      <c r="G322" s="99"/>
      <c r="H322" s="100"/>
      <c r="I322" s="82">
        <f>IF(E322="",0,VLOOKUP(E322,DMHH!$D$8:$H$507,IF(H322="",4,5),0))</f>
        <v>0</v>
      </c>
      <c r="J322" s="82">
        <f t="shared" si="10"/>
        <v>0</v>
      </c>
      <c r="K322" s="65">
        <f t="shared" si="9"/>
        <v>41883</v>
      </c>
    </row>
    <row r="323" spans="3:11" ht="20.100000000000001" customHeight="1">
      <c r="C323" s="101"/>
      <c r="D323" s="101"/>
      <c r="E323" s="105"/>
      <c r="F323" s="106"/>
      <c r="G323" s="99"/>
      <c r="H323" s="100"/>
      <c r="I323" s="82">
        <f>IF(E323="",0,VLOOKUP(E323,DMHH!$D$8:$H$507,IF(H323="",4,5),0))</f>
        <v>0</v>
      </c>
      <c r="J323" s="82">
        <f t="shared" si="10"/>
        <v>0</v>
      </c>
      <c r="K323" s="65">
        <f t="shared" si="9"/>
        <v>41883</v>
      </c>
    </row>
    <row r="324" spans="3:11" ht="20.100000000000001" customHeight="1">
      <c r="C324" s="101"/>
      <c r="D324" s="101"/>
      <c r="E324" s="105"/>
      <c r="F324" s="106"/>
      <c r="G324" s="99"/>
      <c r="H324" s="100"/>
      <c r="I324" s="82">
        <f>IF(E324="",0,VLOOKUP(E324,DMHH!$D$8:$H$507,IF(H324="",4,5),0))</f>
        <v>0</v>
      </c>
      <c r="J324" s="82">
        <f t="shared" si="10"/>
        <v>0</v>
      </c>
      <c r="K324" s="65">
        <f t="shared" si="9"/>
        <v>41883</v>
      </c>
    </row>
    <row r="325" spans="3:11" ht="20.100000000000001" customHeight="1">
      <c r="C325" s="101"/>
      <c r="D325" s="101"/>
      <c r="E325" s="105"/>
      <c r="F325" s="106"/>
      <c r="G325" s="99"/>
      <c r="H325" s="100"/>
      <c r="I325" s="82">
        <f>IF(E325="",0,VLOOKUP(E325,DMHH!$D$8:$H$507,IF(H325="",4,5),0))</f>
        <v>0</v>
      </c>
      <c r="J325" s="82">
        <f t="shared" si="10"/>
        <v>0</v>
      </c>
      <c r="K325" s="65">
        <f t="shared" si="9"/>
        <v>41883</v>
      </c>
    </row>
    <row r="326" spans="3:11" ht="20.100000000000001" customHeight="1">
      <c r="C326" s="101"/>
      <c r="D326" s="101"/>
      <c r="E326" s="105"/>
      <c r="F326" s="106"/>
      <c r="G326" s="99"/>
      <c r="H326" s="100"/>
      <c r="I326" s="82">
        <f>IF(E326="",0,VLOOKUP(E326,DMHH!$D$8:$H$507,IF(H326="",4,5),0))</f>
        <v>0</v>
      </c>
      <c r="J326" s="82">
        <f t="shared" si="10"/>
        <v>0</v>
      </c>
      <c r="K326" s="65">
        <f t="shared" si="9"/>
        <v>41883</v>
      </c>
    </row>
    <row r="327" spans="3:11" ht="20.100000000000001" customHeight="1">
      <c r="C327" s="101"/>
      <c r="D327" s="101"/>
      <c r="E327" s="105"/>
      <c r="F327" s="106"/>
      <c r="G327" s="99"/>
      <c r="H327" s="100"/>
      <c r="I327" s="82">
        <f>IF(E327="",0,VLOOKUP(E327,DMHH!$D$8:$H$507,IF(H327="",4,5),0))</f>
        <v>0</v>
      </c>
      <c r="J327" s="82">
        <f t="shared" si="10"/>
        <v>0</v>
      </c>
      <c r="K327" s="65">
        <f t="shared" si="9"/>
        <v>41883</v>
      </c>
    </row>
    <row r="328" spans="3:11" ht="20.100000000000001" customHeight="1">
      <c r="C328" s="101"/>
      <c r="D328" s="101"/>
      <c r="E328" s="105"/>
      <c r="F328" s="106"/>
      <c r="G328" s="99"/>
      <c r="H328" s="100"/>
      <c r="I328" s="82">
        <f>IF(E328="",0,VLOOKUP(E328,DMHH!$D$8:$H$507,IF(H328="",4,5),0))</f>
        <v>0</v>
      </c>
      <c r="J328" s="82">
        <f t="shared" si="10"/>
        <v>0</v>
      </c>
      <c r="K328" s="65">
        <f t="shared" si="9"/>
        <v>41883</v>
      </c>
    </row>
    <row r="329" spans="3:11" ht="20.100000000000001" customHeight="1">
      <c r="C329" s="101"/>
      <c r="D329" s="101"/>
      <c r="E329" s="105"/>
      <c r="F329" s="106"/>
      <c r="G329" s="99"/>
      <c r="H329" s="100"/>
      <c r="I329" s="82">
        <f>IF(E329="",0,VLOOKUP(E329,DMHH!$D$8:$H$507,IF(H329="",4,5),0))</f>
        <v>0</v>
      </c>
      <c r="J329" s="82">
        <f t="shared" si="10"/>
        <v>0</v>
      </c>
      <c r="K329" s="65">
        <f t="shared" si="9"/>
        <v>41883</v>
      </c>
    </row>
    <row r="330" spans="3:11" ht="20.100000000000001" customHeight="1">
      <c r="C330" s="101"/>
      <c r="D330" s="101"/>
      <c r="E330" s="105"/>
      <c r="F330" s="106"/>
      <c r="G330" s="99"/>
      <c r="H330" s="100"/>
      <c r="I330" s="82">
        <f>IF(E330="",0,VLOOKUP(E330,DMHH!$D$8:$H$507,IF(H330="",4,5),0))</f>
        <v>0</v>
      </c>
      <c r="J330" s="82">
        <f t="shared" si="10"/>
        <v>0</v>
      </c>
      <c r="K330" s="65">
        <f t="shared" si="9"/>
        <v>41883</v>
      </c>
    </row>
    <row r="331" spans="3:11" ht="20.100000000000001" customHeight="1">
      <c r="C331" s="101"/>
      <c r="D331" s="101"/>
      <c r="E331" s="105"/>
      <c r="F331" s="106"/>
      <c r="G331" s="99"/>
      <c r="H331" s="100"/>
      <c r="I331" s="82">
        <f>IF(E331="",0,VLOOKUP(E331,DMHH!$D$8:$H$507,IF(H331="",4,5),0))</f>
        <v>0</v>
      </c>
      <c r="J331" s="82">
        <f t="shared" si="10"/>
        <v>0</v>
      </c>
      <c r="K331" s="65">
        <f t="shared" ref="K331:K394" si="11">IF(C331="",K330,C331)</f>
        <v>41883</v>
      </c>
    </row>
    <row r="332" spans="3:11" ht="20.100000000000001" customHeight="1">
      <c r="C332" s="101"/>
      <c r="D332" s="101"/>
      <c r="E332" s="105"/>
      <c r="F332" s="106"/>
      <c r="G332" s="99"/>
      <c r="H332" s="100"/>
      <c r="I332" s="82">
        <f>IF(E332="",0,VLOOKUP(E332,DMHH!$D$8:$H$507,IF(H332="",4,5),0))</f>
        <v>0</v>
      </c>
      <c r="J332" s="82">
        <f t="shared" si="10"/>
        <v>0</v>
      </c>
      <c r="K332" s="65">
        <f t="shared" si="11"/>
        <v>41883</v>
      </c>
    </row>
    <row r="333" spans="3:11" ht="20.100000000000001" customHeight="1">
      <c r="C333" s="101"/>
      <c r="D333" s="101"/>
      <c r="E333" s="105"/>
      <c r="F333" s="106"/>
      <c r="G333" s="99"/>
      <c r="H333" s="100"/>
      <c r="I333" s="82">
        <f>IF(E333="",0,VLOOKUP(E333,DMHH!$D$8:$H$507,IF(H333="",4,5),0))</f>
        <v>0</v>
      </c>
      <c r="J333" s="82">
        <f t="shared" ref="J333:J396" si="12">F333*I333+H333*I333</f>
        <v>0</v>
      </c>
      <c r="K333" s="65">
        <f t="shared" si="11"/>
        <v>41883</v>
      </c>
    </row>
    <row r="334" spans="3:11" ht="20.100000000000001" customHeight="1">
      <c r="C334" s="101"/>
      <c r="D334" s="101"/>
      <c r="E334" s="105"/>
      <c r="F334" s="106"/>
      <c r="G334" s="99"/>
      <c r="H334" s="100"/>
      <c r="I334" s="82">
        <f>IF(E334="",0,VLOOKUP(E334,DMHH!$D$8:$H$507,IF(H334="",4,5),0))</f>
        <v>0</v>
      </c>
      <c r="J334" s="82">
        <f t="shared" si="12"/>
        <v>0</v>
      </c>
      <c r="K334" s="65">
        <f t="shared" si="11"/>
        <v>41883</v>
      </c>
    </row>
    <row r="335" spans="3:11" ht="20.100000000000001" customHeight="1">
      <c r="C335" s="101"/>
      <c r="D335" s="101"/>
      <c r="E335" s="105"/>
      <c r="F335" s="106"/>
      <c r="G335" s="99"/>
      <c r="H335" s="100"/>
      <c r="I335" s="82">
        <f>IF(E335="",0,VLOOKUP(E335,DMHH!$D$8:$H$507,IF(H335="",4,5),0))</f>
        <v>0</v>
      </c>
      <c r="J335" s="82">
        <f t="shared" si="12"/>
        <v>0</v>
      </c>
      <c r="K335" s="65">
        <f t="shared" si="11"/>
        <v>41883</v>
      </c>
    </row>
    <row r="336" spans="3:11" ht="20.100000000000001" customHeight="1">
      <c r="C336" s="101"/>
      <c r="D336" s="101"/>
      <c r="E336" s="105"/>
      <c r="F336" s="106"/>
      <c r="G336" s="99"/>
      <c r="H336" s="100"/>
      <c r="I336" s="82">
        <f>IF(E336="",0,VLOOKUP(E336,DMHH!$D$8:$H$507,IF(H336="",4,5),0))</f>
        <v>0</v>
      </c>
      <c r="J336" s="82">
        <f t="shared" si="12"/>
        <v>0</v>
      </c>
      <c r="K336" s="65">
        <f t="shared" si="11"/>
        <v>41883</v>
      </c>
    </row>
    <row r="337" spans="3:11" ht="20.100000000000001" customHeight="1">
      <c r="C337" s="101"/>
      <c r="D337" s="101"/>
      <c r="E337" s="105"/>
      <c r="F337" s="106"/>
      <c r="G337" s="99"/>
      <c r="H337" s="100"/>
      <c r="I337" s="82">
        <f>IF(E337="",0,VLOOKUP(E337,DMHH!$D$8:$H$507,IF(H337="",4,5),0))</f>
        <v>0</v>
      </c>
      <c r="J337" s="82">
        <f t="shared" si="12"/>
        <v>0</v>
      </c>
      <c r="K337" s="65">
        <f t="shared" si="11"/>
        <v>41883</v>
      </c>
    </row>
    <row r="338" spans="3:11" ht="20.100000000000001" customHeight="1">
      <c r="C338" s="101"/>
      <c r="D338" s="101"/>
      <c r="E338" s="105"/>
      <c r="F338" s="106"/>
      <c r="G338" s="99"/>
      <c r="H338" s="100"/>
      <c r="I338" s="82">
        <f>IF(E338="",0,VLOOKUP(E338,DMHH!$D$8:$H$507,IF(H338="",4,5),0))</f>
        <v>0</v>
      </c>
      <c r="J338" s="82">
        <f t="shared" si="12"/>
        <v>0</v>
      </c>
      <c r="K338" s="65">
        <f t="shared" si="11"/>
        <v>41883</v>
      </c>
    </row>
    <row r="339" spans="3:11" ht="20.100000000000001" customHeight="1">
      <c r="C339" s="101"/>
      <c r="D339" s="101"/>
      <c r="E339" s="105"/>
      <c r="F339" s="106"/>
      <c r="G339" s="99"/>
      <c r="H339" s="100"/>
      <c r="I339" s="82">
        <f>IF(E339="",0,VLOOKUP(E339,DMHH!$D$8:$H$507,IF(H339="",4,5),0))</f>
        <v>0</v>
      </c>
      <c r="J339" s="82">
        <f t="shared" si="12"/>
        <v>0</v>
      </c>
      <c r="K339" s="65">
        <f t="shared" si="11"/>
        <v>41883</v>
      </c>
    </row>
    <row r="340" spans="3:11" ht="20.100000000000001" customHeight="1">
      <c r="C340" s="101"/>
      <c r="D340" s="101"/>
      <c r="E340" s="105"/>
      <c r="F340" s="106"/>
      <c r="G340" s="99"/>
      <c r="H340" s="100"/>
      <c r="I340" s="82">
        <f>IF(E340="",0,VLOOKUP(E340,DMHH!$D$8:$H$507,IF(H340="",4,5),0))</f>
        <v>0</v>
      </c>
      <c r="J340" s="82">
        <f t="shared" si="12"/>
        <v>0</v>
      </c>
      <c r="K340" s="65">
        <f t="shared" si="11"/>
        <v>41883</v>
      </c>
    </row>
    <row r="341" spans="3:11" ht="20.100000000000001" customHeight="1">
      <c r="C341" s="101"/>
      <c r="D341" s="101"/>
      <c r="E341" s="105"/>
      <c r="F341" s="106"/>
      <c r="G341" s="99"/>
      <c r="H341" s="100"/>
      <c r="I341" s="82">
        <f>IF(E341="",0,VLOOKUP(E341,DMHH!$D$8:$H$507,IF(H341="",4,5),0))</f>
        <v>0</v>
      </c>
      <c r="J341" s="82">
        <f t="shared" si="12"/>
        <v>0</v>
      </c>
      <c r="K341" s="65">
        <f t="shared" si="11"/>
        <v>41883</v>
      </c>
    </row>
    <row r="342" spans="3:11" ht="20.100000000000001" customHeight="1">
      <c r="C342" s="101"/>
      <c r="D342" s="101"/>
      <c r="E342" s="105"/>
      <c r="F342" s="106"/>
      <c r="G342" s="99"/>
      <c r="H342" s="100"/>
      <c r="I342" s="82">
        <f>IF(E342="",0,VLOOKUP(E342,DMHH!$D$8:$H$507,IF(H342="",4,5),0))</f>
        <v>0</v>
      </c>
      <c r="J342" s="82">
        <f t="shared" si="12"/>
        <v>0</v>
      </c>
      <c r="K342" s="65">
        <f t="shared" si="11"/>
        <v>41883</v>
      </c>
    </row>
    <row r="343" spans="3:11" ht="20.100000000000001" customHeight="1">
      <c r="C343" s="101"/>
      <c r="D343" s="101"/>
      <c r="E343" s="105"/>
      <c r="F343" s="106"/>
      <c r="G343" s="99"/>
      <c r="H343" s="100"/>
      <c r="I343" s="82">
        <f>IF(E343="",0,VLOOKUP(E343,DMHH!$D$8:$H$507,IF(H343="",4,5),0))</f>
        <v>0</v>
      </c>
      <c r="J343" s="82">
        <f t="shared" si="12"/>
        <v>0</v>
      </c>
      <c r="K343" s="65">
        <f t="shared" si="11"/>
        <v>41883</v>
      </c>
    </row>
    <row r="344" spans="3:11" ht="20.100000000000001" customHeight="1">
      <c r="C344" s="101"/>
      <c r="D344" s="101"/>
      <c r="E344" s="105"/>
      <c r="F344" s="106"/>
      <c r="G344" s="99"/>
      <c r="H344" s="100"/>
      <c r="I344" s="82">
        <f>IF(E344="",0,VLOOKUP(E344,DMHH!$D$8:$H$507,IF(H344="",4,5),0))</f>
        <v>0</v>
      </c>
      <c r="J344" s="82">
        <f t="shared" si="12"/>
        <v>0</v>
      </c>
      <c r="K344" s="65">
        <f t="shared" si="11"/>
        <v>41883</v>
      </c>
    </row>
    <row r="345" spans="3:11" ht="20.100000000000001" customHeight="1">
      <c r="C345" s="101"/>
      <c r="D345" s="101"/>
      <c r="E345" s="105"/>
      <c r="F345" s="106"/>
      <c r="G345" s="99"/>
      <c r="H345" s="100"/>
      <c r="I345" s="82">
        <f>IF(E345="",0,VLOOKUP(E345,DMHH!$D$8:$H$507,IF(H345="",4,5),0))</f>
        <v>0</v>
      </c>
      <c r="J345" s="82">
        <f t="shared" si="12"/>
        <v>0</v>
      </c>
      <c r="K345" s="65">
        <f t="shared" si="11"/>
        <v>41883</v>
      </c>
    </row>
    <row r="346" spans="3:11" ht="20.100000000000001" customHeight="1">
      <c r="C346" s="101"/>
      <c r="D346" s="101"/>
      <c r="E346" s="105"/>
      <c r="F346" s="106"/>
      <c r="G346" s="99"/>
      <c r="H346" s="100"/>
      <c r="I346" s="82">
        <f>IF(E346="",0,VLOOKUP(E346,DMHH!$D$8:$H$507,IF(H346="",4,5),0))</f>
        <v>0</v>
      </c>
      <c r="J346" s="82">
        <f t="shared" si="12"/>
        <v>0</v>
      </c>
      <c r="K346" s="65">
        <f t="shared" si="11"/>
        <v>41883</v>
      </c>
    </row>
    <row r="347" spans="3:11" ht="20.100000000000001" customHeight="1">
      <c r="C347" s="101"/>
      <c r="D347" s="101"/>
      <c r="E347" s="105"/>
      <c r="F347" s="106"/>
      <c r="G347" s="99"/>
      <c r="H347" s="100"/>
      <c r="I347" s="82">
        <f>IF(E347="",0,VLOOKUP(E347,DMHH!$D$8:$H$507,IF(H347="",4,5),0))</f>
        <v>0</v>
      </c>
      <c r="J347" s="82">
        <f t="shared" si="12"/>
        <v>0</v>
      </c>
      <c r="K347" s="65">
        <f t="shared" si="11"/>
        <v>41883</v>
      </c>
    </row>
    <row r="348" spans="3:11" ht="20.100000000000001" customHeight="1">
      <c r="C348" s="101"/>
      <c r="D348" s="101"/>
      <c r="E348" s="105"/>
      <c r="F348" s="106"/>
      <c r="G348" s="99"/>
      <c r="H348" s="100"/>
      <c r="I348" s="82">
        <f>IF(E348="",0,VLOOKUP(E348,DMHH!$D$8:$H$507,IF(H348="",4,5),0))</f>
        <v>0</v>
      </c>
      <c r="J348" s="82">
        <f t="shared" si="12"/>
        <v>0</v>
      </c>
      <c r="K348" s="65">
        <f t="shared" si="11"/>
        <v>41883</v>
      </c>
    </row>
    <row r="349" spans="3:11" ht="20.100000000000001" customHeight="1">
      <c r="C349" s="101"/>
      <c r="D349" s="101"/>
      <c r="E349" s="105"/>
      <c r="F349" s="106"/>
      <c r="G349" s="99"/>
      <c r="H349" s="100"/>
      <c r="I349" s="82">
        <f>IF(E349="",0,VLOOKUP(E349,DMHH!$D$8:$H$507,IF(H349="",4,5),0))</f>
        <v>0</v>
      </c>
      <c r="J349" s="82">
        <f t="shared" si="12"/>
        <v>0</v>
      </c>
      <c r="K349" s="65">
        <f t="shared" si="11"/>
        <v>41883</v>
      </c>
    </row>
    <row r="350" spans="3:11" ht="20.100000000000001" customHeight="1">
      <c r="C350" s="101"/>
      <c r="D350" s="101"/>
      <c r="E350" s="105"/>
      <c r="F350" s="106"/>
      <c r="G350" s="99"/>
      <c r="H350" s="100"/>
      <c r="I350" s="82">
        <f>IF(E350="",0,VLOOKUP(E350,DMHH!$D$8:$H$507,IF(H350="",4,5),0))</f>
        <v>0</v>
      </c>
      <c r="J350" s="82">
        <f t="shared" si="12"/>
        <v>0</v>
      </c>
      <c r="K350" s="65">
        <f t="shared" si="11"/>
        <v>41883</v>
      </c>
    </row>
    <row r="351" spans="3:11" ht="20.100000000000001" customHeight="1">
      <c r="C351" s="101"/>
      <c r="D351" s="101"/>
      <c r="E351" s="105"/>
      <c r="F351" s="106"/>
      <c r="G351" s="99"/>
      <c r="H351" s="100"/>
      <c r="I351" s="82">
        <f>IF(E351="",0,VLOOKUP(E351,DMHH!$D$8:$H$507,IF(H351="",4,5),0))</f>
        <v>0</v>
      </c>
      <c r="J351" s="82">
        <f t="shared" si="12"/>
        <v>0</v>
      </c>
      <c r="K351" s="65">
        <f t="shared" si="11"/>
        <v>41883</v>
      </c>
    </row>
    <row r="352" spans="3:11" ht="20.100000000000001" customHeight="1">
      <c r="C352" s="101"/>
      <c r="D352" s="101"/>
      <c r="E352" s="105"/>
      <c r="F352" s="106"/>
      <c r="G352" s="99"/>
      <c r="H352" s="100"/>
      <c r="I352" s="82">
        <f>IF(E352="",0,VLOOKUP(E352,DMHH!$D$8:$H$507,IF(H352="",4,5),0))</f>
        <v>0</v>
      </c>
      <c r="J352" s="82">
        <f t="shared" si="12"/>
        <v>0</v>
      </c>
      <c r="K352" s="65">
        <f t="shared" si="11"/>
        <v>41883</v>
      </c>
    </row>
    <row r="353" spans="3:11" ht="20.100000000000001" customHeight="1">
      <c r="C353" s="101"/>
      <c r="D353" s="101"/>
      <c r="E353" s="105"/>
      <c r="F353" s="106"/>
      <c r="G353" s="99"/>
      <c r="H353" s="100"/>
      <c r="I353" s="82">
        <f>IF(E353="",0,VLOOKUP(E353,DMHH!$D$8:$H$507,IF(H353="",4,5),0))</f>
        <v>0</v>
      </c>
      <c r="J353" s="82">
        <f t="shared" si="12"/>
        <v>0</v>
      </c>
      <c r="K353" s="65">
        <f t="shared" si="11"/>
        <v>41883</v>
      </c>
    </row>
    <row r="354" spans="3:11" ht="20.100000000000001" customHeight="1">
      <c r="C354" s="101"/>
      <c r="D354" s="101"/>
      <c r="E354" s="105"/>
      <c r="F354" s="106"/>
      <c r="G354" s="99"/>
      <c r="H354" s="100"/>
      <c r="I354" s="82">
        <f>IF(E354="",0,VLOOKUP(E354,DMHH!$D$8:$H$507,IF(H354="",4,5),0))</f>
        <v>0</v>
      </c>
      <c r="J354" s="82">
        <f t="shared" si="12"/>
        <v>0</v>
      </c>
      <c r="K354" s="65">
        <f t="shared" si="11"/>
        <v>41883</v>
      </c>
    </row>
    <row r="355" spans="3:11" ht="20.100000000000001" customHeight="1">
      <c r="C355" s="101"/>
      <c r="D355" s="101"/>
      <c r="E355" s="105"/>
      <c r="F355" s="106"/>
      <c r="G355" s="99"/>
      <c r="H355" s="100"/>
      <c r="I355" s="82">
        <f>IF(E355="",0,VLOOKUP(E355,DMHH!$D$8:$H$507,IF(H355="",4,5),0))</f>
        <v>0</v>
      </c>
      <c r="J355" s="82">
        <f t="shared" si="12"/>
        <v>0</v>
      </c>
      <c r="K355" s="65">
        <f t="shared" si="11"/>
        <v>41883</v>
      </c>
    </row>
    <row r="356" spans="3:11" ht="20.100000000000001" customHeight="1">
      <c r="C356" s="101"/>
      <c r="D356" s="101"/>
      <c r="E356" s="105"/>
      <c r="F356" s="106"/>
      <c r="G356" s="99"/>
      <c r="H356" s="100"/>
      <c r="I356" s="82">
        <f>IF(E356="",0,VLOOKUP(E356,DMHH!$D$8:$H$507,IF(H356="",4,5),0))</f>
        <v>0</v>
      </c>
      <c r="J356" s="82">
        <f t="shared" si="12"/>
        <v>0</v>
      </c>
      <c r="K356" s="65">
        <f t="shared" si="11"/>
        <v>41883</v>
      </c>
    </row>
    <row r="357" spans="3:11" ht="20.100000000000001" customHeight="1">
      <c r="C357" s="101"/>
      <c r="D357" s="101"/>
      <c r="E357" s="105"/>
      <c r="F357" s="106"/>
      <c r="G357" s="99"/>
      <c r="H357" s="100"/>
      <c r="I357" s="82">
        <f>IF(E357="",0,VLOOKUP(E357,DMHH!$D$8:$H$507,IF(H357="",4,5),0))</f>
        <v>0</v>
      </c>
      <c r="J357" s="82">
        <f t="shared" si="12"/>
        <v>0</v>
      </c>
      <c r="K357" s="65">
        <f t="shared" si="11"/>
        <v>41883</v>
      </c>
    </row>
    <row r="358" spans="3:11" ht="20.100000000000001" customHeight="1">
      <c r="C358" s="101"/>
      <c r="D358" s="101"/>
      <c r="E358" s="105"/>
      <c r="F358" s="106"/>
      <c r="G358" s="99"/>
      <c r="H358" s="100"/>
      <c r="I358" s="82">
        <f>IF(E358="",0,VLOOKUP(E358,DMHH!$D$8:$H$507,IF(H358="",4,5),0))</f>
        <v>0</v>
      </c>
      <c r="J358" s="82">
        <f t="shared" si="12"/>
        <v>0</v>
      </c>
      <c r="K358" s="65">
        <f t="shared" si="11"/>
        <v>41883</v>
      </c>
    </row>
    <row r="359" spans="3:11" ht="20.100000000000001" customHeight="1">
      <c r="C359" s="101"/>
      <c r="D359" s="101"/>
      <c r="E359" s="105"/>
      <c r="F359" s="106"/>
      <c r="G359" s="99"/>
      <c r="H359" s="100"/>
      <c r="I359" s="82">
        <f>IF(E359="",0,VLOOKUP(E359,DMHH!$D$8:$H$507,IF(H359="",4,5),0))</f>
        <v>0</v>
      </c>
      <c r="J359" s="82">
        <f t="shared" si="12"/>
        <v>0</v>
      </c>
      <c r="K359" s="65">
        <f t="shared" si="11"/>
        <v>41883</v>
      </c>
    </row>
    <row r="360" spans="3:11" ht="20.100000000000001" customHeight="1">
      <c r="C360" s="101"/>
      <c r="D360" s="101"/>
      <c r="E360" s="105"/>
      <c r="F360" s="106"/>
      <c r="G360" s="99"/>
      <c r="H360" s="100"/>
      <c r="I360" s="82">
        <f>IF(E360="",0,VLOOKUP(E360,DMHH!$D$8:$H$507,IF(H360="",4,5),0))</f>
        <v>0</v>
      </c>
      <c r="J360" s="82">
        <f t="shared" si="12"/>
        <v>0</v>
      </c>
      <c r="K360" s="65">
        <f t="shared" si="11"/>
        <v>41883</v>
      </c>
    </row>
    <row r="361" spans="3:11" ht="20.100000000000001" customHeight="1">
      <c r="C361" s="101"/>
      <c r="D361" s="101"/>
      <c r="E361" s="105"/>
      <c r="F361" s="106"/>
      <c r="G361" s="99"/>
      <c r="H361" s="100"/>
      <c r="I361" s="82">
        <f>IF(E361="",0,VLOOKUP(E361,DMHH!$D$8:$H$507,IF(H361="",4,5),0))</f>
        <v>0</v>
      </c>
      <c r="J361" s="82">
        <f t="shared" si="12"/>
        <v>0</v>
      </c>
      <c r="K361" s="65">
        <f t="shared" si="11"/>
        <v>41883</v>
      </c>
    </row>
    <row r="362" spans="3:11" ht="20.100000000000001" customHeight="1">
      <c r="C362" s="101"/>
      <c r="D362" s="101"/>
      <c r="E362" s="105"/>
      <c r="F362" s="106"/>
      <c r="G362" s="99"/>
      <c r="H362" s="100"/>
      <c r="I362" s="82">
        <f>IF(E362="",0,VLOOKUP(E362,DMHH!$D$8:$H$507,IF(H362="",4,5),0))</f>
        <v>0</v>
      </c>
      <c r="J362" s="82">
        <f t="shared" si="12"/>
        <v>0</v>
      </c>
      <c r="K362" s="65">
        <f t="shared" si="11"/>
        <v>41883</v>
      </c>
    </row>
    <row r="363" spans="3:11" ht="20.100000000000001" customHeight="1">
      <c r="C363" s="101"/>
      <c r="D363" s="101"/>
      <c r="E363" s="105"/>
      <c r="F363" s="106"/>
      <c r="G363" s="99"/>
      <c r="H363" s="100"/>
      <c r="I363" s="82">
        <f>IF(E363="",0,VLOOKUP(E363,DMHH!$D$8:$H$507,IF(H363="",4,5),0))</f>
        <v>0</v>
      </c>
      <c r="J363" s="82">
        <f t="shared" si="12"/>
        <v>0</v>
      </c>
      <c r="K363" s="65">
        <f t="shared" si="11"/>
        <v>41883</v>
      </c>
    </row>
    <row r="364" spans="3:11" ht="20.100000000000001" customHeight="1">
      <c r="C364" s="101"/>
      <c r="D364" s="101"/>
      <c r="E364" s="105"/>
      <c r="F364" s="106"/>
      <c r="G364" s="99"/>
      <c r="H364" s="100"/>
      <c r="I364" s="82">
        <f>IF(E364="",0,VLOOKUP(E364,DMHH!$D$8:$H$507,IF(H364="",4,5),0))</f>
        <v>0</v>
      </c>
      <c r="J364" s="82">
        <f t="shared" si="12"/>
        <v>0</v>
      </c>
      <c r="K364" s="65">
        <f t="shared" si="11"/>
        <v>41883</v>
      </c>
    </row>
    <row r="365" spans="3:11" ht="20.100000000000001" customHeight="1">
      <c r="C365" s="101"/>
      <c r="D365" s="101"/>
      <c r="E365" s="105"/>
      <c r="F365" s="106"/>
      <c r="G365" s="99"/>
      <c r="H365" s="100"/>
      <c r="I365" s="82">
        <f>IF(E365="",0,VLOOKUP(E365,DMHH!$D$8:$H$507,IF(H365="",4,5),0))</f>
        <v>0</v>
      </c>
      <c r="J365" s="82">
        <f t="shared" si="12"/>
        <v>0</v>
      </c>
      <c r="K365" s="65">
        <f t="shared" si="11"/>
        <v>41883</v>
      </c>
    </row>
    <row r="366" spans="3:11" ht="20.100000000000001" customHeight="1">
      <c r="C366" s="101"/>
      <c r="D366" s="101"/>
      <c r="E366" s="105"/>
      <c r="F366" s="106"/>
      <c r="G366" s="99"/>
      <c r="H366" s="100"/>
      <c r="I366" s="82">
        <f>IF(E366="",0,VLOOKUP(E366,DMHH!$D$8:$H$507,IF(H366="",4,5),0))</f>
        <v>0</v>
      </c>
      <c r="J366" s="82">
        <f t="shared" si="12"/>
        <v>0</v>
      </c>
      <c r="K366" s="65">
        <f t="shared" si="11"/>
        <v>41883</v>
      </c>
    </row>
    <row r="367" spans="3:11" ht="20.100000000000001" customHeight="1">
      <c r="C367" s="101"/>
      <c r="D367" s="101"/>
      <c r="E367" s="105"/>
      <c r="F367" s="106"/>
      <c r="G367" s="99"/>
      <c r="H367" s="100"/>
      <c r="I367" s="82">
        <f>IF(E367="",0,VLOOKUP(E367,DMHH!$D$8:$H$507,IF(H367="",4,5),0))</f>
        <v>0</v>
      </c>
      <c r="J367" s="82">
        <f t="shared" si="12"/>
        <v>0</v>
      </c>
      <c r="K367" s="65">
        <f t="shared" si="11"/>
        <v>41883</v>
      </c>
    </row>
    <row r="368" spans="3:11" ht="20.100000000000001" customHeight="1">
      <c r="C368" s="101"/>
      <c r="D368" s="101"/>
      <c r="E368" s="105"/>
      <c r="F368" s="106"/>
      <c r="G368" s="99"/>
      <c r="H368" s="100"/>
      <c r="I368" s="82">
        <f>IF(E368="",0,VLOOKUP(E368,DMHH!$D$8:$H$507,IF(H368="",4,5),0))</f>
        <v>0</v>
      </c>
      <c r="J368" s="82">
        <f t="shared" si="12"/>
        <v>0</v>
      </c>
      <c r="K368" s="65">
        <f t="shared" si="11"/>
        <v>41883</v>
      </c>
    </row>
    <row r="369" spans="3:11" ht="20.100000000000001" customHeight="1">
      <c r="C369" s="101"/>
      <c r="D369" s="101"/>
      <c r="E369" s="105"/>
      <c r="F369" s="106"/>
      <c r="G369" s="99"/>
      <c r="H369" s="100"/>
      <c r="I369" s="82">
        <f>IF(E369="",0,VLOOKUP(E369,DMHH!$D$8:$H$507,IF(H369="",4,5),0))</f>
        <v>0</v>
      </c>
      <c r="J369" s="82">
        <f t="shared" si="12"/>
        <v>0</v>
      </c>
      <c r="K369" s="65">
        <f t="shared" si="11"/>
        <v>41883</v>
      </c>
    </row>
    <row r="370" spans="3:11" ht="20.100000000000001" customHeight="1">
      <c r="C370" s="101"/>
      <c r="D370" s="101"/>
      <c r="E370" s="105"/>
      <c r="F370" s="106"/>
      <c r="G370" s="99"/>
      <c r="H370" s="100"/>
      <c r="I370" s="82">
        <f>IF(E370="",0,VLOOKUP(E370,DMHH!$D$8:$H$507,IF(H370="",4,5),0))</f>
        <v>0</v>
      </c>
      <c r="J370" s="82">
        <f t="shared" si="12"/>
        <v>0</v>
      </c>
      <c r="K370" s="65">
        <f t="shared" si="11"/>
        <v>41883</v>
      </c>
    </row>
    <row r="371" spans="3:11" ht="20.100000000000001" customHeight="1">
      <c r="C371" s="101"/>
      <c r="D371" s="101"/>
      <c r="E371" s="105"/>
      <c r="F371" s="106"/>
      <c r="G371" s="99"/>
      <c r="H371" s="100"/>
      <c r="I371" s="82">
        <f>IF(E371="",0,VLOOKUP(E371,DMHH!$D$8:$H$507,IF(H371="",4,5),0))</f>
        <v>0</v>
      </c>
      <c r="J371" s="82">
        <f t="shared" si="12"/>
        <v>0</v>
      </c>
      <c r="K371" s="65">
        <f t="shared" si="11"/>
        <v>41883</v>
      </c>
    </row>
    <row r="372" spans="3:11" ht="20.100000000000001" customHeight="1">
      <c r="C372" s="101"/>
      <c r="D372" s="101"/>
      <c r="E372" s="105"/>
      <c r="F372" s="106"/>
      <c r="G372" s="99"/>
      <c r="H372" s="100"/>
      <c r="I372" s="82">
        <f>IF(E372="",0,VLOOKUP(E372,DMHH!$D$8:$H$507,IF(H372="",4,5),0))</f>
        <v>0</v>
      </c>
      <c r="J372" s="82">
        <f t="shared" si="12"/>
        <v>0</v>
      </c>
      <c r="K372" s="65">
        <f t="shared" si="11"/>
        <v>41883</v>
      </c>
    </row>
    <row r="373" spans="3:11" ht="20.100000000000001" customHeight="1">
      <c r="C373" s="101"/>
      <c r="D373" s="101"/>
      <c r="E373" s="105"/>
      <c r="F373" s="106"/>
      <c r="G373" s="99"/>
      <c r="H373" s="100"/>
      <c r="I373" s="82">
        <f>IF(E373="",0,VLOOKUP(E373,DMHH!$D$8:$H$507,IF(H373="",4,5),0))</f>
        <v>0</v>
      </c>
      <c r="J373" s="82">
        <f t="shared" si="12"/>
        <v>0</v>
      </c>
      <c r="K373" s="65">
        <f t="shared" si="11"/>
        <v>41883</v>
      </c>
    </row>
    <row r="374" spans="3:11" ht="20.100000000000001" customHeight="1">
      <c r="C374" s="101"/>
      <c r="D374" s="101"/>
      <c r="E374" s="105"/>
      <c r="F374" s="106"/>
      <c r="G374" s="99"/>
      <c r="H374" s="100"/>
      <c r="I374" s="82">
        <f>IF(E374="",0,VLOOKUP(E374,DMHH!$D$8:$H$507,IF(H374="",4,5),0))</f>
        <v>0</v>
      </c>
      <c r="J374" s="82">
        <f t="shared" si="12"/>
        <v>0</v>
      </c>
      <c r="K374" s="65">
        <f t="shared" si="11"/>
        <v>41883</v>
      </c>
    </row>
    <row r="375" spans="3:11" ht="20.100000000000001" customHeight="1">
      <c r="C375" s="101"/>
      <c r="D375" s="101"/>
      <c r="E375" s="105"/>
      <c r="F375" s="106"/>
      <c r="G375" s="99"/>
      <c r="H375" s="100"/>
      <c r="I375" s="82">
        <f>IF(E375="",0,VLOOKUP(E375,DMHH!$D$8:$H$507,IF(H375="",4,5),0))</f>
        <v>0</v>
      </c>
      <c r="J375" s="82">
        <f t="shared" si="12"/>
        <v>0</v>
      </c>
      <c r="K375" s="65">
        <f t="shared" si="11"/>
        <v>41883</v>
      </c>
    </row>
    <row r="376" spans="3:11" ht="20.100000000000001" customHeight="1">
      <c r="C376" s="101"/>
      <c r="D376" s="101"/>
      <c r="E376" s="105"/>
      <c r="F376" s="106"/>
      <c r="G376" s="99"/>
      <c r="H376" s="100"/>
      <c r="I376" s="82">
        <f>IF(E376="",0,VLOOKUP(E376,DMHH!$D$8:$H$507,IF(H376="",4,5),0))</f>
        <v>0</v>
      </c>
      <c r="J376" s="82">
        <f t="shared" si="12"/>
        <v>0</v>
      </c>
      <c r="K376" s="65">
        <f t="shared" si="11"/>
        <v>41883</v>
      </c>
    </row>
    <row r="377" spans="3:11" ht="20.100000000000001" customHeight="1">
      <c r="C377" s="101"/>
      <c r="D377" s="101"/>
      <c r="E377" s="105"/>
      <c r="F377" s="106"/>
      <c r="G377" s="99"/>
      <c r="H377" s="100"/>
      <c r="I377" s="82">
        <f>IF(E377="",0,VLOOKUP(E377,DMHH!$D$8:$H$507,IF(H377="",4,5),0))</f>
        <v>0</v>
      </c>
      <c r="J377" s="82">
        <f t="shared" si="12"/>
        <v>0</v>
      </c>
      <c r="K377" s="65">
        <f t="shared" si="11"/>
        <v>41883</v>
      </c>
    </row>
    <row r="378" spans="3:11" ht="20.100000000000001" customHeight="1">
      <c r="C378" s="101"/>
      <c r="D378" s="101"/>
      <c r="E378" s="105"/>
      <c r="F378" s="106"/>
      <c r="G378" s="99"/>
      <c r="H378" s="100"/>
      <c r="I378" s="82">
        <f>IF(E378="",0,VLOOKUP(E378,DMHH!$D$8:$H$507,IF(H378="",4,5),0))</f>
        <v>0</v>
      </c>
      <c r="J378" s="82">
        <f t="shared" si="12"/>
        <v>0</v>
      </c>
      <c r="K378" s="65">
        <f t="shared" si="11"/>
        <v>41883</v>
      </c>
    </row>
    <row r="379" spans="3:11" ht="20.100000000000001" customHeight="1">
      <c r="C379" s="101"/>
      <c r="D379" s="101"/>
      <c r="E379" s="105"/>
      <c r="F379" s="106"/>
      <c r="G379" s="99"/>
      <c r="H379" s="100"/>
      <c r="I379" s="82">
        <f>IF(E379="",0,VLOOKUP(E379,DMHH!$D$8:$H$507,IF(H379="",4,5),0))</f>
        <v>0</v>
      </c>
      <c r="J379" s="82">
        <f t="shared" si="12"/>
        <v>0</v>
      </c>
      <c r="K379" s="65">
        <f t="shared" si="11"/>
        <v>41883</v>
      </c>
    </row>
    <row r="380" spans="3:11" ht="20.100000000000001" customHeight="1">
      <c r="C380" s="101"/>
      <c r="D380" s="101"/>
      <c r="E380" s="105"/>
      <c r="F380" s="106"/>
      <c r="G380" s="99"/>
      <c r="H380" s="100"/>
      <c r="I380" s="82">
        <f>IF(E380="",0,VLOOKUP(E380,DMHH!$D$8:$H$507,IF(H380="",4,5),0))</f>
        <v>0</v>
      </c>
      <c r="J380" s="82">
        <f t="shared" si="12"/>
        <v>0</v>
      </c>
      <c r="K380" s="65">
        <f t="shared" si="11"/>
        <v>41883</v>
      </c>
    </row>
    <row r="381" spans="3:11" ht="20.100000000000001" customHeight="1">
      <c r="C381" s="101"/>
      <c r="D381" s="101"/>
      <c r="E381" s="105"/>
      <c r="F381" s="106"/>
      <c r="G381" s="99"/>
      <c r="H381" s="100"/>
      <c r="I381" s="82">
        <f>IF(E381="",0,VLOOKUP(E381,DMHH!$D$8:$H$507,IF(H381="",4,5),0))</f>
        <v>0</v>
      </c>
      <c r="J381" s="82">
        <f t="shared" si="12"/>
        <v>0</v>
      </c>
      <c r="K381" s="65">
        <f t="shared" si="11"/>
        <v>41883</v>
      </c>
    </row>
    <row r="382" spans="3:11" ht="20.100000000000001" customHeight="1">
      <c r="C382" s="101"/>
      <c r="D382" s="101"/>
      <c r="E382" s="105"/>
      <c r="F382" s="106"/>
      <c r="G382" s="99"/>
      <c r="H382" s="100"/>
      <c r="I382" s="82">
        <f>IF(E382="",0,VLOOKUP(E382,DMHH!$D$8:$H$507,IF(H382="",4,5),0))</f>
        <v>0</v>
      </c>
      <c r="J382" s="82">
        <f t="shared" si="12"/>
        <v>0</v>
      </c>
      <c r="K382" s="65">
        <f t="shared" si="11"/>
        <v>41883</v>
      </c>
    </row>
    <row r="383" spans="3:11" ht="20.100000000000001" customHeight="1">
      <c r="C383" s="101"/>
      <c r="D383" s="101"/>
      <c r="E383" s="105"/>
      <c r="F383" s="106"/>
      <c r="G383" s="99"/>
      <c r="H383" s="100"/>
      <c r="I383" s="82">
        <f>IF(E383="",0,VLOOKUP(E383,DMHH!$D$8:$H$507,IF(H383="",4,5),0))</f>
        <v>0</v>
      </c>
      <c r="J383" s="82">
        <f t="shared" si="12"/>
        <v>0</v>
      </c>
      <c r="K383" s="65">
        <f t="shared" si="11"/>
        <v>41883</v>
      </c>
    </row>
    <row r="384" spans="3:11" ht="20.100000000000001" customHeight="1">
      <c r="C384" s="101"/>
      <c r="D384" s="101"/>
      <c r="E384" s="105"/>
      <c r="F384" s="106"/>
      <c r="G384" s="99"/>
      <c r="H384" s="100"/>
      <c r="I384" s="82">
        <f>IF(E384="",0,VLOOKUP(E384,DMHH!$D$8:$H$507,IF(H384="",4,5),0))</f>
        <v>0</v>
      </c>
      <c r="J384" s="82">
        <f t="shared" si="12"/>
        <v>0</v>
      </c>
      <c r="K384" s="65">
        <f t="shared" si="11"/>
        <v>41883</v>
      </c>
    </row>
    <row r="385" spans="3:11" ht="20.100000000000001" customHeight="1">
      <c r="C385" s="101"/>
      <c r="D385" s="101"/>
      <c r="E385" s="105"/>
      <c r="F385" s="106"/>
      <c r="G385" s="99"/>
      <c r="H385" s="100"/>
      <c r="I385" s="82">
        <f>IF(E385="",0,VLOOKUP(E385,DMHH!$D$8:$H$507,IF(H385="",4,5),0))</f>
        <v>0</v>
      </c>
      <c r="J385" s="82">
        <f t="shared" si="12"/>
        <v>0</v>
      </c>
      <c r="K385" s="65">
        <f t="shared" si="11"/>
        <v>41883</v>
      </c>
    </row>
    <row r="386" spans="3:11" ht="20.100000000000001" customHeight="1">
      <c r="C386" s="101"/>
      <c r="D386" s="101"/>
      <c r="E386" s="105"/>
      <c r="F386" s="106"/>
      <c r="G386" s="99"/>
      <c r="H386" s="100"/>
      <c r="I386" s="82">
        <f>IF(E386="",0,VLOOKUP(E386,DMHH!$D$8:$H$507,IF(H386="",4,5),0))</f>
        <v>0</v>
      </c>
      <c r="J386" s="82">
        <f t="shared" si="12"/>
        <v>0</v>
      </c>
      <c r="K386" s="65">
        <f t="shared" si="11"/>
        <v>41883</v>
      </c>
    </row>
    <row r="387" spans="3:11" ht="20.100000000000001" customHeight="1">
      <c r="C387" s="101"/>
      <c r="D387" s="101"/>
      <c r="E387" s="105"/>
      <c r="F387" s="106"/>
      <c r="G387" s="99"/>
      <c r="H387" s="100"/>
      <c r="I387" s="82">
        <f>IF(E387="",0,VLOOKUP(E387,DMHH!$D$8:$H$507,IF(H387="",4,5),0))</f>
        <v>0</v>
      </c>
      <c r="J387" s="82">
        <f t="shared" si="12"/>
        <v>0</v>
      </c>
      <c r="K387" s="65">
        <f t="shared" si="11"/>
        <v>41883</v>
      </c>
    </row>
    <row r="388" spans="3:11" ht="20.100000000000001" customHeight="1">
      <c r="C388" s="101"/>
      <c r="D388" s="101"/>
      <c r="E388" s="105"/>
      <c r="F388" s="106"/>
      <c r="G388" s="99"/>
      <c r="H388" s="100"/>
      <c r="I388" s="82">
        <f>IF(E388="",0,VLOOKUP(E388,DMHH!$D$8:$H$507,IF(H388="",4,5),0))</f>
        <v>0</v>
      </c>
      <c r="J388" s="82">
        <f t="shared" si="12"/>
        <v>0</v>
      </c>
      <c r="K388" s="65">
        <f t="shared" si="11"/>
        <v>41883</v>
      </c>
    </row>
    <row r="389" spans="3:11" ht="20.100000000000001" customHeight="1">
      <c r="C389" s="101"/>
      <c r="D389" s="101"/>
      <c r="E389" s="105"/>
      <c r="F389" s="106"/>
      <c r="G389" s="99"/>
      <c r="H389" s="100"/>
      <c r="I389" s="82">
        <f>IF(E389="",0,VLOOKUP(E389,DMHH!$D$8:$H$507,IF(H389="",4,5),0))</f>
        <v>0</v>
      </c>
      <c r="J389" s="82">
        <f t="shared" si="12"/>
        <v>0</v>
      </c>
      <c r="K389" s="65">
        <f t="shared" si="11"/>
        <v>41883</v>
      </c>
    </row>
    <row r="390" spans="3:11" ht="20.100000000000001" customHeight="1">
      <c r="C390" s="101"/>
      <c r="D390" s="101"/>
      <c r="E390" s="105"/>
      <c r="F390" s="106"/>
      <c r="G390" s="99"/>
      <c r="H390" s="100"/>
      <c r="I390" s="82">
        <f>IF(E390="",0,VLOOKUP(E390,DMHH!$D$8:$H$507,IF(H390="",4,5),0))</f>
        <v>0</v>
      </c>
      <c r="J390" s="82">
        <f t="shared" si="12"/>
        <v>0</v>
      </c>
      <c r="K390" s="65">
        <f t="shared" si="11"/>
        <v>41883</v>
      </c>
    </row>
    <row r="391" spans="3:11" ht="20.100000000000001" customHeight="1">
      <c r="C391" s="101"/>
      <c r="D391" s="101"/>
      <c r="E391" s="105"/>
      <c r="F391" s="106"/>
      <c r="G391" s="99"/>
      <c r="H391" s="100"/>
      <c r="I391" s="82">
        <f>IF(E391="",0,VLOOKUP(E391,DMHH!$D$8:$H$507,IF(H391="",4,5),0))</f>
        <v>0</v>
      </c>
      <c r="J391" s="82">
        <f t="shared" si="12"/>
        <v>0</v>
      </c>
      <c r="K391" s="65">
        <f t="shared" si="11"/>
        <v>41883</v>
      </c>
    </row>
    <row r="392" spans="3:11" ht="20.100000000000001" customHeight="1">
      <c r="C392" s="101"/>
      <c r="D392" s="101"/>
      <c r="E392" s="105"/>
      <c r="F392" s="106"/>
      <c r="G392" s="99"/>
      <c r="H392" s="100"/>
      <c r="I392" s="82">
        <f>IF(E392="",0,VLOOKUP(E392,DMHH!$D$8:$H$507,IF(H392="",4,5),0))</f>
        <v>0</v>
      </c>
      <c r="J392" s="82">
        <f t="shared" si="12"/>
        <v>0</v>
      </c>
      <c r="K392" s="65">
        <f t="shared" si="11"/>
        <v>41883</v>
      </c>
    </row>
    <row r="393" spans="3:11" ht="20.100000000000001" customHeight="1">
      <c r="C393" s="101"/>
      <c r="D393" s="101"/>
      <c r="E393" s="105"/>
      <c r="F393" s="106"/>
      <c r="G393" s="99"/>
      <c r="H393" s="100"/>
      <c r="I393" s="82">
        <f>IF(E393="",0,VLOOKUP(E393,DMHH!$D$8:$H$507,IF(H393="",4,5),0))</f>
        <v>0</v>
      </c>
      <c r="J393" s="82">
        <f t="shared" si="12"/>
        <v>0</v>
      </c>
      <c r="K393" s="65">
        <f t="shared" si="11"/>
        <v>41883</v>
      </c>
    </row>
    <row r="394" spans="3:11" ht="20.100000000000001" customHeight="1">
      <c r="C394" s="101"/>
      <c r="D394" s="101"/>
      <c r="E394" s="105"/>
      <c r="F394" s="106"/>
      <c r="G394" s="99"/>
      <c r="H394" s="100"/>
      <c r="I394" s="82">
        <f>IF(E394="",0,VLOOKUP(E394,DMHH!$D$8:$H$507,IF(H394="",4,5),0))</f>
        <v>0</v>
      </c>
      <c r="J394" s="82">
        <f t="shared" si="12"/>
        <v>0</v>
      </c>
      <c r="K394" s="65">
        <f t="shared" si="11"/>
        <v>41883</v>
      </c>
    </row>
    <row r="395" spans="3:11" ht="20.100000000000001" customHeight="1">
      <c r="C395" s="101"/>
      <c r="D395" s="101"/>
      <c r="E395" s="105"/>
      <c r="F395" s="106"/>
      <c r="G395" s="99"/>
      <c r="H395" s="100"/>
      <c r="I395" s="82">
        <f>IF(E395="",0,VLOOKUP(E395,DMHH!$D$8:$H$507,IF(H395="",4,5),0))</f>
        <v>0</v>
      </c>
      <c r="J395" s="82">
        <f t="shared" si="12"/>
        <v>0</v>
      </c>
      <c r="K395" s="65">
        <f t="shared" ref="K395:K458" si="13">IF(C395="",K394,C395)</f>
        <v>41883</v>
      </c>
    </row>
    <row r="396" spans="3:11" ht="20.100000000000001" customHeight="1">
      <c r="C396" s="101"/>
      <c r="D396" s="101"/>
      <c r="E396" s="105"/>
      <c r="F396" s="106"/>
      <c r="G396" s="99"/>
      <c r="H396" s="100"/>
      <c r="I396" s="82">
        <f>IF(E396="",0,VLOOKUP(E396,DMHH!$D$8:$H$507,IF(H396="",4,5),0))</f>
        <v>0</v>
      </c>
      <c r="J396" s="82">
        <f t="shared" si="12"/>
        <v>0</v>
      </c>
      <c r="K396" s="65">
        <f t="shared" si="13"/>
        <v>41883</v>
      </c>
    </row>
    <row r="397" spans="3:11" ht="20.100000000000001" customHeight="1">
      <c r="C397" s="101"/>
      <c r="D397" s="101"/>
      <c r="E397" s="105"/>
      <c r="F397" s="106"/>
      <c r="G397" s="99"/>
      <c r="H397" s="100"/>
      <c r="I397" s="82">
        <f>IF(E397="",0,VLOOKUP(E397,DMHH!$D$8:$H$507,IF(H397="",4,5),0))</f>
        <v>0</v>
      </c>
      <c r="J397" s="82">
        <f t="shared" ref="J397:J460" si="14">F397*I397+H397*I397</f>
        <v>0</v>
      </c>
      <c r="K397" s="65">
        <f t="shared" si="13"/>
        <v>41883</v>
      </c>
    </row>
    <row r="398" spans="3:11" ht="20.100000000000001" customHeight="1">
      <c r="C398" s="101"/>
      <c r="D398" s="101"/>
      <c r="E398" s="105"/>
      <c r="F398" s="106"/>
      <c r="G398" s="99"/>
      <c r="H398" s="100"/>
      <c r="I398" s="82">
        <f>IF(E398="",0,VLOOKUP(E398,DMHH!$D$8:$H$507,IF(H398="",4,5),0))</f>
        <v>0</v>
      </c>
      <c r="J398" s="82">
        <f t="shared" si="14"/>
        <v>0</v>
      </c>
      <c r="K398" s="65">
        <f t="shared" si="13"/>
        <v>41883</v>
      </c>
    </row>
    <row r="399" spans="3:11" ht="20.100000000000001" customHeight="1">
      <c r="C399" s="101"/>
      <c r="D399" s="101"/>
      <c r="E399" s="105"/>
      <c r="F399" s="106"/>
      <c r="G399" s="99"/>
      <c r="H399" s="100"/>
      <c r="I399" s="82">
        <f>IF(E399="",0,VLOOKUP(E399,DMHH!$D$8:$H$507,IF(H399="",4,5),0))</f>
        <v>0</v>
      </c>
      <c r="J399" s="82">
        <f t="shared" si="14"/>
        <v>0</v>
      </c>
      <c r="K399" s="65">
        <f t="shared" si="13"/>
        <v>41883</v>
      </c>
    </row>
    <row r="400" spans="3:11" ht="20.100000000000001" customHeight="1">
      <c r="C400" s="101"/>
      <c r="D400" s="101"/>
      <c r="E400" s="105"/>
      <c r="F400" s="106"/>
      <c r="G400" s="99"/>
      <c r="H400" s="100"/>
      <c r="I400" s="82">
        <f>IF(E400="",0,VLOOKUP(E400,DMHH!$D$8:$H$507,IF(H400="",4,5),0))</f>
        <v>0</v>
      </c>
      <c r="J400" s="82">
        <f t="shared" si="14"/>
        <v>0</v>
      </c>
      <c r="K400" s="65">
        <f t="shared" si="13"/>
        <v>41883</v>
      </c>
    </row>
    <row r="401" spans="3:11" ht="20.100000000000001" customHeight="1">
      <c r="C401" s="101"/>
      <c r="D401" s="101"/>
      <c r="E401" s="105"/>
      <c r="F401" s="106"/>
      <c r="G401" s="99"/>
      <c r="H401" s="100"/>
      <c r="I401" s="82">
        <f>IF(E401="",0,VLOOKUP(E401,DMHH!$D$8:$H$507,IF(H401="",4,5),0))</f>
        <v>0</v>
      </c>
      <c r="J401" s="82">
        <f t="shared" si="14"/>
        <v>0</v>
      </c>
      <c r="K401" s="65">
        <f t="shared" si="13"/>
        <v>41883</v>
      </c>
    </row>
    <row r="402" spans="3:11" ht="20.100000000000001" customHeight="1">
      <c r="C402" s="101"/>
      <c r="D402" s="101"/>
      <c r="E402" s="105"/>
      <c r="F402" s="106"/>
      <c r="G402" s="99"/>
      <c r="H402" s="100"/>
      <c r="I402" s="82">
        <f>IF(E402="",0,VLOOKUP(E402,DMHH!$D$8:$H$507,IF(H402="",4,5),0))</f>
        <v>0</v>
      </c>
      <c r="J402" s="82">
        <f t="shared" si="14"/>
        <v>0</v>
      </c>
      <c r="K402" s="65">
        <f t="shared" si="13"/>
        <v>41883</v>
      </c>
    </row>
    <row r="403" spans="3:11" ht="20.100000000000001" customHeight="1">
      <c r="C403" s="101"/>
      <c r="D403" s="101"/>
      <c r="E403" s="105"/>
      <c r="F403" s="106"/>
      <c r="G403" s="99"/>
      <c r="H403" s="100"/>
      <c r="I403" s="82">
        <f>IF(E403="",0,VLOOKUP(E403,DMHH!$D$8:$H$507,IF(H403="",4,5),0))</f>
        <v>0</v>
      </c>
      <c r="J403" s="82">
        <f t="shared" si="14"/>
        <v>0</v>
      </c>
      <c r="K403" s="65">
        <f t="shared" si="13"/>
        <v>41883</v>
      </c>
    </row>
    <row r="404" spans="3:11" ht="20.100000000000001" customHeight="1">
      <c r="C404" s="101"/>
      <c r="D404" s="101"/>
      <c r="E404" s="105"/>
      <c r="F404" s="106"/>
      <c r="G404" s="99"/>
      <c r="H404" s="100"/>
      <c r="I404" s="82">
        <f>IF(E404="",0,VLOOKUP(E404,DMHH!$D$8:$H$507,IF(H404="",4,5),0))</f>
        <v>0</v>
      </c>
      <c r="J404" s="82">
        <f t="shared" si="14"/>
        <v>0</v>
      </c>
      <c r="K404" s="65">
        <f t="shared" si="13"/>
        <v>41883</v>
      </c>
    </row>
    <row r="405" spans="3:11" ht="20.100000000000001" customHeight="1">
      <c r="C405" s="101"/>
      <c r="D405" s="101"/>
      <c r="E405" s="105"/>
      <c r="F405" s="106"/>
      <c r="G405" s="99"/>
      <c r="H405" s="100"/>
      <c r="I405" s="82">
        <f>IF(E405="",0,VLOOKUP(E405,DMHH!$D$8:$H$507,IF(H405="",4,5),0))</f>
        <v>0</v>
      </c>
      <c r="J405" s="82">
        <f t="shared" si="14"/>
        <v>0</v>
      </c>
      <c r="K405" s="65">
        <f t="shared" si="13"/>
        <v>41883</v>
      </c>
    </row>
    <row r="406" spans="3:11" ht="20.100000000000001" customHeight="1">
      <c r="C406" s="101"/>
      <c r="D406" s="101"/>
      <c r="E406" s="105"/>
      <c r="F406" s="106"/>
      <c r="G406" s="99"/>
      <c r="H406" s="100"/>
      <c r="I406" s="82">
        <f>IF(E406="",0,VLOOKUP(E406,DMHH!$D$8:$H$507,IF(H406="",4,5),0))</f>
        <v>0</v>
      </c>
      <c r="J406" s="82">
        <f t="shared" si="14"/>
        <v>0</v>
      </c>
      <c r="K406" s="65">
        <f t="shared" si="13"/>
        <v>41883</v>
      </c>
    </row>
    <row r="407" spans="3:11" ht="20.100000000000001" customHeight="1">
      <c r="C407" s="101"/>
      <c r="D407" s="101"/>
      <c r="E407" s="105"/>
      <c r="F407" s="106"/>
      <c r="G407" s="99"/>
      <c r="H407" s="100"/>
      <c r="I407" s="82">
        <f>IF(E407="",0,VLOOKUP(E407,DMHH!$D$8:$H$507,IF(H407="",4,5),0))</f>
        <v>0</v>
      </c>
      <c r="J407" s="82">
        <f t="shared" si="14"/>
        <v>0</v>
      </c>
      <c r="K407" s="65">
        <f t="shared" si="13"/>
        <v>41883</v>
      </c>
    </row>
    <row r="408" spans="3:11" ht="20.100000000000001" customHeight="1">
      <c r="C408" s="101"/>
      <c r="D408" s="101"/>
      <c r="E408" s="105"/>
      <c r="F408" s="106"/>
      <c r="G408" s="99"/>
      <c r="H408" s="100"/>
      <c r="I408" s="82">
        <f>IF(E408="",0,VLOOKUP(E408,DMHH!$D$8:$H$507,IF(H408="",4,5),0))</f>
        <v>0</v>
      </c>
      <c r="J408" s="82">
        <f t="shared" si="14"/>
        <v>0</v>
      </c>
      <c r="K408" s="65">
        <f t="shared" si="13"/>
        <v>41883</v>
      </c>
    </row>
    <row r="409" spans="3:11" ht="20.100000000000001" customHeight="1">
      <c r="C409" s="101"/>
      <c r="D409" s="101"/>
      <c r="E409" s="105"/>
      <c r="F409" s="106"/>
      <c r="G409" s="99"/>
      <c r="H409" s="100"/>
      <c r="I409" s="82">
        <f>IF(E409="",0,VLOOKUP(E409,DMHH!$D$8:$H$507,IF(H409="",4,5),0))</f>
        <v>0</v>
      </c>
      <c r="J409" s="82">
        <f t="shared" si="14"/>
        <v>0</v>
      </c>
      <c r="K409" s="65">
        <f t="shared" si="13"/>
        <v>41883</v>
      </c>
    </row>
    <row r="410" spans="3:11" ht="20.100000000000001" customHeight="1">
      <c r="C410" s="101"/>
      <c r="D410" s="101"/>
      <c r="E410" s="105"/>
      <c r="F410" s="106"/>
      <c r="G410" s="99"/>
      <c r="H410" s="100"/>
      <c r="I410" s="82">
        <f>IF(E410="",0,VLOOKUP(E410,DMHH!$D$8:$H$507,IF(H410="",4,5),0))</f>
        <v>0</v>
      </c>
      <c r="J410" s="82">
        <f t="shared" si="14"/>
        <v>0</v>
      </c>
      <c r="K410" s="65">
        <f t="shared" si="13"/>
        <v>41883</v>
      </c>
    </row>
    <row r="411" spans="3:11" ht="20.100000000000001" customHeight="1">
      <c r="C411" s="101"/>
      <c r="D411" s="101"/>
      <c r="E411" s="105"/>
      <c r="F411" s="106"/>
      <c r="G411" s="99"/>
      <c r="H411" s="100"/>
      <c r="I411" s="82">
        <f>IF(E411="",0,VLOOKUP(E411,DMHH!$D$8:$H$507,IF(H411="",4,5),0))</f>
        <v>0</v>
      </c>
      <c r="J411" s="82">
        <f t="shared" si="14"/>
        <v>0</v>
      </c>
      <c r="K411" s="65">
        <f t="shared" si="13"/>
        <v>41883</v>
      </c>
    </row>
    <row r="412" spans="3:11" ht="20.100000000000001" customHeight="1">
      <c r="C412" s="101"/>
      <c r="D412" s="101"/>
      <c r="E412" s="105"/>
      <c r="F412" s="106"/>
      <c r="G412" s="99"/>
      <c r="H412" s="100"/>
      <c r="I412" s="82">
        <f>IF(E412="",0,VLOOKUP(E412,DMHH!$D$8:$H$507,IF(H412="",4,5),0))</f>
        <v>0</v>
      </c>
      <c r="J412" s="82">
        <f t="shared" si="14"/>
        <v>0</v>
      </c>
      <c r="K412" s="65">
        <f t="shared" si="13"/>
        <v>41883</v>
      </c>
    </row>
    <row r="413" spans="3:11" ht="20.100000000000001" customHeight="1">
      <c r="C413" s="101"/>
      <c r="D413" s="101"/>
      <c r="E413" s="105"/>
      <c r="F413" s="106"/>
      <c r="G413" s="99"/>
      <c r="H413" s="100"/>
      <c r="I413" s="82">
        <f>IF(E413="",0,VLOOKUP(E413,DMHH!$D$8:$H$507,IF(H413="",4,5),0))</f>
        <v>0</v>
      </c>
      <c r="J413" s="82">
        <f t="shared" si="14"/>
        <v>0</v>
      </c>
      <c r="K413" s="65">
        <f t="shared" si="13"/>
        <v>41883</v>
      </c>
    </row>
    <row r="414" spans="3:11" ht="20.100000000000001" customHeight="1">
      <c r="C414" s="101"/>
      <c r="D414" s="101"/>
      <c r="E414" s="105"/>
      <c r="F414" s="106"/>
      <c r="G414" s="99"/>
      <c r="H414" s="100"/>
      <c r="I414" s="82">
        <f>IF(E414="",0,VLOOKUP(E414,DMHH!$D$8:$H$507,IF(H414="",4,5),0))</f>
        <v>0</v>
      </c>
      <c r="J414" s="82">
        <f t="shared" si="14"/>
        <v>0</v>
      </c>
      <c r="K414" s="65">
        <f t="shared" si="13"/>
        <v>41883</v>
      </c>
    </row>
    <row r="415" spans="3:11" ht="20.100000000000001" customHeight="1">
      <c r="C415" s="101"/>
      <c r="D415" s="101"/>
      <c r="E415" s="105"/>
      <c r="F415" s="106"/>
      <c r="G415" s="99"/>
      <c r="H415" s="100"/>
      <c r="I415" s="82">
        <f>IF(E415="",0,VLOOKUP(E415,DMHH!$D$8:$H$507,IF(H415="",4,5),0))</f>
        <v>0</v>
      </c>
      <c r="J415" s="82">
        <f t="shared" si="14"/>
        <v>0</v>
      </c>
      <c r="K415" s="65">
        <f t="shared" si="13"/>
        <v>41883</v>
      </c>
    </row>
    <row r="416" spans="3:11" ht="20.100000000000001" customHeight="1">
      <c r="C416" s="101"/>
      <c r="D416" s="101"/>
      <c r="E416" s="105"/>
      <c r="F416" s="106"/>
      <c r="G416" s="99"/>
      <c r="H416" s="100"/>
      <c r="I416" s="82">
        <f>IF(E416="",0,VLOOKUP(E416,DMHH!$D$8:$H$507,IF(H416="",4,5),0))</f>
        <v>0</v>
      </c>
      <c r="J416" s="82">
        <f t="shared" si="14"/>
        <v>0</v>
      </c>
      <c r="K416" s="65">
        <f t="shared" si="13"/>
        <v>41883</v>
      </c>
    </row>
    <row r="417" spans="3:11" ht="20.100000000000001" customHeight="1">
      <c r="C417" s="101"/>
      <c r="D417" s="101"/>
      <c r="E417" s="105"/>
      <c r="F417" s="106"/>
      <c r="G417" s="99"/>
      <c r="H417" s="100"/>
      <c r="I417" s="82">
        <f>IF(E417="",0,VLOOKUP(E417,DMHH!$D$8:$H$507,IF(H417="",4,5),0))</f>
        <v>0</v>
      </c>
      <c r="J417" s="82">
        <f t="shared" si="14"/>
        <v>0</v>
      </c>
      <c r="K417" s="65">
        <f t="shared" si="13"/>
        <v>41883</v>
      </c>
    </row>
    <row r="418" spans="3:11" ht="20.100000000000001" customHeight="1">
      <c r="C418" s="101"/>
      <c r="D418" s="101"/>
      <c r="E418" s="105"/>
      <c r="F418" s="106"/>
      <c r="G418" s="99"/>
      <c r="H418" s="100"/>
      <c r="I418" s="82">
        <f>IF(E418="",0,VLOOKUP(E418,DMHH!$D$8:$H$507,IF(H418="",4,5),0))</f>
        <v>0</v>
      </c>
      <c r="J418" s="82">
        <f t="shared" si="14"/>
        <v>0</v>
      </c>
      <c r="K418" s="65">
        <f t="shared" si="13"/>
        <v>41883</v>
      </c>
    </row>
    <row r="419" spans="3:11" ht="20.100000000000001" customHeight="1">
      <c r="C419" s="101"/>
      <c r="D419" s="101"/>
      <c r="E419" s="105"/>
      <c r="F419" s="106"/>
      <c r="G419" s="99"/>
      <c r="H419" s="100"/>
      <c r="I419" s="82">
        <f>IF(E419="",0,VLOOKUP(E419,DMHH!$D$8:$H$507,IF(H419="",4,5),0))</f>
        <v>0</v>
      </c>
      <c r="J419" s="82">
        <f t="shared" si="14"/>
        <v>0</v>
      </c>
      <c r="K419" s="65">
        <f t="shared" si="13"/>
        <v>41883</v>
      </c>
    </row>
    <row r="420" spans="3:11" ht="20.100000000000001" customHeight="1">
      <c r="C420" s="101"/>
      <c r="D420" s="101"/>
      <c r="E420" s="105"/>
      <c r="F420" s="106"/>
      <c r="G420" s="99"/>
      <c r="H420" s="100"/>
      <c r="I420" s="82">
        <f>IF(E420="",0,VLOOKUP(E420,DMHH!$D$8:$H$507,IF(H420="",4,5),0))</f>
        <v>0</v>
      </c>
      <c r="J420" s="82">
        <f t="shared" si="14"/>
        <v>0</v>
      </c>
      <c r="K420" s="65">
        <f t="shared" si="13"/>
        <v>41883</v>
      </c>
    </row>
    <row r="421" spans="3:11" ht="20.100000000000001" customHeight="1">
      <c r="C421" s="101"/>
      <c r="D421" s="101"/>
      <c r="E421" s="105"/>
      <c r="F421" s="106"/>
      <c r="G421" s="99"/>
      <c r="H421" s="100"/>
      <c r="I421" s="82">
        <f>IF(E421="",0,VLOOKUP(E421,DMHH!$D$8:$H$507,IF(H421="",4,5),0))</f>
        <v>0</v>
      </c>
      <c r="J421" s="82">
        <f t="shared" si="14"/>
        <v>0</v>
      </c>
      <c r="K421" s="65">
        <f t="shared" si="13"/>
        <v>41883</v>
      </c>
    </row>
    <row r="422" spans="3:11" ht="20.100000000000001" customHeight="1">
      <c r="C422" s="101"/>
      <c r="D422" s="101"/>
      <c r="E422" s="105"/>
      <c r="F422" s="106"/>
      <c r="G422" s="99"/>
      <c r="H422" s="100"/>
      <c r="I422" s="82">
        <f>IF(E422="",0,VLOOKUP(E422,DMHH!$D$8:$H$507,IF(H422="",4,5),0))</f>
        <v>0</v>
      </c>
      <c r="J422" s="82">
        <f t="shared" si="14"/>
        <v>0</v>
      </c>
      <c r="K422" s="65">
        <f t="shared" si="13"/>
        <v>41883</v>
      </c>
    </row>
    <row r="423" spans="3:11" ht="20.100000000000001" customHeight="1">
      <c r="C423" s="101"/>
      <c r="D423" s="101"/>
      <c r="E423" s="105"/>
      <c r="F423" s="106"/>
      <c r="G423" s="99"/>
      <c r="H423" s="100"/>
      <c r="I423" s="82">
        <f>IF(E423="",0,VLOOKUP(E423,DMHH!$D$8:$H$507,IF(H423="",4,5),0))</f>
        <v>0</v>
      </c>
      <c r="J423" s="82">
        <f t="shared" si="14"/>
        <v>0</v>
      </c>
      <c r="K423" s="65">
        <f t="shared" si="13"/>
        <v>41883</v>
      </c>
    </row>
    <row r="424" spans="3:11" ht="20.100000000000001" customHeight="1">
      <c r="C424" s="101"/>
      <c r="D424" s="101"/>
      <c r="E424" s="105"/>
      <c r="F424" s="106"/>
      <c r="G424" s="99"/>
      <c r="H424" s="100"/>
      <c r="I424" s="82">
        <f>IF(E424="",0,VLOOKUP(E424,DMHH!$D$8:$H$507,IF(H424="",4,5),0))</f>
        <v>0</v>
      </c>
      <c r="J424" s="82">
        <f t="shared" si="14"/>
        <v>0</v>
      </c>
      <c r="K424" s="65">
        <f t="shared" si="13"/>
        <v>41883</v>
      </c>
    </row>
    <row r="425" spans="3:11" ht="20.100000000000001" customHeight="1">
      <c r="C425" s="101"/>
      <c r="D425" s="101"/>
      <c r="E425" s="105"/>
      <c r="F425" s="106"/>
      <c r="G425" s="99"/>
      <c r="H425" s="100"/>
      <c r="I425" s="82">
        <f>IF(E425="",0,VLOOKUP(E425,DMHH!$D$8:$H$507,IF(H425="",4,5),0))</f>
        <v>0</v>
      </c>
      <c r="J425" s="82">
        <f t="shared" si="14"/>
        <v>0</v>
      </c>
      <c r="K425" s="65">
        <f t="shared" si="13"/>
        <v>41883</v>
      </c>
    </row>
    <row r="426" spans="3:11" ht="20.100000000000001" customHeight="1">
      <c r="C426" s="101"/>
      <c r="D426" s="101"/>
      <c r="E426" s="105"/>
      <c r="F426" s="106"/>
      <c r="G426" s="99"/>
      <c r="H426" s="100"/>
      <c r="I426" s="82">
        <f>IF(E426="",0,VLOOKUP(E426,DMHH!$D$8:$H$507,IF(H426="",4,5),0))</f>
        <v>0</v>
      </c>
      <c r="J426" s="82">
        <f t="shared" si="14"/>
        <v>0</v>
      </c>
      <c r="K426" s="65">
        <f t="shared" si="13"/>
        <v>41883</v>
      </c>
    </row>
    <row r="427" spans="3:11" ht="20.100000000000001" customHeight="1">
      <c r="C427" s="101"/>
      <c r="D427" s="101"/>
      <c r="E427" s="105"/>
      <c r="F427" s="106"/>
      <c r="G427" s="99"/>
      <c r="H427" s="100"/>
      <c r="I427" s="82">
        <f>IF(E427="",0,VLOOKUP(E427,DMHH!$D$8:$H$507,IF(H427="",4,5),0))</f>
        <v>0</v>
      </c>
      <c r="J427" s="82">
        <f t="shared" si="14"/>
        <v>0</v>
      </c>
      <c r="K427" s="65">
        <f t="shared" si="13"/>
        <v>41883</v>
      </c>
    </row>
    <row r="428" spans="3:11" ht="20.100000000000001" customHeight="1">
      <c r="C428" s="101"/>
      <c r="D428" s="101"/>
      <c r="E428" s="105"/>
      <c r="F428" s="106"/>
      <c r="G428" s="99"/>
      <c r="H428" s="100"/>
      <c r="I428" s="82">
        <f>IF(E428="",0,VLOOKUP(E428,DMHH!$D$8:$H$507,IF(H428="",4,5),0))</f>
        <v>0</v>
      </c>
      <c r="J428" s="82">
        <f t="shared" si="14"/>
        <v>0</v>
      </c>
      <c r="K428" s="65">
        <f t="shared" si="13"/>
        <v>41883</v>
      </c>
    </row>
    <row r="429" spans="3:11" ht="20.100000000000001" customHeight="1">
      <c r="C429" s="101"/>
      <c r="D429" s="101"/>
      <c r="E429" s="105"/>
      <c r="F429" s="106"/>
      <c r="G429" s="99"/>
      <c r="H429" s="100"/>
      <c r="I429" s="82">
        <f>IF(E429="",0,VLOOKUP(E429,DMHH!$D$8:$H$507,IF(H429="",4,5),0))</f>
        <v>0</v>
      </c>
      <c r="J429" s="82">
        <f t="shared" si="14"/>
        <v>0</v>
      </c>
      <c r="K429" s="65">
        <f t="shared" si="13"/>
        <v>41883</v>
      </c>
    </row>
    <row r="430" spans="3:11" ht="20.100000000000001" customHeight="1">
      <c r="C430" s="101"/>
      <c r="D430" s="101"/>
      <c r="E430" s="105"/>
      <c r="F430" s="106"/>
      <c r="G430" s="99"/>
      <c r="H430" s="100"/>
      <c r="I430" s="82">
        <f>IF(E430="",0,VLOOKUP(E430,DMHH!$D$8:$H$507,IF(H430="",4,5),0))</f>
        <v>0</v>
      </c>
      <c r="J430" s="82">
        <f t="shared" si="14"/>
        <v>0</v>
      </c>
      <c r="K430" s="65">
        <f t="shared" si="13"/>
        <v>41883</v>
      </c>
    </row>
    <row r="431" spans="3:11" ht="20.100000000000001" customHeight="1">
      <c r="C431" s="101"/>
      <c r="D431" s="101"/>
      <c r="E431" s="105"/>
      <c r="F431" s="106"/>
      <c r="G431" s="99"/>
      <c r="H431" s="100"/>
      <c r="I431" s="82">
        <f>IF(E431="",0,VLOOKUP(E431,DMHH!$D$8:$H$507,IF(H431="",4,5),0))</f>
        <v>0</v>
      </c>
      <c r="J431" s="82">
        <f t="shared" si="14"/>
        <v>0</v>
      </c>
      <c r="K431" s="65">
        <f t="shared" si="13"/>
        <v>41883</v>
      </c>
    </row>
    <row r="432" spans="3:11" ht="20.100000000000001" customHeight="1">
      <c r="C432" s="101"/>
      <c r="D432" s="101"/>
      <c r="E432" s="105"/>
      <c r="F432" s="106"/>
      <c r="G432" s="99"/>
      <c r="H432" s="100"/>
      <c r="I432" s="82">
        <f>IF(E432="",0,VLOOKUP(E432,DMHH!$D$8:$H$507,IF(H432="",4,5),0))</f>
        <v>0</v>
      </c>
      <c r="J432" s="82">
        <f t="shared" si="14"/>
        <v>0</v>
      </c>
      <c r="K432" s="65">
        <f t="shared" si="13"/>
        <v>41883</v>
      </c>
    </row>
    <row r="433" spans="3:11" ht="20.100000000000001" customHeight="1">
      <c r="C433" s="101"/>
      <c r="D433" s="101"/>
      <c r="E433" s="105"/>
      <c r="F433" s="106"/>
      <c r="G433" s="99"/>
      <c r="H433" s="100"/>
      <c r="I433" s="82">
        <f>IF(E433="",0,VLOOKUP(E433,DMHH!$D$8:$H$507,IF(H433="",4,5),0))</f>
        <v>0</v>
      </c>
      <c r="J433" s="82">
        <f t="shared" si="14"/>
        <v>0</v>
      </c>
      <c r="K433" s="65">
        <f t="shared" si="13"/>
        <v>41883</v>
      </c>
    </row>
    <row r="434" spans="3:11" ht="20.100000000000001" customHeight="1">
      <c r="C434" s="101"/>
      <c r="D434" s="101"/>
      <c r="E434" s="105"/>
      <c r="F434" s="106"/>
      <c r="G434" s="99"/>
      <c r="H434" s="100"/>
      <c r="I434" s="82">
        <f>IF(E434="",0,VLOOKUP(E434,DMHH!$D$8:$H$507,IF(H434="",4,5),0))</f>
        <v>0</v>
      </c>
      <c r="J434" s="82">
        <f t="shared" si="14"/>
        <v>0</v>
      </c>
      <c r="K434" s="65">
        <f t="shared" si="13"/>
        <v>41883</v>
      </c>
    </row>
    <row r="435" spans="3:11" ht="20.100000000000001" customHeight="1">
      <c r="C435" s="101"/>
      <c r="D435" s="101"/>
      <c r="E435" s="105"/>
      <c r="F435" s="106"/>
      <c r="G435" s="99"/>
      <c r="H435" s="100"/>
      <c r="I435" s="82">
        <f>IF(E435="",0,VLOOKUP(E435,DMHH!$D$8:$H$507,IF(H435="",4,5),0))</f>
        <v>0</v>
      </c>
      <c r="J435" s="82">
        <f t="shared" si="14"/>
        <v>0</v>
      </c>
      <c r="K435" s="65">
        <f t="shared" si="13"/>
        <v>41883</v>
      </c>
    </row>
    <row r="436" spans="3:11" ht="20.100000000000001" customHeight="1">
      <c r="C436" s="101"/>
      <c r="D436" s="101"/>
      <c r="E436" s="105"/>
      <c r="F436" s="106"/>
      <c r="G436" s="99"/>
      <c r="H436" s="100"/>
      <c r="I436" s="82">
        <f>IF(E436="",0,VLOOKUP(E436,DMHH!$D$8:$H$507,IF(H436="",4,5),0))</f>
        <v>0</v>
      </c>
      <c r="J436" s="82">
        <f t="shared" si="14"/>
        <v>0</v>
      </c>
      <c r="K436" s="65">
        <f t="shared" si="13"/>
        <v>41883</v>
      </c>
    </row>
    <row r="437" spans="3:11" ht="20.100000000000001" customHeight="1">
      <c r="C437" s="101"/>
      <c r="D437" s="101"/>
      <c r="E437" s="105"/>
      <c r="F437" s="106"/>
      <c r="G437" s="99"/>
      <c r="H437" s="100"/>
      <c r="I437" s="82">
        <f>IF(E437="",0,VLOOKUP(E437,DMHH!$D$8:$H$507,IF(H437="",4,5),0))</f>
        <v>0</v>
      </c>
      <c r="J437" s="82">
        <f t="shared" si="14"/>
        <v>0</v>
      </c>
      <c r="K437" s="65">
        <f t="shared" si="13"/>
        <v>41883</v>
      </c>
    </row>
    <row r="438" spans="3:11" ht="20.100000000000001" customHeight="1">
      <c r="C438" s="101"/>
      <c r="D438" s="101"/>
      <c r="E438" s="105"/>
      <c r="F438" s="106"/>
      <c r="G438" s="99"/>
      <c r="H438" s="100"/>
      <c r="I438" s="82">
        <f>IF(E438="",0,VLOOKUP(E438,DMHH!$D$8:$H$507,IF(H438="",4,5),0))</f>
        <v>0</v>
      </c>
      <c r="J438" s="82">
        <f t="shared" si="14"/>
        <v>0</v>
      </c>
      <c r="K438" s="65">
        <f t="shared" si="13"/>
        <v>41883</v>
      </c>
    </row>
    <row r="439" spans="3:11" ht="20.100000000000001" customHeight="1">
      <c r="C439" s="101"/>
      <c r="D439" s="101"/>
      <c r="E439" s="105"/>
      <c r="F439" s="106"/>
      <c r="G439" s="99"/>
      <c r="H439" s="100"/>
      <c r="I439" s="82">
        <f>IF(E439="",0,VLOOKUP(E439,DMHH!$D$8:$H$507,IF(H439="",4,5),0))</f>
        <v>0</v>
      </c>
      <c r="J439" s="82">
        <f t="shared" si="14"/>
        <v>0</v>
      </c>
      <c r="K439" s="65">
        <f t="shared" si="13"/>
        <v>41883</v>
      </c>
    </row>
    <row r="440" spans="3:11" ht="20.100000000000001" customHeight="1">
      <c r="C440" s="101"/>
      <c r="D440" s="101"/>
      <c r="E440" s="105"/>
      <c r="F440" s="106"/>
      <c r="G440" s="99"/>
      <c r="H440" s="100"/>
      <c r="I440" s="82">
        <f>IF(E440="",0,VLOOKUP(E440,DMHH!$D$8:$H$507,IF(H440="",4,5),0))</f>
        <v>0</v>
      </c>
      <c r="J440" s="82">
        <f t="shared" si="14"/>
        <v>0</v>
      </c>
      <c r="K440" s="65">
        <f t="shared" si="13"/>
        <v>41883</v>
      </c>
    </row>
    <row r="441" spans="3:11" ht="20.100000000000001" customHeight="1">
      <c r="C441" s="101"/>
      <c r="D441" s="101"/>
      <c r="E441" s="105"/>
      <c r="F441" s="106"/>
      <c r="G441" s="99"/>
      <c r="H441" s="100"/>
      <c r="I441" s="82">
        <f>IF(E441="",0,VLOOKUP(E441,DMHH!$D$8:$H$507,IF(H441="",4,5),0))</f>
        <v>0</v>
      </c>
      <c r="J441" s="82">
        <f t="shared" si="14"/>
        <v>0</v>
      </c>
      <c r="K441" s="65">
        <f t="shared" si="13"/>
        <v>41883</v>
      </c>
    </row>
    <row r="442" spans="3:11" ht="20.100000000000001" customHeight="1">
      <c r="C442" s="101"/>
      <c r="D442" s="101"/>
      <c r="E442" s="105"/>
      <c r="F442" s="106"/>
      <c r="G442" s="99"/>
      <c r="H442" s="100"/>
      <c r="I442" s="82">
        <f>IF(E442="",0,VLOOKUP(E442,DMHH!$D$8:$H$507,IF(H442="",4,5),0))</f>
        <v>0</v>
      </c>
      <c r="J442" s="82">
        <f t="shared" si="14"/>
        <v>0</v>
      </c>
      <c r="K442" s="65">
        <f t="shared" si="13"/>
        <v>41883</v>
      </c>
    </row>
    <row r="443" spans="3:11" ht="20.100000000000001" customHeight="1">
      <c r="C443" s="101"/>
      <c r="D443" s="101"/>
      <c r="E443" s="105"/>
      <c r="F443" s="106"/>
      <c r="G443" s="99"/>
      <c r="H443" s="100"/>
      <c r="I443" s="82">
        <f>IF(E443="",0,VLOOKUP(E443,DMHH!$D$8:$H$507,IF(H443="",4,5),0))</f>
        <v>0</v>
      </c>
      <c r="J443" s="82">
        <f t="shared" si="14"/>
        <v>0</v>
      </c>
      <c r="K443" s="65">
        <f t="shared" si="13"/>
        <v>41883</v>
      </c>
    </row>
    <row r="444" spans="3:11" ht="20.100000000000001" customHeight="1">
      <c r="C444" s="101"/>
      <c r="D444" s="101"/>
      <c r="E444" s="105"/>
      <c r="F444" s="106"/>
      <c r="G444" s="99"/>
      <c r="H444" s="100"/>
      <c r="I444" s="82">
        <f>IF(E444="",0,VLOOKUP(E444,DMHH!$D$8:$H$507,IF(H444="",4,5),0))</f>
        <v>0</v>
      </c>
      <c r="J444" s="82">
        <f t="shared" si="14"/>
        <v>0</v>
      </c>
      <c r="K444" s="65">
        <f t="shared" si="13"/>
        <v>41883</v>
      </c>
    </row>
    <row r="445" spans="3:11" ht="20.100000000000001" customHeight="1">
      <c r="C445" s="101"/>
      <c r="D445" s="101"/>
      <c r="E445" s="105"/>
      <c r="F445" s="106"/>
      <c r="G445" s="99"/>
      <c r="H445" s="100"/>
      <c r="I445" s="82">
        <f>IF(E445="",0,VLOOKUP(E445,DMHH!$D$8:$H$507,IF(H445="",4,5),0))</f>
        <v>0</v>
      </c>
      <c r="J445" s="82">
        <f t="shared" si="14"/>
        <v>0</v>
      </c>
      <c r="K445" s="65">
        <f t="shared" si="13"/>
        <v>41883</v>
      </c>
    </row>
    <row r="446" spans="3:11" ht="20.100000000000001" customHeight="1">
      <c r="C446" s="101"/>
      <c r="D446" s="101"/>
      <c r="E446" s="105"/>
      <c r="F446" s="106"/>
      <c r="G446" s="99"/>
      <c r="H446" s="100"/>
      <c r="I446" s="82">
        <f>IF(E446="",0,VLOOKUP(E446,DMHH!$D$8:$H$507,IF(H446="",4,5),0))</f>
        <v>0</v>
      </c>
      <c r="J446" s="82">
        <f t="shared" si="14"/>
        <v>0</v>
      </c>
      <c r="K446" s="65">
        <f t="shared" si="13"/>
        <v>41883</v>
      </c>
    </row>
    <row r="447" spans="3:11" ht="20.100000000000001" customHeight="1">
      <c r="C447" s="101"/>
      <c r="D447" s="101"/>
      <c r="E447" s="105"/>
      <c r="F447" s="106"/>
      <c r="G447" s="99"/>
      <c r="H447" s="100"/>
      <c r="I447" s="82">
        <f>IF(E447="",0,VLOOKUP(E447,DMHH!$D$8:$H$507,IF(H447="",4,5),0))</f>
        <v>0</v>
      </c>
      <c r="J447" s="82">
        <f t="shared" si="14"/>
        <v>0</v>
      </c>
      <c r="K447" s="65">
        <f t="shared" si="13"/>
        <v>41883</v>
      </c>
    </row>
    <row r="448" spans="3:11" ht="20.100000000000001" customHeight="1">
      <c r="C448" s="101"/>
      <c r="D448" s="101"/>
      <c r="E448" s="105"/>
      <c r="F448" s="106"/>
      <c r="G448" s="99"/>
      <c r="H448" s="100"/>
      <c r="I448" s="82">
        <f>IF(E448="",0,VLOOKUP(E448,DMHH!$D$8:$H$507,IF(H448="",4,5),0))</f>
        <v>0</v>
      </c>
      <c r="J448" s="82">
        <f t="shared" si="14"/>
        <v>0</v>
      </c>
      <c r="K448" s="65">
        <f t="shared" si="13"/>
        <v>41883</v>
      </c>
    </row>
    <row r="449" spans="3:11" ht="20.100000000000001" customHeight="1">
      <c r="C449" s="101"/>
      <c r="D449" s="101"/>
      <c r="E449" s="105"/>
      <c r="F449" s="106"/>
      <c r="G449" s="99"/>
      <c r="H449" s="100"/>
      <c r="I449" s="82">
        <f>IF(E449="",0,VLOOKUP(E449,DMHH!$D$8:$H$507,IF(H449="",4,5),0))</f>
        <v>0</v>
      </c>
      <c r="J449" s="82">
        <f t="shared" si="14"/>
        <v>0</v>
      </c>
      <c r="K449" s="65">
        <f t="shared" si="13"/>
        <v>41883</v>
      </c>
    </row>
    <row r="450" spans="3:11" ht="20.100000000000001" customHeight="1">
      <c r="C450" s="101"/>
      <c r="D450" s="101"/>
      <c r="E450" s="105"/>
      <c r="F450" s="106"/>
      <c r="G450" s="99"/>
      <c r="H450" s="100"/>
      <c r="I450" s="82">
        <f>IF(E450="",0,VLOOKUP(E450,DMHH!$D$8:$H$507,IF(H450="",4,5),0))</f>
        <v>0</v>
      </c>
      <c r="J450" s="82">
        <f t="shared" si="14"/>
        <v>0</v>
      </c>
      <c r="K450" s="65">
        <f t="shared" si="13"/>
        <v>41883</v>
      </c>
    </row>
    <row r="451" spans="3:11" ht="20.100000000000001" customHeight="1">
      <c r="C451" s="101"/>
      <c r="D451" s="101"/>
      <c r="E451" s="105"/>
      <c r="F451" s="106"/>
      <c r="G451" s="99"/>
      <c r="H451" s="100"/>
      <c r="I451" s="82">
        <f>IF(E451="",0,VLOOKUP(E451,DMHH!$D$8:$H$507,IF(H451="",4,5),0))</f>
        <v>0</v>
      </c>
      <c r="J451" s="82">
        <f t="shared" si="14"/>
        <v>0</v>
      </c>
      <c r="K451" s="65">
        <f t="shared" si="13"/>
        <v>41883</v>
      </c>
    </row>
    <row r="452" spans="3:11" ht="20.100000000000001" customHeight="1">
      <c r="C452" s="101"/>
      <c r="D452" s="101"/>
      <c r="E452" s="105"/>
      <c r="F452" s="106"/>
      <c r="G452" s="99"/>
      <c r="H452" s="100"/>
      <c r="I452" s="82">
        <f>IF(E452="",0,VLOOKUP(E452,DMHH!$D$8:$H$507,IF(H452="",4,5),0))</f>
        <v>0</v>
      </c>
      <c r="J452" s="82">
        <f t="shared" si="14"/>
        <v>0</v>
      </c>
      <c r="K452" s="65">
        <f t="shared" si="13"/>
        <v>41883</v>
      </c>
    </row>
    <row r="453" spans="3:11" ht="20.100000000000001" customHeight="1">
      <c r="C453" s="101"/>
      <c r="D453" s="101"/>
      <c r="E453" s="105"/>
      <c r="F453" s="106"/>
      <c r="G453" s="99"/>
      <c r="H453" s="100"/>
      <c r="I453" s="82">
        <f>IF(E453="",0,VLOOKUP(E453,DMHH!$D$8:$H$507,IF(H453="",4,5),0))</f>
        <v>0</v>
      </c>
      <c r="J453" s="82">
        <f t="shared" si="14"/>
        <v>0</v>
      </c>
      <c r="K453" s="65">
        <f t="shared" si="13"/>
        <v>41883</v>
      </c>
    </row>
    <row r="454" spans="3:11" ht="20.100000000000001" customHeight="1">
      <c r="C454" s="101"/>
      <c r="D454" s="101"/>
      <c r="E454" s="105"/>
      <c r="F454" s="106"/>
      <c r="G454" s="99"/>
      <c r="H454" s="100"/>
      <c r="I454" s="82">
        <f>IF(E454="",0,VLOOKUP(E454,DMHH!$D$8:$H$507,IF(H454="",4,5),0))</f>
        <v>0</v>
      </c>
      <c r="J454" s="82">
        <f t="shared" si="14"/>
        <v>0</v>
      </c>
      <c r="K454" s="65">
        <f t="shared" si="13"/>
        <v>41883</v>
      </c>
    </row>
    <row r="455" spans="3:11" ht="20.100000000000001" customHeight="1">
      <c r="C455" s="101"/>
      <c r="D455" s="101"/>
      <c r="E455" s="105"/>
      <c r="F455" s="106"/>
      <c r="G455" s="99"/>
      <c r="H455" s="100"/>
      <c r="I455" s="82">
        <f>IF(E455="",0,VLOOKUP(E455,DMHH!$D$8:$H$507,IF(H455="",4,5),0))</f>
        <v>0</v>
      </c>
      <c r="J455" s="82">
        <f t="shared" si="14"/>
        <v>0</v>
      </c>
      <c r="K455" s="65">
        <f t="shared" si="13"/>
        <v>41883</v>
      </c>
    </row>
    <row r="456" spans="3:11" ht="20.100000000000001" customHeight="1">
      <c r="C456" s="101"/>
      <c r="D456" s="101"/>
      <c r="E456" s="105"/>
      <c r="F456" s="106"/>
      <c r="G456" s="99"/>
      <c r="H456" s="100"/>
      <c r="I456" s="82">
        <f>IF(E456="",0,VLOOKUP(E456,DMHH!$D$8:$H$507,IF(H456="",4,5),0))</f>
        <v>0</v>
      </c>
      <c r="J456" s="82">
        <f t="shared" si="14"/>
        <v>0</v>
      </c>
      <c r="K456" s="65">
        <f t="shared" si="13"/>
        <v>41883</v>
      </c>
    </row>
    <row r="457" spans="3:11" ht="20.100000000000001" customHeight="1">
      <c r="C457" s="101"/>
      <c r="D457" s="101"/>
      <c r="E457" s="105"/>
      <c r="F457" s="106"/>
      <c r="G457" s="99"/>
      <c r="H457" s="100"/>
      <c r="I457" s="82">
        <f>IF(E457="",0,VLOOKUP(E457,DMHH!$D$8:$H$507,IF(H457="",4,5),0))</f>
        <v>0</v>
      </c>
      <c r="J457" s="82">
        <f t="shared" si="14"/>
        <v>0</v>
      </c>
      <c r="K457" s="65">
        <f t="shared" si="13"/>
        <v>41883</v>
      </c>
    </row>
    <row r="458" spans="3:11" ht="20.100000000000001" customHeight="1">
      <c r="C458" s="101"/>
      <c r="D458" s="101"/>
      <c r="E458" s="105"/>
      <c r="F458" s="106"/>
      <c r="G458" s="99"/>
      <c r="H458" s="100"/>
      <c r="I458" s="82">
        <f>IF(E458="",0,VLOOKUP(E458,DMHH!$D$8:$H$507,IF(H458="",4,5),0))</f>
        <v>0</v>
      </c>
      <c r="J458" s="82">
        <f t="shared" si="14"/>
        <v>0</v>
      </c>
      <c r="K458" s="65">
        <f t="shared" si="13"/>
        <v>41883</v>
      </c>
    </row>
    <row r="459" spans="3:11" ht="20.100000000000001" customHeight="1">
      <c r="C459" s="101"/>
      <c r="D459" s="101"/>
      <c r="E459" s="105"/>
      <c r="F459" s="106"/>
      <c r="G459" s="99"/>
      <c r="H459" s="100"/>
      <c r="I459" s="82">
        <f>IF(E459="",0,VLOOKUP(E459,DMHH!$D$8:$H$507,IF(H459="",4,5),0))</f>
        <v>0</v>
      </c>
      <c r="J459" s="82">
        <f t="shared" si="14"/>
        <v>0</v>
      </c>
      <c r="K459" s="65">
        <f t="shared" ref="K459:K522" si="15">IF(C459="",K458,C459)</f>
        <v>41883</v>
      </c>
    </row>
    <row r="460" spans="3:11" ht="20.100000000000001" customHeight="1">
      <c r="C460" s="101"/>
      <c r="D460" s="101"/>
      <c r="E460" s="105"/>
      <c r="F460" s="106"/>
      <c r="G460" s="99"/>
      <c r="H460" s="100"/>
      <c r="I460" s="82">
        <f>IF(E460="",0,VLOOKUP(E460,DMHH!$D$8:$H$507,IF(H460="",4,5),0))</f>
        <v>0</v>
      </c>
      <c r="J460" s="82">
        <f t="shared" si="14"/>
        <v>0</v>
      </c>
      <c r="K460" s="65">
        <f t="shared" si="15"/>
        <v>41883</v>
      </c>
    </row>
    <row r="461" spans="3:11" ht="20.100000000000001" customHeight="1">
      <c r="C461" s="101"/>
      <c r="D461" s="101"/>
      <c r="E461" s="105"/>
      <c r="F461" s="106"/>
      <c r="G461" s="99"/>
      <c r="H461" s="100"/>
      <c r="I461" s="82">
        <f>IF(E461="",0,VLOOKUP(E461,DMHH!$D$8:$H$507,IF(H461="",4,5),0))</f>
        <v>0</v>
      </c>
      <c r="J461" s="82">
        <f t="shared" ref="J461:J524" si="16">F461*I461+H461*I461</f>
        <v>0</v>
      </c>
      <c r="K461" s="65">
        <f t="shared" si="15"/>
        <v>41883</v>
      </c>
    </row>
    <row r="462" spans="3:11" ht="20.100000000000001" customHeight="1">
      <c r="C462" s="101"/>
      <c r="D462" s="101"/>
      <c r="E462" s="105"/>
      <c r="F462" s="106"/>
      <c r="G462" s="99"/>
      <c r="H462" s="100"/>
      <c r="I462" s="82">
        <f>IF(E462="",0,VLOOKUP(E462,DMHH!$D$8:$H$507,IF(H462="",4,5),0))</f>
        <v>0</v>
      </c>
      <c r="J462" s="82">
        <f t="shared" si="16"/>
        <v>0</v>
      </c>
      <c r="K462" s="65">
        <f t="shared" si="15"/>
        <v>41883</v>
      </c>
    </row>
    <row r="463" spans="3:11" ht="20.100000000000001" customHeight="1">
      <c r="C463" s="101"/>
      <c r="D463" s="101"/>
      <c r="E463" s="105"/>
      <c r="F463" s="106"/>
      <c r="G463" s="99"/>
      <c r="H463" s="100"/>
      <c r="I463" s="82">
        <f>IF(E463="",0,VLOOKUP(E463,DMHH!$D$8:$H$507,IF(H463="",4,5),0))</f>
        <v>0</v>
      </c>
      <c r="J463" s="82">
        <f t="shared" si="16"/>
        <v>0</v>
      </c>
      <c r="K463" s="65">
        <f t="shared" si="15"/>
        <v>41883</v>
      </c>
    </row>
    <row r="464" spans="3:11" ht="20.100000000000001" customHeight="1">
      <c r="C464" s="101"/>
      <c r="D464" s="101"/>
      <c r="E464" s="105"/>
      <c r="F464" s="106"/>
      <c r="G464" s="99"/>
      <c r="H464" s="100"/>
      <c r="I464" s="82">
        <f>IF(E464="",0,VLOOKUP(E464,DMHH!$D$8:$H$507,IF(H464="",4,5),0))</f>
        <v>0</v>
      </c>
      <c r="J464" s="82">
        <f t="shared" si="16"/>
        <v>0</v>
      </c>
      <c r="K464" s="65">
        <f t="shared" si="15"/>
        <v>41883</v>
      </c>
    </row>
    <row r="465" spans="3:11" ht="20.100000000000001" customHeight="1">
      <c r="C465" s="101"/>
      <c r="D465" s="101"/>
      <c r="E465" s="105"/>
      <c r="F465" s="106"/>
      <c r="G465" s="99"/>
      <c r="H465" s="100"/>
      <c r="I465" s="82">
        <f>IF(E465="",0,VLOOKUP(E465,DMHH!$D$8:$H$507,IF(H465="",4,5),0))</f>
        <v>0</v>
      </c>
      <c r="J465" s="82">
        <f t="shared" si="16"/>
        <v>0</v>
      </c>
      <c r="K465" s="65">
        <f t="shared" si="15"/>
        <v>41883</v>
      </c>
    </row>
    <row r="466" spans="3:11" ht="20.100000000000001" customHeight="1">
      <c r="C466" s="101"/>
      <c r="D466" s="101"/>
      <c r="E466" s="105"/>
      <c r="F466" s="106"/>
      <c r="G466" s="99"/>
      <c r="H466" s="100"/>
      <c r="I466" s="82">
        <f>IF(E466="",0,VLOOKUP(E466,DMHH!$D$8:$H$507,IF(H466="",4,5),0))</f>
        <v>0</v>
      </c>
      <c r="J466" s="82">
        <f t="shared" si="16"/>
        <v>0</v>
      </c>
      <c r="K466" s="65">
        <f t="shared" si="15"/>
        <v>41883</v>
      </c>
    </row>
    <row r="467" spans="3:11" ht="20.100000000000001" customHeight="1">
      <c r="C467" s="101"/>
      <c r="D467" s="101"/>
      <c r="E467" s="105"/>
      <c r="F467" s="106"/>
      <c r="G467" s="99"/>
      <c r="H467" s="100"/>
      <c r="I467" s="82">
        <f>IF(E467="",0,VLOOKUP(E467,DMHH!$D$8:$H$507,IF(H467="",4,5),0))</f>
        <v>0</v>
      </c>
      <c r="J467" s="82">
        <f t="shared" si="16"/>
        <v>0</v>
      </c>
      <c r="K467" s="65">
        <f t="shared" si="15"/>
        <v>41883</v>
      </c>
    </row>
    <row r="468" spans="3:11" ht="20.100000000000001" customHeight="1">
      <c r="C468" s="101"/>
      <c r="D468" s="101"/>
      <c r="E468" s="105"/>
      <c r="F468" s="106"/>
      <c r="G468" s="99"/>
      <c r="H468" s="100"/>
      <c r="I468" s="82">
        <f>IF(E468="",0,VLOOKUP(E468,DMHH!$D$8:$H$507,IF(H468="",4,5),0))</f>
        <v>0</v>
      </c>
      <c r="J468" s="82">
        <f t="shared" si="16"/>
        <v>0</v>
      </c>
      <c r="K468" s="65">
        <f t="shared" si="15"/>
        <v>41883</v>
      </c>
    </row>
    <row r="469" spans="3:11" ht="20.100000000000001" customHeight="1">
      <c r="C469" s="101"/>
      <c r="D469" s="101"/>
      <c r="E469" s="105"/>
      <c r="F469" s="106"/>
      <c r="G469" s="99"/>
      <c r="H469" s="100"/>
      <c r="I469" s="82">
        <f>IF(E469="",0,VLOOKUP(E469,DMHH!$D$8:$H$507,IF(H469="",4,5),0))</f>
        <v>0</v>
      </c>
      <c r="J469" s="82">
        <f t="shared" si="16"/>
        <v>0</v>
      </c>
      <c r="K469" s="65">
        <f t="shared" si="15"/>
        <v>41883</v>
      </c>
    </row>
    <row r="470" spans="3:11" ht="20.100000000000001" customHeight="1">
      <c r="C470" s="101"/>
      <c r="D470" s="101"/>
      <c r="E470" s="105"/>
      <c r="F470" s="106"/>
      <c r="G470" s="99"/>
      <c r="H470" s="100"/>
      <c r="I470" s="82">
        <f>IF(E470="",0,VLOOKUP(E470,DMHH!$D$8:$H$507,IF(H470="",4,5),0))</f>
        <v>0</v>
      </c>
      <c r="J470" s="82">
        <f t="shared" si="16"/>
        <v>0</v>
      </c>
      <c r="K470" s="65">
        <f t="shared" si="15"/>
        <v>41883</v>
      </c>
    </row>
    <row r="471" spans="3:11" ht="20.100000000000001" customHeight="1">
      <c r="C471" s="101"/>
      <c r="D471" s="101"/>
      <c r="E471" s="105"/>
      <c r="F471" s="106"/>
      <c r="G471" s="99"/>
      <c r="H471" s="100"/>
      <c r="I471" s="82">
        <f>IF(E471="",0,VLOOKUP(E471,DMHH!$D$8:$H$507,IF(H471="",4,5),0))</f>
        <v>0</v>
      </c>
      <c r="J471" s="82">
        <f t="shared" si="16"/>
        <v>0</v>
      </c>
      <c r="K471" s="65">
        <f t="shared" si="15"/>
        <v>41883</v>
      </c>
    </row>
    <row r="472" spans="3:11" ht="20.100000000000001" customHeight="1">
      <c r="C472" s="101"/>
      <c r="D472" s="101"/>
      <c r="E472" s="105"/>
      <c r="F472" s="106"/>
      <c r="G472" s="99"/>
      <c r="H472" s="100"/>
      <c r="I472" s="82">
        <f>IF(E472="",0,VLOOKUP(E472,DMHH!$D$8:$H$507,IF(H472="",4,5),0))</f>
        <v>0</v>
      </c>
      <c r="J472" s="82">
        <f t="shared" si="16"/>
        <v>0</v>
      </c>
      <c r="K472" s="65">
        <f t="shared" si="15"/>
        <v>41883</v>
      </c>
    </row>
    <row r="473" spans="3:11" ht="20.100000000000001" customHeight="1">
      <c r="C473" s="101"/>
      <c r="D473" s="101"/>
      <c r="E473" s="105"/>
      <c r="F473" s="106"/>
      <c r="G473" s="99"/>
      <c r="H473" s="100"/>
      <c r="I473" s="82">
        <f>IF(E473="",0,VLOOKUP(E473,DMHH!$D$8:$H$507,IF(H473="",4,5),0))</f>
        <v>0</v>
      </c>
      <c r="J473" s="82">
        <f t="shared" si="16"/>
        <v>0</v>
      </c>
      <c r="K473" s="65">
        <f t="shared" si="15"/>
        <v>41883</v>
      </c>
    </row>
    <row r="474" spans="3:11" ht="20.100000000000001" customHeight="1">
      <c r="C474" s="101"/>
      <c r="D474" s="101"/>
      <c r="E474" s="105"/>
      <c r="F474" s="106"/>
      <c r="G474" s="99"/>
      <c r="H474" s="100"/>
      <c r="I474" s="82">
        <f>IF(E474="",0,VLOOKUP(E474,DMHH!$D$8:$H$507,IF(H474="",4,5),0))</f>
        <v>0</v>
      </c>
      <c r="J474" s="82">
        <f t="shared" si="16"/>
        <v>0</v>
      </c>
      <c r="K474" s="65">
        <f t="shared" si="15"/>
        <v>41883</v>
      </c>
    </row>
    <row r="475" spans="3:11" ht="20.100000000000001" customHeight="1">
      <c r="C475" s="101"/>
      <c r="D475" s="101"/>
      <c r="E475" s="105"/>
      <c r="F475" s="106"/>
      <c r="G475" s="99"/>
      <c r="H475" s="100"/>
      <c r="I475" s="82">
        <f>IF(E475="",0,VLOOKUP(E475,DMHH!$D$8:$H$507,IF(H475="",4,5),0))</f>
        <v>0</v>
      </c>
      <c r="J475" s="82">
        <f t="shared" si="16"/>
        <v>0</v>
      </c>
      <c r="K475" s="65">
        <f t="shared" si="15"/>
        <v>41883</v>
      </c>
    </row>
    <row r="476" spans="3:11" ht="20.100000000000001" customHeight="1">
      <c r="C476" s="101"/>
      <c r="D476" s="101"/>
      <c r="E476" s="105"/>
      <c r="F476" s="106"/>
      <c r="G476" s="99"/>
      <c r="H476" s="100"/>
      <c r="I476" s="82">
        <f>IF(E476="",0,VLOOKUP(E476,DMHH!$D$8:$H$507,IF(H476="",4,5),0))</f>
        <v>0</v>
      </c>
      <c r="J476" s="82">
        <f t="shared" si="16"/>
        <v>0</v>
      </c>
      <c r="K476" s="65">
        <f t="shared" si="15"/>
        <v>41883</v>
      </c>
    </row>
    <row r="477" spans="3:11" ht="20.100000000000001" customHeight="1">
      <c r="C477" s="101"/>
      <c r="D477" s="101"/>
      <c r="E477" s="105"/>
      <c r="F477" s="106"/>
      <c r="G477" s="99"/>
      <c r="H477" s="100"/>
      <c r="I477" s="82">
        <f>IF(E477="",0,VLOOKUP(E477,DMHH!$D$8:$H$507,IF(H477="",4,5),0))</f>
        <v>0</v>
      </c>
      <c r="J477" s="82">
        <f t="shared" si="16"/>
        <v>0</v>
      </c>
      <c r="K477" s="65">
        <f t="shared" si="15"/>
        <v>41883</v>
      </c>
    </row>
    <row r="478" spans="3:11" ht="20.100000000000001" customHeight="1">
      <c r="C478" s="101"/>
      <c r="D478" s="101"/>
      <c r="E478" s="105"/>
      <c r="F478" s="106"/>
      <c r="G478" s="99"/>
      <c r="H478" s="100"/>
      <c r="I478" s="82">
        <f>IF(E478="",0,VLOOKUP(E478,DMHH!$D$8:$H$507,IF(H478="",4,5),0))</f>
        <v>0</v>
      </c>
      <c r="J478" s="82">
        <f t="shared" si="16"/>
        <v>0</v>
      </c>
      <c r="K478" s="65">
        <f t="shared" si="15"/>
        <v>41883</v>
      </c>
    </row>
    <row r="479" spans="3:11" ht="20.100000000000001" customHeight="1">
      <c r="C479" s="101"/>
      <c r="D479" s="101"/>
      <c r="E479" s="105"/>
      <c r="F479" s="106"/>
      <c r="G479" s="99"/>
      <c r="H479" s="100"/>
      <c r="I479" s="82">
        <f>IF(E479="",0,VLOOKUP(E479,DMHH!$D$8:$H$507,IF(H479="",4,5),0))</f>
        <v>0</v>
      </c>
      <c r="J479" s="82">
        <f t="shared" si="16"/>
        <v>0</v>
      </c>
      <c r="K479" s="65">
        <f t="shared" si="15"/>
        <v>41883</v>
      </c>
    </row>
    <row r="480" spans="3:11" ht="20.100000000000001" customHeight="1">
      <c r="C480" s="101"/>
      <c r="D480" s="101"/>
      <c r="E480" s="105"/>
      <c r="F480" s="106"/>
      <c r="G480" s="99"/>
      <c r="H480" s="100"/>
      <c r="I480" s="82">
        <f>IF(E480="",0,VLOOKUP(E480,DMHH!$D$8:$H$507,IF(H480="",4,5),0))</f>
        <v>0</v>
      </c>
      <c r="J480" s="82">
        <f t="shared" si="16"/>
        <v>0</v>
      </c>
      <c r="K480" s="65">
        <f t="shared" si="15"/>
        <v>41883</v>
      </c>
    </row>
    <row r="481" spans="3:11" ht="20.100000000000001" customHeight="1">
      <c r="C481" s="101"/>
      <c r="D481" s="101"/>
      <c r="E481" s="105"/>
      <c r="F481" s="106"/>
      <c r="G481" s="99"/>
      <c r="H481" s="100"/>
      <c r="I481" s="82">
        <f>IF(E481="",0,VLOOKUP(E481,DMHH!$D$8:$H$507,IF(H481="",4,5),0))</f>
        <v>0</v>
      </c>
      <c r="J481" s="82">
        <f t="shared" si="16"/>
        <v>0</v>
      </c>
      <c r="K481" s="65">
        <f t="shared" si="15"/>
        <v>41883</v>
      </c>
    </row>
    <row r="482" spans="3:11" ht="20.100000000000001" customHeight="1">
      <c r="C482" s="101"/>
      <c r="D482" s="101"/>
      <c r="E482" s="105"/>
      <c r="F482" s="106"/>
      <c r="G482" s="99"/>
      <c r="H482" s="100"/>
      <c r="I482" s="82">
        <f>IF(E482="",0,VLOOKUP(E482,DMHH!$D$8:$H$507,IF(H482="",4,5),0))</f>
        <v>0</v>
      </c>
      <c r="J482" s="82">
        <f t="shared" si="16"/>
        <v>0</v>
      </c>
      <c r="K482" s="65">
        <f t="shared" si="15"/>
        <v>41883</v>
      </c>
    </row>
    <row r="483" spans="3:11" ht="20.100000000000001" customHeight="1">
      <c r="C483" s="101"/>
      <c r="D483" s="101"/>
      <c r="E483" s="105"/>
      <c r="F483" s="106"/>
      <c r="G483" s="99"/>
      <c r="H483" s="100"/>
      <c r="I483" s="82">
        <f>IF(E483="",0,VLOOKUP(E483,DMHH!$D$8:$H$507,IF(H483="",4,5),0))</f>
        <v>0</v>
      </c>
      <c r="J483" s="82">
        <f t="shared" si="16"/>
        <v>0</v>
      </c>
      <c r="K483" s="65">
        <f t="shared" si="15"/>
        <v>41883</v>
      </c>
    </row>
    <row r="484" spans="3:11" ht="20.100000000000001" customHeight="1">
      <c r="C484" s="101"/>
      <c r="D484" s="101"/>
      <c r="E484" s="105"/>
      <c r="F484" s="106"/>
      <c r="G484" s="99"/>
      <c r="H484" s="100"/>
      <c r="I484" s="82">
        <f>IF(E484="",0,VLOOKUP(E484,DMHH!$D$8:$H$507,IF(H484="",4,5),0))</f>
        <v>0</v>
      </c>
      <c r="J484" s="82">
        <f t="shared" si="16"/>
        <v>0</v>
      </c>
      <c r="K484" s="65">
        <f t="shared" si="15"/>
        <v>41883</v>
      </c>
    </row>
    <row r="485" spans="3:11" ht="20.100000000000001" customHeight="1">
      <c r="C485" s="101"/>
      <c r="D485" s="101"/>
      <c r="E485" s="105"/>
      <c r="F485" s="106"/>
      <c r="G485" s="99"/>
      <c r="H485" s="100"/>
      <c r="I485" s="82">
        <f>IF(E485="",0,VLOOKUP(E485,DMHH!$D$8:$H$507,IF(H485="",4,5),0))</f>
        <v>0</v>
      </c>
      <c r="J485" s="82">
        <f t="shared" si="16"/>
        <v>0</v>
      </c>
      <c r="K485" s="65">
        <f t="shared" si="15"/>
        <v>41883</v>
      </c>
    </row>
    <row r="486" spans="3:11" ht="20.100000000000001" customHeight="1">
      <c r="C486" s="101"/>
      <c r="D486" s="101"/>
      <c r="E486" s="105"/>
      <c r="F486" s="106"/>
      <c r="G486" s="99"/>
      <c r="H486" s="100"/>
      <c r="I486" s="82">
        <f>IF(E486="",0,VLOOKUP(E486,DMHH!$D$8:$H$507,IF(H486="",4,5),0))</f>
        <v>0</v>
      </c>
      <c r="J486" s="82">
        <f t="shared" si="16"/>
        <v>0</v>
      </c>
      <c r="K486" s="65">
        <f t="shared" si="15"/>
        <v>41883</v>
      </c>
    </row>
    <row r="487" spans="3:11" ht="20.100000000000001" customHeight="1">
      <c r="C487" s="101"/>
      <c r="D487" s="101"/>
      <c r="E487" s="105"/>
      <c r="F487" s="106"/>
      <c r="G487" s="99"/>
      <c r="H487" s="100"/>
      <c r="I487" s="82">
        <f>IF(E487="",0,VLOOKUP(E487,DMHH!$D$8:$H$507,IF(H487="",4,5),0))</f>
        <v>0</v>
      </c>
      <c r="J487" s="82">
        <f t="shared" si="16"/>
        <v>0</v>
      </c>
      <c r="K487" s="65">
        <f t="shared" si="15"/>
        <v>41883</v>
      </c>
    </row>
    <row r="488" spans="3:11" ht="20.100000000000001" customHeight="1">
      <c r="C488" s="101"/>
      <c r="D488" s="101"/>
      <c r="E488" s="105"/>
      <c r="F488" s="106"/>
      <c r="G488" s="99"/>
      <c r="H488" s="100"/>
      <c r="I488" s="82">
        <f>IF(E488="",0,VLOOKUP(E488,DMHH!$D$8:$H$507,IF(H488="",4,5),0))</f>
        <v>0</v>
      </c>
      <c r="J488" s="82">
        <f t="shared" si="16"/>
        <v>0</v>
      </c>
      <c r="K488" s="65">
        <f t="shared" si="15"/>
        <v>41883</v>
      </c>
    </row>
    <row r="489" spans="3:11" ht="20.100000000000001" customHeight="1">
      <c r="C489" s="101"/>
      <c r="D489" s="101"/>
      <c r="E489" s="105"/>
      <c r="F489" s="106"/>
      <c r="G489" s="99"/>
      <c r="H489" s="100"/>
      <c r="I489" s="82">
        <f>IF(E489="",0,VLOOKUP(E489,DMHH!$D$8:$H$507,IF(H489="",4,5),0))</f>
        <v>0</v>
      </c>
      <c r="J489" s="82">
        <f t="shared" si="16"/>
        <v>0</v>
      </c>
      <c r="K489" s="65">
        <f t="shared" si="15"/>
        <v>41883</v>
      </c>
    </row>
    <row r="490" spans="3:11" ht="20.100000000000001" customHeight="1">
      <c r="C490" s="101"/>
      <c r="D490" s="101"/>
      <c r="E490" s="105"/>
      <c r="F490" s="106"/>
      <c r="G490" s="99"/>
      <c r="H490" s="100"/>
      <c r="I490" s="82">
        <f>IF(E490="",0,VLOOKUP(E490,DMHH!$D$8:$H$507,IF(H490="",4,5),0))</f>
        <v>0</v>
      </c>
      <c r="J490" s="82">
        <f t="shared" si="16"/>
        <v>0</v>
      </c>
      <c r="K490" s="65">
        <f t="shared" si="15"/>
        <v>41883</v>
      </c>
    </row>
    <row r="491" spans="3:11" ht="20.100000000000001" customHeight="1">
      <c r="C491" s="101"/>
      <c r="D491" s="101"/>
      <c r="E491" s="105"/>
      <c r="F491" s="106"/>
      <c r="G491" s="99"/>
      <c r="H491" s="100"/>
      <c r="I491" s="82">
        <f>IF(E491="",0,VLOOKUP(E491,DMHH!$D$8:$H$507,IF(H491="",4,5),0))</f>
        <v>0</v>
      </c>
      <c r="J491" s="82">
        <f t="shared" si="16"/>
        <v>0</v>
      </c>
      <c r="K491" s="65">
        <f t="shared" si="15"/>
        <v>41883</v>
      </c>
    </row>
    <row r="492" spans="3:11" ht="20.100000000000001" customHeight="1">
      <c r="C492" s="101"/>
      <c r="D492" s="101"/>
      <c r="E492" s="105"/>
      <c r="F492" s="106"/>
      <c r="G492" s="99"/>
      <c r="H492" s="100"/>
      <c r="I492" s="82">
        <f>IF(E492="",0,VLOOKUP(E492,DMHH!$D$8:$H$507,IF(H492="",4,5),0))</f>
        <v>0</v>
      </c>
      <c r="J492" s="82">
        <f t="shared" si="16"/>
        <v>0</v>
      </c>
      <c r="K492" s="65">
        <f t="shared" si="15"/>
        <v>41883</v>
      </c>
    </row>
    <row r="493" spans="3:11" ht="20.100000000000001" customHeight="1">
      <c r="C493" s="101"/>
      <c r="D493" s="101"/>
      <c r="E493" s="105"/>
      <c r="F493" s="106"/>
      <c r="G493" s="99"/>
      <c r="H493" s="100"/>
      <c r="I493" s="82">
        <f>IF(E493="",0,VLOOKUP(E493,DMHH!$D$8:$H$507,IF(H493="",4,5),0))</f>
        <v>0</v>
      </c>
      <c r="J493" s="82">
        <f t="shared" si="16"/>
        <v>0</v>
      </c>
      <c r="K493" s="65">
        <f t="shared" si="15"/>
        <v>41883</v>
      </c>
    </row>
    <row r="494" spans="3:11" ht="20.100000000000001" customHeight="1">
      <c r="C494" s="101"/>
      <c r="D494" s="101"/>
      <c r="E494" s="105"/>
      <c r="F494" s="106"/>
      <c r="G494" s="99"/>
      <c r="H494" s="100"/>
      <c r="I494" s="82">
        <f>IF(E494="",0,VLOOKUP(E494,DMHH!$D$8:$H$507,IF(H494="",4,5),0))</f>
        <v>0</v>
      </c>
      <c r="J494" s="82">
        <f t="shared" si="16"/>
        <v>0</v>
      </c>
      <c r="K494" s="65">
        <f t="shared" si="15"/>
        <v>41883</v>
      </c>
    </row>
    <row r="495" spans="3:11" ht="20.100000000000001" customHeight="1">
      <c r="C495" s="101"/>
      <c r="D495" s="101"/>
      <c r="E495" s="105"/>
      <c r="F495" s="106"/>
      <c r="G495" s="99"/>
      <c r="H495" s="100"/>
      <c r="I495" s="82">
        <f>IF(E495="",0,VLOOKUP(E495,DMHH!$D$8:$H$507,IF(H495="",4,5),0))</f>
        <v>0</v>
      </c>
      <c r="J495" s="82">
        <f t="shared" si="16"/>
        <v>0</v>
      </c>
      <c r="K495" s="65">
        <f t="shared" si="15"/>
        <v>41883</v>
      </c>
    </row>
    <row r="496" spans="3:11" ht="20.100000000000001" customHeight="1">
      <c r="C496" s="101"/>
      <c r="D496" s="101"/>
      <c r="E496" s="105"/>
      <c r="F496" s="106"/>
      <c r="G496" s="99"/>
      <c r="H496" s="100"/>
      <c r="I496" s="82">
        <f>IF(E496="",0,VLOOKUP(E496,DMHH!$D$8:$H$507,IF(H496="",4,5),0))</f>
        <v>0</v>
      </c>
      <c r="J496" s="82">
        <f t="shared" si="16"/>
        <v>0</v>
      </c>
      <c r="K496" s="65">
        <f t="shared" si="15"/>
        <v>41883</v>
      </c>
    </row>
    <row r="497" spans="3:11" ht="20.100000000000001" customHeight="1">
      <c r="C497" s="101"/>
      <c r="D497" s="101"/>
      <c r="E497" s="105"/>
      <c r="F497" s="106"/>
      <c r="G497" s="99"/>
      <c r="H497" s="100"/>
      <c r="I497" s="82">
        <f>IF(E497="",0,VLOOKUP(E497,DMHH!$D$8:$H$507,IF(H497="",4,5),0))</f>
        <v>0</v>
      </c>
      <c r="J497" s="82">
        <f t="shared" si="16"/>
        <v>0</v>
      </c>
      <c r="K497" s="65">
        <f t="shared" si="15"/>
        <v>41883</v>
      </c>
    </row>
    <row r="498" spans="3:11" ht="20.100000000000001" customHeight="1">
      <c r="C498" s="101"/>
      <c r="D498" s="101"/>
      <c r="E498" s="105"/>
      <c r="F498" s="106"/>
      <c r="G498" s="99"/>
      <c r="H498" s="100"/>
      <c r="I498" s="82">
        <f>IF(E498="",0,VLOOKUP(E498,DMHH!$D$8:$H$507,IF(H498="",4,5),0))</f>
        <v>0</v>
      </c>
      <c r="J498" s="82">
        <f t="shared" si="16"/>
        <v>0</v>
      </c>
      <c r="K498" s="65">
        <f t="shared" si="15"/>
        <v>41883</v>
      </c>
    </row>
    <row r="499" spans="3:11" ht="20.100000000000001" customHeight="1">
      <c r="C499" s="101"/>
      <c r="D499" s="101"/>
      <c r="E499" s="105"/>
      <c r="F499" s="106"/>
      <c r="G499" s="99"/>
      <c r="H499" s="100"/>
      <c r="I499" s="82">
        <f>IF(E499="",0,VLOOKUP(E499,DMHH!$D$8:$H$507,IF(H499="",4,5),0))</f>
        <v>0</v>
      </c>
      <c r="J499" s="82">
        <f t="shared" si="16"/>
        <v>0</v>
      </c>
      <c r="K499" s="65">
        <f t="shared" si="15"/>
        <v>41883</v>
      </c>
    </row>
    <row r="500" spans="3:11" ht="20.100000000000001" customHeight="1">
      <c r="C500" s="101"/>
      <c r="D500" s="101"/>
      <c r="E500" s="105"/>
      <c r="F500" s="106"/>
      <c r="G500" s="99"/>
      <c r="H500" s="100"/>
      <c r="I500" s="82">
        <f>IF(E500="",0,VLOOKUP(E500,DMHH!$D$8:$H$507,IF(H500="",4,5),0))</f>
        <v>0</v>
      </c>
      <c r="J500" s="82">
        <f t="shared" si="16"/>
        <v>0</v>
      </c>
      <c r="K500" s="65">
        <f t="shared" si="15"/>
        <v>41883</v>
      </c>
    </row>
    <row r="501" spans="3:11" ht="20.100000000000001" customHeight="1">
      <c r="C501" s="101"/>
      <c r="D501" s="101"/>
      <c r="E501" s="105"/>
      <c r="F501" s="106"/>
      <c r="G501" s="99"/>
      <c r="H501" s="100"/>
      <c r="I501" s="82">
        <f>IF(E501="",0,VLOOKUP(E501,DMHH!$D$8:$H$507,IF(H501="",4,5),0))</f>
        <v>0</v>
      </c>
      <c r="J501" s="82">
        <f t="shared" si="16"/>
        <v>0</v>
      </c>
      <c r="K501" s="65">
        <f t="shared" si="15"/>
        <v>41883</v>
      </c>
    </row>
    <row r="502" spans="3:11" ht="20.100000000000001" customHeight="1">
      <c r="C502" s="101"/>
      <c r="D502" s="101"/>
      <c r="E502" s="105"/>
      <c r="F502" s="106"/>
      <c r="G502" s="99"/>
      <c r="H502" s="100"/>
      <c r="I502" s="82">
        <f>IF(E502="",0,VLOOKUP(E502,DMHH!$D$8:$H$507,IF(H502="",4,5),0))</f>
        <v>0</v>
      </c>
      <c r="J502" s="82">
        <f t="shared" si="16"/>
        <v>0</v>
      </c>
      <c r="K502" s="65">
        <f t="shared" si="15"/>
        <v>41883</v>
      </c>
    </row>
    <row r="503" spans="3:11" ht="20.100000000000001" customHeight="1">
      <c r="C503" s="101"/>
      <c r="D503" s="101"/>
      <c r="E503" s="105"/>
      <c r="F503" s="106"/>
      <c r="G503" s="99"/>
      <c r="H503" s="100"/>
      <c r="I503" s="82">
        <f>IF(E503="",0,VLOOKUP(E503,DMHH!$D$8:$H$507,IF(H503="",4,5),0))</f>
        <v>0</v>
      </c>
      <c r="J503" s="82">
        <f t="shared" si="16"/>
        <v>0</v>
      </c>
      <c r="K503" s="65">
        <f t="shared" si="15"/>
        <v>41883</v>
      </c>
    </row>
    <row r="504" spans="3:11" ht="20.100000000000001" customHeight="1">
      <c r="C504" s="101"/>
      <c r="D504" s="101"/>
      <c r="E504" s="105"/>
      <c r="F504" s="106"/>
      <c r="G504" s="99"/>
      <c r="H504" s="100"/>
      <c r="I504" s="82">
        <f>IF(E504="",0,VLOOKUP(E504,DMHH!$D$8:$H$507,IF(H504="",4,5),0))</f>
        <v>0</v>
      </c>
      <c r="J504" s="82">
        <f t="shared" si="16"/>
        <v>0</v>
      </c>
      <c r="K504" s="65">
        <f t="shared" si="15"/>
        <v>41883</v>
      </c>
    </row>
    <row r="505" spans="3:11" ht="20.100000000000001" customHeight="1">
      <c r="C505" s="101"/>
      <c r="D505" s="101"/>
      <c r="E505" s="105"/>
      <c r="F505" s="106"/>
      <c r="G505" s="99"/>
      <c r="H505" s="100"/>
      <c r="I505" s="82">
        <f>IF(E505="",0,VLOOKUP(E505,DMHH!$D$8:$H$507,IF(H505="",4,5),0))</f>
        <v>0</v>
      </c>
      <c r="J505" s="82">
        <f t="shared" si="16"/>
        <v>0</v>
      </c>
      <c r="K505" s="65">
        <f t="shared" si="15"/>
        <v>41883</v>
      </c>
    </row>
    <row r="506" spans="3:11" ht="20.100000000000001" customHeight="1">
      <c r="C506" s="96"/>
      <c r="D506" s="96"/>
      <c r="E506" s="112"/>
      <c r="F506" s="100"/>
      <c r="G506" s="99"/>
      <c r="H506" s="100"/>
      <c r="I506" s="82">
        <f>IF(E506="",0,VLOOKUP(E506,DMHH!$D$8:$H$507,IF(H506="",4,5),0))</f>
        <v>0</v>
      </c>
      <c r="J506" s="82">
        <f t="shared" si="16"/>
        <v>0</v>
      </c>
      <c r="K506" s="65">
        <f t="shared" si="15"/>
        <v>41883</v>
      </c>
    </row>
    <row r="507" spans="3:11" ht="20.100000000000001" customHeight="1">
      <c r="C507" s="96"/>
      <c r="D507" s="96"/>
      <c r="E507" s="112"/>
      <c r="F507" s="100"/>
      <c r="G507" s="99"/>
      <c r="H507" s="100"/>
      <c r="I507" s="82">
        <f>IF(E507="",0,VLOOKUP(E507,DMHH!$D$8:$H$507,IF(H507="",4,5),0))</f>
        <v>0</v>
      </c>
      <c r="J507" s="82">
        <f t="shared" si="16"/>
        <v>0</v>
      </c>
      <c r="K507" s="65">
        <f t="shared" si="15"/>
        <v>41883</v>
      </c>
    </row>
    <row r="508" spans="3:11" ht="20.100000000000001" customHeight="1">
      <c r="C508" s="96"/>
      <c r="D508" s="96"/>
      <c r="E508" s="112"/>
      <c r="F508" s="100"/>
      <c r="G508" s="99"/>
      <c r="H508" s="100"/>
      <c r="I508" s="82">
        <f>IF(E508="",0,VLOOKUP(E508,DMHH!$D$8:$H$507,IF(H508="",4,5),0))</f>
        <v>0</v>
      </c>
      <c r="J508" s="82">
        <f t="shared" si="16"/>
        <v>0</v>
      </c>
      <c r="K508" s="65">
        <f t="shared" si="15"/>
        <v>41883</v>
      </c>
    </row>
    <row r="509" spans="3:11" ht="20.100000000000001" customHeight="1">
      <c r="C509" s="96"/>
      <c r="D509" s="96"/>
      <c r="E509" s="112"/>
      <c r="F509" s="100"/>
      <c r="G509" s="99"/>
      <c r="H509" s="100"/>
      <c r="I509" s="82">
        <f>IF(E509="",0,VLOOKUP(E509,DMHH!$D$8:$H$507,IF(H509="",4,5),0))</f>
        <v>0</v>
      </c>
      <c r="J509" s="82">
        <f t="shared" si="16"/>
        <v>0</v>
      </c>
      <c r="K509" s="65">
        <f t="shared" si="15"/>
        <v>41883</v>
      </c>
    </row>
    <row r="510" spans="3:11" ht="20.100000000000001" customHeight="1">
      <c r="C510" s="96"/>
      <c r="D510" s="96"/>
      <c r="E510" s="112"/>
      <c r="F510" s="100"/>
      <c r="G510" s="99"/>
      <c r="H510" s="100"/>
      <c r="I510" s="82">
        <f>IF(E510="",0,VLOOKUP(E510,DMHH!$D$8:$H$507,IF(H510="",4,5),0))</f>
        <v>0</v>
      </c>
      <c r="J510" s="82">
        <f t="shared" si="16"/>
        <v>0</v>
      </c>
      <c r="K510" s="65">
        <f t="shared" si="15"/>
        <v>41883</v>
      </c>
    </row>
    <row r="511" spans="3:11" ht="20.100000000000001" customHeight="1">
      <c r="C511" s="96"/>
      <c r="D511" s="96"/>
      <c r="E511" s="112"/>
      <c r="F511" s="100"/>
      <c r="G511" s="99"/>
      <c r="H511" s="100"/>
      <c r="I511" s="82">
        <f>IF(E511="",0,VLOOKUP(E511,DMHH!$D$8:$H$507,IF(H511="",4,5),0))</f>
        <v>0</v>
      </c>
      <c r="J511" s="82">
        <f t="shared" si="16"/>
        <v>0</v>
      </c>
      <c r="K511" s="65">
        <f t="shared" si="15"/>
        <v>41883</v>
      </c>
    </row>
    <row r="512" spans="3:11" ht="20.100000000000001" customHeight="1">
      <c r="C512" s="96"/>
      <c r="D512" s="96"/>
      <c r="E512" s="112"/>
      <c r="F512" s="100"/>
      <c r="G512" s="99"/>
      <c r="H512" s="100"/>
      <c r="I512" s="82">
        <f>IF(E512="",0,VLOOKUP(E512,DMHH!$D$8:$H$507,IF(H512="",4,5),0))</f>
        <v>0</v>
      </c>
      <c r="J512" s="82">
        <f t="shared" si="16"/>
        <v>0</v>
      </c>
      <c r="K512" s="65">
        <f t="shared" si="15"/>
        <v>41883</v>
      </c>
    </row>
    <row r="513" spans="3:11" ht="20.100000000000001" customHeight="1">
      <c r="C513" s="96"/>
      <c r="D513" s="96"/>
      <c r="E513" s="112"/>
      <c r="F513" s="100"/>
      <c r="G513" s="99"/>
      <c r="H513" s="100"/>
      <c r="I513" s="82">
        <f>IF(E513="",0,VLOOKUP(E513,DMHH!$D$8:$H$507,IF(H513="",4,5),0))</f>
        <v>0</v>
      </c>
      <c r="J513" s="82">
        <f t="shared" si="16"/>
        <v>0</v>
      </c>
      <c r="K513" s="65">
        <f t="shared" si="15"/>
        <v>41883</v>
      </c>
    </row>
    <row r="514" spans="3:11" ht="20.100000000000001" customHeight="1">
      <c r="C514" s="96"/>
      <c r="D514" s="96"/>
      <c r="E514" s="112"/>
      <c r="F514" s="100"/>
      <c r="G514" s="99"/>
      <c r="H514" s="100"/>
      <c r="I514" s="82">
        <f>IF(E514="",0,VLOOKUP(E514,DMHH!$D$8:$H$507,IF(H514="",4,5),0))</f>
        <v>0</v>
      </c>
      <c r="J514" s="82">
        <f t="shared" si="16"/>
        <v>0</v>
      </c>
      <c r="K514" s="65">
        <f t="shared" si="15"/>
        <v>41883</v>
      </c>
    </row>
    <row r="515" spans="3:11" ht="20.100000000000001" customHeight="1">
      <c r="C515" s="96"/>
      <c r="D515" s="96"/>
      <c r="E515" s="112"/>
      <c r="F515" s="100"/>
      <c r="G515" s="99"/>
      <c r="H515" s="100"/>
      <c r="I515" s="82">
        <f>IF(E515="",0,VLOOKUP(E515,DMHH!$D$8:$H$507,IF(H515="",4,5),0))</f>
        <v>0</v>
      </c>
      <c r="J515" s="82">
        <f t="shared" si="16"/>
        <v>0</v>
      </c>
      <c r="K515" s="65">
        <f t="shared" si="15"/>
        <v>41883</v>
      </c>
    </row>
    <row r="516" spans="3:11" ht="20.100000000000001" customHeight="1">
      <c r="C516" s="96"/>
      <c r="D516" s="96"/>
      <c r="E516" s="112"/>
      <c r="F516" s="100"/>
      <c r="G516" s="99"/>
      <c r="H516" s="100"/>
      <c r="I516" s="82">
        <f>IF(E516="",0,VLOOKUP(E516,DMHH!$D$8:$H$507,IF(H516="",4,5),0))</f>
        <v>0</v>
      </c>
      <c r="J516" s="82">
        <f t="shared" si="16"/>
        <v>0</v>
      </c>
      <c r="K516" s="65">
        <f t="shared" si="15"/>
        <v>41883</v>
      </c>
    </row>
    <row r="517" spans="3:11" ht="20.100000000000001" customHeight="1">
      <c r="C517" s="96"/>
      <c r="D517" s="96"/>
      <c r="E517" s="112"/>
      <c r="F517" s="100"/>
      <c r="G517" s="99"/>
      <c r="H517" s="100"/>
      <c r="I517" s="82">
        <f>IF(E517="",0,VLOOKUP(E517,DMHH!$D$8:$H$507,IF(H517="",4,5),0))</f>
        <v>0</v>
      </c>
      <c r="J517" s="82">
        <f t="shared" si="16"/>
        <v>0</v>
      </c>
      <c r="K517" s="65">
        <f t="shared" si="15"/>
        <v>41883</v>
      </c>
    </row>
    <row r="518" spans="3:11" ht="20.100000000000001" customHeight="1">
      <c r="C518" s="96"/>
      <c r="D518" s="96"/>
      <c r="E518" s="112"/>
      <c r="F518" s="100"/>
      <c r="G518" s="99"/>
      <c r="H518" s="100"/>
      <c r="I518" s="82">
        <f>IF(E518="",0,VLOOKUP(E518,DMHH!$D$8:$H$507,IF(H518="",4,5),0))</f>
        <v>0</v>
      </c>
      <c r="J518" s="82">
        <f t="shared" si="16"/>
        <v>0</v>
      </c>
      <c r="K518" s="65">
        <f t="shared" si="15"/>
        <v>41883</v>
      </c>
    </row>
    <row r="519" spans="3:11" ht="20.100000000000001" customHeight="1">
      <c r="C519" s="96"/>
      <c r="D519" s="96"/>
      <c r="E519" s="112"/>
      <c r="F519" s="100"/>
      <c r="G519" s="99"/>
      <c r="H519" s="100"/>
      <c r="I519" s="82">
        <f>IF(E519="",0,VLOOKUP(E519,DMHH!$D$8:$H$507,IF(H519="",4,5),0))</f>
        <v>0</v>
      </c>
      <c r="J519" s="82">
        <f t="shared" si="16"/>
        <v>0</v>
      </c>
      <c r="K519" s="65">
        <f t="shared" si="15"/>
        <v>41883</v>
      </c>
    </row>
    <row r="520" spans="3:11" ht="20.100000000000001" customHeight="1">
      <c r="C520" s="96"/>
      <c r="D520" s="96"/>
      <c r="E520" s="112"/>
      <c r="F520" s="100"/>
      <c r="G520" s="99"/>
      <c r="H520" s="100"/>
      <c r="I520" s="82">
        <f>IF(E520="",0,VLOOKUP(E520,DMHH!$D$8:$H$507,IF(H520="",4,5),0))</f>
        <v>0</v>
      </c>
      <c r="J520" s="82">
        <f t="shared" si="16"/>
        <v>0</v>
      </c>
      <c r="K520" s="65">
        <f t="shared" si="15"/>
        <v>41883</v>
      </c>
    </row>
    <row r="521" spans="3:11" ht="20.100000000000001" customHeight="1">
      <c r="C521" s="96"/>
      <c r="D521" s="96"/>
      <c r="E521" s="112"/>
      <c r="F521" s="100"/>
      <c r="G521" s="99"/>
      <c r="H521" s="100"/>
      <c r="I521" s="82">
        <f>IF(E521="",0,VLOOKUP(E521,DMHH!$D$8:$H$507,IF(H521="",4,5),0))</f>
        <v>0</v>
      </c>
      <c r="J521" s="82">
        <f t="shared" si="16"/>
        <v>0</v>
      </c>
      <c r="K521" s="65">
        <f t="shared" si="15"/>
        <v>41883</v>
      </c>
    </row>
    <row r="522" spans="3:11" ht="20.100000000000001" customHeight="1">
      <c r="C522" s="96"/>
      <c r="D522" s="96"/>
      <c r="E522" s="112"/>
      <c r="F522" s="100"/>
      <c r="G522" s="99"/>
      <c r="H522" s="100"/>
      <c r="I522" s="82">
        <f>IF(E522="",0,VLOOKUP(E522,DMHH!$D$8:$H$507,IF(H522="",4,5),0))</f>
        <v>0</v>
      </c>
      <c r="J522" s="82">
        <f t="shared" si="16"/>
        <v>0</v>
      </c>
      <c r="K522" s="65">
        <f t="shared" si="15"/>
        <v>41883</v>
      </c>
    </row>
    <row r="523" spans="3:11" ht="20.100000000000001" customHeight="1">
      <c r="C523" s="96"/>
      <c r="D523" s="96"/>
      <c r="E523" s="112"/>
      <c r="F523" s="100"/>
      <c r="G523" s="99"/>
      <c r="H523" s="100"/>
      <c r="I523" s="82">
        <f>IF(E523="",0,VLOOKUP(E523,DMHH!$D$8:$H$507,IF(H523="",4,5),0))</f>
        <v>0</v>
      </c>
      <c r="J523" s="82">
        <f t="shared" si="16"/>
        <v>0</v>
      </c>
      <c r="K523" s="65">
        <f t="shared" ref="K523:K586" si="17">IF(C523="",K522,C523)</f>
        <v>41883</v>
      </c>
    </row>
    <row r="524" spans="3:11" ht="20.100000000000001" customHeight="1">
      <c r="C524" s="96"/>
      <c r="D524" s="96"/>
      <c r="E524" s="112"/>
      <c r="F524" s="100"/>
      <c r="G524" s="99"/>
      <c r="H524" s="100"/>
      <c r="I524" s="82">
        <f>IF(E524="",0,VLOOKUP(E524,DMHH!$D$8:$H$507,IF(H524="",4,5),0))</f>
        <v>0</v>
      </c>
      <c r="J524" s="82">
        <f t="shared" si="16"/>
        <v>0</v>
      </c>
      <c r="K524" s="65">
        <f t="shared" si="17"/>
        <v>41883</v>
      </c>
    </row>
    <row r="525" spans="3:11" ht="20.100000000000001" customHeight="1">
      <c r="C525" s="96"/>
      <c r="D525" s="96"/>
      <c r="E525" s="112"/>
      <c r="F525" s="100"/>
      <c r="G525" s="99"/>
      <c r="H525" s="100"/>
      <c r="I525" s="82">
        <f>IF(E525="",0,VLOOKUP(E525,DMHH!$D$8:$H$507,IF(H525="",4,5),0))</f>
        <v>0</v>
      </c>
      <c r="J525" s="82">
        <f t="shared" ref="J525:J588" si="18">F525*I525+H525*I525</f>
        <v>0</v>
      </c>
      <c r="K525" s="65">
        <f t="shared" si="17"/>
        <v>41883</v>
      </c>
    </row>
    <row r="526" spans="3:11" ht="20.100000000000001" customHeight="1">
      <c r="C526" s="96"/>
      <c r="D526" s="96"/>
      <c r="E526" s="112"/>
      <c r="F526" s="100"/>
      <c r="G526" s="99"/>
      <c r="H526" s="100"/>
      <c r="I526" s="82">
        <f>IF(E526="",0,VLOOKUP(E526,DMHH!$D$8:$H$507,IF(H526="",4,5),0))</f>
        <v>0</v>
      </c>
      <c r="J526" s="82">
        <f t="shared" si="18"/>
        <v>0</v>
      </c>
      <c r="K526" s="65">
        <f t="shared" si="17"/>
        <v>41883</v>
      </c>
    </row>
    <row r="527" spans="3:11" ht="20.100000000000001" customHeight="1">
      <c r="C527" s="96"/>
      <c r="D527" s="96"/>
      <c r="E527" s="112"/>
      <c r="F527" s="100"/>
      <c r="G527" s="99"/>
      <c r="H527" s="100"/>
      <c r="I527" s="82">
        <f>IF(E527="",0,VLOOKUP(E527,DMHH!$D$8:$H$507,IF(H527="",4,5),0))</f>
        <v>0</v>
      </c>
      <c r="J527" s="82">
        <f t="shared" si="18"/>
        <v>0</v>
      </c>
      <c r="K527" s="65">
        <f t="shared" si="17"/>
        <v>41883</v>
      </c>
    </row>
    <row r="528" spans="3:11" ht="20.100000000000001" customHeight="1">
      <c r="C528" s="96"/>
      <c r="D528" s="96"/>
      <c r="E528" s="112"/>
      <c r="F528" s="100"/>
      <c r="G528" s="99"/>
      <c r="H528" s="100"/>
      <c r="I528" s="82">
        <f>IF(E528="",0,VLOOKUP(E528,DMHH!$D$8:$H$507,IF(H528="",4,5),0))</f>
        <v>0</v>
      </c>
      <c r="J528" s="82">
        <f t="shared" si="18"/>
        <v>0</v>
      </c>
      <c r="K528" s="65">
        <f t="shared" si="17"/>
        <v>41883</v>
      </c>
    </row>
    <row r="529" spans="3:11" ht="20.100000000000001" customHeight="1">
      <c r="C529" s="96"/>
      <c r="D529" s="96"/>
      <c r="E529" s="112"/>
      <c r="F529" s="100"/>
      <c r="G529" s="99"/>
      <c r="H529" s="100"/>
      <c r="I529" s="82">
        <f>IF(E529="",0,VLOOKUP(E529,DMHH!$D$8:$H$507,IF(H529="",4,5),0))</f>
        <v>0</v>
      </c>
      <c r="J529" s="82">
        <f t="shared" si="18"/>
        <v>0</v>
      </c>
      <c r="K529" s="65">
        <f t="shared" si="17"/>
        <v>41883</v>
      </c>
    </row>
    <row r="530" spans="3:11" ht="20.100000000000001" customHeight="1">
      <c r="C530" s="96"/>
      <c r="D530" s="96"/>
      <c r="E530" s="112"/>
      <c r="F530" s="100"/>
      <c r="G530" s="99"/>
      <c r="H530" s="100"/>
      <c r="I530" s="82">
        <f>IF(E530="",0,VLOOKUP(E530,DMHH!$D$8:$H$507,IF(H530="",4,5),0))</f>
        <v>0</v>
      </c>
      <c r="J530" s="82">
        <f t="shared" si="18"/>
        <v>0</v>
      </c>
      <c r="K530" s="65">
        <f t="shared" si="17"/>
        <v>41883</v>
      </c>
    </row>
    <row r="531" spans="3:11" ht="20.100000000000001" customHeight="1">
      <c r="C531" s="96"/>
      <c r="D531" s="96"/>
      <c r="E531" s="112"/>
      <c r="F531" s="100"/>
      <c r="G531" s="99"/>
      <c r="H531" s="100"/>
      <c r="I531" s="82">
        <f>IF(E531="",0,VLOOKUP(E531,DMHH!$D$8:$H$507,IF(H531="",4,5),0))</f>
        <v>0</v>
      </c>
      <c r="J531" s="82">
        <f t="shared" si="18"/>
        <v>0</v>
      </c>
      <c r="K531" s="65">
        <f t="shared" si="17"/>
        <v>41883</v>
      </c>
    </row>
    <row r="532" spans="3:11" ht="20.100000000000001" customHeight="1">
      <c r="C532" s="96"/>
      <c r="D532" s="96"/>
      <c r="E532" s="112"/>
      <c r="F532" s="100"/>
      <c r="G532" s="99"/>
      <c r="H532" s="100"/>
      <c r="I532" s="82">
        <f>IF(E532="",0,VLOOKUP(E532,DMHH!$D$8:$H$507,IF(H532="",4,5),0))</f>
        <v>0</v>
      </c>
      <c r="J532" s="82">
        <f t="shared" si="18"/>
        <v>0</v>
      </c>
      <c r="K532" s="65">
        <f t="shared" si="17"/>
        <v>41883</v>
      </c>
    </row>
    <row r="533" spans="3:11" ht="20.100000000000001" customHeight="1">
      <c r="C533" s="96"/>
      <c r="D533" s="96"/>
      <c r="E533" s="112"/>
      <c r="F533" s="100"/>
      <c r="G533" s="99"/>
      <c r="H533" s="100"/>
      <c r="I533" s="82">
        <f>IF(E533="",0,VLOOKUP(E533,DMHH!$D$8:$H$507,IF(H533="",4,5),0))</f>
        <v>0</v>
      </c>
      <c r="J533" s="82">
        <f t="shared" si="18"/>
        <v>0</v>
      </c>
      <c r="K533" s="65">
        <f t="shared" si="17"/>
        <v>41883</v>
      </c>
    </row>
    <row r="534" spans="3:11" ht="20.100000000000001" customHeight="1">
      <c r="C534" s="96"/>
      <c r="D534" s="96"/>
      <c r="E534" s="112"/>
      <c r="F534" s="100"/>
      <c r="G534" s="99"/>
      <c r="H534" s="100"/>
      <c r="I534" s="82">
        <f>IF(E534="",0,VLOOKUP(E534,DMHH!$D$8:$H$507,IF(H534="",4,5),0))</f>
        <v>0</v>
      </c>
      <c r="J534" s="82">
        <f t="shared" si="18"/>
        <v>0</v>
      </c>
      <c r="K534" s="65">
        <f t="shared" si="17"/>
        <v>41883</v>
      </c>
    </row>
    <row r="535" spans="3:11" ht="20.100000000000001" customHeight="1">
      <c r="C535" s="96"/>
      <c r="D535" s="96"/>
      <c r="E535" s="112"/>
      <c r="F535" s="100"/>
      <c r="G535" s="99"/>
      <c r="H535" s="100"/>
      <c r="I535" s="82">
        <f>IF(E535="",0,VLOOKUP(E535,DMHH!$D$8:$H$507,IF(H535="",4,5),0))</f>
        <v>0</v>
      </c>
      <c r="J535" s="82">
        <f t="shared" si="18"/>
        <v>0</v>
      </c>
      <c r="K535" s="65">
        <f t="shared" si="17"/>
        <v>41883</v>
      </c>
    </row>
    <row r="536" spans="3:11" ht="20.100000000000001" customHeight="1">
      <c r="C536" s="96"/>
      <c r="D536" s="96"/>
      <c r="E536" s="112"/>
      <c r="F536" s="100"/>
      <c r="G536" s="99"/>
      <c r="H536" s="100"/>
      <c r="I536" s="82">
        <f>IF(E536="",0,VLOOKUP(E536,DMHH!$D$8:$H$507,IF(H536="",4,5),0))</f>
        <v>0</v>
      </c>
      <c r="J536" s="82">
        <f t="shared" si="18"/>
        <v>0</v>
      </c>
      <c r="K536" s="65">
        <f t="shared" si="17"/>
        <v>41883</v>
      </c>
    </row>
    <row r="537" spans="3:11" ht="20.100000000000001" customHeight="1">
      <c r="C537" s="96"/>
      <c r="D537" s="96"/>
      <c r="E537" s="112"/>
      <c r="F537" s="100"/>
      <c r="G537" s="99"/>
      <c r="H537" s="100"/>
      <c r="I537" s="82">
        <f>IF(E537="",0,VLOOKUP(E537,DMHH!$D$8:$H$507,IF(H537="",4,5),0))</f>
        <v>0</v>
      </c>
      <c r="J537" s="82">
        <f t="shared" si="18"/>
        <v>0</v>
      </c>
      <c r="K537" s="65">
        <f t="shared" si="17"/>
        <v>41883</v>
      </c>
    </row>
    <row r="538" spans="3:11" ht="20.100000000000001" customHeight="1">
      <c r="C538" s="96"/>
      <c r="D538" s="96"/>
      <c r="E538" s="112"/>
      <c r="F538" s="100"/>
      <c r="G538" s="99"/>
      <c r="H538" s="100"/>
      <c r="I538" s="82">
        <f>IF(E538="",0,VLOOKUP(E538,DMHH!$D$8:$H$507,IF(H538="",4,5),0))</f>
        <v>0</v>
      </c>
      <c r="J538" s="82">
        <f t="shared" si="18"/>
        <v>0</v>
      </c>
      <c r="K538" s="65">
        <f t="shared" si="17"/>
        <v>41883</v>
      </c>
    </row>
    <row r="539" spans="3:11" ht="20.100000000000001" customHeight="1">
      <c r="C539" s="96"/>
      <c r="D539" s="96"/>
      <c r="E539" s="112"/>
      <c r="F539" s="100"/>
      <c r="G539" s="99"/>
      <c r="H539" s="100"/>
      <c r="I539" s="82">
        <f>IF(E539="",0,VLOOKUP(E539,DMHH!$D$8:$H$507,IF(H539="",4,5),0))</f>
        <v>0</v>
      </c>
      <c r="J539" s="82">
        <f t="shared" si="18"/>
        <v>0</v>
      </c>
      <c r="K539" s="65">
        <f t="shared" si="17"/>
        <v>41883</v>
      </c>
    </row>
    <row r="540" spans="3:11" ht="20.100000000000001" customHeight="1">
      <c r="C540" s="96"/>
      <c r="D540" s="96"/>
      <c r="E540" s="112"/>
      <c r="F540" s="100"/>
      <c r="G540" s="99"/>
      <c r="H540" s="100"/>
      <c r="I540" s="82">
        <f>IF(E540="",0,VLOOKUP(E540,DMHH!$D$8:$H$507,IF(H540="",4,5),0))</f>
        <v>0</v>
      </c>
      <c r="J540" s="82">
        <f t="shared" si="18"/>
        <v>0</v>
      </c>
      <c r="K540" s="65">
        <f t="shared" si="17"/>
        <v>41883</v>
      </c>
    </row>
    <row r="541" spans="3:11" ht="20.100000000000001" customHeight="1">
      <c r="C541" s="96"/>
      <c r="D541" s="96"/>
      <c r="E541" s="112"/>
      <c r="F541" s="100"/>
      <c r="G541" s="99"/>
      <c r="H541" s="100"/>
      <c r="I541" s="82">
        <f>IF(E541="",0,VLOOKUP(E541,DMHH!$D$8:$H$507,IF(H541="",4,5),0))</f>
        <v>0</v>
      </c>
      <c r="J541" s="82">
        <f t="shared" si="18"/>
        <v>0</v>
      </c>
      <c r="K541" s="65">
        <f t="shared" si="17"/>
        <v>41883</v>
      </c>
    </row>
    <row r="542" spans="3:11" ht="20.100000000000001" customHeight="1">
      <c r="C542" s="96"/>
      <c r="D542" s="96"/>
      <c r="E542" s="112"/>
      <c r="F542" s="100"/>
      <c r="G542" s="99"/>
      <c r="H542" s="100"/>
      <c r="I542" s="82">
        <f>IF(E542="",0,VLOOKUP(E542,DMHH!$D$8:$H$507,IF(H542="",4,5),0))</f>
        <v>0</v>
      </c>
      <c r="J542" s="82">
        <f t="shared" si="18"/>
        <v>0</v>
      </c>
      <c r="K542" s="65">
        <f t="shared" si="17"/>
        <v>41883</v>
      </c>
    </row>
    <row r="543" spans="3:11" ht="20.100000000000001" customHeight="1">
      <c r="C543" s="96"/>
      <c r="D543" s="96"/>
      <c r="E543" s="112"/>
      <c r="F543" s="100"/>
      <c r="G543" s="99"/>
      <c r="H543" s="100"/>
      <c r="I543" s="82">
        <f>IF(E543="",0,VLOOKUP(E543,DMHH!$D$8:$H$507,IF(H543="",4,5),0))</f>
        <v>0</v>
      </c>
      <c r="J543" s="82">
        <f t="shared" si="18"/>
        <v>0</v>
      </c>
      <c r="K543" s="65">
        <f t="shared" si="17"/>
        <v>41883</v>
      </c>
    </row>
    <row r="544" spans="3:11" ht="20.100000000000001" customHeight="1">
      <c r="C544" s="96"/>
      <c r="D544" s="96"/>
      <c r="E544" s="112"/>
      <c r="F544" s="100"/>
      <c r="G544" s="99"/>
      <c r="H544" s="100"/>
      <c r="I544" s="82">
        <f>IF(E544="",0,VLOOKUP(E544,DMHH!$D$8:$H$507,IF(H544="",4,5),0))</f>
        <v>0</v>
      </c>
      <c r="J544" s="82">
        <f t="shared" si="18"/>
        <v>0</v>
      </c>
      <c r="K544" s="65">
        <f t="shared" si="17"/>
        <v>41883</v>
      </c>
    </row>
    <row r="545" spans="3:11" ht="20.100000000000001" customHeight="1">
      <c r="C545" s="96"/>
      <c r="D545" s="96"/>
      <c r="E545" s="112"/>
      <c r="F545" s="100"/>
      <c r="G545" s="99"/>
      <c r="H545" s="100"/>
      <c r="I545" s="82">
        <f>IF(E545="",0,VLOOKUP(E545,DMHH!$D$8:$H$507,IF(H545="",4,5),0))</f>
        <v>0</v>
      </c>
      <c r="J545" s="82">
        <f t="shared" si="18"/>
        <v>0</v>
      </c>
      <c r="K545" s="65">
        <f t="shared" si="17"/>
        <v>41883</v>
      </c>
    </row>
    <row r="546" spans="3:11" ht="20.100000000000001" customHeight="1">
      <c r="C546" s="96"/>
      <c r="D546" s="96"/>
      <c r="E546" s="112"/>
      <c r="F546" s="100"/>
      <c r="G546" s="99"/>
      <c r="H546" s="100"/>
      <c r="I546" s="82">
        <f>IF(E546="",0,VLOOKUP(E546,DMHH!$D$8:$H$507,IF(H546="",4,5),0))</f>
        <v>0</v>
      </c>
      <c r="J546" s="82">
        <f t="shared" si="18"/>
        <v>0</v>
      </c>
      <c r="K546" s="65">
        <f t="shared" si="17"/>
        <v>41883</v>
      </c>
    </row>
    <row r="547" spans="3:11" ht="20.100000000000001" customHeight="1">
      <c r="C547" s="96"/>
      <c r="D547" s="96"/>
      <c r="E547" s="112"/>
      <c r="F547" s="100"/>
      <c r="G547" s="99"/>
      <c r="H547" s="100"/>
      <c r="I547" s="82">
        <f>IF(E547="",0,VLOOKUP(E547,DMHH!$D$8:$H$507,IF(H547="",4,5),0))</f>
        <v>0</v>
      </c>
      <c r="J547" s="82">
        <f t="shared" si="18"/>
        <v>0</v>
      </c>
      <c r="K547" s="65">
        <f t="shared" si="17"/>
        <v>41883</v>
      </c>
    </row>
    <row r="548" spans="3:11" ht="20.100000000000001" customHeight="1">
      <c r="C548" s="96"/>
      <c r="D548" s="96"/>
      <c r="E548" s="112"/>
      <c r="F548" s="100"/>
      <c r="G548" s="99"/>
      <c r="H548" s="100"/>
      <c r="I548" s="82">
        <f>IF(E548="",0,VLOOKUP(E548,DMHH!$D$8:$H$507,IF(H548="",4,5),0))</f>
        <v>0</v>
      </c>
      <c r="J548" s="82">
        <f t="shared" si="18"/>
        <v>0</v>
      </c>
      <c r="K548" s="65">
        <f t="shared" si="17"/>
        <v>41883</v>
      </c>
    </row>
    <row r="549" spans="3:11" ht="20.100000000000001" customHeight="1">
      <c r="C549" s="96"/>
      <c r="D549" s="96"/>
      <c r="E549" s="112"/>
      <c r="F549" s="100"/>
      <c r="G549" s="99"/>
      <c r="H549" s="100"/>
      <c r="I549" s="82">
        <f>IF(E549="",0,VLOOKUP(E549,DMHH!$D$8:$H$507,IF(H549="",4,5),0))</f>
        <v>0</v>
      </c>
      <c r="J549" s="82">
        <f t="shared" si="18"/>
        <v>0</v>
      </c>
      <c r="K549" s="65">
        <f t="shared" si="17"/>
        <v>41883</v>
      </c>
    </row>
    <row r="550" spans="3:11" ht="20.100000000000001" customHeight="1">
      <c r="C550" s="96"/>
      <c r="D550" s="96"/>
      <c r="E550" s="112"/>
      <c r="F550" s="100"/>
      <c r="G550" s="99"/>
      <c r="H550" s="100"/>
      <c r="I550" s="82">
        <f>IF(E550="",0,VLOOKUP(E550,DMHH!$D$8:$H$507,IF(H550="",4,5),0))</f>
        <v>0</v>
      </c>
      <c r="J550" s="82">
        <f t="shared" si="18"/>
        <v>0</v>
      </c>
      <c r="K550" s="65">
        <f t="shared" si="17"/>
        <v>41883</v>
      </c>
    </row>
    <row r="551" spans="3:11" ht="20.100000000000001" customHeight="1">
      <c r="C551" s="96"/>
      <c r="D551" s="96"/>
      <c r="E551" s="112"/>
      <c r="F551" s="100"/>
      <c r="G551" s="99"/>
      <c r="H551" s="100"/>
      <c r="I551" s="82">
        <f>IF(E551="",0,VLOOKUP(E551,DMHH!$D$8:$H$507,IF(H551="",4,5),0))</f>
        <v>0</v>
      </c>
      <c r="J551" s="82">
        <f t="shared" si="18"/>
        <v>0</v>
      </c>
      <c r="K551" s="65">
        <f t="shared" si="17"/>
        <v>41883</v>
      </c>
    </row>
    <row r="552" spans="3:11" ht="20.100000000000001" customHeight="1">
      <c r="C552" s="96"/>
      <c r="D552" s="96"/>
      <c r="E552" s="112"/>
      <c r="F552" s="100"/>
      <c r="G552" s="99"/>
      <c r="H552" s="100"/>
      <c r="I552" s="82">
        <f>IF(E552="",0,VLOOKUP(E552,DMHH!$D$8:$H$507,IF(H552="",4,5),0))</f>
        <v>0</v>
      </c>
      <c r="J552" s="82">
        <f t="shared" si="18"/>
        <v>0</v>
      </c>
      <c r="K552" s="65">
        <f t="shared" si="17"/>
        <v>41883</v>
      </c>
    </row>
    <row r="553" spans="3:11" ht="20.100000000000001" customHeight="1">
      <c r="C553" s="96"/>
      <c r="D553" s="96"/>
      <c r="E553" s="112"/>
      <c r="F553" s="100"/>
      <c r="G553" s="99"/>
      <c r="H553" s="100"/>
      <c r="I553" s="82">
        <f>IF(E553="",0,VLOOKUP(E553,DMHH!$D$8:$H$507,IF(H553="",4,5),0))</f>
        <v>0</v>
      </c>
      <c r="J553" s="82">
        <f t="shared" si="18"/>
        <v>0</v>
      </c>
      <c r="K553" s="65">
        <f t="shared" si="17"/>
        <v>41883</v>
      </c>
    </row>
    <row r="554" spans="3:11" ht="20.100000000000001" customHeight="1">
      <c r="C554" s="96"/>
      <c r="D554" s="96"/>
      <c r="E554" s="112"/>
      <c r="F554" s="100"/>
      <c r="G554" s="99"/>
      <c r="H554" s="100"/>
      <c r="I554" s="82">
        <f>IF(E554="",0,VLOOKUP(E554,DMHH!$D$8:$H$507,IF(H554="",4,5),0))</f>
        <v>0</v>
      </c>
      <c r="J554" s="82">
        <f t="shared" si="18"/>
        <v>0</v>
      </c>
      <c r="K554" s="65">
        <f t="shared" si="17"/>
        <v>41883</v>
      </c>
    </row>
    <row r="555" spans="3:11" ht="20.100000000000001" customHeight="1">
      <c r="C555" s="96"/>
      <c r="D555" s="96"/>
      <c r="E555" s="112"/>
      <c r="F555" s="100"/>
      <c r="G555" s="99"/>
      <c r="H555" s="100"/>
      <c r="I555" s="82">
        <f>IF(E555="",0,VLOOKUP(E555,DMHH!$D$8:$H$507,IF(H555="",4,5),0))</f>
        <v>0</v>
      </c>
      <c r="J555" s="82">
        <f t="shared" si="18"/>
        <v>0</v>
      </c>
      <c r="K555" s="65">
        <f t="shared" si="17"/>
        <v>41883</v>
      </c>
    </row>
    <row r="556" spans="3:11" ht="20.100000000000001" customHeight="1">
      <c r="C556" s="96"/>
      <c r="D556" s="96"/>
      <c r="E556" s="112"/>
      <c r="F556" s="100"/>
      <c r="G556" s="99"/>
      <c r="H556" s="100"/>
      <c r="I556" s="82">
        <f>IF(E556="",0,VLOOKUP(E556,DMHH!$D$8:$H$507,IF(H556="",4,5),0))</f>
        <v>0</v>
      </c>
      <c r="J556" s="82">
        <f t="shared" si="18"/>
        <v>0</v>
      </c>
      <c r="K556" s="65">
        <f t="shared" si="17"/>
        <v>41883</v>
      </c>
    </row>
    <row r="557" spans="3:11" ht="20.100000000000001" customHeight="1">
      <c r="C557" s="96"/>
      <c r="D557" s="96"/>
      <c r="E557" s="112"/>
      <c r="F557" s="100"/>
      <c r="G557" s="99"/>
      <c r="H557" s="100"/>
      <c r="I557" s="82">
        <f>IF(E557="",0,VLOOKUP(E557,DMHH!$D$8:$H$507,IF(H557="",4,5),0))</f>
        <v>0</v>
      </c>
      <c r="J557" s="82">
        <f t="shared" si="18"/>
        <v>0</v>
      </c>
      <c r="K557" s="65">
        <f t="shared" si="17"/>
        <v>41883</v>
      </c>
    </row>
    <row r="558" spans="3:11" ht="20.100000000000001" customHeight="1">
      <c r="C558" s="96"/>
      <c r="D558" s="96"/>
      <c r="E558" s="112"/>
      <c r="F558" s="100"/>
      <c r="G558" s="99"/>
      <c r="H558" s="100"/>
      <c r="I558" s="82">
        <f>IF(E558="",0,VLOOKUP(E558,DMHH!$D$8:$H$507,IF(H558="",4,5),0))</f>
        <v>0</v>
      </c>
      <c r="J558" s="82">
        <f t="shared" si="18"/>
        <v>0</v>
      </c>
      <c r="K558" s="65">
        <f t="shared" si="17"/>
        <v>41883</v>
      </c>
    </row>
    <row r="559" spans="3:11" ht="20.100000000000001" customHeight="1">
      <c r="C559" s="96"/>
      <c r="D559" s="96"/>
      <c r="E559" s="112"/>
      <c r="F559" s="100"/>
      <c r="G559" s="99"/>
      <c r="H559" s="100"/>
      <c r="I559" s="82">
        <f>IF(E559="",0,VLOOKUP(E559,DMHH!$D$8:$H$507,IF(H559="",4,5),0))</f>
        <v>0</v>
      </c>
      <c r="J559" s="82">
        <f t="shared" si="18"/>
        <v>0</v>
      </c>
      <c r="K559" s="65">
        <f t="shared" si="17"/>
        <v>41883</v>
      </c>
    </row>
    <row r="560" spans="3:11" ht="20.100000000000001" customHeight="1">
      <c r="C560" s="96"/>
      <c r="D560" s="96"/>
      <c r="E560" s="112"/>
      <c r="F560" s="100"/>
      <c r="G560" s="99"/>
      <c r="H560" s="100"/>
      <c r="I560" s="82">
        <f>IF(E560="",0,VLOOKUP(E560,DMHH!$D$8:$H$507,IF(H560="",4,5),0))</f>
        <v>0</v>
      </c>
      <c r="J560" s="82">
        <f t="shared" si="18"/>
        <v>0</v>
      </c>
      <c r="K560" s="65">
        <f t="shared" si="17"/>
        <v>41883</v>
      </c>
    </row>
    <row r="561" spans="3:11" ht="20.100000000000001" customHeight="1">
      <c r="C561" s="96"/>
      <c r="D561" s="96"/>
      <c r="E561" s="112"/>
      <c r="F561" s="100"/>
      <c r="G561" s="99"/>
      <c r="H561" s="100"/>
      <c r="I561" s="82">
        <f>IF(E561="",0,VLOOKUP(E561,DMHH!$D$8:$H$507,IF(H561="",4,5),0))</f>
        <v>0</v>
      </c>
      <c r="J561" s="82">
        <f t="shared" si="18"/>
        <v>0</v>
      </c>
      <c r="K561" s="65">
        <f t="shared" si="17"/>
        <v>41883</v>
      </c>
    </row>
    <row r="562" spans="3:11" ht="20.100000000000001" customHeight="1">
      <c r="C562" s="96"/>
      <c r="D562" s="96"/>
      <c r="E562" s="112"/>
      <c r="F562" s="100"/>
      <c r="G562" s="99"/>
      <c r="H562" s="100"/>
      <c r="I562" s="82">
        <f>IF(E562="",0,VLOOKUP(E562,DMHH!$D$8:$H$507,IF(H562="",4,5),0))</f>
        <v>0</v>
      </c>
      <c r="J562" s="82">
        <f t="shared" si="18"/>
        <v>0</v>
      </c>
      <c r="K562" s="65">
        <f t="shared" si="17"/>
        <v>41883</v>
      </c>
    </row>
    <row r="563" spans="3:11" ht="20.100000000000001" customHeight="1">
      <c r="C563" s="96"/>
      <c r="D563" s="96"/>
      <c r="E563" s="112"/>
      <c r="F563" s="100"/>
      <c r="G563" s="99"/>
      <c r="H563" s="100"/>
      <c r="I563" s="82">
        <f>IF(E563="",0,VLOOKUP(E563,DMHH!$D$8:$H$507,IF(H563="",4,5),0))</f>
        <v>0</v>
      </c>
      <c r="J563" s="82">
        <f t="shared" si="18"/>
        <v>0</v>
      </c>
      <c r="K563" s="65">
        <f t="shared" si="17"/>
        <v>41883</v>
      </c>
    </row>
    <row r="564" spans="3:11" ht="20.100000000000001" customHeight="1">
      <c r="C564" s="96"/>
      <c r="D564" s="96"/>
      <c r="E564" s="112"/>
      <c r="F564" s="100"/>
      <c r="G564" s="99"/>
      <c r="H564" s="100"/>
      <c r="I564" s="82">
        <f>IF(E564="",0,VLOOKUP(E564,DMHH!$D$8:$H$507,IF(H564="",4,5),0))</f>
        <v>0</v>
      </c>
      <c r="J564" s="82">
        <f t="shared" si="18"/>
        <v>0</v>
      </c>
      <c r="K564" s="65">
        <f t="shared" si="17"/>
        <v>41883</v>
      </c>
    </row>
    <row r="565" spans="3:11" ht="20.100000000000001" customHeight="1">
      <c r="C565" s="96"/>
      <c r="D565" s="96"/>
      <c r="E565" s="112"/>
      <c r="F565" s="100"/>
      <c r="G565" s="99"/>
      <c r="H565" s="100"/>
      <c r="I565" s="82">
        <f>IF(E565="",0,VLOOKUP(E565,DMHH!$D$8:$H$507,IF(H565="",4,5),0))</f>
        <v>0</v>
      </c>
      <c r="J565" s="82">
        <f t="shared" si="18"/>
        <v>0</v>
      </c>
      <c r="K565" s="65">
        <f t="shared" si="17"/>
        <v>41883</v>
      </c>
    </row>
    <row r="566" spans="3:11" ht="20.100000000000001" customHeight="1">
      <c r="C566" s="96"/>
      <c r="D566" s="96"/>
      <c r="E566" s="112"/>
      <c r="F566" s="100"/>
      <c r="G566" s="99"/>
      <c r="H566" s="100"/>
      <c r="I566" s="82">
        <f>IF(E566="",0,VLOOKUP(E566,DMHH!$D$8:$H$507,IF(H566="",4,5),0))</f>
        <v>0</v>
      </c>
      <c r="J566" s="82">
        <f t="shared" si="18"/>
        <v>0</v>
      </c>
      <c r="K566" s="65">
        <f t="shared" si="17"/>
        <v>41883</v>
      </c>
    </row>
    <row r="567" spans="3:11" ht="20.100000000000001" customHeight="1">
      <c r="C567" s="96"/>
      <c r="D567" s="96"/>
      <c r="E567" s="112"/>
      <c r="F567" s="100"/>
      <c r="G567" s="99"/>
      <c r="H567" s="100"/>
      <c r="I567" s="82">
        <f>IF(E567="",0,VLOOKUP(E567,DMHH!$D$8:$H$507,IF(H567="",4,5),0))</f>
        <v>0</v>
      </c>
      <c r="J567" s="82">
        <f t="shared" si="18"/>
        <v>0</v>
      </c>
      <c r="K567" s="65">
        <f t="shared" si="17"/>
        <v>41883</v>
      </c>
    </row>
    <row r="568" spans="3:11" ht="20.100000000000001" customHeight="1">
      <c r="C568" s="96"/>
      <c r="D568" s="96"/>
      <c r="E568" s="112"/>
      <c r="F568" s="100"/>
      <c r="G568" s="99"/>
      <c r="H568" s="100"/>
      <c r="I568" s="82">
        <f>IF(E568="",0,VLOOKUP(E568,DMHH!$D$8:$H$507,IF(H568="",4,5),0))</f>
        <v>0</v>
      </c>
      <c r="J568" s="82">
        <f t="shared" si="18"/>
        <v>0</v>
      </c>
      <c r="K568" s="65">
        <f t="shared" si="17"/>
        <v>41883</v>
      </c>
    </row>
    <row r="569" spans="3:11" ht="20.100000000000001" customHeight="1">
      <c r="C569" s="96"/>
      <c r="D569" s="96"/>
      <c r="E569" s="112"/>
      <c r="F569" s="100"/>
      <c r="G569" s="99"/>
      <c r="H569" s="100"/>
      <c r="I569" s="82">
        <f>IF(E569="",0,VLOOKUP(E569,DMHH!$D$8:$H$507,IF(H569="",4,5),0))</f>
        <v>0</v>
      </c>
      <c r="J569" s="82">
        <f t="shared" si="18"/>
        <v>0</v>
      </c>
      <c r="K569" s="65">
        <f t="shared" si="17"/>
        <v>41883</v>
      </c>
    </row>
    <row r="570" spans="3:11" ht="20.100000000000001" customHeight="1">
      <c r="C570" s="96"/>
      <c r="D570" s="96"/>
      <c r="E570" s="112"/>
      <c r="F570" s="100"/>
      <c r="G570" s="99"/>
      <c r="H570" s="100"/>
      <c r="I570" s="82">
        <f>IF(E570="",0,VLOOKUP(E570,DMHH!$D$8:$H$507,IF(H570="",4,5),0))</f>
        <v>0</v>
      </c>
      <c r="J570" s="82">
        <f t="shared" si="18"/>
        <v>0</v>
      </c>
      <c r="K570" s="65">
        <f t="shared" si="17"/>
        <v>41883</v>
      </c>
    </row>
    <row r="571" spans="3:11" ht="20.100000000000001" customHeight="1">
      <c r="C571" s="96"/>
      <c r="D571" s="96"/>
      <c r="E571" s="112"/>
      <c r="F571" s="100"/>
      <c r="G571" s="99"/>
      <c r="H571" s="100"/>
      <c r="I571" s="82">
        <f>IF(E571="",0,VLOOKUP(E571,DMHH!$D$8:$H$507,IF(H571="",4,5),0))</f>
        <v>0</v>
      </c>
      <c r="J571" s="82">
        <f t="shared" si="18"/>
        <v>0</v>
      </c>
      <c r="K571" s="65">
        <f t="shared" si="17"/>
        <v>41883</v>
      </c>
    </row>
    <row r="572" spans="3:11" ht="20.100000000000001" customHeight="1">
      <c r="C572" s="96"/>
      <c r="D572" s="96"/>
      <c r="E572" s="112"/>
      <c r="F572" s="100"/>
      <c r="G572" s="99"/>
      <c r="H572" s="100"/>
      <c r="I572" s="82">
        <f>IF(E572="",0,VLOOKUP(E572,DMHH!$D$8:$H$507,IF(H572="",4,5),0))</f>
        <v>0</v>
      </c>
      <c r="J572" s="82">
        <f t="shared" si="18"/>
        <v>0</v>
      </c>
      <c r="K572" s="65">
        <f t="shared" si="17"/>
        <v>41883</v>
      </c>
    </row>
    <row r="573" spans="3:11" ht="20.100000000000001" customHeight="1">
      <c r="C573" s="96"/>
      <c r="D573" s="96"/>
      <c r="E573" s="112"/>
      <c r="F573" s="100"/>
      <c r="G573" s="99"/>
      <c r="H573" s="100"/>
      <c r="I573" s="82">
        <f>IF(E573="",0,VLOOKUP(E573,DMHH!$D$8:$H$507,IF(H573="",4,5),0))</f>
        <v>0</v>
      </c>
      <c r="J573" s="82">
        <f t="shared" si="18"/>
        <v>0</v>
      </c>
      <c r="K573" s="65">
        <f t="shared" si="17"/>
        <v>41883</v>
      </c>
    </row>
    <row r="574" spans="3:11" ht="20.100000000000001" customHeight="1">
      <c r="C574" s="96"/>
      <c r="D574" s="96"/>
      <c r="E574" s="112"/>
      <c r="F574" s="100"/>
      <c r="G574" s="99"/>
      <c r="H574" s="100"/>
      <c r="I574" s="82">
        <f>IF(E574="",0,VLOOKUP(E574,DMHH!$D$8:$H$507,IF(H574="",4,5),0))</f>
        <v>0</v>
      </c>
      <c r="J574" s="82">
        <f t="shared" si="18"/>
        <v>0</v>
      </c>
      <c r="K574" s="65">
        <f t="shared" si="17"/>
        <v>41883</v>
      </c>
    </row>
    <row r="575" spans="3:11" ht="20.100000000000001" customHeight="1">
      <c r="C575" s="96"/>
      <c r="D575" s="96"/>
      <c r="E575" s="112"/>
      <c r="F575" s="100"/>
      <c r="G575" s="99"/>
      <c r="H575" s="100"/>
      <c r="I575" s="82">
        <f>IF(E575="",0,VLOOKUP(E575,DMHH!$D$8:$H$507,IF(H575="",4,5),0))</f>
        <v>0</v>
      </c>
      <c r="J575" s="82">
        <f t="shared" si="18"/>
        <v>0</v>
      </c>
      <c r="K575" s="65">
        <f t="shared" si="17"/>
        <v>41883</v>
      </c>
    </row>
    <row r="576" spans="3:11" ht="20.100000000000001" customHeight="1">
      <c r="C576" s="96"/>
      <c r="D576" s="96"/>
      <c r="E576" s="112"/>
      <c r="F576" s="100"/>
      <c r="G576" s="99"/>
      <c r="H576" s="100"/>
      <c r="I576" s="82">
        <f>IF(E576="",0,VLOOKUP(E576,DMHH!$D$8:$H$507,IF(H576="",4,5),0))</f>
        <v>0</v>
      </c>
      <c r="J576" s="82">
        <f t="shared" si="18"/>
        <v>0</v>
      </c>
      <c r="K576" s="65">
        <f t="shared" si="17"/>
        <v>41883</v>
      </c>
    </row>
    <row r="577" spans="3:11" ht="20.100000000000001" customHeight="1">
      <c r="C577" s="96"/>
      <c r="D577" s="96"/>
      <c r="E577" s="112"/>
      <c r="F577" s="100"/>
      <c r="G577" s="99"/>
      <c r="H577" s="100"/>
      <c r="I577" s="82">
        <f>IF(E577="",0,VLOOKUP(E577,DMHH!$D$8:$H$507,IF(H577="",4,5),0))</f>
        <v>0</v>
      </c>
      <c r="J577" s="82">
        <f t="shared" si="18"/>
        <v>0</v>
      </c>
      <c r="K577" s="65">
        <f t="shared" si="17"/>
        <v>41883</v>
      </c>
    </row>
    <row r="578" spans="3:11" ht="20.100000000000001" customHeight="1">
      <c r="C578" s="96"/>
      <c r="D578" s="96"/>
      <c r="E578" s="112"/>
      <c r="F578" s="100"/>
      <c r="G578" s="99"/>
      <c r="H578" s="100"/>
      <c r="I578" s="82">
        <f>IF(E578="",0,VLOOKUP(E578,DMHH!$D$8:$H$507,IF(H578="",4,5),0))</f>
        <v>0</v>
      </c>
      <c r="J578" s="82">
        <f t="shared" si="18"/>
        <v>0</v>
      </c>
      <c r="K578" s="65">
        <f t="shared" si="17"/>
        <v>41883</v>
      </c>
    </row>
    <row r="579" spans="3:11" ht="20.100000000000001" customHeight="1">
      <c r="C579" s="96"/>
      <c r="D579" s="96"/>
      <c r="E579" s="112"/>
      <c r="F579" s="100"/>
      <c r="G579" s="99"/>
      <c r="H579" s="100"/>
      <c r="I579" s="82">
        <f>IF(E579="",0,VLOOKUP(E579,DMHH!$D$8:$H$507,IF(H579="",4,5),0))</f>
        <v>0</v>
      </c>
      <c r="J579" s="82">
        <f t="shared" si="18"/>
        <v>0</v>
      </c>
      <c r="K579" s="65">
        <f t="shared" si="17"/>
        <v>41883</v>
      </c>
    </row>
    <row r="580" spans="3:11" ht="20.100000000000001" customHeight="1">
      <c r="C580" s="96"/>
      <c r="D580" s="96"/>
      <c r="E580" s="112"/>
      <c r="F580" s="100"/>
      <c r="G580" s="99"/>
      <c r="H580" s="100"/>
      <c r="I580" s="82">
        <f>IF(E580="",0,VLOOKUP(E580,DMHH!$D$8:$H$507,IF(H580="",4,5),0))</f>
        <v>0</v>
      </c>
      <c r="J580" s="82">
        <f t="shared" si="18"/>
        <v>0</v>
      </c>
      <c r="K580" s="65">
        <f t="shared" si="17"/>
        <v>41883</v>
      </c>
    </row>
    <row r="581" spans="3:11" ht="20.100000000000001" customHeight="1">
      <c r="C581" s="96"/>
      <c r="D581" s="96"/>
      <c r="E581" s="112"/>
      <c r="F581" s="100"/>
      <c r="G581" s="99"/>
      <c r="H581" s="100"/>
      <c r="I581" s="82">
        <f>IF(E581="",0,VLOOKUP(E581,DMHH!$D$8:$H$507,IF(H581="",4,5),0))</f>
        <v>0</v>
      </c>
      <c r="J581" s="82">
        <f t="shared" si="18"/>
        <v>0</v>
      </c>
      <c r="K581" s="65">
        <f t="shared" si="17"/>
        <v>41883</v>
      </c>
    </row>
    <row r="582" spans="3:11" ht="20.100000000000001" customHeight="1">
      <c r="C582" s="96"/>
      <c r="D582" s="96"/>
      <c r="E582" s="112"/>
      <c r="F582" s="100"/>
      <c r="G582" s="99"/>
      <c r="H582" s="100"/>
      <c r="I582" s="82">
        <f>IF(E582="",0,VLOOKUP(E582,DMHH!$D$8:$H$507,IF(H582="",4,5),0))</f>
        <v>0</v>
      </c>
      <c r="J582" s="82">
        <f t="shared" si="18"/>
        <v>0</v>
      </c>
      <c r="K582" s="65">
        <f t="shared" si="17"/>
        <v>41883</v>
      </c>
    </row>
    <row r="583" spans="3:11" ht="20.100000000000001" customHeight="1">
      <c r="C583" s="96"/>
      <c r="D583" s="96"/>
      <c r="E583" s="112"/>
      <c r="F583" s="100"/>
      <c r="G583" s="99"/>
      <c r="H583" s="100"/>
      <c r="I583" s="82">
        <f>IF(E583="",0,VLOOKUP(E583,DMHH!$D$8:$H$507,IF(H583="",4,5),0))</f>
        <v>0</v>
      </c>
      <c r="J583" s="82">
        <f t="shared" si="18"/>
        <v>0</v>
      </c>
      <c r="K583" s="65">
        <f t="shared" si="17"/>
        <v>41883</v>
      </c>
    </row>
    <row r="584" spans="3:11" ht="20.100000000000001" customHeight="1">
      <c r="C584" s="96"/>
      <c r="D584" s="96"/>
      <c r="E584" s="112"/>
      <c r="F584" s="100"/>
      <c r="G584" s="99"/>
      <c r="H584" s="100"/>
      <c r="I584" s="82">
        <f>IF(E584="",0,VLOOKUP(E584,DMHH!$D$8:$H$507,IF(H584="",4,5),0))</f>
        <v>0</v>
      </c>
      <c r="J584" s="82">
        <f t="shared" si="18"/>
        <v>0</v>
      </c>
      <c r="K584" s="65">
        <f t="shared" si="17"/>
        <v>41883</v>
      </c>
    </row>
    <row r="585" spans="3:11" ht="20.100000000000001" customHeight="1">
      <c r="C585" s="96"/>
      <c r="D585" s="96"/>
      <c r="E585" s="112"/>
      <c r="F585" s="100"/>
      <c r="G585" s="99"/>
      <c r="H585" s="100"/>
      <c r="I585" s="82">
        <f>IF(E585="",0,VLOOKUP(E585,DMHH!$D$8:$H$507,IF(H585="",4,5),0))</f>
        <v>0</v>
      </c>
      <c r="J585" s="82">
        <f t="shared" si="18"/>
        <v>0</v>
      </c>
      <c r="K585" s="65">
        <f t="shared" si="17"/>
        <v>41883</v>
      </c>
    </row>
    <row r="586" spans="3:11" ht="20.100000000000001" customHeight="1">
      <c r="C586" s="96"/>
      <c r="D586" s="96"/>
      <c r="E586" s="112"/>
      <c r="F586" s="100"/>
      <c r="G586" s="99"/>
      <c r="H586" s="100"/>
      <c r="I586" s="82">
        <f>IF(E586="",0,VLOOKUP(E586,DMHH!$D$8:$H$507,IF(H586="",4,5),0))</f>
        <v>0</v>
      </c>
      <c r="J586" s="82">
        <f t="shared" si="18"/>
        <v>0</v>
      </c>
      <c r="K586" s="65">
        <f t="shared" si="17"/>
        <v>41883</v>
      </c>
    </row>
    <row r="587" spans="3:11" ht="20.100000000000001" customHeight="1">
      <c r="C587" s="96"/>
      <c r="D587" s="96"/>
      <c r="E587" s="112"/>
      <c r="F587" s="100"/>
      <c r="G587" s="99"/>
      <c r="H587" s="100"/>
      <c r="I587" s="82">
        <f>IF(E587="",0,VLOOKUP(E587,DMHH!$D$8:$H$507,IF(H587="",4,5),0))</f>
        <v>0</v>
      </c>
      <c r="J587" s="82">
        <f t="shared" si="18"/>
        <v>0</v>
      </c>
      <c r="K587" s="65">
        <f t="shared" ref="K587:K650" si="19">IF(C587="",K586,C587)</f>
        <v>41883</v>
      </c>
    </row>
    <row r="588" spans="3:11" ht="20.100000000000001" customHeight="1">
      <c r="C588" s="96"/>
      <c r="D588" s="96"/>
      <c r="E588" s="112"/>
      <c r="F588" s="100"/>
      <c r="G588" s="99"/>
      <c r="H588" s="100"/>
      <c r="I588" s="82">
        <f>IF(E588="",0,VLOOKUP(E588,DMHH!$D$8:$H$507,IF(H588="",4,5),0))</f>
        <v>0</v>
      </c>
      <c r="J588" s="82">
        <f t="shared" si="18"/>
        <v>0</v>
      </c>
      <c r="K588" s="65">
        <f t="shared" si="19"/>
        <v>41883</v>
      </c>
    </row>
    <row r="589" spans="3:11" ht="20.100000000000001" customHeight="1">
      <c r="C589" s="96"/>
      <c r="D589" s="96"/>
      <c r="E589" s="112"/>
      <c r="F589" s="100"/>
      <c r="G589" s="99"/>
      <c r="H589" s="100"/>
      <c r="I589" s="82">
        <f>IF(E589="",0,VLOOKUP(E589,DMHH!$D$8:$H$507,IF(H589="",4,5),0))</f>
        <v>0</v>
      </c>
      <c r="J589" s="82">
        <f t="shared" ref="J589:J652" si="20">F589*I589+H589*I589</f>
        <v>0</v>
      </c>
      <c r="K589" s="65">
        <f t="shared" si="19"/>
        <v>41883</v>
      </c>
    </row>
    <row r="590" spans="3:11" ht="20.100000000000001" customHeight="1">
      <c r="C590" s="96"/>
      <c r="D590" s="96"/>
      <c r="E590" s="112"/>
      <c r="F590" s="100"/>
      <c r="G590" s="99"/>
      <c r="H590" s="100"/>
      <c r="I590" s="82">
        <f>IF(E590="",0,VLOOKUP(E590,DMHH!$D$8:$H$507,IF(H590="",4,5),0))</f>
        <v>0</v>
      </c>
      <c r="J590" s="82">
        <f t="shared" si="20"/>
        <v>0</v>
      </c>
      <c r="K590" s="65">
        <f t="shared" si="19"/>
        <v>41883</v>
      </c>
    </row>
    <row r="591" spans="3:11" ht="20.100000000000001" customHeight="1">
      <c r="C591" s="96"/>
      <c r="D591" s="96"/>
      <c r="E591" s="112"/>
      <c r="F591" s="100"/>
      <c r="G591" s="99"/>
      <c r="H591" s="100"/>
      <c r="I591" s="82">
        <f>IF(E591="",0,VLOOKUP(E591,DMHH!$D$8:$H$507,IF(H591="",4,5),0))</f>
        <v>0</v>
      </c>
      <c r="J591" s="82">
        <f t="shared" si="20"/>
        <v>0</v>
      </c>
      <c r="K591" s="65">
        <f t="shared" si="19"/>
        <v>41883</v>
      </c>
    </row>
    <row r="592" spans="3:11" ht="20.100000000000001" customHeight="1">
      <c r="C592" s="96"/>
      <c r="D592" s="96"/>
      <c r="E592" s="112"/>
      <c r="F592" s="100"/>
      <c r="G592" s="99"/>
      <c r="H592" s="100"/>
      <c r="I592" s="82">
        <f>IF(E592="",0,VLOOKUP(E592,DMHH!$D$8:$H$507,IF(H592="",4,5),0))</f>
        <v>0</v>
      </c>
      <c r="J592" s="82">
        <f t="shared" si="20"/>
        <v>0</v>
      </c>
      <c r="K592" s="65">
        <f t="shared" si="19"/>
        <v>41883</v>
      </c>
    </row>
    <row r="593" spans="3:11" ht="20.100000000000001" customHeight="1">
      <c r="C593" s="96"/>
      <c r="D593" s="96"/>
      <c r="E593" s="112"/>
      <c r="F593" s="100"/>
      <c r="G593" s="99"/>
      <c r="H593" s="100"/>
      <c r="I593" s="82">
        <f>IF(E593="",0,VLOOKUP(E593,DMHH!$D$8:$H$507,IF(H593="",4,5),0))</f>
        <v>0</v>
      </c>
      <c r="J593" s="82">
        <f t="shared" si="20"/>
        <v>0</v>
      </c>
      <c r="K593" s="65">
        <f t="shared" si="19"/>
        <v>41883</v>
      </c>
    </row>
    <row r="594" spans="3:11" ht="20.100000000000001" customHeight="1">
      <c r="C594" s="96"/>
      <c r="D594" s="96"/>
      <c r="E594" s="112"/>
      <c r="F594" s="100"/>
      <c r="G594" s="99"/>
      <c r="H594" s="100"/>
      <c r="I594" s="82">
        <f>IF(E594="",0,VLOOKUP(E594,DMHH!$D$8:$H$507,IF(H594="",4,5),0))</f>
        <v>0</v>
      </c>
      <c r="J594" s="82">
        <f t="shared" si="20"/>
        <v>0</v>
      </c>
      <c r="K594" s="65">
        <f t="shared" si="19"/>
        <v>41883</v>
      </c>
    </row>
    <row r="595" spans="3:11" ht="20.100000000000001" customHeight="1">
      <c r="C595" s="96"/>
      <c r="D595" s="96"/>
      <c r="E595" s="112"/>
      <c r="F595" s="100"/>
      <c r="G595" s="99"/>
      <c r="H595" s="100"/>
      <c r="I595" s="82">
        <f>IF(E595="",0,VLOOKUP(E595,DMHH!$D$8:$H$507,IF(H595="",4,5),0))</f>
        <v>0</v>
      </c>
      <c r="J595" s="82">
        <f t="shared" si="20"/>
        <v>0</v>
      </c>
      <c r="K595" s="65">
        <f t="shared" si="19"/>
        <v>41883</v>
      </c>
    </row>
    <row r="596" spans="3:11" ht="20.100000000000001" customHeight="1">
      <c r="C596" s="96"/>
      <c r="D596" s="96"/>
      <c r="E596" s="112"/>
      <c r="F596" s="100"/>
      <c r="G596" s="99"/>
      <c r="H596" s="100"/>
      <c r="I596" s="82">
        <f>IF(E596="",0,VLOOKUP(E596,DMHH!$D$8:$H$507,IF(H596="",4,5),0))</f>
        <v>0</v>
      </c>
      <c r="J596" s="82">
        <f t="shared" si="20"/>
        <v>0</v>
      </c>
      <c r="K596" s="65">
        <f t="shared" si="19"/>
        <v>41883</v>
      </c>
    </row>
    <row r="597" spans="3:11" ht="20.100000000000001" customHeight="1">
      <c r="C597" s="96"/>
      <c r="D597" s="96"/>
      <c r="E597" s="112"/>
      <c r="F597" s="100"/>
      <c r="G597" s="99"/>
      <c r="H597" s="100"/>
      <c r="I597" s="82">
        <f>IF(E597="",0,VLOOKUP(E597,DMHH!$D$8:$H$507,IF(H597="",4,5),0))</f>
        <v>0</v>
      </c>
      <c r="J597" s="82">
        <f t="shared" si="20"/>
        <v>0</v>
      </c>
      <c r="K597" s="65">
        <f t="shared" si="19"/>
        <v>41883</v>
      </c>
    </row>
    <row r="598" spans="3:11" ht="20.100000000000001" customHeight="1">
      <c r="C598" s="96"/>
      <c r="D598" s="96"/>
      <c r="E598" s="112"/>
      <c r="F598" s="100"/>
      <c r="G598" s="99"/>
      <c r="H598" s="100"/>
      <c r="I598" s="82">
        <f>IF(E598="",0,VLOOKUP(E598,DMHH!$D$8:$H$507,IF(H598="",4,5),0))</f>
        <v>0</v>
      </c>
      <c r="J598" s="82">
        <f t="shared" si="20"/>
        <v>0</v>
      </c>
      <c r="K598" s="65">
        <f t="shared" si="19"/>
        <v>41883</v>
      </c>
    </row>
    <row r="599" spans="3:11" ht="20.100000000000001" customHeight="1">
      <c r="C599" s="96"/>
      <c r="D599" s="96"/>
      <c r="E599" s="112"/>
      <c r="F599" s="100"/>
      <c r="G599" s="99"/>
      <c r="H599" s="100"/>
      <c r="I599" s="82">
        <f>IF(E599="",0,VLOOKUP(E599,DMHH!$D$8:$H$507,IF(H599="",4,5),0))</f>
        <v>0</v>
      </c>
      <c r="J599" s="82">
        <f t="shared" si="20"/>
        <v>0</v>
      </c>
      <c r="K599" s="65">
        <f t="shared" si="19"/>
        <v>41883</v>
      </c>
    </row>
    <row r="600" spans="3:11" ht="20.100000000000001" customHeight="1">
      <c r="C600" s="96"/>
      <c r="D600" s="96"/>
      <c r="E600" s="112"/>
      <c r="F600" s="100"/>
      <c r="G600" s="99"/>
      <c r="H600" s="100"/>
      <c r="I600" s="82">
        <f>IF(E600="",0,VLOOKUP(E600,DMHH!$D$8:$H$507,IF(H600="",4,5),0))</f>
        <v>0</v>
      </c>
      <c r="J600" s="82">
        <f t="shared" si="20"/>
        <v>0</v>
      </c>
      <c r="K600" s="65">
        <f t="shared" si="19"/>
        <v>41883</v>
      </c>
    </row>
    <row r="601" spans="3:11" ht="20.100000000000001" customHeight="1">
      <c r="C601" s="96"/>
      <c r="D601" s="96"/>
      <c r="E601" s="112"/>
      <c r="F601" s="100"/>
      <c r="G601" s="99"/>
      <c r="H601" s="100"/>
      <c r="I601" s="82">
        <f>IF(E601="",0,VLOOKUP(E601,DMHH!$D$8:$H$507,IF(H601="",4,5),0))</f>
        <v>0</v>
      </c>
      <c r="J601" s="82">
        <f t="shared" si="20"/>
        <v>0</v>
      </c>
      <c r="K601" s="65">
        <f t="shared" si="19"/>
        <v>41883</v>
      </c>
    </row>
    <row r="602" spans="3:11" ht="20.100000000000001" customHeight="1">
      <c r="C602" s="96"/>
      <c r="D602" s="96"/>
      <c r="E602" s="112"/>
      <c r="F602" s="100"/>
      <c r="G602" s="99"/>
      <c r="H602" s="100"/>
      <c r="I602" s="82">
        <f>IF(E602="",0,VLOOKUP(E602,DMHH!$D$8:$H$507,IF(H602="",4,5),0))</f>
        <v>0</v>
      </c>
      <c r="J602" s="82">
        <f t="shared" si="20"/>
        <v>0</v>
      </c>
      <c r="K602" s="65">
        <f t="shared" si="19"/>
        <v>41883</v>
      </c>
    </row>
    <row r="603" spans="3:11" ht="20.100000000000001" customHeight="1">
      <c r="C603" s="96"/>
      <c r="D603" s="96"/>
      <c r="E603" s="112"/>
      <c r="F603" s="100"/>
      <c r="G603" s="99"/>
      <c r="H603" s="100"/>
      <c r="I603" s="82">
        <f>IF(E603="",0,VLOOKUP(E603,DMHH!$D$8:$H$507,IF(H603="",4,5),0))</f>
        <v>0</v>
      </c>
      <c r="J603" s="82">
        <f t="shared" si="20"/>
        <v>0</v>
      </c>
      <c r="K603" s="65">
        <f t="shared" si="19"/>
        <v>41883</v>
      </c>
    </row>
    <row r="604" spans="3:11" ht="20.100000000000001" customHeight="1">
      <c r="C604" s="96"/>
      <c r="D604" s="96"/>
      <c r="E604" s="112"/>
      <c r="F604" s="100"/>
      <c r="G604" s="99"/>
      <c r="H604" s="100"/>
      <c r="I604" s="82">
        <f>IF(E604="",0,VLOOKUP(E604,DMHH!$D$8:$H$507,IF(H604="",4,5),0))</f>
        <v>0</v>
      </c>
      <c r="J604" s="82">
        <f t="shared" si="20"/>
        <v>0</v>
      </c>
      <c r="K604" s="65">
        <f t="shared" si="19"/>
        <v>41883</v>
      </c>
    </row>
    <row r="605" spans="3:11" ht="20.100000000000001" customHeight="1">
      <c r="C605" s="96"/>
      <c r="D605" s="96"/>
      <c r="E605" s="112"/>
      <c r="F605" s="100"/>
      <c r="G605" s="99"/>
      <c r="H605" s="100"/>
      <c r="I605" s="82">
        <f>IF(E605="",0,VLOOKUP(E605,DMHH!$D$8:$H$507,IF(H605="",4,5),0))</f>
        <v>0</v>
      </c>
      <c r="J605" s="82">
        <f t="shared" si="20"/>
        <v>0</v>
      </c>
      <c r="K605" s="65">
        <f t="shared" si="19"/>
        <v>41883</v>
      </c>
    </row>
    <row r="606" spans="3:11" ht="20.100000000000001" customHeight="1">
      <c r="C606" s="96"/>
      <c r="D606" s="96"/>
      <c r="E606" s="112"/>
      <c r="F606" s="100"/>
      <c r="G606" s="99"/>
      <c r="H606" s="100"/>
      <c r="I606" s="82">
        <f>IF(E606="",0,VLOOKUP(E606,DMHH!$D$8:$H$507,IF(H606="",4,5),0))</f>
        <v>0</v>
      </c>
      <c r="J606" s="82">
        <f t="shared" si="20"/>
        <v>0</v>
      </c>
      <c r="K606" s="65">
        <f t="shared" si="19"/>
        <v>41883</v>
      </c>
    </row>
    <row r="607" spans="3:11" ht="20.100000000000001" customHeight="1">
      <c r="C607" s="96"/>
      <c r="D607" s="96"/>
      <c r="E607" s="112"/>
      <c r="F607" s="100"/>
      <c r="G607" s="99"/>
      <c r="H607" s="100"/>
      <c r="I607" s="82">
        <f>IF(E607="",0,VLOOKUP(E607,DMHH!$D$8:$H$507,IF(H607="",4,5),0))</f>
        <v>0</v>
      </c>
      <c r="J607" s="82">
        <f t="shared" si="20"/>
        <v>0</v>
      </c>
      <c r="K607" s="65">
        <f t="shared" si="19"/>
        <v>41883</v>
      </c>
    </row>
    <row r="608" spans="3:11" ht="20.100000000000001" customHeight="1">
      <c r="C608" s="96"/>
      <c r="D608" s="96"/>
      <c r="E608" s="112"/>
      <c r="F608" s="100"/>
      <c r="G608" s="99"/>
      <c r="H608" s="100"/>
      <c r="I608" s="82">
        <f>IF(E608="",0,VLOOKUP(E608,DMHH!$D$8:$H$507,IF(H608="",4,5),0))</f>
        <v>0</v>
      </c>
      <c r="J608" s="82">
        <f t="shared" si="20"/>
        <v>0</v>
      </c>
      <c r="K608" s="65">
        <f t="shared" si="19"/>
        <v>41883</v>
      </c>
    </row>
    <row r="609" spans="3:11" ht="20.100000000000001" customHeight="1">
      <c r="C609" s="96"/>
      <c r="D609" s="96"/>
      <c r="E609" s="112"/>
      <c r="F609" s="100"/>
      <c r="G609" s="99"/>
      <c r="H609" s="100"/>
      <c r="I609" s="82">
        <f>IF(E609="",0,VLOOKUP(E609,DMHH!$D$8:$H$507,IF(H609="",4,5),0))</f>
        <v>0</v>
      </c>
      <c r="J609" s="82">
        <f t="shared" si="20"/>
        <v>0</v>
      </c>
      <c r="K609" s="65">
        <f t="shared" si="19"/>
        <v>41883</v>
      </c>
    </row>
    <row r="610" spans="3:11" ht="20.100000000000001" customHeight="1">
      <c r="C610" s="96"/>
      <c r="D610" s="96"/>
      <c r="E610" s="112"/>
      <c r="F610" s="100"/>
      <c r="G610" s="99"/>
      <c r="H610" s="100"/>
      <c r="I610" s="82">
        <f>IF(E610="",0,VLOOKUP(E610,DMHH!$D$8:$H$507,IF(H610="",4,5),0))</f>
        <v>0</v>
      </c>
      <c r="J610" s="82">
        <f t="shared" si="20"/>
        <v>0</v>
      </c>
      <c r="K610" s="65">
        <f t="shared" si="19"/>
        <v>41883</v>
      </c>
    </row>
    <row r="611" spans="3:11" ht="20.100000000000001" customHeight="1">
      <c r="C611" s="96"/>
      <c r="D611" s="96"/>
      <c r="E611" s="112"/>
      <c r="F611" s="100"/>
      <c r="G611" s="99"/>
      <c r="H611" s="100"/>
      <c r="I611" s="82">
        <f>IF(E611="",0,VLOOKUP(E611,DMHH!$D$8:$H$507,IF(H611="",4,5),0))</f>
        <v>0</v>
      </c>
      <c r="J611" s="82">
        <f t="shared" si="20"/>
        <v>0</v>
      </c>
      <c r="K611" s="65">
        <f t="shared" si="19"/>
        <v>41883</v>
      </c>
    </row>
    <row r="612" spans="3:11" ht="20.100000000000001" customHeight="1">
      <c r="C612" s="96"/>
      <c r="D612" s="96"/>
      <c r="E612" s="112"/>
      <c r="F612" s="100"/>
      <c r="G612" s="99"/>
      <c r="H612" s="100"/>
      <c r="I612" s="82">
        <f>IF(E612="",0,VLOOKUP(E612,DMHH!$D$8:$H$507,IF(H612="",4,5),0))</f>
        <v>0</v>
      </c>
      <c r="J612" s="82">
        <f t="shared" si="20"/>
        <v>0</v>
      </c>
      <c r="K612" s="65">
        <f t="shared" si="19"/>
        <v>41883</v>
      </c>
    </row>
    <row r="613" spans="3:11" ht="20.100000000000001" customHeight="1">
      <c r="C613" s="96"/>
      <c r="D613" s="96"/>
      <c r="E613" s="112"/>
      <c r="F613" s="100"/>
      <c r="G613" s="99"/>
      <c r="H613" s="100"/>
      <c r="I613" s="82">
        <f>IF(E613="",0,VLOOKUP(E613,DMHH!$D$8:$H$507,IF(H613="",4,5),0))</f>
        <v>0</v>
      </c>
      <c r="J613" s="82">
        <f t="shared" si="20"/>
        <v>0</v>
      </c>
      <c r="K613" s="65">
        <f t="shared" si="19"/>
        <v>41883</v>
      </c>
    </row>
    <row r="614" spans="3:11" ht="20.100000000000001" customHeight="1">
      <c r="C614" s="96"/>
      <c r="D614" s="96"/>
      <c r="E614" s="112"/>
      <c r="F614" s="100"/>
      <c r="G614" s="99"/>
      <c r="H614" s="100"/>
      <c r="I614" s="82">
        <f>IF(E614="",0,VLOOKUP(E614,DMHH!$D$8:$H$507,IF(H614="",4,5),0))</f>
        <v>0</v>
      </c>
      <c r="J614" s="82">
        <f t="shared" si="20"/>
        <v>0</v>
      </c>
      <c r="K614" s="65">
        <f t="shared" si="19"/>
        <v>41883</v>
      </c>
    </row>
    <row r="615" spans="3:11" ht="20.100000000000001" customHeight="1">
      <c r="C615" s="96"/>
      <c r="D615" s="96"/>
      <c r="E615" s="112"/>
      <c r="F615" s="100"/>
      <c r="G615" s="99"/>
      <c r="H615" s="100"/>
      <c r="I615" s="82">
        <f>IF(E615="",0,VLOOKUP(E615,DMHH!$D$8:$H$507,IF(H615="",4,5),0))</f>
        <v>0</v>
      </c>
      <c r="J615" s="82">
        <f t="shared" si="20"/>
        <v>0</v>
      </c>
      <c r="K615" s="65">
        <f t="shared" si="19"/>
        <v>41883</v>
      </c>
    </row>
    <row r="616" spans="3:11" ht="20.100000000000001" customHeight="1">
      <c r="C616" s="96"/>
      <c r="D616" s="96"/>
      <c r="E616" s="112"/>
      <c r="F616" s="100"/>
      <c r="G616" s="99"/>
      <c r="H616" s="100"/>
      <c r="I616" s="82">
        <f>IF(E616="",0,VLOOKUP(E616,DMHH!$D$8:$H$507,IF(H616="",4,5),0))</f>
        <v>0</v>
      </c>
      <c r="J616" s="82">
        <f t="shared" si="20"/>
        <v>0</v>
      </c>
      <c r="K616" s="65">
        <f t="shared" si="19"/>
        <v>41883</v>
      </c>
    </row>
    <row r="617" spans="3:11" ht="20.100000000000001" customHeight="1">
      <c r="C617" s="96"/>
      <c r="D617" s="96"/>
      <c r="E617" s="112"/>
      <c r="F617" s="100"/>
      <c r="G617" s="99"/>
      <c r="H617" s="100"/>
      <c r="I617" s="82">
        <f>IF(E617="",0,VLOOKUP(E617,DMHH!$D$8:$H$507,IF(H617="",4,5),0))</f>
        <v>0</v>
      </c>
      <c r="J617" s="82">
        <f t="shared" si="20"/>
        <v>0</v>
      </c>
      <c r="K617" s="65">
        <f t="shared" si="19"/>
        <v>41883</v>
      </c>
    </row>
    <row r="618" spans="3:11" ht="20.100000000000001" customHeight="1">
      <c r="C618" s="96"/>
      <c r="D618" s="96"/>
      <c r="E618" s="112"/>
      <c r="F618" s="100"/>
      <c r="G618" s="99"/>
      <c r="H618" s="100"/>
      <c r="I618" s="82">
        <f>IF(E618="",0,VLOOKUP(E618,DMHH!$D$8:$H$507,IF(H618="",4,5),0))</f>
        <v>0</v>
      </c>
      <c r="J618" s="82">
        <f t="shared" si="20"/>
        <v>0</v>
      </c>
      <c r="K618" s="65">
        <f t="shared" si="19"/>
        <v>41883</v>
      </c>
    </row>
    <row r="619" spans="3:11" ht="20.100000000000001" customHeight="1">
      <c r="C619" s="96"/>
      <c r="D619" s="96"/>
      <c r="E619" s="112"/>
      <c r="F619" s="100"/>
      <c r="G619" s="99"/>
      <c r="H619" s="100"/>
      <c r="I619" s="82">
        <f>IF(E619="",0,VLOOKUP(E619,DMHH!$D$8:$H$507,IF(H619="",4,5),0))</f>
        <v>0</v>
      </c>
      <c r="J619" s="82">
        <f t="shared" si="20"/>
        <v>0</v>
      </c>
      <c r="K619" s="65">
        <f t="shared" si="19"/>
        <v>41883</v>
      </c>
    </row>
    <row r="620" spans="3:11" ht="20.100000000000001" customHeight="1">
      <c r="C620" s="96"/>
      <c r="D620" s="96"/>
      <c r="E620" s="112"/>
      <c r="F620" s="100"/>
      <c r="G620" s="99"/>
      <c r="H620" s="100"/>
      <c r="I620" s="82">
        <f>IF(E620="",0,VLOOKUP(E620,DMHH!$D$8:$H$507,IF(H620="",4,5),0))</f>
        <v>0</v>
      </c>
      <c r="J620" s="82">
        <f t="shared" si="20"/>
        <v>0</v>
      </c>
      <c r="K620" s="65">
        <f t="shared" si="19"/>
        <v>41883</v>
      </c>
    </row>
    <row r="621" spans="3:11" ht="20.100000000000001" customHeight="1">
      <c r="C621" s="96"/>
      <c r="D621" s="96"/>
      <c r="E621" s="112"/>
      <c r="F621" s="100"/>
      <c r="G621" s="99"/>
      <c r="H621" s="100"/>
      <c r="I621" s="82">
        <f>IF(E621="",0,VLOOKUP(E621,DMHH!$D$8:$H$507,IF(H621="",4,5),0))</f>
        <v>0</v>
      </c>
      <c r="J621" s="82">
        <f t="shared" si="20"/>
        <v>0</v>
      </c>
      <c r="K621" s="65">
        <f t="shared" si="19"/>
        <v>41883</v>
      </c>
    </row>
    <row r="622" spans="3:11" ht="20.100000000000001" customHeight="1">
      <c r="C622" s="96"/>
      <c r="D622" s="96"/>
      <c r="E622" s="112"/>
      <c r="F622" s="100"/>
      <c r="G622" s="99"/>
      <c r="H622" s="100"/>
      <c r="I622" s="82">
        <f>IF(E622="",0,VLOOKUP(E622,DMHH!$D$8:$H$507,IF(H622="",4,5),0))</f>
        <v>0</v>
      </c>
      <c r="J622" s="82">
        <f t="shared" si="20"/>
        <v>0</v>
      </c>
      <c r="K622" s="65">
        <f t="shared" si="19"/>
        <v>41883</v>
      </c>
    </row>
    <row r="623" spans="3:11" ht="20.100000000000001" customHeight="1">
      <c r="C623" s="96"/>
      <c r="D623" s="96"/>
      <c r="E623" s="112"/>
      <c r="F623" s="100"/>
      <c r="G623" s="99"/>
      <c r="H623" s="100"/>
      <c r="I623" s="82">
        <f>IF(E623="",0,VLOOKUP(E623,DMHH!$D$8:$H$507,IF(H623="",4,5),0))</f>
        <v>0</v>
      </c>
      <c r="J623" s="82">
        <f t="shared" si="20"/>
        <v>0</v>
      </c>
      <c r="K623" s="65">
        <f t="shared" si="19"/>
        <v>41883</v>
      </c>
    </row>
    <row r="624" spans="3:11" ht="20.100000000000001" customHeight="1">
      <c r="C624" s="96"/>
      <c r="D624" s="96"/>
      <c r="E624" s="112"/>
      <c r="F624" s="100"/>
      <c r="G624" s="99"/>
      <c r="H624" s="100"/>
      <c r="I624" s="82">
        <f>IF(E624="",0,VLOOKUP(E624,DMHH!$D$8:$H$507,IF(H624="",4,5),0))</f>
        <v>0</v>
      </c>
      <c r="J624" s="82">
        <f t="shared" si="20"/>
        <v>0</v>
      </c>
      <c r="K624" s="65">
        <f t="shared" si="19"/>
        <v>41883</v>
      </c>
    </row>
    <row r="625" spans="3:11" ht="20.100000000000001" customHeight="1">
      <c r="C625" s="96"/>
      <c r="D625" s="96"/>
      <c r="E625" s="112"/>
      <c r="F625" s="100"/>
      <c r="G625" s="99"/>
      <c r="H625" s="100"/>
      <c r="I625" s="82">
        <f>IF(E625="",0,VLOOKUP(E625,DMHH!$D$8:$H$507,IF(H625="",4,5),0))</f>
        <v>0</v>
      </c>
      <c r="J625" s="82">
        <f t="shared" si="20"/>
        <v>0</v>
      </c>
      <c r="K625" s="65">
        <f t="shared" si="19"/>
        <v>41883</v>
      </c>
    </row>
    <row r="626" spans="3:11" ht="20.100000000000001" customHeight="1">
      <c r="C626" s="96"/>
      <c r="D626" s="96"/>
      <c r="E626" s="112"/>
      <c r="F626" s="100"/>
      <c r="G626" s="99"/>
      <c r="H626" s="100"/>
      <c r="I626" s="82">
        <f>IF(E626="",0,VLOOKUP(E626,DMHH!$D$8:$H$507,IF(H626="",4,5),0))</f>
        <v>0</v>
      </c>
      <c r="J626" s="82">
        <f t="shared" si="20"/>
        <v>0</v>
      </c>
      <c r="K626" s="65">
        <f t="shared" si="19"/>
        <v>41883</v>
      </c>
    </row>
    <row r="627" spans="3:11" ht="20.100000000000001" customHeight="1">
      <c r="C627" s="96"/>
      <c r="D627" s="96"/>
      <c r="E627" s="112"/>
      <c r="F627" s="100"/>
      <c r="G627" s="99"/>
      <c r="H627" s="100"/>
      <c r="I627" s="82">
        <f>IF(E627="",0,VLOOKUP(E627,DMHH!$D$8:$H$507,IF(H627="",4,5),0))</f>
        <v>0</v>
      </c>
      <c r="J627" s="82">
        <f t="shared" si="20"/>
        <v>0</v>
      </c>
      <c r="K627" s="65">
        <f t="shared" si="19"/>
        <v>41883</v>
      </c>
    </row>
    <row r="628" spans="3:11" ht="20.100000000000001" customHeight="1">
      <c r="C628" s="96"/>
      <c r="D628" s="96"/>
      <c r="E628" s="112"/>
      <c r="F628" s="100"/>
      <c r="G628" s="99"/>
      <c r="H628" s="100"/>
      <c r="I628" s="82">
        <f>IF(E628="",0,VLOOKUP(E628,DMHH!$D$8:$H$507,IF(H628="",4,5),0))</f>
        <v>0</v>
      </c>
      <c r="J628" s="82">
        <f t="shared" si="20"/>
        <v>0</v>
      </c>
      <c r="K628" s="65">
        <f t="shared" si="19"/>
        <v>41883</v>
      </c>
    </row>
    <row r="629" spans="3:11" ht="20.100000000000001" customHeight="1">
      <c r="C629" s="96"/>
      <c r="D629" s="96"/>
      <c r="E629" s="112"/>
      <c r="F629" s="100"/>
      <c r="G629" s="99"/>
      <c r="H629" s="100"/>
      <c r="I629" s="82">
        <f>IF(E629="",0,VLOOKUP(E629,DMHH!$D$8:$H$507,IF(H629="",4,5),0))</f>
        <v>0</v>
      </c>
      <c r="J629" s="82">
        <f t="shared" si="20"/>
        <v>0</v>
      </c>
      <c r="K629" s="65">
        <f t="shared" si="19"/>
        <v>41883</v>
      </c>
    </row>
    <row r="630" spans="3:11" ht="20.100000000000001" customHeight="1">
      <c r="C630" s="96"/>
      <c r="D630" s="96"/>
      <c r="E630" s="112"/>
      <c r="F630" s="100"/>
      <c r="G630" s="99"/>
      <c r="H630" s="100"/>
      <c r="I630" s="82">
        <f>IF(E630="",0,VLOOKUP(E630,DMHH!$D$8:$H$507,IF(H630="",4,5),0))</f>
        <v>0</v>
      </c>
      <c r="J630" s="82">
        <f t="shared" si="20"/>
        <v>0</v>
      </c>
      <c r="K630" s="65">
        <f t="shared" si="19"/>
        <v>41883</v>
      </c>
    </row>
    <row r="631" spans="3:11" ht="20.100000000000001" customHeight="1">
      <c r="C631" s="96"/>
      <c r="D631" s="96"/>
      <c r="E631" s="112"/>
      <c r="F631" s="100"/>
      <c r="G631" s="99"/>
      <c r="H631" s="100"/>
      <c r="I631" s="82">
        <f>IF(E631="",0,VLOOKUP(E631,DMHH!$D$8:$H$507,IF(H631="",4,5),0))</f>
        <v>0</v>
      </c>
      <c r="J631" s="82">
        <f t="shared" si="20"/>
        <v>0</v>
      </c>
      <c r="K631" s="65">
        <f t="shared" si="19"/>
        <v>41883</v>
      </c>
    </row>
    <row r="632" spans="3:11" ht="20.100000000000001" customHeight="1">
      <c r="C632" s="96"/>
      <c r="D632" s="96"/>
      <c r="E632" s="112"/>
      <c r="F632" s="100"/>
      <c r="G632" s="99"/>
      <c r="H632" s="100"/>
      <c r="I632" s="82">
        <f>IF(E632="",0,VLOOKUP(E632,DMHH!$D$8:$H$507,IF(H632="",4,5),0))</f>
        <v>0</v>
      </c>
      <c r="J632" s="82">
        <f t="shared" si="20"/>
        <v>0</v>
      </c>
      <c r="K632" s="65">
        <f t="shared" si="19"/>
        <v>41883</v>
      </c>
    </row>
    <row r="633" spans="3:11" ht="20.100000000000001" customHeight="1">
      <c r="C633" s="96"/>
      <c r="D633" s="96"/>
      <c r="E633" s="112"/>
      <c r="F633" s="100"/>
      <c r="G633" s="99"/>
      <c r="H633" s="100"/>
      <c r="I633" s="82">
        <f>IF(E633="",0,VLOOKUP(E633,DMHH!$D$8:$H$507,IF(H633="",4,5),0))</f>
        <v>0</v>
      </c>
      <c r="J633" s="82">
        <f t="shared" si="20"/>
        <v>0</v>
      </c>
      <c r="K633" s="65">
        <f t="shared" si="19"/>
        <v>41883</v>
      </c>
    </row>
    <row r="634" spans="3:11" ht="20.100000000000001" customHeight="1">
      <c r="C634" s="96"/>
      <c r="D634" s="96"/>
      <c r="E634" s="112"/>
      <c r="F634" s="100"/>
      <c r="G634" s="99"/>
      <c r="H634" s="100"/>
      <c r="I634" s="82">
        <f>IF(E634="",0,VLOOKUP(E634,DMHH!$D$8:$H$507,IF(H634="",4,5),0))</f>
        <v>0</v>
      </c>
      <c r="J634" s="82">
        <f t="shared" si="20"/>
        <v>0</v>
      </c>
      <c r="K634" s="65">
        <f t="shared" si="19"/>
        <v>41883</v>
      </c>
    </row>
    <row r="635" spans="3:11" ht="20.100000000000001" customHeight="1">
      <c r="C635" s="96"/>
      <c r="D635" s="96"/>
      <c r="E635" s="112"/>
      <c r="F635" s="100"/>
      <c r="G635" s="99"/>
      <c r="H635" s="100"/>
      <c r="I635" s="82">
        <f>IF(E635="",0,VLOOKUP(E635,DMHH!$D$8:$H$507,IF(H635="",4,5),0))</f>
        <v>0</v>
      </c>
      <c r="J635" s="82">
        <f t="shared" si="20"/>
        <v>0</v>
      </c>
      <c r="K635" s="65">
        <f t="shared" si="19"/>
        <v>41883</v>
      </c>
    </row>
    <row r="636" spans="3:11" ht="20.100000000000001" customHeight="1">
      <c r="C636" s="96"/>
      <c r="D636" s="96"/>
      <c r="E636" s="112"/>
      <c r="F636" s="100"/>
      <c r="G636" s="99"/>
      <c r="H636" s="100"/>
      <c r="I636" s="82">
        <f>IF(E636="",0,VLOOKUP(E636,DMHH!$D$8:$H$507,IF(H636="",4,5),0))</f>
        <v>0</v>
      </c>
      <c r="J636" s="82">
        <f t="shared" si="20"/>
        <v>0</v>
      </c>
      <c r="K636" s="65">
        <f t="shared" si="19"/>
        <v>41883</v>
      </c>
    </row>
    <row r="637" spans="3:11" ht="20.100000000000001" customHeight="1">
      <c r="C637" s="96"/>
      <c r="D637" s="96"/>
      <c r="E637" s="112"/>
      <c r="F637" s="100"/>
      <c r="G637" s="99"/>
      <c r="H637" s="100"/>
      <c r="I637" s="82">
        <f>IF(E637="",0,VLOOKUP(E637,DMHH!$D$8:$H$507,IF(H637="",4,5),0))</f>
        <v>0</v>
      </c>
      <c r="J637" s="82">
        <f t="shared" si="20"/>
        <v>0</v>
      </c>
      <c r="K637" s="65">
        <f t="shared" si="19"/>
        <v>41883</v>
      </c>
    </row>
    <row r="638" spans="3:11" ht="20.100000000000001" customHeight="1">
      <c r="C638" s="96"/>
      <c r="D638" s="96"/>
      <c r="E638" s="112"/>
      <c r="F638" s="100"/>
      <c r="G638" s="99"/>
      <c r="H638" s="100"/>
      <c r="I638" s="82">
        <f>IF(E638="",0,VLOOKUP(E638,DMHH!$D$8:$H$507,IF(H638="",4,5),0))</f>
        <v>0</v>
      </c>
      <c r="J638" s="82">
        <f t="shared" si="20"/>
        <v>0</v>
      </c>
      <c r="K638" s="65">
        <f t="shared" si="19"/>
        <v>41883</v>
      </c>
    </row>
    <row r="639" spans="3:11" ht="20.100000000000001" customHeight="1">
      <c r="C639" s="96"/>
      <c r="D639" s="96"/>
      <c r="E639" s="112"/>
      <c r="F639" s="100"/>
      <c r="G639" s="99"/>
      <c r="H639" s="100"/>
      <c r="I639" s="82">
        <f>IF(E639="",0,VLOOKUP(E639,DMHH!$D$8:$H$507,IF(H639="",4,5),0))</f>
        <v>0</v>
      </c>
      <c r="J639" s="82">
        <f t="shared" si="20"/>
        <v>0</v>
      </c>
      <c r="K639" s="65">
        <f t="shared" si="19"/>
        <v>41883</v>
      </c>
    </row>
    <row r="640" spans="3:11" ht="20.100000000000001" customHeight="1">
      <c r="C640" s="96"/>
      <c r="D640" s="96"/>
      <c r="E640" s="112"/>
      <c r="F640" s="100"/>
      <c r="G640" s="99"/>
      <c r="H640" s="100"/>
      <c r="I640" s="82">
        <f>IF(E640="",0,VLOOKUP(E640,DMHH!$D$8:$H$507,IF(H640="",4,5),0))</f>
        <v>0</v>
      </c>
      <c r="J640" s="82">
        <f t="shared" si="20"/>
        <v>0</v>
      </c>
      <c r="K640" s="65">
        <f t="shared" si="19"/>
        <v>41883</v>
      </c>
    </row>
    <row r="641" spans="3:11" ht="20.100000000000001" customHeight="1">
      <c r="C641" s="96"/>
      <c r="D641" s="96"/>
      <c r="E641" s="112"/>
      <c r="F641" s="100"/>
      <c r="G641" s="99"/>
      <c r="H641" s="100"/>
      <c r="I641" s="82">
        <f>IF(E641="",0,VLOOKUP(E641,DMHH!$D$8:$H$507,IF(H641="",4,5),0))</f>
        <v>0</v>
      </c>
      <c r="J641" s="82">
        <f t="shared" si="20"/>
        <v>0</v>
      </c>
      <c r="K641" s="65">
        <f t="shared" si="19"/>
        <v>41883</v>
      </c>
    </row>
    <row r="642" spans="3:11" ht="20.100000000000001" customHeight="1">
      <c r="C642" s="96"/>
      <c r="D642" s="96"/>
      <c r="E642" s="112"/>
      <c r="F642" s="100"/>
      <c r="G642" s="99"/>
      <c r="H642" s="100"/>
      <c r="I642" s="82">
        <f>IF(E642="",0,VLOOKUP(E642,DMHH!$D$8:$H$507,IF(H642="",4,5),0))</f>
        <v>0</v>
      </c>
      <c r="J642" s="82">
        <f t="shared" si="20"/>
        <v>0</v>
      </c>
      <c r="K642" s="65">
        <f t="shared" si="19"/>
        <v>41883</v>
      </c>
    </row>
    <row r="643" spans="3:11" ht="20.100000000000001" customHeight="1">
      <c r="C643" s="96"/>
      <c r="D643" s="96"/>
      <c r="E643" s="112"/>
      <c r="F643" s="100"/>
      <c r="G643" s="99"/>
      <c r="H643" s="100"/>
      <c r="I643" s="82">
        <f>IF(E643="",0,VLOOKUP(E643,DMHH!$D$8:$H$507,IF(H643="",4,5),0))</f>
        <v>0</v>
      </c>
      <c r="J643" s="82">
        <f t="shared" si="20"/>
        <v>0</v>
      </c>
      <c r="K643" s="65">
        <f t="shared" si="19"/>
        <v>41883</v>
      </c>
    </row>
    <row r="644" spans="3:11" ht="20.100000000000001" customHeight="1">
      <c r="C644" s="96"/>
      <c r="D644" s="96"/>
      <c r="E644" s="112"/>
      <c r="F644" s="100"/>
      <c r="G644" s="99"/>
      <c r="H644" s="100"/>
      <c r="I644" s="82">
        <f>IF(E644="",0,VLOOKUP(E644,DMHH!$D$8:$H$507,IF(H644="",4,5),0))</f>
        <v>0</v>
      </c>
      <c r="J644" s="82">
        <f t="shared" si="20"/>
        <v>0</v>
      </c>
      <c r="K644" s="65">
        <f t="shared" si="19"/>
        <v>41883</v>
      </c>
    </row>
    <row r="645" spans="3:11" ht="20.100000000000001" customHeight="1">
      <c r="C645" s="96"/>
      <c r="D645" s="96"/>
      <c r="E645" s="112"/>
      <c r="F645" s="100"/>
      <c r="G645" s="99"/>
      <c r="H645" s="100"/>
      <c r="I645" s="82">
        <f>IF(E645="",0,VLOOKUP(E645,DMHH!$D$8:$H$507,IF(H645="",4,5),0))</f>
        <v>0</v>
      </c>
      <c r="J645" s="82">
        <f t="shared" si="20"/>
        <v>0</v>
      </c>
      <c r="K645" s="65">
        <f t="shared" si="19"/>
        <v>41883</v>
      </c>
    </row>
    <row r="646" spans="3:11" ht="20.100000000000001" customHeight="1">
      <c r="C646" s="96"/>
      <c r="D646" s="96"/>
      <c r="E646" s="112"/>
      <c r="F646" s="100"/>
      <c r="G646" s="99"/>
      <c r="H646" s="100"/>
      <c r="I646" s="82">
        <f>IF(E646="",0,VLOOKUP(E646,DMHH!$D$8:$H$507,IF(H646="",4,5),0))</f>
        <v>0</v>
      </c>
      <c r="J646" s="82">
        <f t="shared" si="20"/>
        <v>0</v>
      </c>
      <c r="K646" s="65">
        <f t="shared" si="19"/>
        <v>41883</v>
      </c>
    </row>
    <row r="647" spans="3:11" ht="20.100000000000001" customHeight="1">
      <c r="C647" s="96"/>
      <c r="D647" s="96"/>
      <c r="E647" s="112"/>
      <c r="F647" s="100"/>
      <c r="G647" s="99"/>
      <c r="H647" s="100"/>
      <c r="I647" s="82">
        <f>IF(E647="",0,VLOOKUP(E647,DMHH!$D$8:$H$507,IF(H647="",4,5),0))</f>
        <v>0</v>
      </c>
      <c r="J647" s="82">
        <f t="shared" si="20"/>
        <v>0</v>
      </c>
      <c r="K647" s="65">
        <f t="shared" si="19"/>
        <v>41883</v>
      </c>
    </row>
    <row r="648" spans="3:11" ht="20.100000000000001" customHeight="1">
      <c r="C648" s="96"/>
      <c r="D648" s="96"/>
      <c r="E648" s="112"/>
      <c r="F648" s="100"/>
      <c r="G648" s="99"/>
      <c r="H648" s="100"/>
      <c r="I648" s="82">
        <f>IF(E648="",0,VLOOKUP(E648,DMHH!$D$8:$H$507,IF(H648="",4,5),0))</f>
        <v>0</v>
      </c>
      <c r="J648" s="82">
        <f t="shared" si="20"/>
        <v>0</v>
      </c>
      <c r="K648" s="65">
        <f t="shared" si="19"/>
        <v>41883</v>
      </c>
    </row>
    <row r="649" spans="3:11" ht="20.100000000000001" customHeight="1">
      <c r="C649" s="96"/>
      <c r="D649" s="96"/>
      <c r="E649" s="112"/>
      <c r="F649" s="100"/>
      <c r="G649" s="99"/>
      <c r="H649" s="100"/>
      <c r="I649" s="82">
        <f>IF(E649="",0,VLOOKUP(E649,DMHH!$D$8:$H$507,IF(H649="",4,5),0))</f>
        <v>0</v>
      </c>
      <c r="J649" s="82">
        <f t="shared" si="20"/>
        <v>0</v>
      </c>
      <c r="K649" s="65">
        <f t="shared" si="19"/>
        <v>41883</v>
      </c>
    </row>
    <row r="650" spans="3:11" ht="20.100000000000001" customHeight="1">
      <c r="C650" s="96"/>
      <c r="D650" s="96"/>
      <c r="E650" s="112"/>
      <c r="F650" s="100"/>
      <c r="G650" s="99"/>
      <c r="H650" s="100"/>
      <c r="I650" s="82">
        <f>IF(E650="",0,VLOOKUP(E650,DMHH!$D$8:$H$507,IF(H650="",4,5),0))</f>
        <v>0</v>
      </c>
      <c r="J650" s="82">
        <f t="shared" si="20"/>
        <v>0</v>
      </c>
      <c r="K650" s="65">
        <f t="shared" si="19"/>
        <v>41883</v>
      </c>
    </row>
    <row r="651" spans="3:11" ht="20.100000000000001" customHeight="1">
      <c r="C651" s="96"/>
      <c r="D651" s="96"/>
      <c r="E651" s="112"/>
      <c r="F651" s="100"/>
      <c r="G651" s="99"/>
      <c r="H651" s="100"/>
      <c r="I651" s="82">
        <f>IF(E651="",0,VLOOKUP(E651,DMHH!$D$8:$H$507,IF(H651="",4,5),0))</f>
        <v>0</v>
      </c>
      <c r="J651" s="82">
        <f t="shared" si="20"/>
        <v>0</v>
      </c>
      <c r="K651" s="65">
        <f t="shared" ref="K651:K714" si="21">IF(C651="",K650,C651)</f>
        <v>41883</v>
      </c>
    </row>
    <row r="652" spans="3:11" ht="20.100000000000001" customHeight="1">
      <c r="C652" s="96"/>
      <c r="D652" s="96"/>
      <c r="E652" s="112"/>
      <c r="F652" s="100"/>
      <c r="G652" s="99"/>
      <c r="H652" s="100"/>
      <c r="I652" s="82">
        <f>IF(E652="",0,VLOOKUP(E652,DMHH!$D$8:$H$507,IF(H652="",4,5),0))</f>
        <v>0</v>
      </c>
      <c r="J652" s="82">
        <f t="shared" si="20"/>
        <v>0</v>
      </c>
      <c r="K652" s="65">
        <f t="shared" si="21"/>
        <v>41883</v>
      </c>
    </row>
    <row r="653" spans="3:11" ht="20.100000000000001" customHeight="1">
      <c r="C653" s="96"/>
      <c r="D653" s="96"/>
      <c r="E653" s="112"/>
      <c r="F653" s="100"/>
      <c r="G653" s="99"/>
      <c r="H653" s="100"/>
      <c r="I653" s="82">
        <f>IF(E653="",0,VLOOKUP(E653,DMHH!$D$8:$H$507,IF(H653="",4,5),0))</f>
        <v>0</v>
      </c>
      <c r="J653" s="82">
        <f t="shared" ref="J653:J716" si="22">F653*I653+H653*I653</f>
        <v>0</v>
      </c>
      <c r="K653" s="65">
        <f t="shared" si="21"/>
        <v>41883</v>
      </c>
    </row>
    <row r="654" spans="3:11" ht="20.100000000000001" customHeight="1">
      <c r="C654" s="96"/>
      <c r="D654" s="96"/>
      <c r="E654" s="112"/>
      <c r="F654" s="100"/>
      <c r="G654" s="99"/>
      <c r="H654" s="100"/>
      <c r="I654" s="82">
        <f>IF(E654="",0,VLOOKUP(E654,DMHH!$D$8:$H$507,IF(H654="",4,5),0))</f>
        <v>0</v>
      </c>
      <c r="J654" s="82">
        <f t="shared" si="22"/>
        <v>0</v>
      </c>
      <c r="K654" s="65">
        <f t="shared" si="21"/>
        <v>41883</v>
      </c>
    </row>
    <row r="655" spans="3:11" ht="20.100000000000001" customHeight="1">
      <c r="C655" s="96"/>
      <c r="D655" s="96"/>
      <c r="E655" s="112"/>
      <c r="F655" s="100"/>
      <c r="G655" s="99"/>
      <c r="H655" s="100"/>
      <c r="I655" s="82">
        <f>IF(E655="",0,VLOOKUP(E655,DMHH!$D$8:$H$507,IF(H655="",4,5),0))</f>
        <v>0</v>
      </c>
      <c r="J655" s="82">
        <f t="shared" si="22"/>
        <v>0</v>
      </c>
      <c r="K655" s="65">
        <f t="shared" si="21"/>
        <v>41883</v>
      </c>
    </row>
    <row r="656" spans="3:11" ht="20.100000000000001" customHeight="1">
      <c r="C656" s="96"/>
      <c r="D656" s="96"/>
      <c r="E656" s="112"/>
      <c r="F656" s="100"/>
      <c r="G656" s="99"/>
      <c r="H656" s="100"/>
      <c r="I656" s="82">
        <f>IF(E656="",0,VLOOKUP(E656,DMHH!$D$8:$H$507,IF(H656="",4,5),0))</f>
        <v>0</v>
      </c>
      <c r="J656" s="82">
        <f t="shared" si="22"/>
        <v>0</v>
      </c>
      <c r="K656" s="65">
        <f t="shared" si="21"/>
        <v>41883</v>
      </c>
    </row>
    <row r="657" spans="3:11" ht="20.100000000000001" customHeight="1">
      <c r="C657" s="96"/>
      <c r="D657" s="96"/>
      <c r="E657" s="112"/>
      <c r="F657" s="100"/>
      <c r="G657" s="99"/>
      <c r="H657" s="100"/>
      <c r="I657" s="82">
        <f>IF(E657="",0,VLOOKUP(E657,DMHH!$D$8:$H$507,IF(H657="",4,5),0))</f>
        <v>0</v>
      </c>
      <c r="J657" s="82">
        <f t="shared" si="22"/>
        <v>0</v>
      </c>
      <c r="K657" s="65">
        <f t="shared" si="21"/>
        <v>41883</v>
      </c>
    </row>
    <row r="658" spans="3:11" ht="20.100000000000001" customHeight="1">
      <c r="C658" s="96"/>
      <c r="D658" s="96"/>
      <c r="E658" s="112"/>
      <c r="F658" s="100"/>
      <c r="G658" s="99"/>
      <c r="H658" s="100"/>
      <c r="I658" s="82">
        <f>IF(E658="",0,VLOOKUP(E658,DMHH!$D$8:$H$507,IF(H658="",4,5),0))</f>
        <v>0</v>
      </c>
      <c r="J658" s="82">
        <f t="shared" si="22"/>
        <v>0</v>
      </c>
      <c r="K658" s="65">
        <f t="shared" si="21"/>
        <v>41883</v>
      </c>
    </row>
    <row r="659" spans="3:11" ht="20.100000000000001" customHeight="1">
      <c r="C659" s="96"/>
      <c r="D659" s="96"/>
      <c r="E659" s="112"/>
      <c r="F659" s="100"/>
      <c r="G659" s="99"/>
      <c r="H659" s="100"/>
      <c r="I659" s="82">
        <f>IF(E659="",0,VLOOKUP(E659,DMHH!$D$8:$H$507,IF(H659="",4,5),0))</f>
        <v>0</v>
      </c>
      <c r="J659" s="82">
        <f t="shared" si="22"/>
        <v>0</v>
      </c>
      <c r="K659" s="65">
        <f t="shared" si="21"/>
        <v>41883</v>
      </c>
    </row>
    <row r="660" spans="3:11" ht="20.100000000000001" customHeight="1">
      <c r="C660" s="96"/>
      <c r="D660" s="96"/>
      <c r="E660" s="112"/>
      <c r="F660" s="100"/>
      <c r="G660" s="99"/>
      <c r="H660" s="100"/>
      <c r="I660" s="82">
        <f>IF(E660="",0,VLOOKUP(E660,DMHH!$D$8:$H$507,IF(H660="",4,5),0))</f>
        <v>0</v>
      </c>
      <c r="J660" s="82">
        <f t="shared" si="22"/>
        <v>0</v>
      </c>
      <c r="K660" s="65">
        <f t="shared" si="21"/>
        <v>41883</v>
      </c>
    </row>
    <row r="661" spans="3:11" ht="20.100000000000001" customHeight="1">
      <c r="C661" s="96"/>
      <c r="D661" s="96"/>
      <c r="E661" s="112"/>
      <c r="F661" s="100"/>
      <c r="G661" s="99"/>
      <c r="H661" s="100"/>
      <c r="I661" s="82">
        <f>IF(E661="",0,VLOOKUP(E661,DMHH!$D$8:$H$507,IF(H661="",4,5),0))</f>
        <v>0</v>
      </c>
      <c r="J661" s="82">
        <f t="shared" si="22"/>
        <v>0</v>
      </c>
      <c r="K661" s="65">
        <f t="shared" si="21"/>
        <v>41883</v>
      </c>
    </row>
    <row r="662" spans="3:11" ht="20.100000000000001" customHeight="1">
      <c r="C662" s="96"/>
      <c r="D662" s="96"/>
      <c r="E662" s="112"/>
      <c r="F662" s="100"/>
      <c r="G662" s="99"/>
      <c r="H662" s="100"/>
      <c r="I662" s="82">
        <f>IF(E662="",0,VLOOKUP(E662,DMHH!$D$8:$H$507,IF(H662="",4,5),0))</f>
        <v>0</v>
      </c>
      <c r="J662" s="82">
        <f t="shared" si="22"/>
        <v>0</v>
      </c>
      <c r="K662" s="65">
        <f t="shared" si="21"/>
        <v>41883</v>
      </c>
    </row>
    <row r="663" spans="3:11" ht="20.100000000000001" customHeight="1">
      <c r="C663" s="96"/>
      <c r="D663" s="96"/>
      <c r="E663" s="112"/>
      <c r="F663" s="100"/>
      <c r="G663" s="99"/>
      <c r="H663" s="100"/>
      <c r="I663" s="82">
        <f>IF(E663="",0,VLOOKUP(E663,DMHH!$D$8:$H$507,IF(H663="",4,5),0))</f>
        <v>0</v>
      </c>
      <c r="J663" s="82">
        <f t="shared" si="22"/>
        <v>0</v>
      </c>
      <c r="K663" s="65">
        <f t="shared" si="21"/>
        <v>41883</v>
      </c>
    </row>
    <row r="664" spans="3:11" ht="20.100000000000001" customHeight="1">
      <c r="C664" s="96"/>
      <c r="D664" s="96"/>
      <c r="E664" s="112"/>
      <c r="F664" s="100"/>
      <c r="G664" s="99"/>
      <c r="H664" s="100"/>
      <c r="I664" s="82">
        <f>IF(E664="",0,VLOOKUP(E664,DMHH!$D$8:$H$507,IF(H664="",4,5),0))</f>
        <v>0</v>
      </c>
      <c r="J664" s="82">
        <f t="shared" si="22"/>
        <v>0</v>
      </c>
      <c r="K664" s="65">
        <f t="shared" si="21"/>
        <v>41883</v>
      </c>
    </row>
    <row r="665" spans="3:11" ht="20.100000000000001" customHeight="1">
      <c r="C665" s="96"/>
      <c r="D665" s="96"/>
      <c r="E665" s="112"/>
      <c r="F665" s="100"/>
      <c r="G665" s="99"/>
      <c r="H665" s="100"/>
      <c r="I665" s="82">
        <f>IF(E665="",0,VLOOKUP(E665,DMHH!$D$8:$H$507,IF(H665="",4,5),0))</f>
        <v>0</v>
      </c>
      <c r="J665" s="82">
        <f t="shared" si="22"/>
        <v>0</v>
      </c>
      <c r="K665" s="65">
        <f t="shared" si="21"/>
        <v>41883</v>
      </c>
    </row>
    <row r="666" spans="3:11" ht="20.100000000000001" customHeight="1">
      <c r="C666" s="96"/>
      <c r="D666" s="96"/>
      <c r="E666" s="112"/>
      <c r="F666" s="100"/>
      <c r="G666" s="99"/>
      <c r="H666" s="100"/>
      <c r="I666" s="82">
        <f>IF(E666="",0,VLOOKUP(E666,DMHH!$D$8:$H$507,IF(H666="",4,5),0))</f>
        <v>0</v>
      </c>
      <c r="J666" s="82">
        <f t="shared" si="22"/>
        <v>0</v>
      </c>
      <c r="K666" s="65">
        <f t="shared" si="21"/>
        <v>41883</v>
      </c>
    </row>
    <row r="667" spans="3:11" ht="20.100000000000001" customHeight="1">
      <c r="C667" s="96"/>
      <c r="D667" s="96"/>
      <c r="E667" s="112"/>
      <c r="F667" s="100"/>
      <c r="G667" s="99"/>
      <c r="H667" s="100"/>
      <c r="I667" s="82">
        <f>IF(E667="",0,VLOOKUP(E667,DMHH!$D$8:$H$507,IF(H667="",4,5),0))</f>
        <v>0</v>
      </c>
      <c r="J667" s="82">
        <f t="shared" si="22"/>
        <v>0</v>
      </c>
      <c r="K667" s="65">
        <f t="shared" si="21"/>
        <v>41883</v>
      </c>
    </row>
    <row r="668" spans="3:11" ht="20.100000000000001" customHeight="1">
      <c r="C668" s="96"/>
      <c r="D668" s="96"/>
      <c r="E668" s="112"/>
      <c r="F668" s="100"/>
      <c r="G668" s="99"/>
      <c r="H668" s="100"/>
      <c r="I668" s="82">
        <f>IF(E668="",0,VLOOKUP(E668,DMHH!$D$8:$H$507,IF(H668="",4,5),0))</f>
        <v>0</v>
      </c>
      <c r="J668" s="82">
        <f t="shared" si="22"/>
        <v>0</v>
      </c>
      <c r="K668" s="65">
        <f t="shared" si="21"/>
        <v>41883</v>
      </c>
    </row>
    <row r="669" spans="3:11" ht="20.100000000000001" customHeight="1">
      <c r="C669" s="96"/>
      <c r="D669" s="96"/>
      <c r="E669" s="112"/>
      <c r="F669" s="100"/>
      <c r="G669" s="99"/>
      <c r="H669" s="100"/>
      <c r="I669" s="82">
        <f>IF(E669="",0,VLOOKUP(E669,DMHH!$D$8:$H$507,IF(H669="",4,5),0))</f>
        <v>0</v>
      </c>
      <c r="J669" s="82">
        <f t="shared" si="22"/>
        <v>0</v>
      </c>
      <c r="K669" s="65">
        <f t="shared" si="21"/>
        <v>41883</v>
      </c>
    </row>
    <row r="670" spans="3:11" ht="20.100000000000001" customHeight="1">
      <c r="C670" s="96"/>
      <c r="D670" s="96"/>
      <c r="E670" s="112"/>
      <c r="F670" s="100"/>
      <c r="G670" s="99"/>
      <c r="H670" s="100"/>
      <c r="I670" s="82">
        <f>IF(E670="",0,VLOOKUP(E670,DMHH!$D$8:$H$507,IF(H670="",4,5),0))</f>
        <v>0</v>
      </c>
      <c r="J670" s="82">
        <f t="shared" si="22"/>
        <v>0</v>
      </c>
      <c r="K670" s="65">
        <f t="shared" si="21"/>
        <v>41883</v>
      </c>
    </row>
    <row r="671" spans="3:11" ht="20.100000000000001" customHeight="1">
      <c r="C671" s="96"/>
      <c r="D671" s="96"/>
      <c r="E671" s="112"/>
      <c r="F671" s="100"/>
      <c r="G671" s="99"/>
      <c r="H671" s="100"/>
      <c r="I671" s="82">
        <f>IF(E671="",0,VLOOKUP(E671,DMHH!$D$8:$H$507,IF(H671="",4,5),0))</f>
        <v>0</v>
      </c>
      <c r="J671" s="82">
        <f t="shared" si="22"/>
        <v>0</v>
      </c>
      <c r="K671" s="65">
        <f t="shared" si="21"/>
        <v>41883</v>
      </c>
    </row>
    <row r="672" spans="3:11" ht="20.100000000000001" customHeight="1">
      <c r="C672" s="96"/>
      <c r="D672" s="96"/>
      <c r="E672" s="112"/>
      <c r="F672" s="100"/>
      <c r="G672" s="99"/>
      <c r="H672" s="100"/>
      <c r="I672" s="82">
        <f>IF(E672="",0,VLOOKUP(E672,DMHH!$D$8:$H$507,IF(H672="",4,5),0))</f>
        <v>0</v>
      </c>
      <c r="J672" s="82">
        <f t="shared" si="22"/>
        <v>0</v>
      </c>
      <c r="K672" s="65">
        <f t="shared" si="21"/>
        <v>41883</v>
      </c>
    </row>
    <row r="673" spans="3:11" ht="20.100000000000001" customHeight="1">
      <c r="C673" s="96"/>
      <c r="D673" s="96"/>
      <c r="E673" s="112"/>
      <c r="F673" s="100"/>
      <c r="G673" s="99"/>
      <c r="H673" s="100"/>
      <c r="I673" s="82">
        <f>IF(E673="",0,VLOOKUP(E673,DMHH!$D$8:$H$507,IF(H673="",4,5),0))</f>
        <v>0</v>
      </c>
      <c r="J673" s="82">
        <f t="shared" si="22"/>
        <v>0</v>
      </c>
      <c r="K673" s="65">
        <f t="shared" si="21"/>
        <v>41883</v>
      </c>
    </row>
    <row r="674" spans="3:11" ht="20.100000000000001" customHeight="1">
      <c r="C674" s="96"/>
      <c r="D674" s="96"/>
      <c r="E674" s="112"/>
      <c r="F674" s="100"/>
      <c r="G674" s="99"/>
      <c r="H674" s="100"/>
      <c r="I674" s="82">
        <f>IF(E674="",0,VLOOKUP(E674,DMHH!$D$8:$H$507,IF(H674="",4,5),0))</f>
        <v>0</v>
      </c>
      <c r="J674" s="82">
        <f t="shared" si="22"/>
        <v>0</v>
      </c>
      <c r="K674" s="65">
        <f t="shared" si="21"/>
        <v>41883</v>
      </c>
    </row>
    <row r="675" spans="3:11" ht="20.100000000000001" customHeight="1">
      <c r="C675" s="96"/>
      <c r="D675" s="96"/>
      <c r="E675" s="112"/>
      <c r="F675" s="100"/>
      <c r="G675" s="99"/>
      <c r="H675" s="100"/>
      <c r="I675" s="82">
        <f>IF(E675="",0,VLOOKUP(E675,DMHH!$D$8:$H$507,IF(H675="",4,5),0))</f>
        <v>0</v>
      </c>
      <c r="J675" s="82">
        <f t="shared" si="22"/>
        <v>0</v>
      </c>
      <c r="K675" s="65">
        <f t="shared" si="21"/>
        <v>41883</v>
      </c>
    </row>
    <row r="676" spans="3:11" ht="20.100000000000001" customHeight="1">
      <c r="C676" s="96"/>
      <c r="D676" s="96"/>
      <c r="E676" s="112"/>
      <c r="F676" s="100"/>
      <c r="G676" s="99"/>
      <c r="H676" s="100"/>
      <c r="I676" s="82">
        <f>IF(E676="",0,VLOOKUP(E676,DMHH!$D$8:$H$507,IF(H676="",4,5),0))</f>
        <v>0</v>
      </c>
      <c r="J676" s="82">
        <f t="shared" si="22"/>
        <v>0</v>
      </c>
      <c r="K676" s="65">
        <f t="shared" si="21"/>
        <v>41883</v>
      </c>
    </row>
    <row r="677" spans="3:11" ht="20.100000000000001" customHeight="1">
      <c r="C677" s="96"/>
      <c r="D677" s="96"/>
      <c r="E677" s="112"/>
      <c r="F677" s="100"/>
      <c r="G677" s="99"/>
      <c r="H677" s="100"/>
      <c r="I677" s="82">
        <f>IF(E677="",0,VLOOKUP(E677,DMHH!$D$8:$H$507,IF(H677="",4,5),0))</f>
        <v>0</v>
      </c>
      <c r="J677" s="82">
        <f t="shared" si="22"/>
        <v>0</v>
      </c>
      <c r="K677" s="65">
        <f t="shared" si="21"/>
        <v>41883</v>
      </c>
    </row>
    <row r="678" spans="3:11" ht="20.100000000000001" customHeight="1">
      <c r="C678" s="96"/>
      <c r="D678" s="96"/>
      <c r="E678" s="112"/>
      <c r="F678" s="100"/>
      <c r="G678" s="99"/>
      <c r="H678" s="100"/>
      <c r="I678" s="82">
        <f>IF(E678="",0,VLOOKUP(E678,DMHH!$D$8:$H$507,IF(H678="",4,5),0))</f>
        <v>0</v>
      </c>
      <c r="J678" s="82">
        <f t="shared" si="22"/>
        <v>0</v>
      </c>
      <c r="K678" s="65">
        <f t="shared" si="21"/>
        <v>41883</v>
      </c>
    </row>
    <row r="679" spans="3:11" ht="20.100000000000001" customHeight="1">
      <c r="C679" s="96"/>
      <c r="D679" s="96"/>
      <c r="E679" s="112"/>
      <c r="F679" s="100"/>
      <c r="G679" s="99"/>
      <c r="H679" s="100"/>
      <c r="I679" s="82">
        <f>IF(E679="",0,VLOOKUP(E679,DMHH!$D$8:$H$507,IF(H679="",4,5),0))</f>
        <v>0</v>
      </c>
      <c r="J679" s="82">
        <f t="shared" si="22"/>
        <v>0</v>
      </c>
      <c r="K679" s="65">
        <f t="shared" si="21"/>
        <v>41883</v>
      </c>
    </row>
    <row r="680" spans="3:11" ht="20.100000000000001" customHeight="1">
      <c r="C680" s="96"/>
      <c r="D680" s="96"/>
      <c r="E680" s="112"/>
      <c r="F680" s="100"/>
      <c r="G680" s="99"/>
      <c r="H680" s="100"/>
      <c r="I680" s="82">
        <f>IF(E680="",0,VLOOKUP(E680,DMHH!$D$8:$H$507,IF(H680="",4,5),0))</f>
        <v>0</v>
      </c>
      <c r="J680" s="82">
        <f t="shared" si="22"/>
        <v>0</v>
      </c>
      <c r="K680" s="65">
        <f t="shared" si="21"/>
        <v>41883</v>
      </c>
    </row>
    <row r="681" spans="3:11" ht="20.100000000000001" customHeight="1">
      <c r="C681" s="96"/>
      <c r="D681" s="96"/>
      <c r="E681" s="112"/>
      <c r="F681" s="100"/>
      <c r="G681" s="99"/>
      <c r="H681" s="100"/>
      <c r="I681" s="82">
        <f>IF(E681="",0,VLOOKUP(E681,DMHH!$D$8:$H$507,IF(H681="",4,5),0))</f>
        <v>0</v>
      </c>
      <c r="J681" s="82">
        <f t="shared" si="22"/>
        <v>0</v>
      </c>
      <c r="K681" s="65">
        <f t="shared" si="21"/>
        <v>41883</v>
      </c>
    </row>
    <row r="682" spans="3:11" ht="20.100000000000001" customHeight="1">
      <c r="C682" s="96"/>
      <c r="D682" s="96"/>
      <c r="E682" s="112"/>
      <c r="F682" s="100"/>
      <c r="G682" s="99"/>
      <c r="H682" s="100"/>
      <c r="I682" s="82">
        <f>IF(E682="",0,VLOOKUP(E682,DMHH!$D$8:$H$507,IF(H682="",4,5),0))</f>
        <v>0</v>
      </c>
      <c r="J682" s="82">
        <f t="shared" si="22"/>
        <v>0</v>
      </c>
      <c r="K682" s="65">
        <f t="shared" si="21"/>
        <v>41883</v>
      </c>
    </row>
    <row r="683" spans="3:11" ht="20.100000000000001" customHeight="1">
      <c r="C683" s="96"/>
      <c r="D683" s="96"/>
      <c r="E683" s="112"/>
      <c r="F683" s="100"/>
      <c r="G683" s="99"/>
      <c r="H683" s="100"/>
      <c r="I683" s="82">
        <f>IF(E683="",0,VLOOKUP(E683,DMHH!$D$8:$H$507,IF(H683="",4,5),0))</f>
        <v>0</v>
      </c>
      <c r="J683" s="82">
        <f t="shared" si="22"/>
        <v>0</v>
      </c>
      <c r="K683" s="65">
        <f t="shared" si="21"/>
        <v>41883</v>
      </c>
    </row>
    <row r="684" spans="3:11" ht="20.100000000000001" customHeight="1">
      <c r="C684" s="96"/>
      <c r="D684" s="96"/>
      <c r="E684" s="112"/>
      <c r="F684" s="100"/>
      <c r="G684" s="99"/>
      <c r="H684" s="100"/>
      <c r="I684" s="82">
        <f>IF(E684="",0,VLOOKUP(E684,DMHH!$D$8:$H$507,IF(H684="",4,5),0))</f>
        <v>0</v>
      </c>
      <c r="J684" s="82">
        <f t="shared" si="22"/>
        <v>0</v>
      </c>
      <c r="K684" s="65">
        <f t="shared" si="21"/>
        <v>41883</v>
      </c>
    </row>
    <row r="685" spans="3:11" ht="20.100000000000001" customHeight="1">
      <c r="C685" s="96"/>
      <c r="D685" s="96"/>
      <c r="E685" s="112"/>
      <c r="F685" s="100"/>
      <c r="G685" s="99"/>
      <c r="H685" s="100"/>
      <c r="I685" s="82">
        <f>IF(E685="",0,VLOOKUP(E685,DMHH!$D$8:$H$507,IF(H685="",4,5),0))</f>
        <v>0</v>
      </c>
      <c r="J685" s="82">
        <f t="shared" si="22"/>
        <v>0</v>
      </c>
      <c r="K685" s="65">
        <f t="shared" si="21"/>
        <v>41883</v>
      </c>
    </row>
    <row r="686" spans="3:11" ht="20.100000000000001" customHeight="1">
      <c r="C686" s="96"/>
      <c r="D686" s="96"/>
      <c r="E686" s="112"/>
      <c r="F686" s="100"/>
      <c r="G686" s="99"/>
      <c r="H686" s="100"/>
      <c r="I686" s="82">
        <f>IF(E686="",0,VLOOKUP(E686,DMHH!$D$8:$H$507,IF(H686="",4,5),0))</f>
        <v>0</v>
      </c>
      <c r="J686" s="82">
        <f t="shared" si="22"/>
        <v>0</v>
      </c>
      <c r="K686" s="65">
        <f t="shared" si="21"/>
        <v>41883</v>
      </c>
    </row>
    <row r="687" spans="3:11" ht="20.100000000000001" customHeight="1">
      <c r="C687" s="96"/>
      <c r="D687" s="96"/>
      <c r="E687" s="112"/>
      <c r="F687" s="100"/>
      <c r="G687" s="99"/>
      <c r="H687" s="100"/>
      <c r="I687" s="82">
        <f>IF(E687="",0,VLOOKUP(E687,DMHH!$D$8:$H$507,IF(H687="",4,5),0))</f>
        <v>0</v>
      </c>
      <c r="J687" s="82">
        <f t="shared" si="22"/>
        <v>0</v>
      </c>
      <c r="K687" s="65">
        <f t="shared" si="21"/>
        <v>41883</v>
      </c>
    </row>
    <row r="688" spans="3:11" ht="20.100000000000001" customHeight="1">
      <c r="C688" s="96"/>
      <c r="D688" s="96"/>
      <c r="E688" s="112"/>
      <c r="F688" s="100"/>
      <c r="G688" s="99"/>
      <c r="H688" s="100"/>
      <c r="I688" s="82">
        <f>IF(E688="",0,VLOOKUP(E688,DMHH!$D$8:$H$507,IF(H688="",4,5),0))</f>
        <v>0</v>
      </c>
      <c r="J688" s="82">
        <f t="shared" si="22"/>
        <v>0</v>
      </c>
      <c r="K688" s="65">
        <f t="shared" si="21"/>
        <v>41883</v>
      </c>
    </row>
    <row r="689" spans="3:11" ht="20.100000000000001" customHeight="1">
      <c r="C689" s="96"/>
      <c r="D689" s="96"/>
      <c r="E689" s="112"/>
      <c r="F689" s="100"/>
      <c r="G689" s="99"/>
      <c r="H689" s="100"/>
      <c r="I689" s="82">
        <f>IF(E689="",0,VLOOKUP(E689,DMHH!$D$8:$H$507,IF(H689="",4,5),0))</f>
        <v>0</v>
      </c>
      <c r="J689" s="82">
        <f t="shared" si="22"/>
        <v>0</v>
      </c>
      <c r="K689" s="65">
        <f t="shared" si="21"/>
        <v>41883</v>
      </c>
    </row>
    <row r="690" spans="3:11" ht="20.100000000000001" customHeight="1">
      <c r="C690" s="96"/>
      <c r="D690" s="96"/>
      <c r="E690" s="112"/>
      <c r="F690" s="100"/>
      <c r="G690" s="99"/>
      <c r="H690" s="100"/>
      <c r="I690" s="82">
        <f>IF(E690="",0,VLOOKUP(E690,DMHH!$D$8:$H$507,IF(H690="",4,5),0))</f>
        <v>0</v>
      </c>
      <c r="J690" s="82">
        <f t="shared" si="22"/>
        <v>0</v>
      </c>
      <c r="K690" s="65">
        <f t="shared" si="21"/>
        <v>41883</v>
      </c>
    </row>
    <row r="691" spans="3:11" ht="20.100000000000001" customHeight="1">
      <c r="C691" s="96"/>
      <c r="D691" s="96"/>
      <c r="E691" s="112"/>
      <c r="F691" s="100"/>
      <c r="G691" s="99"/>
      <c r="H691" s="100"/>
      <c r="I691" s="82">
        <f>IF(E691="",0,VLOOKUP(E691,DMHH!$D$8:$H$507,IF(H691="",4,5),0))</f>
        <v>0</v>
      </c>
      <c r="J691" s="82">
        <f t="shared" si="22"/>
        <v>0</v>
      </c>
      <c r="K691" s="65">
        <f t="shared" si="21"/>
        <v>41883</v>
      </c>
    </row>
    <row r="692" spans="3:11" ht="20.100000000000001" customHeight="1">
      <c r="C692" s="96"/>
      <c r="D692" s="96"/>
      <c r="E692" s="112"/>
      <c r="F692" s="100"/>
      <c r="G692" s="99"/>
      <c r="H692" s="100"/>
      <c r="I692" s="82">
        <f>IF(E692="",0,VLOOKUP(E692,DMHH!$D$8:$H$507,IF(H692="",4,5),0))</f>
        <v>0</v>
      </c>
      <c r="J692" s="82">
        <f t="shared" si="22"/>
        <v>0</v>
      </c>
      <c r="K692" s="65">
        <f t="shared" si="21"/>
        <v>41883</v>
      </c>
    </row>
    <row r="693" spans="3:11" ht="20.100000000000001" customHeight="1">
      <c r="C693" s="96"/>
      <c r="D693" s="96"/>
      <c r="E693" s="112"/>
      <c r="F693" s="100"/>
      <c r="G693" s="99"/>
      <c r="H693" s="100"/>
      <c r="I693" s="82">
        <f>IF(E693="",0,VLOOKUP(E693,DMHH!$D$8:$H$507,IF(H693="",4,5),0))</f>
        <v>0</v>
      </c>
      <c r="J693" s="82">
        <f t="shared" si="22"/>
        <v>0</v>
      </c>
      <c r="K693" s="65">
        <f t="shared" si="21"/>
        <v>41883</v>
      </c>
    </row>
    <row r="694" spans="3:11" ht="20.100000000000001" customHeight="1">
      <c r="C694" s="96"/>
      <c r="D694" s="96"/>
      <c r="E694" s="112"/>
      <c r="F694" s="100"/>
      <c r="G694" s="99"/>
      <c r="H694" s="100"/>
      <c r="I694" s="82">
        <f>IF(E694="",0,VLOOKUP(E694,DMHH!$D$8:$H$507,IF(H694="",4,5),0))</f>
        <v>0</v>
      </c>
      <c r="J694" s="82">
        <f t="shared" si="22"/>
        <v>0</v>
      </c>
      <c r="K694" s="65">
        <f t="shared" si="21"/>
        <v>41883</v>
      </c>
    </row>
    <row r="695" spans="3:11" ht="20.100000000000001" customHeight="1">
      <c r="C695" s="96"/>
      <c r="D695" s="96"/>
      <c r="E695" s="112"/>
      <c r="F695" s="100"/>
      <c r="G695" s="99"/>
      <c r="H695" s="100"/>
      <c r="I695" s="82">
        <f>IF(E695="",0,VLOOKUP(E695,DMHH!$D$8:$H$507,IF(H695="",4,5),0))</f>
        <v>0</v>
      </c>
      <c r="J695" s="82">
        <f t="shared" si="22"/>
        <v>0</v>
      </c>
      <c r="K695" s="65">
        <f t="shared" si="21"/>
        <v>41883</v>
      </c>
    </row>
    <row r="696" spans="3:11" ht="20.100000000000001" customHeight="1">
      <c r="C696" s="96"/>
      <c r="D696" s="96"/>
      <c r="E696" s="112"/>
      <c r="F696" s="100"/>
      <c r="G696" s="99"/>
      <c r="H696" s="100"/>
      <c r="I696" s="82">
        <f>IF(E696="",0,VLOOKUP(E696,DMHH!$D$8:$H$507,IF(H696="",4,5),0))</f>
        <v>0</v>
      </c>
      <c r="J696" s="82">
        <f t="shared" si="22"/>
        <v>0</v>
      </c>
      <c r="K696" s="65">
        <f t="shared" si="21"/>
        <v>41883</v>
      </c>
    </row>
    <row r="697" spans="3:11" ht="20.100000000000001" customHeight="1">
      <c r="C697" s="96"/>
      <c r="D697" s="96"/>
      <c r="E697" s="112"/>
      <c r="F697" s="100"/>
      <c r="G697" s="99"/>
      <c r="H697" s="100"/>
      <c r="I697" s="82">
        <f>IF(E697="",0,VLOOKUP(E697,DMHH!$D$8:$H$507,IF(H697="",4,5),0))</f>
        <v>0</v>
      </c>
      <c r="J697" s="82">
        <f t="shared" si="22"/>
        <v>0</v>
      </c>
      <c r="K697" s="65">
        <f t="shared" si="21"/>
        <v>41883</v>
      </c>
    </row>
    <row r="698" spans="3:11" ht="20.100000000000001" customHeight="1">
      <c r="C698" s="96"/>
      <c r="D698" s="96"/>
      <c r="E698" s="112"/>
      <c r="F698" s="100"/>
      <c r="G698" s="99"/>
      <c r="H698" s="100"/>
      <c r="I698" s="82">
        <f>IF(E698="",0,VLOOKUP(E698,DMHH!$D$8:$H$507,IF(H698="",4,5),0))</f>
        <v>0</v>
      </c>
      <c r="J698" s="82">
        <f t="shared" si="22"/>
        <v>0</v>
      </c>
      <c r="K698" s="65">
        <f t="shared" si="21"/>
        <v>41883</v>
      </c>
    </row>
    <row r="699" spans="3:11" ht="20.100000000000001" customHeight="1">
      <c r="C699" s="96"/>
      <c r="D699" s="96"/>
      <c r="E699" s="112"/>
      <c r="F699" s="100"/>
      <c r="G699" s="99"/>
      <c r="H699" s="100"/>
      <c r="I699" s="82">
        <f>IF(E699="",0,VLOOKUP(E699,DMHH!$D$8:$H$507,IF(H699="",4,5),0))</f>
        <v>0</v>
      </c>
      <c r="J699" s="82">
        <f t="shared" si="22"/>
        <v>0</v>
      </c>
      <c r="K699" s="65">
        <f t="shared" si="21"/>
        <v>41883</v>
      </c>
    </row>
    <row r="700" spans="3:11" ht="20.100000000000001" customHeight="1">
      <c r="C700" s="96"/>
      <c r="D700" s="96"/>
      <c r="E700" s="112"/>
      <c r="F700" s="100"/>
      <c r="G700" s="99"/>
      <c r="H700" s="100"/>
      <c r="I700" s="82">
        <f>IF(E700="",0,VLOOKUP(E700,DMHH!$D$8:$H$507,IF(H700="",4,5),0))</f>
        <v>0</v>
      </c>
      <c r="J700" s="82">
        <f t="shared" si="22"/>
        <v>0</v>
      </c>
      <c r="K700" s="65">
        <f t="shared" si="21"/>
        <v>41883</v>
      </c>
    </row>
    <row r="701" spans="3:11" ht="20.100000000000001" customHeight="1">
      <c r="C701" s="96"/>
      <c r="D701" s="96"/>
      <c r="E701" s="112"/>
      <c r="F701" s="100"/>
      <c r="G701" s="99"/>
      <c r="H701" s="100"/>
      <c r="I701" s="82">
        <f>IF(E701="",0,VLOOKUP(E701,DMHH!$D$8:$H$507,IF(H701="",4,5),0))</f>
        <v>0</v>
      </c>
      <c r="J701" s="82">
        <f t="shared" si="22"/>
        <v>0</v>
      </c>
      <c r="K701" s="65">
        <f t="shared" si="21"/>
        <v>41883</v>
      </c>
    </row>
    <row r="702" spans="3:11" ht="20.100000000000001" customHeight="1">
      <c r="C702" s="96"/>
      <c r="D702" s="96"/>
      <c r="E702" s="112"/>
      <c r="F702" s="100"/>
      <c r="G702" s="99"/>
      <c r="H702" s="100"/>
      <c r="I702" s="82">
        <f>IF(E702="",0,VLOOKUP(E702,DMHH!$D$8:$H$507,IF(H702="",4,5),0))</f>
        <v>0</v>
      </c>
      <c r="J702" s="82">
        <f t="shared" si="22"/>
        <v>0</v>
      </c>
      <c r="K702" s="65">
        <f t="shared" si="21"/>
        <v>41883</v>
      </c>
    </row>
    <row r="703" spans="3:11" ht="20.100000000000001" customHeight="1">
      <c r="C703" s="96"/>
      <c r="D703" s="96"/>
      <c r="E703" s="112"/>
      <c r="F703" s="100"/>
      <c r="G703" s="99"/>
      <c r="H703" s="100"/>
      <c r="I703" s="82">
        <f>IF(E703="",0,VLOOKUP(E703,DMHH!$D$8:$H$507,IF(H703="",4,5),0))</f>
        <v>0</v>
      </c>
      <c r="J703" s="82">
        <f t="shared" si="22"/>
        <v>0</v>
      </c>
      <c r="K703" s="65">
        <f t="shared" si="21"/>
        <v>41883</v>
      </c>
    </row>
    <row r="704" spans="3:11" ht="20.100000000000001" customHeight="1">
      <c r="C704" s="96"/>
      <c r="D704" s="96"/>
      <c r="E704" s="112"/>
      <c r="F704" s="100"/>
      <c r="G704" s="99"/>
      <c r="H704" s="100"/>
      <c r="I704" s="82">
        <f>IF(E704="",0,VLOOKUP(E704,DMHH!$D$8:$H$507,IF(H704="",4,5),0))</f>
        <v>0</v>
      </c>
      <c r="J704" s="82">
        <f t="shared" si="22"/>
        <v>0</v>
      </c>
      <c r="K704" s="65">
        <f t="shared" si="21"/>
        <v>41883</v>
      </c>
    </row>
    <row r="705" spans="3:11" ht="20.100000000000001" customHeight="1">
      <c r="C705" s="96"/>
      <c r="D705" s="96"/>
      <c r="E705" s="112"/>
      <c r="F705" s="100"/>
      <c r="G705" s="99"/>
      <c r="H705" s="100"/>
      <c r="I705" s="82">
        <f>IF(E705="",0,VLOOKUP(E705,DMHH!$D$8:$H$507,IF(H705="",4,5),0))</f>
        <v>0</v>
      </c>
      <c r="J705" s="82">
        <f t="shared" si="22"/>
        <v>0</v>
      </c>
      <c r="K705" s="65">
        <f t="shared" si="21"/>
        <v>41883</v>
      </c>
    </row>
    <row r="706" spans="3:11" ht="20.100000000000001" customHeight="1">
      <c r="C706" s="96"/>
      <c r="D706" s="96"/>
      <c r="E706" s="112"/>
      <c r="F706" s="100"/>
      <c r="G706" s="99"/>
      <c r="H706" s="100"/>
      <c r="I706" s="82">
        <f>IF(E706="",0,VLOOKUP(E706,DMHH!$D$8:$H$507,IF(H706="",4,5),0))</f>
        <v>0</v>
      </c>
      <c r="J706" s="82">
        <f t="shared" si="22"/>
        <v>0</v>
      </c>
      <c r="K706" s="65">
        <f t="shared" si="21"/>
        <v>41883</v>
      </c>
    </row>
    <row r="707" spans="3:11" ht="20.100000000000001" customHeight="1">
      <c r="C707" s="96"/>
      <c r="D707" s="96"/>
      <c r="E707" s="112"/>
      <c r="F707" s="100"/>
      <c r="G707" s="99"/>
      <c r="H707" s="100"/>
      <c r="I707" s="82">
        <f>IF(E707="",0,VLOOKUP(E707,DMHH!$D$8:$H$507,IF(H707="",4,5),0))</f>
        <v>0</v>
      </c>
      <c r="J707" s="82">
        <f t="shared" si="22"/>
        <v>0</v>
      </c>
      <c r="K707" s="65">
        <f t="shared" si="21"/>
        <v>41883</v>
      </c>
    </row>
    <row r="708" spans="3:11" ht="20.100000000000001" customHeight="1">
      <c r="C708" s="96"/>
      <c r="D708" s="96"/>
      <c r="E708" s="112"/>
      <c r="F708" s="100"/>
      <c r="G708" s="99"/>
      <c r="H708" s="100"/>
      <c r="I708" s="82">
        <f>IF(E708="",0,VLOOKUP(E708,DMHH!$D$8:$H$507,IF(H708="",4,5),0))</f>
        <v>0</v>
      </c>
      <c r="J708" s="82">
        <f t="shared" si="22"/>
        <v>0</v>
      </c>
      <c r="K708" s="65">
        <f t="shared" si="21"/>
        <v>41883</v>
      </c>
    </row>
    <row r="709" spans="3:11" ht="20.100000000000001" customHeight="1">
      <c r="C709" s="96"/>
      <c r="D709" s="96"/>
      <c r="E709" s="112"/>
      <c r="F709" s="100"/>
      <c r="G709" s="99"/>
      <c r="H709" s="100"/>
      <c r="I709" s="82">
        <f>IF(E709="",0,VLOOKUP(E709,DMHH!$D$8:$H$507,IF(H709="",4,5),0))</f>
        <v>0</v>
      </c>
      <c r="J709" s="82">
        <f t="shared" si="22"/>
        <v>0</v>
      </c>
      <c r="K709" s="65">
        <f t="shared" si="21"/>
        <v>41883</v>
      </c>
    </row>
    <row r="710" spans="3:11" ht="20.100000000000001" customHeight="1">
      <c r="C710" s="96"/>
      <c r="D710" s="96"/>
      <c r="E710" s="112"/>
      <c r="F710" s="100"/>
      <c r="G710" s="99"/>
      <c r="H710" s="100"/>
      <c r="I710" s="82">
        <f>IF(E710="",0,VLOOKUP(E710,DMHH!$D$8:$H$507,IF(H710="",4,5),0))</f>
        <v>0</v>
      </c>
      <c r="J710" s="82">
        <f t="shared" si="22"/>
        <v>0</v>
      </c>
      <c r="K710" s="65">
        <f t="shared" si="21"/>
        <v>41883</v>
      </c>
    </row>
    <row r="711" spans="3:11" ht="20.100000000000001" customHeight="1">
      <c r="C711" s="96"/>
      <c r="D711" s="96"/>
      <c r="E711" s="112"/>
      <c r="F711" s="100"/>
      <c r="G711" s="99"/>
      <c r="H711" s="100"/>
      <c r="I711" s="82">
        <f>IF(E711="",0,VLOOKUP(E711,DMHH!$D$8:$H$507,IF(H711="",4,5),0))</f>
        <v>0</v>
      </c>
      <c r="J711" s="82">
        <f t="shared" si="22"/>
        <v>0</v>
      </c>
      <c r="K711" s="65">
        <f t="shared" si="21"/>
        <v>41883</v>
      </c>
    </row>
    <row r="712" spans="3:11" ht="20.100000000000001" customHeight="1">
      <c r="C712" s="96"/>
      <c r="D712" s="96"/>
      <c r="E712" s="112"/>
      <c r="F712" s="100"/>
      <c r="G712" s="99"/>
      <c r="H712" s="100"/>
      <c r="I712" s="82">
        <f>IF(E712="",0,VLOOKUP(E712,DMHH!$D$8:$H$507,IF(H712="",4,5),0))</f>
        <v>0</v>
      </c>
      <c r="J712" s="82">
        <f t="shared" si="22"/>
        <v>0</v>
      </c>
      <c r="K712" s="65">
        <f t="shared" si="21"/>
        <v>41883</v>
      </c>
    </row>
    <row r="713" spans="3:11" ht="20.100000000000001" customHeight="1">
      <c r="C713" s="96"/>
      <c r="D713" s="96"/>
      <c r="E713" s="112"/>
      <c r="F713" s="100"/>
      <c r="G713" s="99"/>
      <c r="H713" s="100"/>
      <c r="I713" s="82">
        <f>IF(E713="",0,VLOOKUP(E713,DMHH!$D$8:$H$507,IF(H713="",4,5),0))</f>
        <v>0</v>
      </c>
      <c r="J713" s="82">
        <f t="shared" si="22"/>
        <v>0</v>
      </c>
      <c r="K713" s="65">
        <f t="shared" si="21"/>
        <v>41883</v>
      </c>
    </row>
    <row r="714" spans="3:11" ht="20.100000000000001" customHeight="1">
      <c r="C714" s="96"/>
      <c r="D714" s="96"/>
      <c r="E714" s="112"/>
      <c r="F714" s="100"/>
      <c r="G714" s="99"/>
      <c r="H714" s="100"/>
      <c r="I714" s="82">
        <f>IF(E714="",0,VLOOKUP(E714,DMHH!$D$8:$H$507,IF(H714="",4,5),0))</f>
        <v>0</v>
      </c>
      <c r="J714" s="82">
        <f t="shared" si="22"/>
        <v>0</v>
      </c>
      <c r="K714" s="65">
        <f t="shared" si="21"/>
        <v>41883</v>
      </c>
    </row>
    <row r="715" spans="3:11" ht="20.100000000000001" customHeight="1">
      <c r="C715" s="96"/>
      <c r="D715" s="96"/>
      <c r="E715" s="112"/>
      <c r="F715" s="100"/>
      <c r="G715" s="99"/>
      <c r="H715" s="100"/>
      <c r="I715" s="82">
        <f>IF(E715="",0,VLOOKUP(E715,DMHH!$D$8:$H$507,IF(H715="",4,5),0))</f>
        <v>0</v>
      </c>
      <c r="J715" s="82">
        <f t="shared" si="22"/>
        <v>0</v>
      </c>
      <c r="K715" s="65">
        <f t="shared" ref="K715:K778" si="23">IF(C715="",K714,C715)</f>
        <v>41883</v>
      </c>
    </row>
    <row r="716" spans="3:11" ht="20.100000000000001" customHeight="1">
      <c r="C716" s="96"/>
      <c r="D716" s="96"/>
      <c r="E716" s="112"/>
      <c r="F716" s="100"/>
      <c r="G716" s="99"/>
      <c r="H716" s="100"/>
      <c r="I716" s="82">
        <f>IF(E716="",0,VLOOKUP(E716,DMHH!$D$8:$H$507,IF(H716="",4,5),0))</f>
        <v>0</v>
      </c>
      <c r="J716" s="82">
        <f t="shared" si="22"/>
        <v>0</v>
      </c>
      <c r="K716" s="65">
        <f t="shared" si="23"/>
        <v>41883</v>
      </c>
    </row>
    <row r="717" spans="3:11" ht="20.100000000000001" customHeight="1">
      <c r="C717" s="96"/>
      <c r="D717" s="96"/>
      <c r="E717" s="112"/>
      <c r="F717" s="100"/>
      <c r="G717" s="99"/>
      <c r="H717" s="100"/>
      <c r="I717" s="82">
        <f>IF(E717="",0,VLOOKUP(E717,DMHH!$D$8:$H$507,IF(H717="",4,5),0))</f>
        <v>0</v>
      </c>
      <c r="J717" s="82">
        <f t="shared" ref="J717:J780" si="24">F717*I717+H717*I717</f>
        <v>0</v>
      </c>
      <c r="K717" s="65">
        <f t="shared" si="23"/>
        <v>41883</v>
      </c>
    </row>
    <row r="718" spans="3:11" ht="20.100000000000001" customHeight="1">
      <c r="C718" s="96"/>
      <c r="D718" s="96"/>
      <c r="E718" s="112"/>
      <c r="F718" s="100"/>
      <c r="G718" s="99"/>
      <c r="H718" s="100"/>
      <c r="I718" s="82">
        <f>IF(E718="",0,VLOOKUP(E718,DMHH!$D$8:$H$507,IF(H718="",4,5),0))</f>
        <v>0</v>
      </c>
      <c r="J718" s="82">
        <f t="shared" si="24"/>
        <v>0</v>
      </c>
      <c r="K718" s="65">
        <f t="shared" si="23"/>
        <v>41883</v>
      </c>
    </row>
    <row r="719" spans="3:11" ht="20.100000000000001" customHeight="1">
      <c r="C719" s="96"/>
      <c r="D719" s="96"/>
      <c r="E719" s="112"/>
      <c r="F719" s="100"/>
      <c r="G719" s="99"/>
      <c r="H719" s="100"/>
      <c r="I719" s="82">
        <f>IF(E719="",0,VLOOKUP(E719,DMHH!$D$8:$H$507,IF(H719="",4,5),0))</f>
        <v>0</v>
      </c>
      <c r="J719" s="82">
        <f t="shared" si="24"/>
        <v>0</v>
      </c>
      <c r="K719" s="65">
        <f t="shared" si="23"/>
        <v>41883</v>
      </c>
    </row>
    <row r="720" spans="3:11" ht="20.100000000000001" customHeight="1">
      <c r="C720" s="96"/>
      <c r="D720" s="96"/>
      <c r="E720" s="112"/>
      <c r="F720" s="100"/>
      <c r="G720" s="99"/>
      <c r="H720" s="100"/>
      <c r="I720" s="82">
        <f>IF(E720="",0,VLOOKUP(E720,DMHH!$D$8:$H$507,IF(H720="",4,5),0))</f>
        <v>0</v>
      </c>
      <c r="J720" s="82">
        <f t="shared" si="24"/>
        <v>0</v>
      </c>
      <c r="K720" s="65">
        <f t="shared" si="23"/>
        <v>41883</v>
      </c>
    </row>
    <row r="721" spans="3:11" ht="20.100000000000001" customHeight="1">
      <c r="C721" s="96"/>
      <c r="D721" s="96"/>
      <c r="E721" s="112"/>
      <c r="F721" s="100"/>
      <c r="G721" s="99"/>
      <c r="H721" s="100"/>
      <c r="I721" s="82">
        <f>IF(E721="",0,VLOOKUP(E721,DMHH!$D$8:$H$507,IF(H721="",4,5),0))</f>
        <v>0</v>
      </c>
      <c r="J721" s="82">
        <f t="shared" si="24"/>
        <v>0</v>
      </c>
      <c r="K721" s="65">
        <f t="shared" si="23"/>
        <v>41883</v>
      </c>
    </row>
    <row r="722" spans="3:11" ht="20.100000000000001" customHeight="1">
      <c r="C722" s="96"/>
      <c r="D722" s="96"/>
      <c r="E722" s="112"/>
      <c r="F722" s="100"/>
      <c r="G722" s="99"/>
      <c r="H722" s="100"/>
      <c r="I722" s="82">
        <f>IF(E722="",0,VLOOKUP(E722,DMHH!$D$8:$H$507,IF(H722="",4,5),0))</f>
        <v>0</v>
      </c>
      <c r="J722" s="82">
        <f t="shared" si="24"/>
        <v>0</v>
      </c>
      <c r="K722" s="65">
        <f t="shared" si="23"/>
        <v>41883</v>
      </c>
    </row>
    <row r="723" spans="3:11" ht="20.100000000000001" customHeight="1">
      <c r="C723" s="96"/>
      <c r="D723" s="96"/>
      <c r="E723" s="112"/>
      <c r="F723" s="100"/>
      <c r="G723" s="99"/>
      <c r="H723" s="100"/>
      <c r="I723" s="82">
        <f>IF(E723="",0,VLOOKUP(E723,DMHH!$D$8:$H$507,IF(H723="",4,5),0))</f>
        <v>0</v>
      </c>
      <c r="J723" s="82">
        <f t="shared" si="24"/>
        <v>0</v>
      </c>
      <c r="K723" s="65">
        <f t="shared" si="23"/>
        <v>41883</v>
      </c>
    </row>
    <row r="724" spans="3:11" ht="20.100000000000001" customHeight="1">
      <c r="C724" s="96"/>
      <c r="D724" s="96"/>
      <c r="E724" s="112"/>
      <c r="F724" s="100"/>
      <c r="G724" s="99"/>
      <c r="H724" s="100"/>
      <c r="I724" s="82">
        <f>IF(E724="",0,VLOOKUP(E724,DMHH!$D$8:$H$507,IF(H724="",4,5),0))</f>
        <v>0</v>
      </c>
      <c r="J724" s="82">
        <f t="shared" si="24"/>
        <v>0</v>
      </c>
      <c r="K724" s="65">
        <f t="shared" si="23"/>
        <v>41883</v>
      </c>
    </row>
    <row r="725" spans="3:11" ht="20.100000000000001" customHeight="1">
      <c r="C725" s="96"/>
      <c r="D725" s="96"/>
      <c r="E725" s="112"/>
      <c r="F725" s="100"/>
      <c r="G725" s="99"/>
      <c r="H725" s="100"/>
      <c r="I725" s="82">
        <f>IF(E725="",0,VLOOKUP(E725,DMHH!$D$8:$H$507,IF(H725="",4,5),0))</f>
        <v>0</v>
      </c>
      <c r="J725" s="82">
        <f t="shared" si="24"/>
        <v>0</v>
      </c>
      <c r="K725" s="65">
        <f t="shared" si="23"/>
        <v>41883</v>
      </c>
    </row>
    <row r="726" spans="3:11" ht="20.100000000000001" customHeight="1">
      <c r="C726" s="96"/>
      <c r="D726" s="96"/>
      <c r="E726" s="112"/>
      <c r="F726" s="100"/>
      <c r="G726" s="99"/>
      <c r="H726" s="100"/>
      <c r="I726" s="82">
        <f>IF(E726="",0,VLOOKUP(E726,DMHH!$D$8:$H$507,IF(H726="",4,5),0))</f>
        <v>0</v>
      </c>
      <c r="J726" s="82">
        <f t="shared" si="24"/>
        <v>0</v>
      </c>
      <c r="K726" s="65">
        <f t="shared" si="23"/>
        <v>41883</v>
      </c>
    </row>
    <row r="727" spans="3:11" ht="20.100000000000001" customHeight="1">
      <c r="C727" s="96"/>
      <c r="D727" s="96"/>
      <c r="E727" s="112"/>
      <c r="F727" s="100"/>
      <c r="G727" s="99"/>
      <c r="H727" s="100"/>
      <c r="I727" s="82">
        <f>IF(E727="",0,VLOOKUP(E727,DMHH!$D$8:$H$507,IF(H727="",4,5),0))</f>
        <v>0</v>
      </c>
      <c r="J727" s="82">
        <f t="shared" si="24"/>
        <v>0</v>
      </c>
      <c r="K727" s="65">
        <f t="shared" si="23"/>
        <v>41883</v>
      </c>
    </row>
    <row r="728" spans="3:11" ht="20.100000000000001" customHeight="1">
      <c r="C728" s="96"/>
      <c r="D728" s="96"/>
      <c r="E728" s="112"/>
      <c r="F728" s="100"/>
      <c r="G728" s="99"/>
      <c r="H728" s="100"/>
      <c r="I728" s="82">
        <f>IF(E728="",0,VLOOKUP(E728,DMHH!$D$8:$H$507,IF(H728="",4,5),0))</f>
        <v>0</v>
      </c>
      <c r="J728" s="82">
        <f t="shared" si="24"/>
        <v>0</v>
      </c>
      <c r="K728" s="65">
        <f t="shared" si="23"/>
        <v>41883</v>
      </c>
    </row>
    <row r="729" spans="3:11" ht="20.100000000000001" customHeight="1">
      <c r="C729" s="96"/>
      <c r="D729" s="96"/>
      <c r="E729" s="112"/>
      <c r="F729" s="100"/>
      <c r="G729" s="99"/>
      <c r="H729" s="100"/>
      <c r="I729" s="82">
        <f>IF(E729="",0,VLOOKUP(E729,DMHH!$D$8:$H$507,IF(H729="",4,5),0))</f>
        <v>0</v>
      </c>
      <c r="J729" s="82">
        <f t="shared" si="24"/>
        <v>0</v>
      </c>
      <c r="K729" s="65">
        <f t="shared" si="23"/>
        <v>41883</v>
      </c>
    </row>
    <row r="730" spans="3:11" ht="20.100000000000001" customHeight="1">
      <c r="C730" s="96"/>
      <c r="D730" s="96"/>
      <c r="E730" s="112"/>
      <c r="F730" s="100"/>
      <c r="G730" s="99"/>
      <c r="H730" s="100"/>
      <c r="I730" s="82">
        <f>IF(E730="",0,VLOOKUP(E730,DMHH!$D$8:$H$507,IF(H730="",4,5),0))</f>
        <v>0</v>
      </c>
      <c r="J730" s="82">
        <f t="shared" si="24"/>
        <v>0</v>
      </c>
      <c r="K730" s="65">
        <f t="shared" si="23"/>
        <v>41883</v>
      </c>
    </row>
    <row r="731" spans="3:11" ht="20.100000000000001" customHeight="1">
      <c r="C731" s="96"/>
      <c r="D731" s="96"/>
      <c r="E731" s="112"/>
      <c r="F731" s="100"/>
      <c r="G731" s="99"/>
      <c r="H731" s="100"/>
      <c r="I731" s="82">
        <f>IF(E731="",0,VLOOKUP(E731,DMHH!$D$8:$H$507,IF(H731="",4,5),0))</f>
        <v>0</v>
      </c>
      <c r="J731" s="82">
        <f t="shared" si="24"/>
        <v>0</v>
      </c>
      <c r="K731" s="65">
        <f t="shared" si="23"/>
        <v>41883</v>
      </c>
    </row>
    <row r="732" spans="3:11" ht="20.100000000000001" customHeight="1">
      <c r="C732" s="96"/>
      <c r="D732" s="96"/>
      <c r="E732" s="112"/>
      <c r="F732" s="100"/>
      <c r="G732" s="99"/>
      <c r="H732" s="100"/>
      <c r="I732" s="82">
        <f>IF(E732="",0,VLOOKUP(E732,DMHH!$D$8:$H$507,IF(H732="",4,5),0))</f>
        <v>0</v>
      </c>
      <c r="J732" s="82">
        <f t="shared" si="24"/>
        <v>0</v>
      </c>
      <c r="K732" s="65">
        <f t="shared" si="23"/>
        <v>41883</v>
      </c>
    </row>
    <row r="733" spans="3:11" ht="20.100000000000001" customHeight="1">
      <c r="C733" s="96"/>
      <c r="D733" s="96"/>
      <c r="E733" s="112"/>
      <c r="F733" s="100"/>
      <c r="G733" s="99"/>
      <c r="H733" s="100"/>
      <c r="I733" s="82">
        <f>IF(E733="",0,VLOOKUP(E733,DMHH!$D$8:$H$507,IF(H733="",4,5),0))</f>
        <v>0</v>
      </c>
      <c r="J733" s="82">
        <f t="shared" si="24"/>
        <v>0</v>
      </c>
      <c r="K733" s="65">
        <f t="shared" si="23"/>
        <v>41883</v>
      </c>
    </row>
    <row r="734" spans="3:11" ht="20.100000000000001" customHeight="1">
      <c r="C734" s="96"/>
      <c r="D734" s="96"/>
      <c r="E734" s="112"/>
      <c r="F734" s="100"/>
      <c r="G734" s="99"/>
      <c r="H734" s="100"/>
      <c r="I734" s="82">
        <f>IF(E734="",0,VLOOKUP(E734,DMHH!$D$8:$H$507,IF(H734="",4,5),0))</f>
        <v>0</v>
      </c>
      <c r="J734" s="82">
        <f t="shared" si="24"/>
        <v>0</v>
      </c>
      <c r="K734" s="65">
        <f t="shared" si="23"/>
        <v>41883</v>
      </c>
    </row>
    <row r="735" spans="3:11" ht="20.100000000000001" customHeight="1">
      <c r="C735" s="96"/>
      <c r="D735" s="96"/>
      <c r="E735" s="112"/>
      <c r="F735" s="100"/>
      <c r="G735" s="99"/>
      <c r="H735" s="100"/>
      <c r="I735" s="82">
        <f>IF(E735="",0,VLOOKUP(E735,DMHH!$D$8:$H$507,IF(H735="",4,5),0))</f>
        <v>0</v>
      </c>
      <c r="J735" s="82">
        <f t="shared" si="24"/>
        <v>0</v>
      </c>
      <c r="K735" s="65">
        <f t="shared" si="23"/>
        <v>41883</v>
      </c>
    </row>
    <row r="736" spans="3:11" ht="20.100000000000001" customHeight="1">
      <c r="C736" s="96"/>
      <c r="D736" s="96"/>
      <c r="E736" s="112"/>
      <c r="F736" s="100"/>
      <c r="G736" s="99"/>
      <c r="H736" s="100"/>
      <c r="I736" s="82">
        <f>IF(E736="",0,VLOOKUP(E736,DMHH!$D$8:$H$507,IF(H736="",4,5),0))</f>
        <v>0</v>
      </c>
      <c r="J736" s="82">
        <f t="shared" si="24"/>
        <v>0</v>
      </c>
      <c r="K736" s="65">
        <f t="shared" si="23"/>
        <v>41883</v>
      </c>
    </row>
    <row r="737" spans="3:11" ht="20.100000000000001" customHeight="1">
      <c r="C737" s="96"/>
      <c r="D737" s="96"/>
      <c r="E737" s="112"/>
      <c r="F737" s="100"/>
      <c r="G737" s="99"/>
      <c r="H737" s="100"/>
      <c r="I737" s="82">
        <f>IF(E737="",0,VLOOKUP(E737,DMHH!$D$8:$H$507,IF(H737="",4,5),0))</f>
        <v>0</v>
      </c>
      <c r="J737" s="82">
        <f t="shared" si="24"/>
        <v>0</v>
      </c>
      <c r="K737" s="65">
        <f t="shared" si="23"/>
        <v>41883</v>
      </c>
    </row>
    <row r="738" spans="3:11" ht="20.100000000000001" customHeight="1">
      <c r="C738" s="96"/>
      <c r="D738" s="96"/>
      <c r="E738" s="112"/>
      <c r="F738" s="100"/>
      <c r="G738" s="99"/>
      <c r="H738" s="100"/>
      <c r="I738" s="82">
        <f>IF(E738="",0,VLOOKUP(E738,DMHH!$D$8:$H$507,IF(H738="",4,5),0))</f>
        <v>0</v>
      </c>
      <c r="J738" s="82">
        <f t="shared" si="24"/>
        <v>0</v>
      </c>
      <c r="K738" s="65">
        <f t="shared" si="23"/>
        <v>41883</v>
      </c>
    </row>
    <row r="739" spans="3:11" ht="20.100000000000001" customHeight="1">
      <c r="C739" s="96"/>
      <c r="D739" s="96"/>
      <c r="E739" s="112"/>
      <c r="F739" s="100"/>
      <c r="G739" s="99"/>
      <c r="H739" s="100"/>
      <c r="I739" s="82">
        <f>IF(E739="",0,VLOOKUP(E739,DMHH!$D$8:$H$507,IF(H739="",4,5),0))</f>
        <v>0</v>
      </c>
      <c r="J739" s="82">
        <f t="shared" si="24"/>
        <v>0</v>
      </c>
      <c r="K739" s="65">
        <f t="shared" si="23"/>
        <v>41883</v>
      </c>
    </row>
    <row r="740" spans="3:11" ht="20.100000000000001" customHeight="1">
      <c r="C740" s="96"/>
      <c r="D740" s="96"/>
      <c r="E740" s="112"/>
      <c r="F740" s="100"/>
      <c r="G740" s="99"/>
      <c r="H740" s="100"/>
      <c r="I740" s="82">
        <f>IF(E740="",0,VLOOKUP(E740,DMHH!$D$8:$H$507,IF(H740="",4,5),0))</f>
        <v>0</v>
      </c>
      <c r="J740" s="82">
        <f t="shared" si="24"/>
        <v>0</v>
      </c>
      <c r="K740" s="65">
        <f t="shared" si="23"/>
        <v>41883</v>
      </c>
    </row>
    <row r="741" spans="3:11" ht="20.100000000000001" customHeight="1">
      <c r="C741" s="96"/>
      <c r="D741" s="96"/>
      <c r="E741" s="112"/>
      <c r="F741" s="100"/>
      <c r="G741" s="99"/>
      <c r="H741" s="100"/>
      <c r="I741" s="82">
        <f>IF(E741="",0,VLOOKUP(E741,DMHH!$D$8:$H$507,IF(H741="",4,5),0))</f>
        <v>0</v>
      </c>
      <c r="J741" s="82">
        <f t="shared" si="24"/>
        <v>0</v>
      </c>
      <c r="K741" s="65">
        <f t="shared" si="23"/>
        <v>41883</v>
      </c>
    </row>
    <row r="742" spans="3:11" ht="20.100000000000001" customHeight="1">
      <c r="C742" s="96"/>
      <c r="D742" s="96"/>
      <c r="E742" s="112"/>
      <c r="F742" s="100"/>
      <c r="G742" s="99"/>
      <c r="H742" s="100"/>
      <c r="I742" s="82">
        <f>IF(E742="",0,VLOOKUP(E742,DMHH!$D$8:$H$507,IF(H742="",4,5),0))</f>
        <v>0</v>
      </c>
      <c r="J742" s="82">
        <f t="shared" si="24"/>
        <v>0</v>
      </c>
      <c r="K742" s="65">
        <f t="shared" si="23"/>
        <v>41883</v>
      </c>
    </row>
    <row r="743" spans="3:11" ht="20.100000000000001" customHeight="1">
      <c r="C743" s="96"/>
      <c r="D743" s="96"/>
      <c r="E743" s="112"/>
      <c r="F743" s="100"/>
      <c r="G743" s="99"/>
      <c r="H743" s="100"/>
      <c r="I743" s="82">
        <f>IF(E743="",0,VLOOKUP(E743,DMHH!$D$8:$H$507,IF(H743="",4,5),0))</f>
        <v>0</v>
      </c>
      <c r="J743" s="82">
        <f t="shared" si="24"/>
        <v>0</v>
      </c>
      <c r="K743" s="65">
        <f t="shared" si="23"/>
        <v>41883</v>
      </c>
    </row>
    <row r="744" spans="3:11" ht="20.100000000000001" customHeight="1">
      <c r="C744" s="96"/>
      <c r="D744" s="96"/>
      <c r="E744" s="112"/>
      <c r="F744" s="100"/>
      <c r="G744" s="99"/>
      <c r="H744" s="100"/>
      <c r="I744" s="82">
        <f>IF(E744="",0,VLOOKUP(E744,DMHH!$D$8:$H$507,IF(H744="",4,5),0))</f>
        <v>0</v>
      </c>
      <c r="J744" s="82">
        <f t="shared" si="24"/>
        <v>0</v>
      </c>
      <c r="K744" s="65">
        <f t="shared" si="23"/>
        <v>41883</v>
      </c>
    </row>
    <row r="745" spans="3:11" ht="20.100000000000001" customHeight="1">
      <c r="C745" s="96"/>
      <c r="D745" s="96"/>
      <c r="E745" s="112"/>
      <c r="F745" s="100"/>
      <c r="G745" s="99"/>
      <c r="H745" s="100"/>
      <c r="I745" s="82">
        <f>IF(E745="",0,VLOOKUP(E745,DMHH!$D$8:$H$507,IF(H745="",4,5),0))</f>
        <v>0</v>
      </c>
      <c r="J745" s="82">
        <f t="shared" si="24"/>
        <v>0</v>
      </c>
      <c r="K745" s="65">
        <f t="shared" si="23"/>
        <v>41883</v>
      </c>
    </row>
    <row r="746" spans="3:11" ht="20.100000000000001" customHeight="1">
      <c r="C746" s="96"/>
      <c r="D746" s="96"/>
      <c r="E746" s="112"/>
      <c r="F746" s="100"/>
      <c r="G746" s="99"/>
      <c r="H746" s="100"/>
      <c r="I746" s="82">
        <f>IF(E746="",0,VLOOKUP(E746,DMHH!$D$8:$H$507,IF(H746="",4,5),0))</f>
        <v>0</v>
      </c>
      <c r="J746" s="82">
        <f t="shared" si="24"/>
        <v>0</v>
      </c>
      <c r="K746" s="65">
        <f t="shared" si="23"/>
        <v>41883</v>
      </c>
    </row>
    <row r="747" spans="3:11" ht="20.100000000000001" customHeight="1">
      <c r="C747" s="96"/>
      <c r="D747" s="96"/>
      <c r="E747" s="112"/>
      <c r="F747" s="100"/>
      <c r="G747" s="99"/>
      <c r="H747" s="100"/>
      <c r="I747" s="82">
        <f>IF(E747="",0,VLOOKUP(E747,DMHH!$D$8:$H$507,IF(H747="",4,5),0))</f>
        <v>0</v>
      </c>
      <c r="J747" s="82">
        <f t="shared" si="24"/>
        <v>0</v>
      </c>
      <c r="K747" s="65">
        <f t="shared" si="23"/>
        <v>41883</v>
      </c>
    </row>
    <row r="748" spans="3:11" ht="20.100000000000001" customHeight="1">
      <c r="C748" s="96"/>
      <c r="D748" s="96"/>
      <c r="E748" s="112"/>
      <c r="F748" s="100"/>
      <c r="G748" s="99"/>
      <c r="H748" s="100"/>
      <c r="I748" s="82">
        <f>IF(E748="",0,VLOOKUP(E748,DMHH!$D$8:$H$507,IF(H748="",4,5),0))</f>
        <v>0</v>
      </c>
      <c r="J748" s="82">
        <f t="shared" si="24"/>
        <v>0</v>
      </c>
      <c r="K748" s="65">
        <f t="shared" si="23"/>
        <v>41883</v>
      </c>
    </row>
    <row r="749" spans="3:11" ht="20.100000000000001" customHeight="1">
      <c r="C749" s="96"/>
      <c r="D749" s="96"/>
      <c r="E749" s="112"/>
      <c r="F749" s="100"/>
      <c r="G749" s="99"/>
      <c r="H749" s="100"/>
      <c r="I749" s="82">
        <f>IF(E749="",0,VLOOKUP(E749,DMHH!$D$8:$H$507,IF(H749="",4,5),0))</f>
        <v>0</v>
      </c>
      <c r="J749" s="82">
        <f t="shared" si="24"/>
        <v>0</v>
      </c>
      <c r="K749" s="65">
        <f t="shared" si="23"/>
        <v>41883</v>
      </c>
    </row>
    <row r="750" spans="3:11" ht="20.100000000000001" customHeight="1">
      <c r="C750" s="96"/>
      <c r="D750" s="96"/>
      <c r="E750" s="112"/>
      <c r="F750" s="100"/>
      <c r="G750" s="99"/>
      <c r="H750" s="100"/>
      <c r="I750" s="82">
        <f>IF(E750="",0,VLOOKUP(E750,DMHH!$D$8:$H$507,IF(H750="",4,5),0))</f>
        <v>0</v>
      </c>
      <c r="J750" s="82">
        <f t="shared" si="24"/>
        <v>0</v>
      </c>
      <c r="K750" s="65">
        <f t="shared" si="23"/>
        <v>41883</v>
      </c>
    </row>
    <row r="751" spans="3:11" ht="20.100000000000001" customHeight="1">
      <c r="C751" s="96"/>
      <c r="D751" s="96"/>
      <c r="E751" s="112"/>
      <c r="F751" s="100"/>
      <c r="G751" s="99"/>
      <c r="H751" s="100"/>
      <c r="I751" s="82">
        <f>IF(E751="",0,VLOOKUP(E751,DMHH!$D$8:$H$507,IF(H751="",4,5),0))</f>
        <v>0</v>
      </c>
      <c r="J751" s="82">
        <f t="shared" si="24"/>
        <v>0</v>
      </c>
      <c r="K751" s="65">
        <f t="shared" si="23"/>
        <v>41883</v>
      </c>
    </row>
    <row r="752" spans="3:11" ht="20.100000000000001" customHeight="1">
      <c r="C752" s="96"/>
      <c r="D752" s="96"/>
      <c r="E752" s="112"/>
      <c r="F752" s="100"/>
      <c r="G752" s="99"/>
      <c r="H752" s="100"/>
      <c r="I752" s="82">
        <f>IF(E752="",0,VLOOKUP(E752,DMHH!$D$8:$H$507,IF(H752="",4,5),0))</f>
        <v>0</v>
      </c>
      <c r="J752" s="82">
        <f t="shared" si="24"/>
        <v>0</v>
      </c>
      <c r="K752" s="65">
        <f t="shared" si="23"/>
        <v>41883</v>
      </c>
    </row>
    <row r="753" spans="3:11" ht="20.100000000000001" customHeight="1">
      <c r="C753" s="96"/>
      <c r="D753" s="96"/>
      <c r="E753" s="112"/>
      <c r="F753" s="100"/>
      <c r="G753" s="99"/>
      <c r="H753" s="100"/>
      <c r="I753" s="82">
        <f>IF(E753="",0,VLOOKUP(E753,DMHH!$D$8:$H$507,IF(H753="",4,5),0))</f>
        <v>0</v>
      </c>
      <c r="J753" s="82">
        <f t="shared" si="24"/>
        <v>0</v>
      </c>
      <c r="K753" s="65">
        <f t="shared" si="23"/>
        <v>41883</v>
      </c>
    </row>
    <row r="754" spans="3:11" ht="20.100000000000001" customHeight="1">
      <c r="C754" s="96"/>
      <c r="D754" s="96"/>
      <c r="E754" s="112"/>
      <c r="F754" s="100"/>
      <c r="G754" s="99"/>
      <c r="H754" s="100"/>
      <c r="I754" s="82">
        <f>IF(E754="",0,VLOOKUP(E754,DMHH!$D$8:$H$507,IF(H754="",4,5),0))</f>
        <v>0</v>
      </c>
      <c r="J754" s="82">
        <f t="shared" si="24"/>
        <v>0</v>
      </c>
      <c r="K754" s="65">
        <f t="shared" si="23"/>
        <v>41883</v>
      </c>
    </row>
    <row r="755" spans="3:11" ht="20.100000000000001" customHeight="1">
      <c r="C755" s="96"/>
      <c r="D755" s="96"/>
      <c r="E755" s="112"/>
      <c r="F755" s="100"/>
      <c r="G755" s="99"/>
      <c r="H755" s="100"/>
      <c r="I755" s="82">
        <f>IF(E755="",0,VLOOKUP(E755,DMHH!$D$8:$H$507,IF(H755="",4,5),0))</f>
        <v>0</v>
      </c>
      <c r="J755" s="82">
        <f t="shared" si="24"/>
        <v>0</v>
      </c>
      <c r="K755" s="65">
        <f t="shared" si="23"/>
        <v>41883</v>
      </c>
    </row>
    <row r="756" spans="3:11" ht="20.100000000000001" customHeight="1">
      <c r="C756" s="96"/>
      <c r="D756" s="96"/>
      <c r="E756" s="112"/>
      <c r="F756" s="100"/>
      <c r="G756" s="99"/>
      <c r="H756" s="100"/>
      <c r="I756" s="82">
        <f>IF(E756="",0,VLOOKUP(E756,DMHH!$D$8:$H$507,IF(H756="",4,5),0))</f>
        <v>0</v>
      </c>
      <c r="J756" s="82">
        <f t="shared" si="24"/>
        <v>0</v>
      </c>
      <c r="K756" s="65">
        <f t="shared" si="23"/>
        <v>41883</v>
      </c>
    </row>
    <row r="757" spans="3:11" ht="20.100000000000001" customHeight="1">
      <c r="C757" s="96"/>
      <c r="D757" s="96"/>
      <c r="E757" s="112"/>
      <c r="F757" s="100"/>
      <c r="G757" s="99"/>
      <c r="H757" s="100"/>
      <c r="I757" s="82">
        <f>IF(E757="",0,VLOOKUP(E757,DMHH!$D$8:$H$507,IF(H757="",4,5),0))</f>
        <v>0</v>
      </c>
      <c r="J757" s="82">
        <f t="shared" si="24"/>
        <v>0</v>
      </c>
      <c r="K757" s="65">
        <f t="shared" si="23"/>
        <v>41883</v>
      </c>
    </row>
    <row r="758" spans="3:11" ht="20.100000000000001" customHeight="1">
      <c r="C758" s="96"/>
      <c r="D758" s="96"/>
      <c r="E758" s="112"/>
      <c r="F758" s="100"/>
      <c r="G758" s="99"/>
      <c r="H758" s="100"/>
      <c r="I758" s="82">
        <f>IF(E758="",0,VLOOKUP(E758,DMHH!$D$8:$H$507,IF(H758="",4,5),0))</f>
        <v>0</v>
      </c>
      <c r="J758" s="82">
        <f t="shared" si="24"/>
        <v>0</v>
      </c>
      <c r="K758" s="65">
        <f t="shared" si="23"/>
        <v>41883</v>
      </c>
    </row>
    <row r="759" spans="3:11" ht="20.100000000000001" customHeight="1">
      <c r="C759" s="96"/>
      <c r="D759" s="96"/>
      <c r="E759" s="112"/>
      <c r="F759" s="100"/>
      <c r="G759" s="99"/>
      <c r="H759" s="100"/>
      <c r="I759" s="82">
        <f>IF(E759="",0,VLOOKUP(E759,DMHH!$D$8:$H$507,IF(H759="",4,5),0))</f>
        <v>0</v>
      </c>
      <c r="J759" s="82">
        <f t="shared" si="24"/>
        <v>0</v>
      </c>
      <c r="K759" s="65">
        <f t="shared" si="23"/>
        <v>41883</v>
      </c>
    </row>
    <row r="760" spans="3:11" ht="20.100000000000001" customHeight="1">
      <c r="C760" s="96"/>
      <c r="D760" s="96"/>
      <c r="E760" s="112"/>
      <c r="F760" s="100"/>
      <c r="G760" s="99"/>
      <c r="H760" s="100"/>
      <c r="I760" s="82">
        <f>IF(E760="",0,VLOOKUP(E760,DMHH!$D$8:$H$507,IF(H760="",4,5),0))</f>
        <v>0</v>
      </c>
      <c r="J760" s="82">
        <f t="shared" si="24"/>
        <v>0</v>
      </c>
      <c r="K760" s="65">
        <f t="shared" si="23"/>
        <v>41883</v>
      </c>
    </row>
    <row r="761" spans="3:11" ht="20.100000000000001" customHeight="1">
      <c r="C761" s="96"/>
      <c r="D761" s="96"/>
      <c r="E761" s="112"/>
      <c r="F761" s="100"/>
      <c r="G761" s="99"/>
      <c r="H761" s="100"/>
      <c r="I761" s="82">
        <f>IF(E761="",0,VLOOKUP(E761,DMHH!$D$8:$H$507,IF(H761="",4,5),0))</f>
        <v>0</v>
      </c>
      <c r="J761" s="82">
        <f t="shared" si="24"/>
        <v>0</v>
      </c>
      <c r="K761" s="65">
        <f t="shared" si="23"/>
        <v>41883</v>
      </c>
    </row>
    <row r="762" spans="3:11" ht="20.100000000000001" customHeight="1">
      <c r="C762" s="96"/>
      <c r="D762" s="96"/>
      <c r="E762" s="112"/>
      <c r="F762" s="100"/>
      <c r="G762" s="99"/>
      <c r="H762" s="100"/>
      <c r="I762" s="82">
        <f>IF(E762="",0,VLOOKUP(E762,DMHH!$D$8:$H$507,IF(H762="",4,5),0))</f>
        <v>0</v>
      </c>
      <c r="J762" s="82">
        <f t="shared" si="24"/>
        <v>0</v>
      </c>
      <c r="K762" s="65">
        <f t="shared" si="23"/>
        <v>41883</v>
      </c>
    </row>
    <row r="763" spans="3:11" ht="20.100000000000001" customHeight="1">
      <c r="C763" s="96"/>
      <c r="D763" s="96"/>
      <c r="E763" s="112"/>
      <c r="F763" s="100"/>
      <c r="G763" s="99"/>
      <c r="H763" s="100"/>
      <c r="I763" s="82">
        <f>IF(E763="",0,VLOOKUP(E763,DMHH!$D$8:$H$507,IF(H763="",4,5),0))</f>
        <v>0</v>
      </c>
      <c r="J763" s="82">
        <f t="shared" si="24"/>
        <v>0</v>
      </c>
      <c r="K763" s="65">
        <f t="shared" si="23"/>
        <v>41883</v>
      </c>
    </row>
    <row r="764" spans="3:11" ht="20.100000000000001" customHeight="1">
      <c r="C764" s="96"/>
      <c r="D764" s="96"/>
      <c r="E764" s="112"/>
      <c r="F764" s="100"/>
      <c r="G764" s="99"/>
      <c r="H764" s="100"/>
      <c r="I764" s="82">
        <f>IF(E764="",0,VLOOKUP(E764,DMHH!$D$8:$H$507,IF(H764="",4,5),0))</f>
        <v>0</v>
      </c>
      <c r="J764" s="82">
        <f t="shared" si="24"/>
        <v>0</v>
      </c>
      <c r="K764" s="65">
        <f t="shared" si="23"/>
        <v>41883</v>
      </c>
    </row>
    <row r="765" spans="3:11" ht="20.100000000000001" customHeight="1">
      <c r="C765" s="96"/>
      <c r="D765" s="96"/>
      <c r="E765" s="112"/>
      <c r="F765" s="100"/>
      <c r="G765" s="99"/>
      <c r="H765" s="100"/>
      <c r="I765" s="82">
        <f>IF(E765="",0,VLOOKUP(E765,DMHH!$D$8:$H$507,IF(H765="",4,5),0))</f>
        <v>0</v>
      </c>
      <c r="J765" s="82">
        <f t="shared" si="24"/>
        <v>0</v>
      </c>
      <c r="K765" s="65">
        <f t="shared" si="23"/>
        <v>41883</v>
      </c>
    </row>
    <row r="766" spans="3:11" ht="20.100000000000001" customHeight="1">
      <c r="C766" s="96"/>
      <c r="D766" s="96"/>
      <c r="E766" s="112"/>
      <c r="F766" s="100"/>
      <c r="G766" s="99"/>
      <c r="H766" s="100"/>
      <c r="I766" s="82">
        <f>IF(E766="",0,VLOOKUP(E766,DMHH!$D$8:$H$507,IF(H766="",4,5),0))</f>
        <v>0</v>
      </c>
      <c r="J766" s="82">
        <f t="shared" si="24"/>
        <v>0</v>
      </c>
      <c r="K766" s="65">
        <f t="shared" si="23"/>
        <v>41883</v>
      </c>
    </row>
    <row r="767" spans="3:11" ht="20.100000000000001" customHeight="1">
      <c r="C767" s="96"/>
      <c r="D767" s="96"/>
      <c r="E767" s="112"/>
      <c r="F767" s="100"/>
      <c r="G767" s="99"/>
      <c r="H767" s="100"/>
      <c r="I767" s="82">
        <f>IF(E767="",0,VLOOKUP(E767,DMHH!$D$8:$H$507,IF(H767="",4,5),0))</f>
        <v>0</v>
      </c>
      <c r="J767" s="82">
        <f t="shared" si="24"/>
        <v>0</v>
      </c>
      <c r="K767" s="65">
        <f t="shared" si="23"/>
        <v>41883</v>
      </c>
    </row>
    <row r="768" spans="3:11" ht="20.100000000000001" customHeight="1">
      <c r="C768" s="96"/>
      <c r="D768" s="96"/>
      <c r="E768" s="112"/>
      <c r="F768" s="100"/>
      <c r="G768" s="99"/>
      <c r="H768" s="100"/>
      <c r="I768" s="82">
        <f>IF(E768="",0,VLOOKUP(E768,DMHH!$D$8:$H$507,IF(H768="",4,5),0))</f>
        <v>0</v>
      </c>
      <c r="J768" s="82">
        <f t="shared" si="24"/>
        <v>0</v>
      </c>
      <c r="K768" s="65">
        <f t="shared" si="23"/>
        <v>41883</v>
      </c>
    </row>
    <row r="769" spans="3:11" ht="20.100000000000001" customHeight="1">
      <c r="C769" s="96"/>
      <c r="D769" s="96"/>
      <c r="E769" s="112"/>
      <c r="F769" s="100"/>
      <c r="G769" s="99"/>
      <c r="H769" s="100"/>
      <c r="I769" s="82">
        <f>IF(E769="",0,VLOOKUP(E769,DMHH!$D$8:$H$507,IF(H769="",4,5),0))</f>
        <v>0</v>
      </c>
      <c r="J769" s="82">
        <f t="shared" si="24"/>
        <v>0</v>
      </c>
      <c r="K769" s="65">
        <f t="shared" si="23"/>
        <v>41883</v>
      </c>
    </row>
    <row r="770" spans="3:11" ht="20.100000000000001" customHeight="1">
      <c r="C770" s="96"/>
      <c r="D770" s="96"/>
      <c r="E770" s="112"/>
      <c r="F770" s="100"/>
      <c r="G770" s="99"/>
      <c r="H770" s="100"/>
      <c r="I770" s="82">
        <f>IF(E770="",0,VLOOKUP(E770,DMHH!$D$8:$H$507,IF(H770="",4,5),0))</f>
        <v>0</v>
      </c>
      <c r="J770" s="82">
        <f t="shared" si="24"/>
        <v>0</v>
      </c>
      <c r="K770" s="65">
        <f t="shared" si="23"/>
        <v>41883</v>
      </c>
    </row>
    <row r="771" spans="3:11" ht="20.100000000000001" customHeight="1">
      <c r="C771" s="96"/>
      <c r="D771" s="96"/>
      <c r="E771" s="112"/>
      <c r="F771" s="100"/>
      <c r="G771" s="99"/>
      <c r="H771" s="100"/>
      <c r="I771" s="82">
        <f>IF(E771="",0,VLOOKUP(E771,DMHH!$D$8:$H$507,IF(H771="",4,5),0))</f>
        <v>0</v>
      </c>
      <c r="J771" s="82">
        <f t="shared" si="24"/>
        <v>0</v>
      </c>
      <c r="K771" s="65">
        <f t="shared" si="23"/>
        <v>41883</v>
      </c>
    </row>
    <row r="772" spans="3:11" ht="20.100000000000001" customHeight="1">
      <c r="C772" s="96"/>
      <c r="D772" s="96"/>
      <c r="E772" s="112"/>
      <c r="F772" s="100"/>
      <c r="G772" s="99"/>
      <c r="H772" s="100"/>
      <c r="I772" s="82">
        <f>IF(E772="",0,VLOOKUP(E772,DMHH!$D$8:$H$507,IF(H772="",4,5),0))</f>
        <v>0</v>
      </c>
      <c r="J772" s="82">
        <f t="shared" si="24"/>
        <v>0</v>
      </c>
      <c r="K772" s="65">
        <f t="shared" si="23"/>
        <v>41883</v>
      </c>
    </row>
    <row r="773" spans="3:11" ht="20.100000000000001" customHeight="1">
      <c r="C773" s="96"/>
      <c r="D773" s="96"/>
      <c r="E773" s="112"/>
      <c r="F773" s="100"/>
      <c r="G773" s="99"/>
      <c r="H773" s="100"/>
      <c r="I773" s="82">
        <f>IF(E773="",0,VLOOKUP(E773,DMHH!$D$8:$H$507,IF(H773="",4,5),0))</f>
        <v>0</v>
      </c>
      <c r="J773" s="82">
        <f t="shared" si="24"/>
        <v>0</v>
      </c>
      <c r="K773" s="65">
        <f t="shared" si="23"/>
        <v>41883</v>
      </c>
    </row>
    <row r="774" spans="3:11" ht="20.100000000000001" customHeight="1">
      <c r="C774" s="96"/>
      <c r="D774" s="96"/>
      <c r="E774" s="112"/>
      <c r="F774" s="100"/>
      <c r="G774" s="99"/>
      <c r="H774" s="100"/>
      <c r="I774" s="82">
        <f>IF(E774="",0,VLOOKUP(E774,DMHH!$D$8:$H$507,IF(H774="",4,5),0))</f>
        <v>0</v>
      </c>
      <c r="J774" s="82">
        <f t="shared" si="24"/>
        <v>0</v>
      </c>
      <c r="K774" s="65">
        <f t="shared" si="23"/>
        <v>41883</v>
      </c>
    </row>
    <row r="775" spans="3:11" ht="20.100000000000001" customHeight="1">
      <c r="C775" s="96"/>
      <c r="D775" s="96"/>
      <c r="E775" s="112"/>
      <c r="F775" s="100"/>
      <c r="G775" s="99"/>
      <c r="H775" s="100"/>
      <c r="I775" s="82">
        <f>IF(E775="",0,VLOOKUP(E775,DMHH!$D$8:$H$507,IF(H775="",4,5),0))</f>
        <v>0</v>
      </c>
      <c r="J775" s="82">
        <f t="shared" si="24"/>
        <v>0</v>
      </c>
      <c r="K775" s="65">
        <f t="shared" si="23"/>
        <v>41883</v>
      </c>
    </row>
    <row r="776" spans="3:11" ht="20.100000000000001" customHeight="1">
      <c r="C776" s="96"/>
      <c r="D776" s="96"/>
      <c r="E776" s="112"/>
      <c r="F776" s="100"/>
      <c r="G776" s="99"/>
      <c r="H776" s="100"/>
      <c r="I776" s="82">
        <f>IF(E776="",0,VLOOKUP(E776,DMHH!$D$8:$H$507,IF(H776="",4,5),0))</f>
        <v>0</v>
      </c>
      <c r="J776" s="82">
        <f t="shared" si="24"/>
        <v>0</v>
      </c>
      <c r="K776" s="65">
        <f t="shared" si="23"/>
        <v>41883</v>
      </c>
    </row>
    <row r="777" spans="3:11" ht="20.100000000000001" customHeight="1">
      <c r="C777" s="96"/>
      <c r="D777" s="96"/>
      <c r="E777" s="112"/>
      <c r="F777" s="100"/>
      <c r="G777" s="99"/>
      <c r="H777" s="100"/>
      <c r="I777" s="82">
        <f>IF(E777="",0,VLOOKUP(E777,DMHH!$D$8:$H$507,IF(H777="",4,5),0))</f>
        <v>0</v>
      </c>
      <c r="J777" s="82">
        <f t="shared" si="24"/>
        <v>0</v>
      </c>
      <c r="K777" s="65">
        <f t="shared" si="23"/>
        <v>41883</v>
      </c>
    </row>
    <row r="778" spans="3:11" ht="20.100000000000001" customHeight="1">
      <c r="C778" s="96"/>
      <c r="D778" s="96"/>
      <c r="E778" s="112"/>
      <c r="F778" s="100"/>
      <c r="G778" s="99"/>
      <c r="H778" s="100"/>
      <c r="I778" s="82">
        <f>IF(E778="",0,VLOOKUP(E778,DMHH!$D$8:$H$507,IF(H778="",4,5),0))</f>
        <v>0</v>
      </c>
      <c r="J778" s="82">
        <f t="shared" si="24"/>
        <v>0</v>
      </c>
      <c r="K778" s="65">
        <f t="shared" si="23"/>
        <v>41883</v>
      </c>
    </row>
    <row r="779" spans="3:11" ht="20.100000000000001" customHeight="1">
      <c r="C779" s="96"/>
      <c r="D779" s="96"/>
      <c r="E779" s="112"/>
      <c r="F779" s="100"/>
      <c r="G779" s="99"/>
      <c r="H779" s="100"/>
      <c r="I779" s="82">
        <f>IF(E779="",0,VLOOKUP(E779,DMHH!$D$8:$H$507,IF(H779="",4,5),0))</f>
        <v>0</v>
      </c>
      <c r="J779" s="82">
        <f t="shared" si="24"/>
        <v>0</v>
      </c>
      <c r="K779" s="65">
        <f t="shared" ref="K779:K842" si="25">IF(C779="",K778,C779)</f>
        <v>41883</v>
      </c>
    </row>
    <row r="780" spans="3:11" ht="20.100000000000001" customHeight="1">
      <c r="C780" s="96"/>
      <c r="D780" s="96"/>
      <c r="E780" s="112"/>
      <c r="F780" s="100"/>
      <c r="G780" s="99"/>
      <c r="H780" s="100"/>
      <c r="I780" s="82">
        <f>IF(E780="",0,VLOOKUP(E780,DMHH!$D$8:$H$507,IF(H780="",4,5),0))</f>
        <v>0</v>
      </c>
      <c r="J780" s="82">
        <f t="shared" si="24"/>
        <v>0</v>
      </c>
      <c r="K780" s="65">
        <f t="shared" si="25"/>
        <v>41883</v>
      </c>
    </row>
    <row r="781" spans="3:11" ht="20.100000000000001" customHeight="1">
      <c r="C781" s="96"/>
      <c r="D781" s="96"/>
      <c r="E781" s="112"/>
      <c r="F781" s="100"/>
      <c r="G781" s="99"/>
      <c r="H781" s="100"/>
      <c r="I781" s="82">
        <f>IF(E781="",0,VLOOKUP(E781,DMHH!$D$8:$H$507,IF(H781="",4,5),0))</f>
        <v>0</v>
      </c>
      <c r="J781" s="82">
        <f t="shared" ref="J781:J844" si="26">F781*I781+H781*I781</f>
        <v>0</v>
      </c>
      <c r="K781" s="65">
        <f t="shared" si="25"/>
        <v>41883</v>
      </c>
    </row>
    <row r="782" spans="3:11" ht="20.100000000000001" customHeight="1">
      <c r="C782" s="96"/>
      <c r="D782" s="96"/>
      <c r="E782" s="112"/>
      <c r="F782" s="100"/>
      <c r="G782" s="99"/>
      <c r="H782" s="100"/>
      <c r="I782" s="82">
        <f>IF(E782="",0,VLOOKUP(E782,DMHH!$D$8:$H$507,IF(H782="",4,5),0))</f>
        <v>0</v>
      </c>
      <c r="J782" s="82">
        <f t="shared" si="26"/>
        <v>0</v>
      </c>
      <c r="K782" s="65">
        <f t="shared" si="25"/>
        <v>41883</v>
      </c>
    </row>
    <row r="783" spans="3:11" ht="20.100000000000001" customHeight="1">
      <c r="C783" s="96"/>
      <c r="D783" s="96"/>
      <c r="E783" s="112"/>
      <c r="F783" s="100"/>
      <c r="G783" s="99"/>
      <c r="H783" s="100"/>
      <c r="I783" s="82">
        <f>IF(E783="",0,VLOOKUP(E783,DMHH!$D$8:$H$507,IF(H783="",4,5),0))</f>
        <v>0</v>
      </c>
      <c r="J783" s="82">
        <f t="shared" si="26"/>
        <v>0</v>
      </c>
      <c r="K783" s="65">
        <f t="shared" si="25"/>
        <v>41883</v>
      </c>
    </row>
    <row r="784" spans="3:11" ht="20.100000000000001" customHeight="1">
      <c r="C784" s="96"/>
      <c r="D784" s="96"/>
      <c r="E784" s="112"/>
      <c r="F784" s="100"/>
      <c r="G784" s="99"/>
      <c r="H784" s="100"/>
      <c r="I784" s="82">
        <f>IF(E784="",0,VLOOKUP(E784,DMHH!$D$8:$H$507,IF(H784="",4,5),0))</f>
        <v>0</v>
      </c>
      <c r="J784" s="82">
        <f t="shared" si="26"/>
        <v>0</v>
      </c>
      <c r="K784" s="65">
        <f t="shared" si="25"/>
        <v>41883</v>
      </c>
    </row>
    <row r="785" spans="3:11" ht="20.100000000000001" customHeight="1">
      <c r="C785" s="96"/>
      <c r="D785" s="96"/>
      <c r="E785" s="112"/>
      <c r="F785" s="100"/>
      <c r="G785" s="99"/>
      <c r="H785" s="100"/>
      <c r="I785" s="82">
        <f>IF(E785="",0,VLOOKUP(E785,DMHH!$D$8:$H$507,IF(H785="",4,5),0))</f>
        <v>0</v>
      </c>
      <c r="J785" s="82">
        <f t="shared" si="26"/>
        <v>0</v>
      </c>
      <c r="K785" s="65">
        <f t="shared" si="25"/>
        <v>41883</v>
      </c>
    </row>
    <row r="786" spans="3:11" ht="20.100000000000001" customHeight="1">
      <c r="C786" s="96"/>
      <c r="D786" s="96"/>
      <c r="E786" s="112"/>
      <c r="F786" s="100"/>
      <c r="G786" s="99"/>
      <c r="H786" s="100"/>
      <c r="I786" s="82">
        <f>IF(E786="",0,VLOOKUP(E786,DMHH!$D$8:$H$507,IF(H786="",4,5),0))</f>
        <v>0</v>
      </c>
      <c r="J786" s="82">
        <f t="shared" si="26"/>
        <v>0</v>
      </c>
      <c r="K786" s="65">
        <f t="shared" si="25"/>
        <v>41883</v>
      </c>
    </row>
    <row r="787" spans="3:11" ht="20.100000000000001" customHeight="1">
      <c r="C787" s="96"/>
      <c r="D787" s="96"/>
      <c r="E787" s="112"/>
      <c r="F787" s="100"/>
      <c r="G787" s="99"/>
      <c r="H787" s="100"/>
      <c r="I787" s="82">
        <f>IF(E787="",0,VLOOKUP(E787,DMHH!$D$8:$H$507,IF(H787="",4,5),0))</f>
        <v>0</v>
      </c>
      <c r="J787" s="82">
        <f t="shared" si="26"/>
        <v>0</v>
      </c>
      <c r="K787" s="65">
        <f t="shared" si="25"/>
        <v>41883</v>
      </c>
    </row>
    <row r="788" spans="3:11" ht="20.100000000000001" customHeight="1">
      <c r="C788" s="96"/>
      <c r="D788" s="96"/>
      <c r="E788" s="112"/>
      <c r="F788" s="100"/>
      <c r="G788" s="99"/>
      <c r="H788" s="100"/>
      <c r="I788" s="82">
        <f>IF(E788="",0,VLOOKUP(E788,DMHH!$D$8:$H$507,IF(H788="",4,5),0))</f>
        <v>0</v>
      </c>
      <c r="J788" s="82">
        <f t="shared" si="26"/>
        <v>0</v>
      </c>
      <c r="K788" s="65">
        <f t="shared" si="25"/>
        <v>41883</v>
      </c>
    </row>
    <row r="789" spans="3:11" ht="20.100000000000001" customHeight="1">
      <c r="C789" s="96"/>
      <c r="D789" s="96"/>
      <c r="E789" s="112"/>
      <c r="F789" s="100"/>
      <c r="G789" s="99"/>
      <c r="H789" s="100"/>
      <c r="I789" s="82">
        <f>IF(E789="",0,VLOOKUP(E789,DMHH!$D$8:$H$507,IF(H789="",4,5),0))</f>
        <v>0</v>
      </c>
      <c r="J789" s="82">
        <f t="shared" si="26"/>
        <v>0</v>
      </c>
      <c r="K789" s="65">
        <f t="shared" si="25"/>
        <v>41883</v>
      </c>
    </row>
    <row r="790" spans="3:11" ht="20.100000000000001" customHeight="1">
      <c r="C790" s="96"/>
      <c r="D790" s="96"/>
      <c r="E790" s="112"/>
      <c r="F790" s="100"/>
      <c r="G790" s="99"/>
      <c r="H790" s="100"/>
      <c r="I790" s="82">
        <f>IF(E790="",0,VLOOKUP(E790,DMHH!$D$8:$H$507,IF(H790="",4,5),0))</f>
        <v>0</v>
      </c>
      <c r="J790" s="82">
        <f t="shared" si="26"/>
        <v>0</v>
      </c>
      <c r="K790" s="65">
        <f t="shared" si="25"/>
        <v>41883</v>
      </c>
    </row>
    <row r="791" spans="3:11" ht="20.100000000000001" customHeight="1">
      <c r="C791" s="96"/>
      <c r="D791" s="96"/>
      <c r="E791" s="112"/>
      <c r="F791" s="100"/>
      <c r="G791" s="99"/>
      <c r="H791" s="100"/>
      <c r="I791" s="82">
        <f>IF(E791="",0,VLOOKUP(E791,DMHH!$D$8:$H$507,IF(H791="",4,5),0))</f>
        <v>0</v>
      </c>
      <c r="J791" s="82">
        <f t="shared" si="26"/>
        <v>0</v>
      </c>
      <c r="K791" s="65">
        <f t="shared" si="25"/>
        <v>41883</v>
      </c>
    </row>
    <row r="792" spans="3:11" ht="20.100000000000001" customHeight="1">
      <c r="C792" s="96"/>
      <c r="D792" s="96"/>
      <c r="E792" s="112"/>
      <c r="F792" s="100"/>
      <c r="G792" s="99"/>
      <c r="H792" s="100"/>
      <c r="I792" s="82">
        <f>IF(E792="",0,VLOOKUP(E792,DMHH!$D$8:$H$507,IF(H792="",4,5),0))</f>
        <v>0</v>
      </c>
      <c r="J792" s="82">
        <f t="shared" si="26"/>
        <v>0</v>
      </c>
      <c r="K792" s="65">
        <f t="shared" si="25"/>
        <v>41883</v>
      </c>
    </row>
    <row r="793" spans="3:11" ht="20.100000000000001" customHeight="1">
      <c r="C793" s="96"/>
      <c r="D793" s="96"/>
      <c r="E793" s="112"/>
      <c r="F793" s="100"/>
      <c r="G793" s="99"/>
      <c r="H793" s="100"/>
      <c r="I793" s="82">
        <f>IF(E793="",0,VLOOKUP(E793,DMHH!$D$8:$H$507,IF(H793="",4,5),0))</f>
        <v>0</v>
      </c>
      <c r="J793" s="82">
        <f t="shared" si="26"/>
        <v>0</v>
      </c>
      <c r="K793" s="65">
        <f t="shared" si="25"/>
        <v>41883</v>
      </c>
    </row>
    <row r="794" spans="3:11" ht="20.100000000000001" customHeight="1">
      <c r="C794" s="96"/>
      <c r="D794" s="96"/>
      <c r="E794" s="112"/>
      <c r="F794" s="100"/>
      <c r="G794" s="99"/>
      <c r="H794" s="100"/>
      <c r="I794" s="82">
        <f>IF(E794="",0,VLOOKUP(E794,DMHH!$D$8:$H$507,IF(H794="",4,5),0))</f>
        <v>0</v>
      </c>
      <c r="J794" s="82">
        <f t="shared" si="26"/>
        <v>0</v>
      </c>
      <c r="K794" s="65">
        <f t="shared" si="25"/>
        <v>41883</v>
      </c>
    </row>
    <row r="795" spans="3:11" ht="20.100000000000001" customHeight="1">
      <c r="C795" s="96"/>
      <c r="D795" s="96"/>
      <c r="E795" s="112"/>
      <c r="F795" s="100"/>
      <c r="G795" s="99"/>
      <c r="H795" s="100"/>
      <c r="I795" s="82">
        <f>IF(E795="",0,VLOOKUP(E795,DMHH!$D$8:$H$507,IF(H795="",4,5),0))</f>
        <v>0</v>
      </c>
      <c r="J795" s="82">
        <f t="shared" si="26"/>
        <v>0</v>
      </c>
      <c r="K795" s="65">
        <f t="shared" si="25"/>
        <v>41883</v>
      </c>
    </row>
    <row r="796" spans="3:11" ht="20.100000000000001" customHeight="1">
      <c r="C796" s="96"/>
      <c r="D796" s="96"/>
      <c r="E796" s="112"/>
      <c r="F796" s="100"/>
      <c r="G796" s="99"/>
      <c r="H796" s="100"/>
      <c r="I796" s="82">
        <f>IF(E796="",0,VLOOKUP(E796,DMHH!$D$8:$H$507,IF(H796="",4,5),0))</f>
        <v>0</v>
      </c>
      <c r="J796" s="82">
        <f t="shared" si="26"/>
        <v>0</v>
      </c>
      <c r="K796" s="65">
        <f t="shared" si="25"/>
        <v>41883</v>
      </c>
    </row>
    <row r="797" spans="3:11" ht="20.100000000000001" customHeight="1">
      <c r="C797" s="96"/>
      <c r="D797" s="96"/>
      <c r="E797" s="112"/>
      <c r="F797" s="100"/>
      <c r="G797" s="99"/>
      <c r="H797" s="100"/>
      <c r="I797" s="82">
        <f>IF(E797="",0,VLOOKUP(E797,DMHH!$D$8:$H$507,IF(H797="",4,5),0))</f>
        <v>0</v>
      </c>
      <c r="J797" s="82">
        <f t="shared" si="26"/>
        <v>0</v>
      </c>
      <c r="K797" s="65">
        <f t="shared" si="25"/>
        <v>41883</v>
      </c>
    </row>
    <row r="798" spans="3:11" ht="20.100000000000001" customHeight="1">
      <c r="C798" s="96"/>
      <c r="D798" s="96"/>
      <c r="E798" s="112"/>
      <c r="F798" s="100"/>
      <c r="G798" s="99"/>
      <c r="H798" s="100"/>
      <c r="I798" s="82">
        <f>IF(E798="",0,VLOOKUP(E798,DMHH!$D$8:$H$507,IF(H798="",4,5),0))</f>
        <v>0</v>
      </c>
      <c r="J798" s="82">
        <f t="shared" si="26"/>
        <v>0</v>
      </c>
      <c r="K798" s="65">
        <f t="shared" si="25"/>
        <v>41883</v>
      </c>
    </row>
    <row r="799" spans="3:11" ht="20.100000000000001" customHeight="1">
      <c r="C799" s="96"/>
      <c r="D799" s="96"/>
      <c r="E799" s="112"/>
      <c r="F799" s="100"/>
      <c r="G799" s="99"/>
      <c r="H799" s="100"/>
      <c r="I799" s="82">
        <f>IF(E799="",0,VLOOKUP(E799,DMHH!$D$8:$H$507,IF(H799="",4,5),0))</f>
        <v>0</v>
      </c>
      <c r="J799" s="82">
        <f t="shared" si="26"/>
        <v>0</v>
      </c>
      <c r="K799" s="65">
        <f t="shared" si="25"/>
        <v>41883</v>
      </c>
    </row>
    <row r="800" spans="3:11" ht="20.100000000000001" customHeight="1">
      <c r="C800" s="96"/>
      <c r="D800" s="96"/>
      <c r="E800" s="112"/>
      <c r="F800" s="100"/>
      <c r="G800" s="99"/>
      <c r="H800" s="100"/>
      <c r="I800" s="82">
        <f>IF(E800="",0,VLOOKUP(E800,DMHH!$D$8:$H$507,IF(H800="",4,5),0))</f>
        <v>0</v>
      </c>
      <c r="J800" s="82">
        <f t="shared" si="26"/>
        <v>0</v>
      </c>
      <c r="K800" s="65">
        <f t="shared" si="25"/>
        <v>41883</v>
      </c>
    </row>
    <row r="801" spans="3:11" ht="20.100000000000001" customHeight="1">
      <c r="C801" s="96"/>
      <c r="D801" s="96"/>
      <c r="E801" s="112"/>
      <c r="F801" s="100"/>
      <c r="G801" s="99"/>
      <c r="H801" s="100"/>
      <c r="I801" s="82">
        <f>IF(E801="",0,VLOOKUP(E801,DMHH!$D$8:$H$507,IF(H801="",4,5),0))</f>
        <v>0</v>
      </c>
      <c r="J801" s="82">
        <f t="shared" si="26"/>
        <v>0</v>
      </c>
      <c r="K801" s="65">
        <f t="shared" si="25"/>
        <v>41883</v>
      </c>
    </row>
    <row r="802" spans="3:11" ht="20.100000000000001" customHeight="1">
      <c r="C802" s="96"/>
      <c r="D802" s="96"/>
      <c r="E802" s="112"/>
      <c r="F802" s="100"/>
      <c r="G802" s="99"/>
      <c r="H802" s="100"/>
      <c r="I802" s="82">
        <f>IF(E802="",0,VLOOKUP(E802,DMHH!$D$8:$H$507,IF(H802="",4,5),0))</f>
        <v>0</v>
      </c>
      <c r="J802" s="82">
        <f t="shared" si="26"/>
        <v>0</v>
      </c>
      <c r="K802" s="65">
        <f t="shared" si="25"/>
        <v>41883</v>
      </c>
    </row>
    <row r="803" spans="3:11" ht="20.100000000000001" customHeight="1">
      <c r="C803" s="96"/>
      <c r="D803" s="96"/>
      <c r="E803" s="112"/>
      <c r="F803" s="100"/>
      <c r="G803" s="99"/>
      <c r="H803" s="100"/>
      <c r="I803" s="82">
        <f>IF(E803="",0,VLOOKUP(E803,DMHH!$D$8:$H$507,IF(H803="",4,5),0))</f>
        <v>0</v>
      </c>
      <c r="J803" s="82">
        <f t="shared" si="26"/>
        <v>0</v>
      </c>
      <c r="K803" s="65">
        <f t="shared" si="25"/>
        <v>41883</v>
      </c>
    </row>
    <row r="804" spans="3:11" ht="20.100000000000001" customHeight="1">
      <c r="C804" s="96"/>
      <c r="D804" s="96"/>
      <c r="E804" s="112"/>
      <c r="F804" s="100"/>
      <c r="G804" s="99"/>
      <c r="H804" s="100"/>
      <c r="I804" s="82">
        <f>IF(E804="",0,VLOOKUP(E804,DMHH!$D$8:$H$507,IF(H804="",4,5),0))</f>
        <v>0</v>
      </c>
      <c r="J804" s="82">
        <f t="shared" si="26"/>
        <v>0</v>
      </c>
      <c r="K804" s="65">
        <f t="shared" si="25"/>
        <v>41883</v>
      </c>
    </row>
    <row r="805" spans="3:11" ht="20.100000000000001" customHeight="1">
      <c r="C805" s="96"/>
      <c r="D805" s="96"/>
      <c r="E805" s="112"/>
      <c r="F805" s="100"/>
      <c r="G805" s="99"/>
      <c r="H805" s="100"/>
      <c r="I805" s="82">
        <f>IF(E805="",0,VLOOKUP(E805,DMHH!$D$8:$H$507,IF(H805="",4,5),0))</f>
        <v>0</v>
      </c>
      <c r="J805" s="82">
        <f t="shared" si="26"/>
        <v>0</v>
      </c>
      <c r="K805" s="65">
        <f t="shared" si="25"/>
        <v>41883</v>
      </c>
    </row>
    <row r="806" spans="3:11" ht="20.100000000000001" customHeight="1">
      <c r="C806" s="96"/>
      <c r="D806" s="96"/>
      <c r="E806" s="112"/>
      <c r="F806" s="100"/>
      <c r="G806" s="99"/>
      <c r="H806" s="100"/>
      <c r="I806" s="82">
        <f>IF(E806="",0,VLOOKUP(E806,DMHH!$D$8:$H$507,IF(H806="",4,5),0))</f>
        <v>0</v>
      </c>
      <c r="J806" s="82">
        <f t="shared" si="26"/>
        <v>0</v>
      </c>
      <c r="K806" s="65">
        <f t="shared" si="25"/>
        <v>41883</v>
      </c>
    </row>
    <row r="807" spans="3:11" ht="20.100000000000001" customHeight="1">
      <c r="C807" s="96"/>
      <c r="D807" s="96"/>
      <c r="E807" s="112"/>
      <c r="F807" s="100"/>
      <c r="G807" s="99"/>
      <c r="H807" s="100"/>
      <c r="I807" s="82">
        <f>IF(E807="",0,VLOOKUP(E807,DMHH!$D$8:$H$507,IF(H807="",4,5),0))</f>
        <v>0</v>
      </c>
      <c r="J807" s="82">
        <f t="shared" si="26"/>
        <v>0</v>
      </c>
      <c r="K807" s="65">
        <f t="shared" si="25"/>
        <v>41883</v>
      </c>
    </row>
    <row r="808" spans="3:11" ht="20.100000000000001" customHeight="1">
      <c r="C808" s="96"/>
      <c r="D808" s="96"/>
      <c r="E808" s="112"/>
      <c r="F808" s="100"/>
      <c r="G808" s="99"/>
      <c r="H808" s="100"/>
      <c r="I808" s="82">
        <f>IF(E808="",0,VLOOKUP(E808,DMHH!$D$8:$H$507,IF(H808="",4,5),0))</f>
        <v>0</v>
      </c>
      <c r="J808" s="82">
        <f t="shared" si="26"/>
        <v>0</v>
      </c>
      <c r="K808" s="65">
        <f t="shared" si="25"/>
        <v>41883</v>
      </c>
    </row>
    <row r="809" spans="3:11" ht="20.100000000000001" customHeight="1">
      <c r="C809" s="96"/>
      <c r="D809" s="96"/>
      <c r="E809" s="112"/>
      <c r="F809" s="100"/>
      <c r="G809" s="99"/>
      <c r="H809" s="100"/>
      <c r="I809" s="82">
        <f>IF(E809="",0,VLOOKUP(E809,DMHH!$D$8:$H$507,IF(H809="",4,5),0))</f>
        <v>0</v>
      </c>
      <c r="J809" s="82">
        <f t="shared" si="26"/>
        <v>0</v>
      </c>
      <c r="K809" s="65">
        <f t="shared" si="25"/>
        <v>41883</v>
      </c>
    </row>
    <row r="810" spans="3:11" ht="20.100000000000001" customHeight="1">
      <c r="C810" s="96"/>
      <c r="D810" s="96"/>
      <c r="E810" s="112"/>
      <c r="F810" s="100"/>
      <c r="G810" s="99"/>
      <c r="H810" s="100"/>
      <c r="I810" s="82">
        <f>IF(E810="",0,VLOOKUP(E810,DMHH!$D$8:$H$507,IF(H810="",4,5),0))</f>
        <v>0</v>
      </c>
      <c r="J810" s="82">
        <f t="shared" si="26"/>
        <v>0</v>
      </c>
      <c r="K810" s="65">
        <f t="shared" si="25"/>
        <v>41883</v>
      </c>
    </row>
    <row r="811" spans="3:11" ht="20.100000000000001" customHeight="1">
      <c r="C811" s="96"/>
      <c r="D811" s="96"/>
      <c r="E811" s="112"/>
      <c r="F811" s="100"/>
      <c r="G811" s="99"/>
      <c r="H811" s="100"/>
      <c r="I811" s="82">
        <f>IF(E811="",0,VLOOKUP(E811,DMHH!$D$8:$H$507,IF(H811="",4,5),0))</f>
        <v>0</v>
      </c>
      <c r="J811" s="82">
        <f t="shared" si="26"/>
        <v>0</v>
      </c>
      <c r="K811" s="65">
        <f t="shared" si="25"/>
        <v>41883</v>
      </c>
    </row>
    <row r="812" spans="3:11" ht="20.100000000000001" customHeight="1">
      <c r="C812" s="96"/>
      <c r="D812" s="96"/>
      <c r="E812" s="112"/>
      <c r="F812" s="100"/>
      <c r="G812" s="99"/>
      <c r="H812" s="100"/>
      <c r="I812" s="82">
        <f>IF(E812="",0,VLOOKUP(E812,DMHH!$D$8:$H$507,IF(H812="",4,5),0))</f>
        <v>0</v>
      </c>
      <c r="J812" s="82">
        <f t="shared" si="26"/>
        <v>0</v>
      </c>
      <c r="K812" s="65">
        <f t="shared" si="25"/>
        <v>41883</v>
      </c>
    </row>
    <row r="813" spans="3:11" ht="20.100000000000001" customHeight="1">
      <c r="C813" s="96"/>
      <c r="D813" s="96"/>
      <c r="E813" s="112"/>
      <c r="F813" s="100"/>
      <c r="G813" s="99"/>
      <c r="H813" s="100"/>
      <c r="I813" s="82">
        <f>IF(E813="",0,VLOOKUP(E813,DMHH!$D$8:$H$507,IF(H813="",4,5),0))</f>
        <v>0</v>
      </c>
      <c r="J813" s="82">
        <f t="shared" si="26"/>
        <v>0</v>
      </c>
      <c r="K813" s="65">
        <f t="shared" si="25"/>
        <v>41883</v>
      </c>
    </row>
    <row r="814" spans="3:11" ht="20.100000000000001" customHeight="1">
      <c r="C814" s="96"/>
      <c r="D814" s="96"/>
      <c r="E814" s="112"/>
      <c r="F814" s="100"/>
      <c r="G814" s="99"/>
      <c r="H814" s="100"/>
      <c r="I814" s="82">
        <f>IF(E814="",0,VLOOKUP(E814,DMHH!$D$8:$H$507,IF(H814="",4,5),0))</f>
        <v>0</v>
      </c>
      <c r="J814" s="82">
        <f t="shared" si="26"/>
        <v>0</v>
      </c>
      <c r="K814" s="65">
        <f t="shared" si="25"/>
        <v>41883</v>
      </c>
    </row>
    <row r="815" spans="3:11" ht="20.100000000000001" customHeight="1">
      <c r="C815" s="96"/>
      <c r="D815" s="96"/>
      <c r="E815" s="112"/>
      <c r="F815" s="100"/>
      <c r="G815" s="99"/>
      <c r="H815" s="100"/>
      <c r="I815" s="82">
        <f>IF(E815="",0,VLOOKUP(E815,DMHH!$D$8:$H$507,IF(H815="",4,5),0))</f>
        <v>0</v>
      </c>
      <c r="J815" s="82">
        <f t="shared" si="26"/>
        <v>0</v>
      </c>
      <c r="K815" s="65">
        <f t="shared" si="25"/>
        <v>41883</v>
      </c>
    </row>
    <row r="816" spans="3:11" ht="20.100000000000001" customHeight="1">
      <c r="C816" s="96"/>
      <c r="D816" s="96"/>
      <c r="E816" s="112"/>
      <c r="F816" s="100"/>
      <c r="G816" s="99"/>
      <c r="H816" s="100"/>
      <c r="I816" s="82">
        <f>IF(E816="",0,VLOOKUP(E816,DMHH!$D$8:$H$507,IF(H816="",4,5),0))</f>
        <v>0</v>
      </c>
      <c r="J816" s="82">
        <f t="shared" si="26"/>
        <v>0</v>
      </c>
      <c r="K816" s="65">
        <f t="shared" si="25"/>
        <v>41883</v>
      </c>
    </row>
    <row r="817" spans="3:11" ht="20.100000000000001" customHeight="1">
      <c r="C817" s="96"/>
      <c r="D817" s="96"/>
      <c r="E817" s="112"/>
      <c r="F817" s="100"/>
      <c r="G817" s="99"/>
      <c r="H817" s="100"/>
      <c r="I817" s="82">
        <f>IF(E817="",0,VLOOKUP(E817,DMHH!$D$8:$H$507,IF(H817="",4,5),0))</f>
        <v>0</v>
      </c>
      <c r="J817" s="82">
        <f t="shared" si="26"/>
        <v>0</v>
      </c>
      <c r="K817" s="65">
        <f t="shared" si="25"/>
        <v>41883</v>
      </c>
    </row>
    <row r="818" spans="3:11" ht="20.100000000000001" customHeight="1">
      <c r="C818" s="96"/>
      <c r="D818" s="96"/>
      <c r="E818" s="112"/>
      <c r="F818" s="100"/>
      <c r="G818" s="99"/>
      <c r="H818" s="100"/>
      <c r="I818" s="82">
        <f>IF(E818="",0,VLOOKUP(E818,DMHH!$D$8:$H$507,IF(H818="",4,5),0))</f>
        <v>0</v>
      </c>
      <c r="J818" s="82">
        <f t="shared" si="26"/>
        <v>0</v>
      </c>
      <c r="K818" s="65">
        <f t="shared" si="25"/>
        <v>41883</v>
      </c>
    </row>
    <row r="819" spans="3:11" ht="20.100000000000001" customHeight="1">
      <c r="C819" s="96"/>
      <c r="D819" s="96"/>
      <c r="E819" s="112"/>
      <c r="F819" s="100"/>
      <c r="G819" s="99"/>
      <c r="H819" s="100"/>
      <c r="I819" s="82">
        <f>IF(E819="",0,VLOOKUP(E819,DMHH!$D$8:$H$507,IF(H819="",4,5),0))</f>
        <v>0</v>
      </c>
      <c r="J819" s="82">
        <f t="shared" si="26"/>
        <v>0</v>
      </c>
      <c r="K819" s="65">
        <f t="shared" si="25"/>
        <v>41883</v>
      </c>
    </row>
    <row r="820" spans="3:11" ht="20.100000000000001" customHeight="1">
      <c r="C820" s="96"/>
      <c r="D820" s="96"/>
      <c r="E820" s="112"/>
      <c r="F820" s="100"/>
      <c r="G820" s="99"/>
      <c r="H820" s="100"/>
      <c r="I820" s="82">
        <f>IF(E820="",0,VLOOKUP(E820,DMHH!$D$8:$H$507,IF(H820="",4,5),0))</f>
        <v>0</v>
      </c>
      <c r="J820" s="82">
        <f t="shared" si="26"/>
        <v>0</v>
      </c>
      <c r="K820" s="65">
        <f t="shared" si="25"/>
        <v>41883</v>
      </c>
    </row>
    <row r="821" spans="3:11" ht="20.100000000000001" customHeight="1">
      <c r="C821" s="96"/>
      <c r="D821" s="96"/>
      <c r="E821" s="112"/>
      <c r="F821" s="100"/>
      <c r="G821" s="99"/>
      <c r="H821" s="100"/>
      <c r="I821" s="82">
        <f>IF(E821="",0,VLOOKUP(E821,DMHH!$D$8:$H$507,IF(H821="",4,5),0))</f>
        <v>0</v>
      </c>
      <c r="J821" s="82">
        <f t="shared" si="26"/>
        <v>0</v>
      </c>
      <c r="K821" s="65">
        <f t="shared" si="25"/>
        <v>41883</v>
      </c>
    </row>
    <row r="822" spans="3:11" ht="20.100000000000001" customHeight="1">
      <c r="C822" s="96"/>
      <c r="D822" s="96"/>
      <c r="E822" s="112"/>
      <c r="F822" s="100"/>
      <c r="G822" s="99"/>
      <c r="H822" s="100"/>
      <c r="I822" s="82">
        <f>IF(E822="",0,VLOOKUP(E822,DMHH!$D$8:$H$507,IF(H822="",4,5),0))</f>
        <v>0</v>
      </c>
      <c r="J822" s="82">
        <f t="shared" si="26"/>
        <v>0</v>
      </c>
      <c r="K822" s="65">
        <f t="shared" si="25"/>
        <v>41883</v>
      </c>
    </row>
    <row r="823" spans="3:11" ht="20.100000000000001" customHeight="1">
      <c r="C823" s="96"/>
      <c r="D823" s="96"/>
      <c r="E823" s="112"/>
      <c r="F823" s="100"/>
      <c r="G823" s="99"/>
      <c r="H823" s="100"/>
      <c r="I823" s="82">
        <f>IF(E823="",0,VLOOKUP(E823,DMHH!$D$8:$H$507,IF(H823="",4,5),0))</f>
        <v>0</v>
      </c>
      <c r="J823" s="82">
        <f t="shared" si="26"/>
        <v>0</v>
      </c>
      <c r="K823" s="65">
        <f t="shared" si="25"/>
        <v>41883</v>
      </c>
    </row>
    <row r="824" spans="3:11" ht="20.100000000000001" customHeight="1">
      <c r="C824" s="96"/>
      <c r="D824" s="96"/>
      <c r="E824" s="112"/>
      <c r="F824" s="100"/>
      <c r="G824" s="99"/>
      <c r="H824" s="100"/>
      <c r="I824" s="82">
        <f>IF(E824="",0,VLOOKUP(E824,DMHH!$D$8:$H$507,IF(H824="",4,5),0))</f>
        <v>0</v>
      </c>
      <c r="J824" s="82">
        <f t="shared" si="26"/>
        <v>0</v>
      </c>
      <c r="K824" s="65">
        <f t="shared" si="25"/>
        <v>41883</v>
      </c>
    </row>
    <row r="825" spans="3:11" ht="20.100000000000001" customHeight="1">
      <c r="C825" s="96"/>
      <c r="D825" s="96"/>
      <c r="E825" s="112"/>
      <c r="F825" s="100"/>
      <c r="G825" s="99"/>
      <c r="H825" s="100"/>
      <c r="I825" s="82">
        <f>IF(E825="",0,VLOOKUP(E825,DMHH!$D$8:$H$507,IF(H825="",4,5),0))</f>
        <v>0</v>
      </c>
      <c r="J825" s="82">
        <f t="shared" si="26"/>
        <v>0</v>
      </c>
      <c r="K825" s="65">
        <f t="shared" si="25"/>
        <v>41883</v>
      </c>
    </row>
    <row r="826" spans="3:11" ht="20.100000000000001" customHeight="1">
      <c r="C826" s="96"/>
      <c r="D826" s="96"/>
      <c r="E826" s="112"/>
      <c r="F826" s="100"/>
      <c r="G826" s="99"/>
      <c r="H826" s="100"/>
      <c r="I826" s="82">
        <f>IF(E826="",0,VLOOKUP(E826,DMHH!$D$8:$H$507,IF(H826="",4,5),0))</f>
        <v>0</v>
      </c>
      <c r="J826" s="82">
        <f t="shared" si="26"/>
        <v>0</v>
      </c>
      <c r="K826" s="65">
        <f t="shared" si="25"/>
        <v>41883</v>
      </c>
    </row>
    <row r="827" spans="3:11" ht="20.100000000000001" customHeight="1">
      <c r="C827" s="96"/>
      <c r="D827" s="96"/>
      <c r="E827" s="112"/>
      <c r="F827" s="100"/>
      <c r="G827" s="99"/>
      <c r="H827" s="100"/>
      <c r="I827" s="82">
        <f>IF(E827="",0,VLOOKUP(E827,DMHH!$D$8:$H$507,IF(H827="",4,5),0))</f>
        <v>0</v>
      </c>
      <c r="J827" s="82">
        <f t="shared" si="26"/>
        <v>0</v>
      </c>
      <c r="K827" s="65">
        <f t="shared" si="25"/>
        <v>41883</v>
      </c>
    </row>
    <row r="828" spans="3:11" ht="20.100000000000001" customHeight="1">
      <c r="C828" s="96"/>
      <c r="D828" s="96"/>
      <c r="E828" s="112"/>
      <c r="F828" s="100"/>
      <c r="G828" s="99"/>
      <c r="H828" s="100"/>
      <c r="I828" s="82">
        <f>IF(E828="",0,VLOOKUP(E828,DMHH!$D$8:$H$507,IF(H828="",4,5),0))</f>
        <v>0</v>
      </c>
      <c r="J828" s="82">
        <f t="shared" si="26"/>
        <v>0</v>
      </c>
      <c r="K828" s="65">
        <f t="shared" si="25"/>
        <v>41883</v>
      </c>
    </row>
    <row r="829" spans="3:11" ht="20.100000000000001" customHeight="1">
      <c r="C829" s="96"/>
      <c r="D829" s="96"/>
      <c r="E829" s="112"/>
      <c r="F829" s="100"/>
      <c r="G829" s="99"/>
      <c r="H829" s="100"/>
      <c r="I829" s="82">
        <f>IF(E829="",0,VLOOKUP(E829,DMHH!$D$8:$H$507,IF(H829="",4,5),0))</f>
        <v>0</v>
      </c>
      <c r="J829" s="82">
        <f t="shared" si="26"/>
        <v>0</v>
      </c>
      <c r="K829" s="65">
        <f t="shared" si="25"/>
        <v>41883</v>
      </c>
    </row>
    <row r="830" spans="3:11" ht="20.100000000000001" customHeight="1">
      <c r="C830" s="96"/>
      <c r="D830" s="96"/>
      <c r="E830" s="112"/>
      <c r="F830" s="100"/>
      <c r="G830" s="99"/>
      <c r="H830" s="100"/>
      <c r="I830" s="82">
        <f>IF(E830="",0,VLOOKUP(E830,DMHH!$D$8:$H$507,IF(H830="",4,5),0))</f>
        <v>0</v>
      </c>
      <c r="J830" s="82">
        <f t="shared" si="26"/>
        <v>0</v>
      </c>
      <c r="K830" s="65">
        <f t="shared" si="25"/>
        <v>41883</v>
      </c>
    </row>
    <row r="831" spans="3:11" ht="20.100000000000001" customHeight="1">
      <c r="C831" s="96"/>
      <c r="D831" s="96"/>
      <c r="E831" s="112"/>
      <c r="F831" s="100"/>
      <c r="G831" s="99"/>
      <c r="H831" s="100"/>
      <c r="I831" s="82">
        <f>IF(E831="",0,VLOOKUP(E831,DMHH!$D$8:$H$507,IF(H831="",4,5),0))</f>
        <v>0</v>
      </c>
      <c r="J831" s="82">
        <f t="shared" si="26"/>
        <v>0</v>
      </c>
      <c r="K831" s="65">
        <f t="shared" si="25"/>
        <v>41883</v>
      </c>
    </row>
    <row r="832" spans="3:11" ht="20.100000000000001" customHeight="1">
      <c r="C832" s="96"/>
      <c r="D832" s="96"/>
      <c r="E832" s="112"/>
      <c r="F832" s="100"/>
      <c r="G832" s="99"/>
      <c r="H832" s="100"/>
      <c r="I832" s="82">
        <f>IF(E832="",0,VLOOKUP(E832,DMHH!$D$8:$H$507,IF(H832="",4,5),0))</f>
        <v>0</v>
      </c>
      <c r="J832" s="82">
        <f t="shared" si="26"/>
        <v>0</v>
      </c>
      <c r="K832" s="65">
        <f t="shared" si="25"/>
        <v>41883</v>
      </c>
    </row>
    <row r="833" spans="3:11" ht="20.100000000000001" customHeight="1">
      <c r="C833" s="96"/>
      <c r="D833" s="96"/>
      <c r="E833" s="112"/>
      <c r="F833" s="100"/>
      <c r="G833" s="99"/>
      <c r="H833" s="100"/>
      <c r="I833" s="82">
        <f>IF(E833="",0,VLOOKUP(E833,DMHH!$D$8:$H$507,IF(H833="",4,5),0))</f>
        <v>0</v>
      </c>
      <c r="J833" s="82">
        <f t="shared" si="26"/>
        <v>0</v>
      </c>
      <c r="K833" s="65">
        <f t="shared" si="25"/>
        <v>41883</v>
      </c>
    </row>
    <row r="834" spans="3:11" ht="20.100000000000001" customHeight="1">
      <c r="C834" s="96"/>
      <c r="D834" s="96"/>
      <c r="E834" s="112"/>
      <c r="F834" s="100"/>
      <c r="G834" s="99"/>
      <c r="H834" s="100"/>
      <c r="I834" s="82">
        <f>IF(E834="",0,VLOOKUP(E834,DMHH!$D$8:$H$507,IF(H834="",4,5),0))</f>
        <v>0</v>
      </c>
      <c r="J834" s="82">
        <f t="shared" si="26"/>
        <v>0</v>
      </c>
      <c r="K834" s="65">
        <f t="shared" si="25"/>
        <v>41883</v>
      </c>
    </row>
    <row r="835" spans="3:11" ht="20.100000000000001" customHeight="1">
      <c r="C835" s="96"/>
      <c r="D835" s="96"/>
      <c r="E835" s="112"/>
      <c r="F835" s="100"/>
      <c r="G835" s="99"/>
      <c r="H835" s="100"/>
      <c r="I835" s="82">
        <f>IF(E835="",0,VLOOKUP(E835,DMHH!$D$8:$H$507,IF(H835="",4,5),0))</f>
        <v>0</v>
      </c>
      <c r="J835" s="82">
        <f t="shared" si="26"/>
        <v>0</v>
      </c>
      <c r="K835" s="65">
        <f t="shared" si="25"/>
        <v>41883</v>
      </c>
    </row>
    <row r="836" spans="3:11" ht="20.100000000000001" customHeight="1">
      <c r="C836" s="96"/>
      <c r="D836" s="96"/>
      <c r="E836" s="112"/>
      <c r="F836" s="100"/>
      <c r="G836" s="99"/>
      <c r="H836" s="100"/>
      <c r="I836" s="82">
        <f>IF(E836="",0,VLOOKUP(E836,DMHH!$D$8:$H$507,IF(H836="",4,5),0))</f>
        <v>0</v>
      </c>
      <c r="J836" s="82">
        <f t="shared" si="26"/>
        <v>0</v>
      </c>
      <c r="K836" s="65">
        <f t="shared" si="25"/>
        <v>41883</v>
      </c>
    </row>
    <row r="837" spans="3:11" ht="20.100000000000001" customHeight="1">
      <c r="C837" s="96"/>
      <c r="D837" s="96"/>
      <c r="E837" s="112"/>
      <c r="F837" s="100"/>
      <c r="G837" s="99"/>
      <c r="H837" s="100"/>
      <c r="I837" s="82">
        <f>IF(E837="",0,VLOOKUP(E837,DMHH!$D$8:$H$507,IF(H837="",4,5),0))</f>
        <v>0</v>
      </c>
      <c r="J837" s="82">
        <f t="shared" si="26"/>
        <v>0</v>
      </c>
      <c r="K837" s="65">
        <f t="shared" si="25"/>
        <v>41883</v>
      </c>
    </row>
    <row r="838" spans="3:11" ht="20.100000000000001" customHeight="1">
      <c r="C838" s="96"/>
      <c r="D838" s="96"/>
      <c r="E838" s="112"/>
      <c r="F838" s="100"/>
      <c r="G838" s="99"/>
      <c r="H838" s="100"/>
      <c r="I838" s="82">
        <f>IF(E838="",0,VLOOKUP(E838,DMHH!$D$8:$H$507,IF(H838="",4,5),0))</f>
        <v>0</v>
      </c>
      <c r="J838" s="82">
        <f t="shared" si="26"/>
        <v>0</v>
      </c>
      <c r="K838" s="65">
        <f t="shared" si="25"/>
        <v>41883</v>
      </c>
    </row>
    <row r="839" spans="3:11" ht="20.100000000000001" customHeight="1">
      <c r="C839" s="96"/>
      <c r="D839" s="96"/>
      <c r="E839" s="112"/>
      <c r="F839" s="100"/>
      <c r="G839" s="99"/>
      <c r="H839" s="100"/>
      <c r="I839" s="82">
        <f>IF(E839="",0,VLOOKUP(E839,DMHH!$D$8:$H$507,IF(H839="",4,5),0))</f>
        <v>0</v>
      </c>
      <c r="J839" s="82">
        <f t="shared" si="26"/>
        <v>0</v>
      </c>
      <c r="K839" s="65">
        <f t="shared" si="25"/>
        <v>41883</v>
      </c>
    </row>
    <row r="840" spans="3:11" ht="20.100000000000001" customHeight="1">
      <c r="C840" s="96"/>
      <c r="D840" s="96"/>
      <c r="E840" s="112"/>
      <c r="F840" s="100"/>
      <c r="G840" s="99"/>
      <c r="H840" s="100"/>
      <c r="I840" s="82">
        <f>IF(E840="",0,VLOOKUP(E840,DMHH!$D$8:$H$507,IF(H840="",4,5),0))</f>
        <v>0</v>
      </c>
      <c r="J840" s="82">
        <f t="shared" si="26"/>
        <v>0</v>
      </c>
      <c r="K840" s="65">
        <f t="shared" si="25"/>
        <v>41883</v>
      </c>
    </row>
    <row r="841" spans="3:11" ht="20.100000000000001" customHeight="1">
      <c r="C841" s="96"/>
      <c r="D841" s="96"/>
      <c r="E841" s="112"/>
      <c r="F841" s="100"/>
      <c r="G841" s="99"/>
      <c r="H841" s="100"/>
      <c r="I841" s="82">
        <f>IF(E841="",0,VLOOKUP(E841,DMHH!$D$8:$H$507,IF(H841="",4,5),0))</f>
        <v>0</v>
      </c>
      <c r="J841" s="82">
        <f t="shared" si="26"/>
        <v>0</v>
      </c>
      <c r="K841" s="65">
        <f t="shared" si="25"/>
        <v>41883</v>
      </c>
    </row>
    <row r="842" spans="3:11" ht="20.100000000000001" customHeight="1">
      <c r="C842" s="96"/>
      <c r="D842" s="96"/>
      <c r="E842" s="112"/>
      <c r="F842" s="100"/>
      <c r="G842" s="99"/>
      <c r="H842" s="100"/>
      <c r="I842" s="82">
        <f>IF(E842="",0,VLOOKUP(E842,DMHH!$D$8:$H$507,IF(H842="",4,5),0))</f>
        <v>0</v>
      </c>
      <c r="J842" s="82">
        <f t="shared" si="26"/>
        <v>0</v>
      </c>
      <c r="K842" s="65">
        <f t="shared" si="25"/>
        <v>41883</v>
      </c>
    </row>
    <row r="843" spans="3:11" ht="20.100000000000001" customHeight="1">
      <c r="C843" s="96"/>
      <c r="D843" s="96"/>
      <c r="E843" s="112"/>
      <c r="F843" s="100"/>
      <c r="G843" s="99"/>
      <c r="H843" s="100"/>
      <c r="I843" s="82">
        <f>IF(E843="",0,VLOOKUP(E843,DMHH!$D$8:$H$507,IF(H843="",4,5),0))</f>
        <v>0</v>
      </c>
      <c r="J843" s="82">
        <f t="shared" si="26"/>
        <v>0</v>
      </c>
      <c r="K843" s="65">
        <f t="shared" ref="K843:K906" si="27">IF(C843="",K842,C843)</f>
        <v>41883</v>
      </c>
    </row>
    <row r="844" spans="3:11" ht="20.100000000000001" customHeight="1">
      <c r="C844" s="96"/>
      <c r="D844" s="96"/>
      <c r="E844" s="112"/>
      <c r="F844" s="100"/>
      <c r="G844" s="99"/>
      <c r="H844" s="100"/>
      <c r="I844" s="82">
        <f>IF(E844="",0,VLOOKUP(E844,DMHH!$D$8:$H$507,IF(H844="",4,5),0))</f>
        <v>0</v>
      </c>
      <c r="J844" s="82">
        <f t="shared" si="26"/>
        <v>0</v>
      </c>
      <c r="K844" s="65">
        <f t="shared" si="27"/>
        <v>41883</v>
      </c>
    </row>
    <row r="845" spans="3:11" ht="20.100000000000001" customHeight="1">
      <c r="C845" s="96"/>
      <c r="D845" s="96"/>
      <c r="E845" s="112"/>
      <c r="F845" s="100"/>
      <c r="G845" s="99"/>
      <c r="H845" s="100"/>
      <c r="I845" s="82">
        <f>IF(E845="",0,VLOOKUP(E845,DMHH!$D$8:$H$507,IF(H845="",4,5),0))</f>
        <v>0</v>
      </c>
      <c r="J845" s="82">
        <f t="shared" ref="J845:J908" si="28">F845*I845+H845*I845</f>
        <v>0</v>
      </c>
      <c r="K845" s="65">
        <f t="shared" si="27"/>
        <v>41883</v>
      </c>
    </row>
    <row r="846" spans="3:11" ht="20.100000000000001" customHeight="1">
      <c r="C846" s="96"/>
      <c r="D846" s="96"/>
      <c r="E846" s="112"/>
      <c r="F846" s="100"/>
      <c r="G846" s="99"/>
      <c r="H846" s="100"/>
      <c r="I846" s="82">
        <f>IF(E846="",0,VLOOKUP(E846,DMHH!$D$8:$H$507,IF(H846="",4,5),0))</f>
        <v>0</v>
      </c>
      <c r="J846" s="82">
        <f t="shared" si="28"/>
        <v>0</v>
      </c>
      <c r="K846" s="65">
        <f t="shared" si="27"/>
        <v>41883</v>
      </c>
    </row>
    <row r="847" spans="3:11" ht="20.100000000000001" customHeight="1">
      <c r="C847" s="96"/>
      <c r="D847" s="96"/>
      <c r="E847" s="112"/>
      <c r="F847" s="100"/>
      <c r="G847" s="99"/>
      <c r="H847" s="100"/>
      <c r="I847" s="82">
        <f>IF(E847="",0,VLOOKUP(E847,DMHH!$D$8:$H$507,IF(H847="",4,5),0))</f>
        <v>0</v>
      </c>
      <c r="J847" s="82">
        <f t="shared" si="28"/>
        <v>0</v>
      </c>
      <c r="K847" s="65">
        <f t="shared" si="27"/>
        <v>41883</v>
      </c>
    </row>
    <row r="848" spans="3:11" ht="20.100000000000001" customHeight="1">
      <c r="C848" s="96"/>
      <c r="D848" s="96"/>
      <c r="E848" s="112"/>
      <c r="F848" s="100"/>
      <c r="G848" s="99"/>
      <c r="H848" s="100"/>
      <c r="I848" s="82">
        <f>IF(E848="",0,VLOOKUP(E848,DMHH!$D$8:$H$507,IF(H848="",4,5),0))</f>
        <v>0</v>
      </c>
      <c r="J848" s="82">
        <f t="shared" si="28"/>
        <v>0</v>
      </c>
      <c r="K848" s="65">
        <f t="shared" si="27"/>
        <v>41883</v>
      </c>
    </row>
    <row r="849" spans="3:11" ht="20.100000000000001" customHeight="1">
      <c r="C849" s="96"/>
      <c r="D849" s="96"/>
      <c r="E849" s="112"/>
      <c r="F849" s="100"/>
      <c r="G849" s="99"/>
      <c r="H849" s="100"/>
      <c r="I849" s="82">
        <f>IF(E849="",0,VLOOKUP(E849,DMHH!$D$8:$H$507,IF(H849="",4,5),0))</f>
        <v>0</v>
      </c>
      <c r="J849" s="82">
        <f t="shared" si="28"/>
        <v>0</v>
      </c>
      <c r="K849" s="65">
        <f t="shared" si="27"/>
        <v>41883</v>
      </c>
    </row>
    <row r="850" spans="3:11" ht="20.100000000000001" customHeight="1">
      <c r="C850" s="96"/>
      <c r="D850" s="96"/>
      <c r="E850" s="112"/>
      <c r="F850" s="100"/>
      <c r="G850" s="99"/>
      <c r="H850" s="100"/>
      <c r="I850" s="82">
        <f>IF(E850="",0,VLOOKUP(E850,DMHH!$D$8:$H$507,IF(H850="",4,5),0))</f>
        <v>0</v>
      </c>
      <c r="J850" s="82">
        <f t="shared" si="28"/>
        <v>0</v>
      </c>
      <c r="K850" s="65">
        <f t="shared" si="27"/>
        <v>41883</v>
      </c>
    </row>
    <row r="851" spans="3:11" ht="20.100000000000001" customHeight="1">
      <c r="C851" s="96"/>
      <c r="D851" s="96"/>
      <c r="E851" s="112"/>
      <c r="F851" s="100"/>
      <c r="G851" s="99"/>
      <c r="H851" s="100"/>
      <c r="I851" s="82">
        <f>IF(E851="",0,VLOOKUP(E851,DMHH!$D$8:$H$507,IF(H851="",4,5),0))</f>
        <v>0</v>
      </c>
      <c r="J851" s="82">
        <f t="shared" si="28"/>
        <v>0</v>
      </c>
      <c r="K851" s="65">
        <f t="shared" si="27"/>
        <v>41883</v>
      </c>
    </row>
    <row r="852" spans="3:11" ht="20.100000000000001" customHeight="1">
      <c r="C852" s="96"/>
      <c r="D852" s="96"/>
      <c r="E852" s="112"/>
      <c r="F852" s="100"/>
      <c r="G852" s="99"/>
      <c r="H852" s="100"/>
      <c r="I852" s="82">
        <f>IF(E852="",0,VLOOKUP(E852,DMHH!$D$8:$H$507,IF(H852="",4,5),0))</f>
        <v>0</v>
      </c>
      <c r="J852" s="82">
        <f t="shared" si="28"/>
        <v>0</v>
      </c>
      <c r="K852" s="65">
        <f t="shared" si="27"/>
        <v>41883</v>
      </c>
    </row>
    <row r="853" spans="3:11" ht="20.100000000000001" customHeight="1">
      <c r="C853" s="96"/>
      <c r="D853" s="96"/>
      <c r="E853" s="112"/>
      <c r="F853" s="100"/>
      <c r="G853" s="99"/>
      <c r="H853" s="100"/>
      <c r="I853" s="82">
        <f>IF(E853="",0,VLOOKUP(E853,DMHH!$D$8:$H$507,IF(H853="",4,5),0))</f>
        <v>0</v>
      </c>
      <c r="J853" s="82">
        <f t="shared" si="28"/>
        <v>0</v>
      </c>
      <c r="K853" s="65">
        <f t="shared" si="27"/>
        <v>41883</v>
      </c>
    </row>
    <row r="854" spans="3:11" ht="20.100000000000001" customHeight="1">
      <c r="C854" s="96"/>
      <c r="D854" s="96"/>
      <c r="E854" s="112"/>
      <c r="F854" s="100"/>
      <c r="G854" s="99"/>
      <c r="H854" s="100"/>
      <c r="I854" s="82">
        <f>IF(E854="",0,VLOOKUP(E854,DMHH!$D$8:$H$507,IF(H854="",4,5),0))</f>
        <v>0</v>
      </c>
      <c r="J854" s="82">
        <f t="shared" si="28"/>
        <v>0</v>
      </c>
      <c r="K854" s="65">
        <f t="shared" si="27"/>
        <v>41883</v>
      </c>
    </row>
    <row r="855" spans="3:11" ht="20.100000000000001" customHeight="1">
      <c r="C855" s="96"/>
      <c r="D855" s="96"/>
      <c r="E855" s="112"/>
      <c r="F855" s="100"/>
      <c r="G855" s="99"/>
      <c r="H855" s="100"/>
      <c r="I855" s="82">
        <f>IF(E855="",0,VLOOKUP(E855,DMHH!$D$8:$H$507,IF(H855="",4,5),0))</f>
        <v>0</v>
      </c>
      <c r="J855" s="82">
        <f t="shared" si="28"/>
        <v>0</v>
      </c>
      <c r="K855" s="65">
        <f t="shared" si="27"/>
        <v>41883</v>
      </c>
    </row>
    <row r="856" spans="3:11" ht="20.100000000000001" customHeight="1">
      <c r="C856" s="96"/>
      <c r="D856" s="96"/>
      <c r="E856" s="112"/>
      <c r="F856" s="100"/>
      <c r="G856" s="99"/>
      <c r="H856" s="100"/>
      <c r="I856" s="82">
        <f>IF(E856="",0,VLOOKUP(E856,DMHH!$D$8:$H$507,IF(H856="",4,5),0))</f>
        <v>0</v>
      </c>
      <c r="J856" s="82">
        <f t="shared" si="28"/>
        <v>0</v>
      </c>
      <c r="K856" s="65">
        <f t="shared" si="27"/>
        <v>41883</v>
      </c>
    </row>
    <row r="857" spans="3:11" ht="20.100000000000001" customHeight="1">
      <c r="C857" s="96"/>
      <c r="D857" s="96"/>
      <c r="E857" s="112"/>
      <c r="F857" s="100"/>
      <c r="G857" s="99"/>
      <c r="H857" s="100"/>
      <c r="I857" s="82">
        <f>IF(E857="",0,VLOOKUP(E857,DMHH!$D$8:$H$507,IF(H857="",4,5),0))</f>
        <v>0</v>
      </c>
      <c r="J857" s="82">
        <f t="shared" si="28"/>
        <v>0</v>
      </c>
      <c r="K857" s="65">
        <f t="shared" si="27"/>
        <v>41883</v>
      </c>
    </row>
    <row r="858" spans="3:11" ht="20.100000000000001" customHeight="1">
      <c r="C858" s="96"/>
      <c r="D858" s="96"/>
      <c r="E858" s="112"/>
      <c r="F858" s="100"/>
      <c r="G858" s="99"/>
      <c r="H858" s="100"/>
      <c r="I858" s="82">
        <f>IF(E858="",0,VLOOKUP(E858,DMHH!$D$8:$H$507,IF(H858="",4,5),0))</f>
        <v>0</v>
      </c>
      <c r="J858" s="82">
        <f t="shared" si="28"/>
        <v>0</v>
      </c>
      <c r="K858" s="65">
        <f t="shared" si="27"/>
        <v>41883</v>
      </c>
    </row>
    <row r="859" spans="3:11" ht="20.100000000000001" customHeight="1">
      <c r="C859" s="96"/>
      <c r="D859" s="96"/>
      <c r="E859" s="112"/>
      <c r="F859" s="100"/>
      <c r="G859" s="99"/>
      <c r="H859" s="100"/>
      <c r="I859" s="82">
        <f>IF(E859="",0,VLOOKUP(E859,DMHH!$D$8:$H$507,IF(H859="",4,5),0))</f>
        <v>0</v>
      </c>
      <c r="J859" s="82">
        <f t="shared" si="28"/>
        <v>0</v>
      </c>
      <c r="K859" s="65">
        <f t="shared" si="27"/>
        <v>41883</v>
      </c>
    </row>
    <row r="860" spans="3:11" ht="20.100000000000001" customHeight="1">
      <c r="C860" s="96"/>
      <c r="D860" s="96"/>
      <c r="E860" s="112"/>
      <c r="F860" s="100"/>
      <c r="G860" s="99"/>
      <c r="H860" s="100"/>
      <c r="I860" s="82">
        <f>IF(E860="",0,VLOOKUP(E860,DMHH!$D$8:$H$507,IF(H860="",4,5),0))</f>
        <v>0</v>
      </c>
      <c r="J860" s="82">
        <f t="shared" si="28"/>
        <v>0</v>
      </c>
      <c r="K860" s="65">
        <f t="shared" si="27"/>
        <v>41883</v>
      </c>
    </row>
    <row r="861" spans="3:11" ht="20.100000000000001" customHeight="1">
      <c r="C861" s="96"/>
      <c r="D861" s="96"/>
      <c r="E861" s="112"/>
      <c r="F861" s="100"/>
      <c r="G861" s="99"/>
      <c r="H861" s="100"/>
      <c r="I861" s="82">
        <f>IF(E861="",0,VLOOKUP(E861,DMHH!$D$8:$H$507,IF(H861="",4,5),0))</f>
        <v>0</v>
      </c>
      <c r="J861" s="82">
        <f t="shared" si="28"/>
        <v>0</v>
      </c>
      <c r="K861" s="65">
        <f t="shared" si="27"/>
        <v>41883</v>
      </c>
    </row>
    <row r="862" spans="3:11" ht="20.100000000000001" customHeight="1">
      <c r="C862" s="96"/>
      <c r="D862" s="96"/>
      <c r="E862" s="112"/>
      <c r="F862" s="100"/>
      <c r="G862" s="99"/>
      <c r="H862" s="100"/>
      <c r="I862" s="82">
        <f>IF(E862="",0,VLOOKUP(E862,DMHH!$D$8:$H$507,IF(H862="",4,5),0))</f>
        <v>0</v>
      </c>
      <c r="J862" s="82">
        <f t="shared" si="28"/>
        <v>0</v>
      </c>
      <c r="K862" s="65">
        <f t="shared" si="27"/>
        <v>41883</v>
      </c>
    </row>
    <row r="863" spans="3:11" ht="20.100000000000001" customHeight="1">
      <c r="C863" s="96"/>
      <c r="D863" s="96"/>
      <c r="E863" s="112"/>
      <c r="F863" s="100"/>
      <c r="G863" s="99"/>
      <c r="H863" s="100"/>
      <c r="I863" s="82">
        <f>IF(E863="",0,VLOOKUP(E863,DMHH!$D$8:$H$507,IF(H863="",4,5),0))</f>
        <v>0</v>
      </c>
      <c r="J863" s="82">
        <f t="shared" si="28"/>
        <v>0</v>
      </c>
      <c r="K863" s="65">
        <f t="shared" si="27"/>
        <v>41883</v>
      </c>
    </row>
    <row r="864" spans="3:11" ht="20.100000000000001" customHeight="1">
      <c r="C864" s="96"/>
      <c r="D864" s="96"/>
      <c r="E864" s="112"/>
      <c r="F864" s="100"/>
      <c r="G864" s="99"/>
      <c r="H864" s="100"/>
      <c r="I864" s="82">
        <f>IF(E864="",0,VLOOKUP(E864,DMHH!$D$8:$H$507,IF(H864="",4,5),0))</f>
        <v>0</v>
      </c>
      <c r="J864" s="82">
        <f t="shared" si="28"/>
        <v>0</v>
      </c>
      <c r="K864" s="65">
        <f t="shared" si="27"/>
        <v>41883</v>
      </c>
    </row>
    <row r="865" spans="3:11" ht="20.100000000000001" customHeight="1">
      <c r="C865" s="96"/>
      <c r="D865" s="96"/>
      <c r="E865" s="112"/>
      <c r="F865" s="100"/>
      <c r="G865" s="99"/>
      <c r="H865" s="100"/>
      <c r="I865" s="82">
        <f>IF(E865="",0,VLOOKUP(E865,DMHH!$D$8:$H$507,IF(H865="",4,5),0))</f>
        <v>0</v>
      </c>
      <c r="J865" s="82">
        <f t="shared" si="28"/>
        <v>0</v>
      </c>
      <c r="K865" s="65">
        <f t="shared" si="27"/>
        <v>41883</v>
      </c>
    </row>
    <row r="866" spans="3:11" ht="20.100000000000001" customHeight="1">
      <c r="C866" s="96"/>
      <c r="D866" s="96"/>
      <c r="E866" s="112"/>
      <c r="F866" s="100"/>
      <c r="G866" s="99"/>
      <c r="H866" s="100"/>
      <c r="I866" s="82">
        <f>IF(E866="",0,VLOOKUP(E866,DMHH!$D$8:$H$507,IF(H866="",4,5),0))</f>
        <v>0</v>
      </c>
      <c r="J866" s="82">
        <f t="shared" si="28"/>
        <v>0</v>
      </c>
      <c r="K866" s="65">
        <f t="shared" si="27"/>
        <v>41883</v>
      </c>
    </row>
    <row r="867" spans="3:11" ht="20.100000000000001" customHeight="1">
      <c r="C867" s="96"/>
      <c r="D867" s="96"/>
      <c r="E867" s="112"/>
      <c r="F867" s="100"/>
      <c r="G867" s="99"/>
      <c r="H867" s="100"/>
      <c r="I867" s="82">
        <f>IF(E867="",0,VLOOKUP(E867,DMHH!$D$8:$H$507,IF(H867="",4,5),0))</f>
        <v>0</v>
      </c>
      <c r="J867" s="82">
        <f t="shared" si="28"/>
        <v>0</v>
      </c>
      <c r="K867" s="65">
        <f t="shared" si="27"/>
        <v>41883</v>
      </c>
    </row>
    <row r="868" spans="3:11" ht="20.100000000000001" customHeight="1">
      <c r="C868" s="96"/>
      <c r="D868" s="96"/>
      <c r="E868" s="112"/>
      <c r="F868" s="100"/>
      <c r="G868" s="99"/>
      <c r="H868" s="100"/>
      <c r="I868" s="82">
        <f>IF(E868="",0,VLOOKUP(E868,DMHH!$D$8:$H$507,IF(H868="",4,5),0))</f>
        <v>0</v>
      </c>
      <c r="J868" s="82">
        <f t="shared" si="28"/>
        <v>0</v>
      </c>
      <c r="K868" s="65">
        <f t="shared" si="27"/>
        <v>41883</v>
      </c>
    </row>
    <row r="869" spans="3:11" ht="20.100000000000001" customHeight="1">
      <c r="C869" s="96"/>
      <c r="D869" s="96"/>
      <c r="E869" s="112"/>
      <c r="F869" s="100"/>
      <c r="G869" s="99"/>
      <c r="H869" s="100"/>
      <c r="I869" s="82">
        <f>IF(E869="",0,VLOOKUP(E869,DMHH!$D$8:$H$507,IF(H869="",4,5),0))</f>
        <v>0</v>
      </c>
      <c r="J869" s="82">
        <f t="shared" si="28"/>
        <v>0</v>
      </c>
      <c r="K869" s="65">
        <f t="shared" si="27"/>
        <v>41883</v>
      </c>
    </row>
    <row r="870" spans="3:11" ht="20.100000000000001" customHeight="1">
      <c r="C870" s="96"/>
      <c r="D870" s="96"/>
      <c r="E870" s="112"/>
      <c r="F870" s="100"/>
      <c r="G870" s="99"/>
      <c r="H870" s="100"/>
      <c r="I870" s="82">
        <f>IF(E870="",0,VLOOKUP(E870,DMHH!$D$8:$H$507,IF(H870="",4,5),0))</f>
        <v>0</v>
      </c>
      <c r="J870" s="82">
        <f t="shared" si="28"/>
        <v>0</v>
      </c>
      <c r="K870" s="65">
        <f t="shared" si="27"/>
        <v>41883</v>
      </c>
    </row>
    <row r="871" spans="3:11" ht="20.100000000000001" customHeight="1">
      <c r="C871" s="96"/>
      <c r="D871" s="96"/>
      <c r="E871" s="112"/>
      <c r="F871" s="100"/>
      <c r="G871" s="99"/>
      <c r="H871" s="100"/>
      <c r="I871" s="82">
        <f>IF(E871="",0,VLOOKUP(E871,DMHH!$D$8:$H$507,IF(H871="",4,5),0))</f>
        <v>0</v>
      </c>
      <c r="J871" s="82">
        <f t="shared" si="28"/>
        <v>0</v>
      </c>
      <c r="K871" s="65">
        <f t="shared" si="27"/>
        <v>41883</v>
      </c>
    </row>
    <row r="872" spans="3:11" ht="20.100000000000001" customHeight="1">
      <c r="C872" s="96"/>
      <c r="D872" s="96"/>
      <c r="E872" s="112"/>
      <c r="F872" s="100"/>
      <c r="G872" s="99"/>
      <c r="H872" s="100"/>
      <c r="I872" s="82">
        <f>IF(E872="",0,VLOOKUP(E872,DMHH!$D$8:$H$507,IF(H872="",4,5),0))</f>
        <v>0</v>
      </c>
      <c r="J872" s="82">
        <f t="shared" si="28"/>
        <v>0</v>
      </c>
      <c r="K872" s="65">
        <f t="shared" si="27"/>
        <v>41883</v>
      </c>
    </row>
    <row r="873" spans="3:11" ht="20.100000000000001" customHeight="1">
      <c r="C873" s="96"/>
      <c r="D873" s="96"/>
      <c r="E873" s="112"/>
      <c r="F873" s="100"/>
      <c r="G873" s="99"/>
      <c r="H873" s="100"/>
      <c r="I873" s="82">
        <f>IF(E873="",0,VLOOKUP(E873,DMHH!$D$8:$H$507,IF(H873="",4,5),0))</f>
        <v>0</v>
      </c>
      <c r="J873" s="82">
        <f t="shared" si="28"/>
        <v>0</v>
      </c>
      <c r="K873" s="65">
        <f t="shared" si="27"/>
        <v>41883</v>
      </c>
    </row>
    <row r="874" spans="3:11" ht="20.100000000000001" customHeight="1">
      <c r="C874" s="96"/>
      <c r="D874" s="96"/>
      <c r="E874" s="112"/>
      <c r="F874" s="100"/>
      <c r="G874" s="99"/>
      <c r="H874" s="100"/>
      <c r="I874" s="82">
        <f>IF(E874="",0,VLOOKUP(E874,DMHH!$D$8:$H$507,IF(H874="",4,5),0))</f>
        <v>0</v>
      </c>
      <c r="J874" s="82">
        <f t="shared" si="28"/>
        <v>0</v>
      </c>
      <c r="K874" s="65">
        <f t="shared" si="27"/>
        <v>41883</v>
      </c>
    </row>
    <row r="875" spans="3:11" ht="20.100000000000001" customHeight="1">
      <c r="C875" s="96"/>
      <c r="D875" s="96"/>
      <c r="E875" s="112"/>
      <c r="F875" s="100"/>
      <c r="G875" s="99"/>
      <c r="H875" s="100"/>
      <c r="I875" s="82">
        <f>IF(E875="",0,VLOOKUP(E875,DMHH!$D$8:$H$507,IF(H875="",4,5),0))</f>
        <v>0</v>
      </c>
      <c r="J875" s="82">
        <f t="shared" si="28"/>
        <v>0</v>
      </c>
      <c r="K875" s="65">
        <f t="shared" si="27"/>
        <v>41883</v>
      </c>
    </row>
    <row r="876" spans="3:11" ht="20.100000000000001" customHeight="1">
      <c r="C876" s="96"/>
      <c r="D876" s="96"/>
      <c r="E876" s="112"/>
      <c r="F876" s="100"/>
      <c r="G876" s="99"/>
      <c r="H876" s="100"/>
      <c r="I876" s="82">
        <f>IF(E876="",0,VLOOKUP(E876,DMHH!$D$8:$H$507,IF(H876="",4,5),0))</f>
        <v>0</v>
      </c>
      <c r="J876" s="82">
        <f t="shared" si="28"/>
        <v>0</v>
      </c>
      <c r="K876" s="65">
        <f t="shared" si="27"/>
        <v>41883</v>
      </c>
    </row>
    <row r="877" spans="3:11" ht="20.100000000000001" customHeight="1">
      <c r="C877" s="96"/>
      <c r="D877" s="96"/>
      <c r="E877" s="112"/>
      <c r="F877" s="100"/>
      <c r="G877" s="99"/>
      <c r="H877" s="100"/>
      <c r="I877" s="82">
        <f>IF(E877="",0,VLOOKUP(E877,DMHH!$D$8:$H$507,IF(H877="",4,5),0))</f>
        <v>0</v>
      </c>
      <c r="J877" s="82">
        <f t="shared" si="28"/>
        <v>0</v>
      </c>
      <c r="K877" s="65">
        <f t="shared" si="27"/>
        <v>41883</v>
      </c>
    </row>
    <row r="878" spans="3:11" ht="20.100000000000001" customHeight="1">
      <c r="C878" s="96"/>
      <c r="D878" s="96"/>
      <c r="E878" s="112"/>
      <c r="F878" s="100"/>
      <c r="G878" s="99"/>
      <c r="H878" s="100"/>
      <c r="I878" s="82">
        <f>IF(E878="",0,VLOOKUP(E878,DMHH!$D$8:$H$507,IF(H878="",4,5),0))</f>
        <v>0</v>
      </c>
      <c r="J878" s="82">
        <f t="shared" si="28"/>
        <v>0</v>
      </c>
      <c r="K878" s="65">
        <f t="shared" si="27"/>
        <v>41883</v>
      </c>
    </row>
    <row r="879" spans="3:11" ht="20.100000000000001" customHeight="1">
      <c r="C879" s="96"/>
      <c r="D879" s="96"/>
      <c r="E879" s="112"/>
      <c r="F879" s="100"/>
      <c r="G879" s="99"/>
      <c r="H879" s="100"/>
      <c r="I879" s="82">
        <f>IF(E879="",0,VLOOKUP(E879,DMHH!$D$8:$H$507,IF(H879="",4,5),0))</f>
        <v>0</v>
      </c>
      <c r="J879" s="82">
        <f t="shared" si="28"/>
        <v>0</v>
      </c>
      <c r="K879" s="65">
        <f t="shared" si="27"/>
        <v>41883</v>
      </c>
    </row>
    <row r="880" spans="3:11" ht="20.100000000000001" customHeight="1">
      <c r="C880" s="96"/>
      <c r="D880" s="96"/>
      <c r="E880" s="112"/>
      <c r="F880" s="100"/>
      <c r="G880" s="99"/>
      <c r="H880" s="100"/>
      <c r="I880" s="82">
        <f>IF(E880="",0,VLOOKUP(E880,DMHH!$D$8:$H$507,IF(H880="",4,5),0))</f>
        <v>0</v>
      </c>
      <c r="J880" s="82">
        <f t="shared" si="28"/>
        <v>0</v>
      </c>
      <c r="K880" s="65">
        <f t="shared" si="27"/>
        <v>41883</v>
      </c>
    </row>
    <row r="881" spans="3:11" ht="20.100000000000001" customHeight="1">
      <c r="C881" s="96"/>
      <c r="D881" s="96"/>
      <c r="E881" s="112"/>
      <c r="F881" s="100"/>
      <c r="G881" s="99"/>
      <c r="H881" s="100"/>
      <c r="I881" s="82">
        <f>IF(E881="",0,VLOOKUP(E881,DMHH!$D$8:$H$507,IF(H881="",4,5),0))</f>
        <v>0</v>
      </c>
      <c r="J881" s="82">
        <f t="shared" si="28"/>
        <v>0</v>
      </c>
      <c r="K881" s="65">
        <f t="shared" si="27"/>
        <v>41883</v>
      </c>
    </row>
    <row r="882" spans="3:11" ht="20.100000000000001" customHeight="1">
      <c r="C882" s="96"/>
      <c r="D882" s="96"/>
      <c r="E882" s="112"/>
      <c r="F882" s="100"/>
      <c r="G882" s="99"/>
      <c r="H882" s="100"/>
      <c r="I882" s="82">
        <f>IF(E882="",0,VLOOKUP(E882,DMHH!$D$8:$H$507,IF(H882="",4,5),0))</f>
        <v>0</v>
      </c>
      <c r="J882" s="82">
        <f t="shared" si="28"/>
        <v>0</v>
      </c>
      <c r="K882" s="65">
        <f t="shared" si="27"/>
        <v>41883</v>
      </c>
    </row>
    <row r="883" spans="3:11" ht="20.100000000000001" customHeight="1">
      <c r="C883" s="96"/>
      <c r="D883" s="96"/>
      <c r="E883" s="112"/>
      <c r="F883" s="100"/>
      <c r="G883" s="99"/>
      <c r="H883" s="100"/>
      <c r="I883" s="82">
        <f>IF(E883="",0,VLOOKUP(E883,DMHH!$D$8:$H$507,IF(H883="",4,5),0))</f>
        <v>0</v>
      </c>
      <c r="J883" s="82">
        <f t="shared" si="28"/>
        <v>0</v>
      </c>
      <c r="K883" s="65">
        <f t="shared" si="27"/>
        <v>41883</v>
      </c>
    </row>
    <row r="884" spans="3:11" ht="20.100000000000001" customHeight="1">
      <c r="C884" s="96"/>
      <c r="D884" s="96"/>
      <c r="E884" s="112"/>
      <c r="F884" s="100"/>
      <c r="G884" s="99"/>
      <c r="H884" s="100"/>
      <c r="I884" s="82">
        <f>IF(E884="",0,VLOOKUP(E884,DMHH!$D$8:$H$507,IF(H884="",4,5),0))</f>
        <v>0</v>
      </c>
      <c r="J884" s="82">
        <f t="shared" si="28"/>
        <v>0</v>
      </c>
      <c r="K884" s="65">
        <f t="shared" si="27"/>
        <v>41883</v>
      </c>
    </row>
    <row r="885" spans="3:11" ht="20.100000000000001" customHeight="1">
      <c r="C885" s="96"/>
      <c r="D885" s="96"/>
      <c r="E885" s="112"/>
      <c r="F885" s="100"/>
      <c r="G885" s="99"/>
      <c r="H885" s="100"/>
      <c r="I885" s="82">
        <f>IF(E885="",0,VLOOKUP(E885,DMHH!$D$8:$H$507,IF(H885="",4,5),0))</f>
        <v>0</v>
      </c>
      <c r="J885" s="82">
        <f t="shared" si="28"/>
        <v>0</v>
      </c>
      <c r="K885" s="65">
        <f t="shared" si="27"/>
        <v>41883</v>
      </c>
    </row>
    <row r="886" spans="3:11" ht="20.100000000000001" customHeight="1">
      <c r="C886" s="96"/>
      <c r="D886" s="96"/>
      <c r="E886" s="112"/>
      <c r="F886" s="100"/>
      <c r="G886" s="99"/>
      <c r="H886" s="100"/>
      <c r="I886" s="82">
        <f>IF(E886="",0,VLOOKUP(E886,DMHH!$D$8:$H$507,IF(H886="",4,5),0))</f>
        <v>0</v>
      </c>
      <c r="J886" s="82">
        <f t="shared" si="28"/>
        <v>0</v>
      </c>
      <c r="K886" s="65">
        <f t="shared" si="27"/>
        <v>41883</v>
      </c>
    </row>
    <row r="887" spans="3:11" ht="20.100000000000001" customHeight="1">
      <c r="C887" s="96"/>
      <c r="D887" s="96"/>
      <c r="E887" s="112"/>
      <c r="F887" s="100"/>
      <c r="G887" s="99"/>
      <c r="H887" s="100"/>
      <c r="I887" s="82">
        <f>IF(E887="",0,VLOOKUP(E887,DMHH!$D$8:$H$507,IF(H887="",4,5),0))</f>
        <v>0</v>
      </c>
      <c r="J887" s="82">
        <f t="shared" si="28"/>
        <v>0</v>
      </c>
      <c r="K887" s="65">
        <f t="shared" si="27"/>
        <v>41883</v>
      </c>
    </row>
    <row r="888" spans="3:11" ht="20.100000000000001" customHeight="1">
      <c r="C888" s="96"/>
      <c r="D888" s="96"/>
      <c r="E888" s="112"/>
      <c r="F888" s="100"/>
      <c r="G888" s="99"/>
      <c r="H888" s="100"/>
      <c r="I888" s="82">
        <f>IF(E888="",0,VLOOKUP(E888,DMHH!$D$8:$H$507,IF(H888="",4,5),0))</f>
        <v>0</v>
      </c>
      <c r="J888" s="82">
        <f t="shared" si="28"/>
        <v>0</v>
      </c>
      <c r="K888" s="65">
        <f t="shared" si="27"/>
        <v>41883</v>
      </c>
    </row>
    <row r="889" spans="3:11" ht="20.100000000000001" customHeight="1">
      <c r="C889" s="96"/>
      <c r="D889" s="96"/>
      <c r="E889" s="112"/>
      <c r="F889" s="100"/>
      <c r="G889" s="99"/>
      <c r="H889" s="100"/>
      <c r="I889" s="82">
        <f>IF(E889="",0,VLOOKUP(E889,DMHH!$D$8:$H$507,IF(H889="",4,5),0))</f>
        <v>0</v>
      </c>
      <c r="J889" s="82">
        <f t="shared" si="28"/>
        <v>0</v>
      </c>
      <c r="K889" s="65">
        <f t="shared" si="27"/>
        <v>41883</v>
      </c>
    </row>
    <row r="890" spans="3:11" ht="20.100000000000001" customHeight="1">
      <c r="C890" s="96"/>
      <c r="D890" s="96"/>
      <c r="E890" s="112"/>
      <c r="F890" s="100"/>
      <c r="G890" s="99"/>
      <c r="H890" s="100"/>
      <c r="I890" s="82">
        <f>IF(E890="",0,VLOOKUP(E890,DMHH!$D$8:$H$507,IF(H890="",4,5),0))</f>
        <v>0</v>
      </c>
      <c r="J890" s="82">
        <f t="shared" si="28"/>
        <v>0</v>
      </c>
      <c r="K890" s="65">
        <f t="shared" si="27"/>
        <v>41883</v>
      </c>
    </row>
    <row r="891" spans="3:11" ht="20.100000000000001" customHeight="1">
      <c r="C891" s="96"/>
      <c r="D891" s="96"/>
      <c r="E891" s="112"/>
      <c r="F891" s="100"/>
      <c r="G891" s="99"/>
      <c r="H891" s="100"/>
      <c r="I891" s="82">
        <f>IF(E891="",0,VLOOKUP(E891,DMHH!$D$8:$H$507,IF(H891="",4,5),0))</f>
        <v>0</v>
      </c>
      <c r="J891" s="82">
        <f t="shared" si="28"/>
        <v>0</v>
      </c>
      <c r="K891" s="65">
        <f t="shared" si="27"/>
        <v>41883</v>
      </c>
    </row>
    <row r="892" spans="3:11" ht="20.100000000000001" customHeight="1">
      <c r="C892" s="96"/>
      <c r="D892" s="96"/>
      <c r="E892" s="112"/>
      <c r="F892" s="100"/>
      <c r="G892" s="99"/>
      <c r="H892" s="100"/>
      <c r="I892" s="82">
        <f>IF(E892="",0,VLOOKUP(E892,DMHH!$D$8:$H$507,IF(H892="",4,5),0))</f>
        <v>0</v>
      </c>
      <c r="J892" s="82">
        <f t="shared" si="28"/>
        <v>0</v>
      </c>
      <c r="K892" s="65">
        <f t="shared" si="27"/>
        <v>41883</v>
      </c>
    </row>
    <row r="893" spans="3:11" ht="20.100000000000001" customHeight="1">
      <c r="C893" s="96"/>
      <c r="D893" s="96"/>
      <c r="E893" s="112"/>
      <c r="F893" s="100"/>
      <c r="G893" s="99"/>
      <c r="H893" s="100"/>
      <c r="I893" s="82">
        <f>IF(E893="",0,VLOOKUP(E893,DMHH!$D$8:$H$507,IF(H893="",4,5),0))</f>
        <v>0</v>
      </c>
      <c r="J893" s="82">
        <f t="shared" si="28"/>
        <v>0</v>
      </c>
      <c r="K893" s="65">
        <f t="shared" si="27"/>
        <v>41883</v>
      </c>
    </row>
    <row r="894" spans="3:11" ht="20.100000000000001" customHeight="1">
      <c r="C894" s="96"/>
      <c r="D894" s="96"/>
      <c r="E894" s="112"/>
      <c r="F894" s="100"/>
      <c r="G894" s="99"/>
      <c r="H894" s="100"/>
      <c r="I894" s="82">
        <f>IF(E894="",0,VLOOKUP(E894,DMHH!$D$8:$H$507,IF(H894="",4,5),0))</f>
        <v>0</v>
      </c>
      <c r="J894" s="82">
        <f t="shared" si="28"/>
        <v>0</v>
      </c>
      <c r="K894" s="65">
        <f t="shared" si="27"/>
        <v>41883</v>
      </c>
    </row>
    <row r="895" spans="3:11" ht="20.100000000000001" customHeight="1">
      <c r="C895" s="96"/>
      <c r="D895" s="96"/>
      <c r="E895" s="112"/>
      <c r="F895" s="100"/>
      <c r="G895" s="99"/>
      <c r="H895" s="100"/>
      <c r="I895" s="82">
        <f>IF(E895="",0,VLOOKUP(E895,DMHH!$D$8:$H$507,IF(H895="",4,5),0))</f>
        <v>0</v>
      </c>
      <c r="J895" s="82">
        <f t="shared" si="28"/>
        <v>0</v>
      </c>
      <c r="K895" s="65">
        <f t="shared" si="27"/>
        <v>41883</v>
      </c>
    </row>
    <row r="896" spans="3:11" ht="20.100000000000001" customHeight="1">
      <c r="C896" s="96"/>
      <c r="D896" s="96"/>
      <c r="E896" s="112"/>
      <c r="F896" s="100"/>
      <c r="G896" s="99"/>
      <c r="H896" s="100"/>
      <c r="I896" s="82">
        <f>IF(E896="",0,VLOOKUP(E896,DMHH!$D$8:$H$507,IF(H896="",4,5),0))</f>
        <v>0</v>
      </c>
      <c r="J896" s="82">
        <f t="shared" si="28"/>
        <v>0</v>
      </c>
      <c r="K896" s="65">
        <f t="shared" si="27"/>
        <v>41883</v>
      </c>
    </row>
    <row r="897" spans="3:11" ht="20.100000000000001" customHeight="1">
      <c r="C897" s="96"/>
      <c r="D897" s="96"/>
      <c r="E897" s="112"/>
      <c r="F897" s="100"/>
      <c r="G897" s="99"/>
      <c r="H897" s="100"/>
      <c r="I897" s="82">
        <f>IF(E897="",0,VLOOKUP(E897,DMHH!$D$8:$H$507,IF(H897="",4,5),0))</f>
        <v>0</v>
      </c>
      <c r="J897" s="82">
        <f t="shared" si="28"/>
        <v>0</v>
      </c>
      <c r="K897" s="65">
        <f t="shared" si="27"/>
        <v>41883</v>
      </c>
    </row>
    <row r="898" spans="3:11" ht="20.100000000000001" customHeight="1">
      <c r="C898" s="96"/>
      <c r="D898" s="96"/>
      <c r="E898" s="112"/>
      <c r="F898" s="100"/>
      <c r="G898" s="99"/>
      <c r="H898" s="100"/>
      <c r="I898" s="82">
        <f>IF(E898="",0,VLOOKUP(E898,DMHH!$D$8:$H$507,IF(H898="",4,5),0))</f>
        <v>0</v>
      </c>
      <c r="J898" s="82">
        <f t="shared" si="28"/>
        <v>0</v>
      </c>
      <c r="K898" s="65">
        <f t="shared" si="27"/>
        <v>41883</v>
      </c>
    </row>
    <row r="899" spans="3:11" ht="20.100000000000001" customHeight="1">
      <c r="C899" s="96"/>
      <c r="D899" s="96"/>
      <c r="E899" s="112"/>
      <c r="F899" s="100"/>
      <c r="G899" s="99"/>
      <c r="H899" s="100"/>
      <c r="I899" s="82">
        <f>IF(E899="",0,VLOOKUP(E899,DMHH!$D$8:$H$507,IF(H899="",4,5),0))</f>
        <v>0</v>
      </c>
      <c r="J899" s="82">
        <f t="shared" si="28"/>
        <v>0</v>
      </c>
      <c r="K899" s="65">
        <f t="shared" si="27"/>
        <v>41883</v>
      </c>
    </row>
    <row r="900" spans="3:11" ht="20.100000000000001" customHeight="1">
      <c r="C900" s="96"/>
      <c r="D900" s="96"/>
      <c r="E900" s="112"/>
      <c r="F900" s="100"/>
      <c r="G900" s="99"/>
      <c r="H900" s="100"/>
      <c r="I900" s="82">
        <f>IF(E900="",0,VLOOKUP(E900,DMHH!$D$8:$H$507,IF(H900="",4,5),0))</f>
        <v>0</v>
      </c>
      <c r="J900" s="82">
        <f t="shared" si="28"/>
        <v>0</v>
      </c>
      <c r="K900" s="65">
        <f t="shared" si="27"/>
        <v>41883</v>
      </c>
    </row>
    <row r="901" spans="3:11" ht="20.100000000000001" customHeight="1">
      <c r="C901" s="96"/>
      <c r="D901" s="96"/>
      <c r="E901" s="112"/>
      <c r="F901" s="100"/>
      <c r="G901" s="99"/>
      <c r="H901" s="100"/>
      <c r="I901" s="82">
        <f>IF(E901="",0,VLOOKUP(E901,DMHH!$D$8:$H$507,IF(H901="",4,5),0))</f>
        <v>0</v>
      </c>
      <c r="J901" s="82">
        <f t="shared" si="28"/>
        <v>0</v>
      </c>
      <c r="K901" s="65">
        <f t="shared" si="27"/>
        <v>41883</v>
      </c>
    </row>
    <row r="902" spans="3:11" ht="20.100000000000001" customHeight="1">
      <c r="C902" s="96"/>
      <c r="D902" s="96"/>
      <c r="E902" s="112"/>
      <c r="F902" s="100"/>
      <c r="G902" s="99"/>
      <c r="H902" s="100"/>
      <c r="I902" s="82">
        <f>IF(E902="",0,VLOOKUP(E902,DMHH!$D$8:$H$507,IF(H902="",4,5),0))</f>
        <v>0</v>
      </c>
      <c r="J902" s="82">
        <f t="shared" si="28"/>
        <v>0</v>
      </c>
      <c r="K902" s="65">
        <f t="shared" si="27"/>
        <v>41883</v>
      </c>
    </row>
    <row r="903" spans="3:11" ht="20.100000000000001" customHeight="1">
      <c r="C903" s="96"/>
      <c r="D903" s="96"/>
      <c r="E903" s="112"/>
      <c r="F903" s="100"/>
      <c r="G903" s="99"/>
      <c r="H903" s="100"/>
      <c r="I903" s="82">
        <f>IF(E903="",0,VLOOKUP(E903,DMHH!$D$8:$H$507,IF(H903="",4,5),0))</f>
        <v>0</v>
      </c>
      <c r="J903" s="82">
        <f t="shared" si="28"/>
        <v>0</v>
      </c>
      <c r="K903" s="65">
        <f t="shared" si="27"/>
        <v>41883</v>
      </c>
    </row>
    <row r="904" spans="3:11" ht="20.100000000000001" customHeight="1">
      <c r="C904" s="96"/>
      <c r="D904" s="96"/>
      <c r="E904" s="112"/>
      <c r="F904" s="100"/>
      <c r="G904" s="99"/>
      <c r="H904" s="100"/>
      <c r="I904" s="82">
        <f>IF(E904="",0,VLOOKUP(E904,DMHH!$D$8:$H$507,IF(H904="",4,5),0))</f>
        <v>0</v>
      </c>
      <c r="J904" s="82">
        <f t="shared" si="28"/>
        <v>0</v>
      </c>
      <c r="K904" s="65">
        <f t="shared" si="27"/>
        <v>41883</v>
      </c>
    </row>
    <row r="905" spans="3:11" ht="20.100000000000001" customHeight="1">
      <c r="C905" s="96"/>
      <c r="D905" s="96"/>
      <c r="E905" s="112"/>
      <c r="F905" s="100"/>
      <c r="G905" s="99"/>
      <c r="H905" s="100"/>
      <c r="I905" s="82">
        <f>IF(E905="",0,VLOOKUP(E905,DMHH!$D$8:$H$507,IF(H905="",4,5),0))</f>
        <v>0</v>
      </c>
      <c r="J905" s="82">
        <f t="shared" si="28"/>
        <v>0</v>
      </c>
      <c r="K905" s="65">
        <f t="shared" si="27"/>
        <v>41883</v>
      </c>
    </row>
    <row r="906" spans="3:11" ht="20.100000000000001" customHeight="1">
      <c r="C906" s="96"/>
      <c r="D906" s="96"/>
      <c r="E906" s="112"/>
      <c r="F906" s="100"/>
      <c r="G906" s="99"/>
      <c r="H906" s="100"/>
      <c r="I906" s="82">
        <f>IF(E906="",0,VLOOKUP(E906,DMHH!$D$8:$H$507,IF(H906="",4,5),0))</f>
        <v>0</v>
      </c>
      <c r="J906" s="82">
        <f t="shared" si="28"/>
        <v>0</v>
      </c>
      <c r="K906" s="65">
        <f t="shared" si="27"/>
        <v>41883</v>
      </c>
    </row>
    <row r="907" spans="3:11" ht="20.100000000000001" customHeight="1">
      <c r="C907" s="96"/>
      <c r="D907" s="96"/>
      <c r="E907" s="112"/>
      <c r="F907" s="100"/>
      <c r="G907" s="99"/>
      <c r="H907" s="100"/>
      <c r="I907" s="82">
        <f>IF(E907="",0,VLOOKUP(E907,DMHH!$D$8:$H$507,IF(H907="",4,5),0))</f>
        <v>0</v>
      </c>
      <c r="J907" s="82">
        <f t="shared" si="28"/>
        <v>0</v>
      </c>
      <c r="K907" s="65">
        <f t="shared" ref="K907:K970" si="29">IF(C907="",K906,C907)</f>
        <v>41883</v>
      </c>
    </row>
    <row r="908" spans="3:11" ht="20.100000000000001" customHeight="1">
      <c r="C908" s="96"/>
      <c r="D908" s="96"/>
      <c r="E908" s="112"/>
      <c r="F908" s="100"/>
      <c r="G908" s="99"/>
      <c r="H908" s="100"/>
      <c r="I908" s="82">
        <f>IF(E908="",0,VLOOKUP(E908,DMHH!$D$8:$H$507,IF(H908="",4,5),0))</f>
        <v>0</v>
      </c>
      <c r="J908" s="82">
        <f t="shared" si="28"/>
        <v>0</v>
      </c>
      <c r="K908" s="65">
        <f t="shared" si="29"/>
        <v>41883</v>
      </c>
    </row>
    <row r="909" spans="3:11" ht="20.100000000000001" customHeight="1">
      <c r="C909" s="96"/>
      <c r="D909" s="96"/>
      <c r="E909" s="112"/>
      <c r="F909" s="100"/>
      <c r="G909" s="99"/>
      <c r="H909" s="100"/>
      <c r="I909" s="82">
        <f>IF(E909="",0,VLOOKUP(E909,DMHH!$D$8:$H$507,IF(H909="",4,5),0))</f>
        <v>0</v>
      </c>
      <c r="J909" s="82">
        <f t="shared" ref="J909:J972" si="30">F909*I909+H909*I909</f>
        <v>0</v>
      </c>
      <c r="K909" s="65">
        <f t="shared" si="29"/>
        <v>41883</v>
      </c>
    </row>
    <row r="910" spans="3:11" ht="20.100000000000001" customHeight="1">
      <c r="C910" s="96"/>
      <c r="D910" s="96"/>
      <c r="E910" s="112"/>
      <c r="F910" s="100"/>
      <c r="G910" s="99"/>
      <c r="H910" s="100"/>
      <c r="I910" s="82">
        <f>IF(E910="",0,VLOOKUP(E910,DMHH!$D$8:$H$507,IF(H910="",4,5),0))</f>
        <v>0</v>
      </c>
      <c r="J910" s="82">
        <f t="shared" si="30"/>
        <v>0</v>
      </c>
      <c r="K910" s="65">
        <f t="shared" si="29"/>
        <v>41883</v>
      </c>
    </row>
    <row r="911" spans="3:11" ht="20.100000000000001" customHeight="1">
      <c r="C911" s="96"/>
      <c r="D911" s="96"/>
      <c r="E911" s="112"/>
      <c r="F911" s="100"/>
      <c r="G911" s="99"/>
      <c r="H911" s="100"/>
      <c r="I911" s="82">
        <f>IF(E911="",0,VLOOKUP(E911,DMHH!$D$8:$H$507,IF(H911="",4,5),0))</f>
        <v>0</v>
      </c>
      <c r="J911" s="82">
        <f t="shared" si="30"/>
        <v>0</v>
      </c>
      <c r="K911" s="65">
        <f t="shared" si="29"/>
        <v>41883</v>
      </c>
    </row>
    <row r="912" spans="3:11" ht="20.100000000000001" customHeight="1">
      <c r="C912" s="96"/>
      <c r="D912" s="96"/>
      <c r="E912" s="112"/>
      <c r="F912" s="100"/>
      <c r="G912" s="99"/>
      <c r="H912" s="100"/>
      <c r="I912" s="82">
        <f>IF(E912="",0,VLOOKUP(E912,DMHH!$D$8:$H$507,IF(H912="",4,5),0))</f>
        <v>0</v>
      </c>
      <c r="J912" s="82">
        <f t="shared" si="30"/>
        <v>0</v>
      </c>
      <c r="K912" s="65">
        <f t="shared" si="29"/>
        <v>41883</v>
      </c>
    </row>
    <row r="913" spans="3:11" ht="20.100000000000001" customHeight="1">
      <c r="C913" s="96"/>
      <c r="D913" s="96"/>
      <c r="E913" s="112"/>
      <c r="F913" s="100"/>
      <c r="G913" s="99"/>
      <c r="H913" s="100"/>
      <c r="I913" s="82">
        <f>IF(E913="",0,VLOOKUP(E913,DMHH!$D$8:$H$507,IF(H913="",4,5),0))</f>
        <v>0</v>
      </c>
      <c r="J913" s="82">
        <f t="shared" si="30"/>
        <v>0</v>
      </c>
      <c r="K913" s="65">
        <f t="shared" si="29"/>
        <v>41883</v>
      </c>
    </row>
    <row r="914" spans="3:11" ht="20.100000000000001" customHeight="1">
      <c r="C914" s="96"/>
      <c r="D914" s="96"/>
      <c r="E914" s="112"/>
      <c r="F914" s="100"/>
      <c r="G914" s="99"/>
      <c r="H914" s="100"/>
      <c r="I914" s="82">
        <f>IF(E914="",0,VLOOKUP(E914,DMHH!$D$8:$H$507,IF(H914="",4,5),0))</f>
        <v>0</v>
      </c>
      <c r="J914" s="82">
        <f t="shared" si="30"/>
        <v>0</v>
      </c>
      <c r="K914" s="65">
        <f t="shared" si="29"/>
        <v>41883</v>
      </c>
    </row>
    <row r="915" spans="3:11" ht="20.100000000000001" customHeight="1">
      <c r="C915" s="96"/>
      <c r="D915" s="96"/>
      <c r="E915" s="112"/>
      <c r="F915" s="100"/>
      <c r="G915" s="99"/>
      <c r="H915" s="100"/>
      <c r="I915" s="82">
        <f>IF(E915="",0,VLOOKUP(E915,DMHH!$D$8:$H$507,IF(H915="",4,5),0))</f>
        <v>0</v>
      </c>
      <c r="J915" s="82">
        <f t="shared" si="30"/>
        <v>0</v>
      </c>
      <c r="K915" s="65">
        <f t="shared" si="29"/>
        <v>41883</v>
      </c>
    </row>
    <row r="916" spans="3:11" ht="20.100000000000001" customHeight="1">
      <c r="C916" s="96"/>
      <c r="D916" s="96"/>
      <c r="E916" s="112"/>
      <c r="F916" s="100"/>
      <c r="G916" s="99"/>
      <c r="H916" s="100"/>
      <c r="I916" s="82">
        <f>IF(E916="",0,VLOOKUP(E916,DMHH!$D$8:$H$507,IF(H916="",4,5),0))</f>
        <v>0</v>
      </c>
      <c r="J916" s="82">
        <f t="shared" si="30"/>
        <v>0</v>
      </c>
      <c r="K916" s="65">
        <f t="shared" si="29"/>
        <v>41883</v>
      </c>
    </row>
    <row r="917" spans="3:11" ht="20.100000000000001" customHeight="1">
      <c r="C917" s="96"/>
      <c r="D917" s="96"/>
      <c r="E917" s="112"/>
      <c r="F917" s="100"/>
      <c r="G917" s="99"/>
      <c r="H917" s="100"/>
      <c r="I917" s="82">
        <f>IF(E917="",0,VLOOKUP(E917,DMHH!$D$8:$H$507,IF(H917="",4,5),0))</f>
        <v>0</v>
      </c>
      <c r="J917" s="82">
        <f t="shared" si="30"/>
        <v>0</v>
      </c>
      <c r="K917" s="65">
        <f t="shared" si="29"/>
        <v>41883</v>
      </c>
    </row>
    <row r="918" spans="3:11" ht="20.100000000000001" customHeight="1">
      <c r="C918" s="96"/>
      <c r="D918" s="96"/>
      <c r="E918" s="112"/>
      <c r="F918" s="100"/>
      <c r="G918" s="99"/>
      <c r="H918" s="100"/>
      <c r="I918" s="82">
        <f>IF(E918="",0,VLOOKUP(E918,DMHH!$D$8:$H$507,IF(H918="",4,5),0))</f>
        <v>0</v>
      </c>
      <c r="J918" s="82">
        <f t="shared" si="30"/>
        <v>0</v>
      </c>
      <c r="K918" s="65">
        <f t="shared" si="29"/>
        <v>41883</v>
      </c>
    </row>
    <row r="919" spans="3:11" ht="20.100000000000001" customHeight="1">
      <c r="C919" s="96"/>
      <c r="D919" s="96"/>
      <c r="E919" s="112"/>
      <c r="F919" s="100"/>
      <c r="G919" s="99"/>
      <c r="H919" s="100"/>
      <c r="I919" s="82">
        <f>IF(E919="",0,VLOOKUP(E919,DMHH!$D$8:$H$507,IF(H919="",4,5),0))</f>
        <v>0</v>
      </c>
      <c r="J919" s="82">
        <f t="shared" si="30"/>
        <v>0</v>
      </c>
      <c r="K919" s="65">
        <f t="shared" si="29"/>
        <v>41883</v>
      </c>
    </row>
    <row r="920" spans="3:11" ht="20.100000000000001" customHeight="1">
      <c r="C920" s="96"/>
      <c r="D920" s="96"/>
      <c r="E920" s="112"/>
      <c r="F920" s="100"/>
      <c r="G920" s="99"/>
      <c r="H920" s="100"/>
      <c r="I920" s="82">
        <f>IF(E920="",0,VLOOKUP(E920,DMHH!$D$8:$H$507,IF(H920="",4,5),0))</f>
        <v>0</v>
      </c>
      <c r="J920" s="82">
        <f t="shared" si="30"/>
        <v>0</v>
      </c>
      <c r="K920" s="65">
        <f t="shared" si="29"/>
        <v>41883</v>
      </c>
    </row>
    <row r="921" spans="3:11" ht="20.100000000000001" customHeight="1">
      <c r="C921" s="96"/>
      <c r="D921" s="96"/>
      <c r="E921" s="112"/>
      <c r="F921" s="100"/>
      <c r="G921" s="99"/>
      <c r="H921" s="100"/>
      <c r="I921" s="82">
        <f>IF(E921="",0,VLOOKUP(E921,DMHH!$D$8:$H$507,IF(H921="",4,5),0))</f>
        <v>0</v>
      </c>
      <c r="J921" s="82">
        <f t="shared" si="30"/>
        <v>0</v>
      </c>
      <c r="K921" s="65">
        <f t="shared" si="29"/>
        <v>41883</v>
      </c>
    </row>
    <row r="922" spans="3:11" ht="20.100000000000001" customHeight="1">
      <c r="C922" s="96"/>
      <c r="D922" s="96"/>
      <c r="E922" s="112"/>
      <c r="F922" s="100"/>
      <c r="G922" s="99"/>
      <c r="H922" s="100"/>
      <c r="I922" s="82">
        <f>IF(E922="",0,VLOOKUP(E922,DMHH!$D$8:$H$507,IF(H922="",4,5),0))</f>
        <v>0</v>
      </c>
      <c r="J922" s="82">
        <f t="shared" si="30"/>
        <v>0</v>
      </c>
      <c r="K922" s="65">
        <f t="shared" si="29"/>
        <v>41883</v>
      </c>
    </row>
    <row r="923" spans="3:11" ht="20.100000000000001" customHeight="1">
      <c r="C923" s="96"/>
      <c r="D923" s="96"/>
      <c r="E923" s="112"/>
      <c r="F923" s="100"/>
      <c r="G923" s="99"/>
      <c r="H923" s="100"/>
      <c r="I923" s="82">
        <f>IF(E923="",0,VLOOKUP(E923,DMHH!$D$8:$H$507,IF(H923="",4,5),0))</f>
        <v>0</v>
      </c>
      <c r="J923" s="82">
        <f t="shared" si="30"/>
        <v>0</v>
      </c>
      <c r="K923" s="65">
        <f t="shared" si="29"/>
        <v>41883</v>
      </c>
    </row>
    <row r="924" spans="3:11" ht="20.100000000000001" customHeight="1">
      <c r="C924" s="96"/>
      <c r="D924" s="96"/>
      <c r="E924" s="112"/>
      <c r="F924" s="100"/>
      <c r="G924" s="99"/>
      <c r="H924" s="100"/>
      <c r="I924" s="82">
        <f>IF(E924="",0,VLOOKUP(E924,DMHH!$D$8:$H$507,IF(H924="",4,5),0))</f>
        <v>0</v>
      </c>
      <c r="J924" s="82">
        <f t="shared" si="30"/>
        <v>0</v>
      </c>
      <c r="K924" s="65">
        <f t="shared" si="29"/>
        <v>41883</v>
      </c>
    </row>
    <row r="925" spans="3:11" ht="20.100000000000001" customHeight="1">
      <c r="C925" s="96"/>
      <c r="D925" s="96"/>
      <c r="E925" s="112"/>
      <c r="F925" s="100"/>
      <c r="G925" s="99"/>
      <c r="H925" s="100"/>
      <c r="I925" s="82">
        <f>IF(E925="",0,VLOOKUP(E925,DMHH!$D$8:$H$507,IF(H925="",4,5),0))</f>
        <v>0</v>
      </c>
      <c r="J925" s="82">
        <f t="shared" si="30"/>
        <v>0</v>
      </c>
      <c r="K925" s="65">
        <f t="shared" si="29"/>
        <v>41883</v>
      </c>
    </row>
    <row r="926" spans="3:11" ht="20.100000000000001" customHeight="1">
      <c r="C926" s="96"/>
      <c r="D926" s="96"/>
      <c r="E926" s="112"/>
      <c r="F926" s="100"/>
      <c r="G926" s="99"/>
      <c r="H926" s="100"/>
      <c r="I926" s="82">
        <f>IF(E926="",0,VLOOKUP(E926,DMHH!$D$8:$H$507,IF(H926="",4,5),0))</f>
        <v>0</v>
      </c>
      <c r="J926" s="82">
        <f t="shared" si="30"/>
        <v>0</v>
      </c>
      <c r="K926" s="65">
        <f t="shared" si="29"/>
        <v>41883</v>
      </c>
    </row>
    <row r="927" spans="3:11" ht="20.100000000000001" customHeight="1">
      <c r="C927" s="96"/>
      <c r="D927" s="96"/>
      <c r="E927" s="112"/>
      <c r="F927" s="100"/>
      <c r="G927" s="99"/>
      <c r="H927" s="100"/>
      <c r="I927" s="82">
        <f>IF(E927="",0,VLOOKUP(E927,DMHH!$D$8:$H$507,IF(H927="",4,5),0))</f>
        <v>0</v>
      </c>
      <c r="J927" s="82">
        <f t="shared" si="30"/>
        <v>0</v>
      </c>
      <c r="K927" s="65">
        <f t="shared" si="29"/>
        <v>41883</v>
      </c>
    </row>
    <row r="928" spans="3:11" ht="20.100000000000001" customHeight="1">
      <c r="C928" s="96"/>
      <c r="D928" s="96"/>
      <c r="E928" s="112"/>
      <c r="F928" s="100"/>
      <c r="G928" s="99"/>
      <c r="H928" s="100"/>
      <c r="I928" s="82">
        <f>IF(E928="",0,VLOOKUP(E928,DMHH!$D$8:$H$507,IF(H928="",4,5),0))</f>
        <v>0</v>
      </c>
      <c r="J928" s="82">
        <f t="shared" si="30"/>
        <v>0</v>
      </c>
      <c r="K928" s="65">
        <f t="shared" si="29"/>
        <v>41883</v>
      </c>
    </row>
    <row r="929" spans="3:11" ht="20.100000000000001" customHeight="1">
      <c r="C929" s="96"/>
      <c r="D929" s="96"/>
      <c r="E929" s="112"/>
      <c r="F929" s="100"/>
      <c r="G929" s="99"/>
      <c r="H929" s="100"/>
      <c r="I929" s="82">
        <f>IF(E929="",0,VLOOKUP(E929,DMHH!$D$8:$H$507,IF(H929="",4,5),0))</f>
        <v>0</v>
      </c>
      <c r="J929" s="82">
        <f t="shared" si="30"/>
        <v>0</v>
      </c>
      <c r="K929" s="65">
        <f t="shared" si="29"/>
        <v>41883</v>
      </c>
    </row>
    <row r="930" spans="3:11" ht="20.100000000000001" customHeight="1">
      <c r="C930" s="96"/>
      <c r="D930" s="96"/>
      <c r="E930" s="112"/>
      <c r="F930" s="100"/>
      <c r="G930" s="99"/>
      <c r="H930" s="100"/>
      <c r="I930" s="82">
        <f>IF(E930="",0,VLOOKUP(E930,DMHH!$D$8:$H$507,IF(H930="",4,5),0))</f>
        <v>0</v>
      </c>
      <c r="J930" s="82">
        <f t="shared" si="30"/>
        <v>0</v>
      </c>
      <c r="K930" s="65">
        <f t="shared" si="29"/>
        <v>41883</v>
      </c>
    </row>
    <row r="931" spans="3:11" ht="20.100000000000001" customHeight="1">
      <c r="C931" s="96"/>
      <c r="D931" s="96"/>
      <c r="E931" s="112"/>
      <c r="F931" s="100"/>
      <c r="G931" s="99"/>
      <c r="H931" s="100"/>
      <c r="I931" s="82">
        <f>IF(E931="",0,VLOOKUP(E931,DMHH!$D$8:$H$507,IF(H931="",4,5),0))</f>
        <v>0</v>
      </c>
      <c r="J931" s="82">
        <f t="shared" si="30"/>
        <v>0</v>
      </c>
      <c r="K931" s="65">
        <f t="shared" si="29"/>
        <v>41883</v>
      </c>
    </row>
    <row r="932" spans="3:11" ht="20.100000000000001" customHeight="1">
      <c r="C932" s="96"/>
      <c r="D932" s="96"/>
      <c r="E932" s="112"/>
      <c r="F932" s="100"/>
      <c r="G932" s="99"/>
      <c r="H932" s="100"/>
      <c r="I932" s="82">
        <f>IF(E932="",0,VLOOKUP(E932,DMHH!$D$8:$H$507,IF(H932="",4,5),0))</f>
        <v>0</v>
      </c>
      <c r="J932" s="82">
        <f t="shared" si="30"/>
        <v>0</v>
      </c>
      <c r="K932" s="65">
        <f t="shared" si="29"/>
        <v>41883</v>
      </c>
    </row>
    <row r="933" spans="3:11" ht="20.100000000000001" customHeight="1">
      <c r="C933" s="96"/>
      <c r="D933" s="96"/>
      <c r="E933" s="112"/>
      <c r="F933" s="100"/>
      <c r="G933" s="99"/>
      <c r="H933" s="100"/>
      <c r="I933" s="82">
        <f>IF(E933="",0,VLOOKUP(E933,DMHH!$D$8:$H$507,IF(H933="",4,5),0))</f>
        <v>0</v>
      </c>
      <c r="J933" s="82">
        <f t="shared" si="30"/>
        <v>0</v>
      </c>
      <c r="K933" s="65">
        <f t="shared" si="29"/>
        <v>41883</v>
      </c>
    </row>
    <row r="934" spans="3:11" ht="20.100000000000001" customHeight="1">
      <c r="C934" s="96"/>
      <c r="D934" s="96"/>
      <c r="E934" s="112"/>
      <c r="F934" s="100"/>
      <c r="G934" s="99"/>
      <c r="H934" s="100"/>
      <c r="I934" s="82">
        <f>IF(E934="",0,VLOOKUP(E934,DMHH!$D$8:$H$507,IF(H934="",4,5),0))</f>
        <v>0</v>
      </c>
      <c r="J934" s="82">
        <f t="shared" si="30"/>
        <v>0</v>
      </c>
      <c r="K934" s="65">
        <f t="shared" si="29"/>
        <v>41883</v>
      </c>
    </row>
    <row r="935" spans="3:11" ht="20.100000000000001" customHeight="1">
      <c r="C935" s="96"/>
      <c r="D935" s="96"/>
      <c r="E935" s="112"/>
      <c r="F935" s="100"/>
      <c r="G935" s="99"/>
      <c r="H935" s="100"/>
      <c r="I935" s="82">
        <f>IF(E935="",0,VLOOKUP(E935,DMHH!$D$8:$H$507,IF(H935="",4,5),0))</f>
        <v>0</v>
      </c>
      <c r="J935" s="82">
        <f t="shared" si="30"/>
        <v>0</v>
      </c>
      <c r="K935" s="65">
        <f t="shared" si="29"/>
        <v>41883</v>
      </c>
    </row>
    <row r="936" spans="3:11" ht="20.100000000000001" customHeight="1">
      <c r="C936" s="96"/>
      <c r="D936" s="96"/>
      <c r="E936" s="112"/>
      <c r="F936" s="100"/>
      <c r="G936" s="99"/>
      <c r="H936" s="100"/>
      <c r="I936" s="82">
        <f>IF(E936="",0,VLOOKUP(E936,DMHH!$D$8:$H$507,IF(H936="",4,5),0))</f>
        <v>0</v>
      </c>
      <c r="J936" s="82">
        <f t="shared" si="30"/>
        <v>0</v>
      </c>
      <c r="K936" s="65">
        <f t="shared" si="29"/>
        <v>41883</v>
      </c>
    </row>
    <row r="937" spans="3:11" ht="20.100000000000001" customHeight="1">
      <c r="C937" s="96"/>
      <c r="D937" s="96"/>
      <c r="E937" s="112"/>
      <c r="F937" s="100"/>
      <c r="G937" s="99"/>
      <c r="H937" s="100"/>
      <c r="I937" s="82">
        <f>IF(E937="",0,VLOOKUP(E937,DMHH!$D$8:$H$507,IF(H937="",4,5),0))</f>
        <v>0</v>
      </c>
      <c r="J937" s="82">
        <f t="shared" si="30"/>
        <v>0</v>
      </c>
      <c r="K937" s="65">
        <f t="shared" si="29"/>
        <v>41883</v>
      </c>
    </row>
    <row r="938" spans="3:11" ht="20.100000000000001" customHeight="1">
      <c r="C938" s="96"/>
      <c r="D938" s="96"/>
      <c r="E938" s="112"/>
      <c r="F938" s="100"/>
      <c r="G938" s="99"/>
      <c r="H938" s="100"/>
      <c r="I938" s="82">
        <f>IF(E938="",0,VLOOKUP(E938,DMHH!$D$8:$H$507,IF(H938="",4,5),0))</f>
        <v>0</v>
      </c>
      <c r="J938" s="82">
        <f t="shared" si="30"/>
        <v>0</v>
      </c>
      <c r="K938" s="65">
        <f t="shared" si="29"/>
        <v>41883</v>
      </c>
    </row>
    <row r="939" spans="3:11" ht="20.100000000000001" customHeight="1">
      <c r="C939" s="96"/>
      <c r="D939" s="96"/>
      <c r="E939" s="112"/>
      <c r="F939" s="100"/>
      <c r="G939" s="99"/>
      <c r="H939" s="100"/>
      <c r="I939" s="82">
        <f>IF(E939="",0,VLOOKUP(E939,DMHH!$D$8:$H$507,IF(H939="",4,5),0))</f>
        <v>0</v>
      </c>
      <c r="J939" s="82">
        <f t="shared" si="30"/>
        <v>0</v>
      </c>
      <c r="K939" s="65">
        <f t="shared" si="29"/>
        <v>41883</v>
      </c>
    </row>
    <row r="940" spans="3:11" ht="20.100000000000001" customHeight="1">
      <c r="C940" s="96"/>
      <c r="D940" s="96"/>
      <c r="E940" s="112"/>
      <c r="F940" s="100"/>
      <c r="G940" s="99"/>
      <c r="H940" s="100"/>
      <c r="I940" s="82">
        <f>IF(E940="",0,VLOOKUP(E940,DMHH!$D$8:$H$507,IF(H940="",4,5),0))</f>
        <v>0</v>
      </c>
      <c r="J940" s="82">
        <f t="shared" si="30"/>
        <v>0</v>
      </c>
      <c r="K940" s="65">
        <f t="shared" si="29"/>
        <v>41883</v>
      </c>
    </row>
    <row r="941" spans="3:11" ht="20.100000000000001" customHeight="1">
      <c r="C941" s="96"/>
      <c r="D941" s="96"/>
      <c r="E941" s="112"/>
      <c r="F941" s="100"/>
      <c r="G941" s="99"/>
      <c r="H941" s="100"/>
      <c r="I941" s="82">
        <f>IF(E941="",0,VLOOKUP(E941,DMHH!$D$8:$H$507,IF(H941="",4,5),0))</f>
        <v>0</v>
      </c>
      <c r="J941" s="82">
        <f t="shared" si="30"/>
        <v>0</v>
      </c>
      <c r="K941" s="65">
        <f t="shared" si="29"/>
        <v>41883</v>
      </c>
    </row>
    <row r="942" spans="3:11" ht="20.100000000000001" customHeight="1">
      <c r="C942" s="96"/>
      <c r="D942" s="96"/>
      <c r="E942" s="112"/>
      <c r="F942" s="100"/>
      <c r="G942" s="99"/>
      <c r="H942" s="100"/>
      <c r="I942" s="82">
        <f>IF(E942="",0,VLOOKUP(E942,DMHH!$D$8:$H$507,IF(H942="",4,5),0))</f>
        <v>0</v>
      </c>
      <c r="J942" s="82">
        <f t="shared" si="30"/>
        <v>0</v>
      </c>
      <c r="K942" s="65">
        <f t="shared" si="29"/>
        <v>41883</v>
      </c>
    </row>
    <row r="943" spans="3:11" ht="20.100000000000001" customHeight="1">
      <c r="C943" s="96"/>
      <c r="D943" s="96"/>
      <c r="E943" s="112"/>
      <c r="F943" s="100"/>
      <c r="G943" s="99"/>
      <c r="H943" s="100"/>
      <c r="I943" s="82">
        <f>IF(E943="",0,VLOOKUP(E943,DMHH!$D$8:$H$507,IF(H943="",4,5),0))</f>
        <v>0</v>
      </c>
      <c r="J943" s="82">
        <f t="shared" si="30"/>
        <v>0</v>
      </c>
      <c r="K943" s="65">
        <f t="shared" si="29"/>
        <v>41883</v>
      </c>
    </row>
    <row r="944" spans="3:11" ht="20.100000000000001" customHeight="1">
      <c r="C944" s="96"/>
      <c r="D944" s="96"/>
      <c r="E944" s="112"/>
      <c r="F944" s="100"/>
      <c r="G944" s="99"/>
      <c r="H944" s="100"/>
      <c r="I944" s="82">
        <f>IF(E944="",0,VLOOKUP(E944,DMHH!$D$8:$H$507,IF(H944="",4,5),0))</f>
        <v>0</v>
      </c>
      <c r="J944" s="82">
        <f t="shared" si="30"/>
        <v>0</v>
      </c>
      <c r="K944" s="65">
        <f t="shared" si="29"/>
        <v>41883</v>
      </c>
    </row>
    <row r="945" spans="3:11" ht="20.100000000000001" customHeight="1">
      <c r="C945" s="96"/>
      <c r="D945" s="96"/>
      <c r="E945" s="112"/>
      <c r="F945" s="100"/>
      <c r="G945" s="99"/>
      <c r="H945" s="100"/>
      <c r="I945" s="82">
        <f>IF(E945="",0,VLOOKUP(E945,DMHH!$D$8:$H$507,IF(H945="",4,5),0))</f>
        <v>0</v>
      </c>
      <c r="J945" s="82">
        <f t="shared" si="30"/>
        <v>0</v>
      </c>
      <c r="K945" s="65">
        <f t="shared" si="29"/>
        <v>41883</v>
      </c>
    </row>
    <row r="946" spans="3:11" ht="20.100000000000001" customHeight="1">
      <c r="C946" s="96"/>
      <c r="D946" s="96"/>
      <c r="E946" s="112"/>
      <c r="F946" s="100"/>
      <c r="G946" s="99"/>
      <c r="H946" s="100"/>
      <c r="I946" s="82">
        <f>IF(E946="",0,VLOOKUP(E946,DMHH!$D$8:$H$507,IF(H946="",4,5),0))</f>
        <v>0</v>
      </c>
      <c r="J946" s="82">
        <f t="shared" si="30"/>
        <v>0</v>
      </c>
      <c r="K946" s="65">
        <f t="shared" si="29"/>
        <v>41883</v>
      </c>
    </row>
    <row r="947" spans="3:11" ht="20.100000000000001" customHeight="1">
      <c r="C947" s="96"/>
      <c r="D947" s="96"/>
      <c r="E947" s="112"/>
      <c r="F947" s="100"/>
      <c r="G947" s="99"/>
      <c r="H947" s="100"/>
      <c r="I947" s="82">
        <f>IF(E947="",0,VLOOKUP(E947,DMHH!$D$8:$H$507,IF(H947="",4,5),0))</f>
        <v>0</v>
      </c>
      <c r="J947" s="82">
        <f t="shared" si="30"/>
        <v>0</v>
      </c>
      <c r="K947" s="65">
        <f t="shared" si="29"/>
        <v>41883</v>
      </c>
    </row>
    <row r="948" spans="3:11" ht="20.100000000000001" customHeight="1">
      <c r="C948" s="96"/>
      <c r="D948" s="96"/>
      <c r="E948" s="112"/>
      <c r="F948" s="100"/>
      <c r="G948" s="99"/>
      <c r="H948" s="100"/>
      <c r="I948" s="82">
        <f>IF(E948="",0,VLOOKUP(E948,DMHH!$D$8:$H$507,IF(H948="",4,5),0))</f>
        <v>0</v>
      </c>
      <c r="J948" s="82">
        <f t="shared" si="30"/>
        <v>0</v>
      </c>
      <c r="K948" s="65">
        <f t="shared" si="29"/>
        <v>41883</v>
      </c>
    </row>
    <row r="949" spans="3:11" ht="20.100000000000001" customHeight="1">
      <c r="C949" s="96"/>
      <c r="D949" s="96"/>
      <c r="E949" s="112"/>
      <c r="F949" s="100"/>
      <c r="G949" s="99"/>
      <c r="H949" s="100"/>
      <c r="I949" s="82">
        <f>IF(E949="",0,VLOOKUP(E949,DMHH!$D$8:$H$507,IF(H949="",4,5),0))</f>
        <v>0</v>
      </c>
      <c r="J949" s="82">
        <f t="shared" si="30"/>
        <v>0</v>
      </c>
      <c r="K949" s="65">
        <f t="shared" si="29"/>
        <v>41883</v>
      </c>
    </row>
    <row r="950" spans="3:11" ht="20.100000000000001" customHeight="1">
      <c r="C950" s="96"/>
      <c r="D950" s="96"/>
      <c r="E950" s="112"/>
      <c r="F950" s="100"/>
      <c r="G950" s="99"/>
      <c r="H950" s="100"/>
      <c r="I950" s="82">
        <f>IF(E950="",0,VLOOKUP(E950,DMHH!$D$8:$H$507,IF(H950="",4,5),0))</f>
        <v>0</v>
      </c>
      <c r="J950" s="82">
        <f t="shared" si="30"/>
        <v>0</v>
      </c>
      <c r="K950" s="65">
        <f t="shared" si="29"/>
        <v>41883</v>
      </c>
    </row>
    <row r="951" spans="3:11" ht="20.100000000000001" customHeight="1">
      <c r="C951" s="96"/>
      <c r="D951" s="96"/>
      <c r="E951" s="112"/>
      <c r="F951" s="100"/>
      <c r="G951" s="99"/>
      <c r="H951" s="100"/>
      <c r="I951" s="82">
        <f>IF(E951="",0,VLOOKUP(E951,DMHH!$D$8:$H$507,IF(H951="",4,5),0))</f>
        <v>0</v>
      </c>
      <c r="J951" s="82">
        <f t="shared" si="30"/>
        <v>0</v>
      </c>
      <c r="K951" s="65">
        <f t="shared" si="29"/>
        <v>41883</v>
      </c>
    </row>
    <row r="952" spans="3:11" ht="20.100000000000001" customHeight="1">
      <c r="C952" s="96"/>
      <c r="D952" s="96"/>
      <c r="E952" s="112"/>
      <c r="F952" s="100"/>
      <c r="G952" s="99"/>
      <c r="H952" s="100"/>
      <c r="I952" s="82">
        <f>IF(E952="",0,VLOOKUP(E952,DMHH!$D$8:$H$507,IF(H952="",4,5),0))</f>
        <v>0</v>
      </c>
      <c r="J952" s="82">
        <f t="shared" si="30"/>
        <v>0</v>
      </c>
      <c r="K952" s="65">
        <f t="shared" si="29"/>
        <v>41883</v>
      </c>
    </row>
    <row r="953" spans="3:11" ht="20.100000000000001" customHeight="1">
      <c r="C953" s="96"/>
      <c r="D953" s="96"/>
      <c r="E953" s="112"/>
      <c r="F953" s="100"/>
      <c r="G953" s="99"/>
      <c r="H953" s="100"/>
      <c r="I953" s="82">
        <f>IF(E953="",0,VLOOKUP(E953,DMHH!$D$8:$H$507,IF(H953="",4,5),0))</f>
        <v>0</v>
      </c>
      <c r="J953" s="82">
        <f t="shared" si="30"/>
        <v>0</v>
      </c>
      <c r="K953" s="65">
        <f t="shared" si="29"/>
        <v>41883</v>
      </c>
    </row>
    <row r="954" spans="3:11" ht="20.100000000000001" customHeight="1">
      <c r="C954" s="96"/>
      <c r="D954" s="96"/>
      <c r="E954" s="112"/>
      <c r="F954" s="100"/>
      <c r="G954" s="99"/>
      <c r="H954" s="100"/>
      <c r="I954" s="82">
        <f>IF(E954="",0,VLOOKUP(E954,DMHH!$D$8:$H$507,IF(H954="",4,5),0))</f>
        <v>0</v>
      </c>
      <c r="J954" s="82">
        <f t="shared" si="30"/>
        <v>0</v>
      </c>
      <c r="K954" s="65">
        <f t="shared" si="29"/>
        <v>41883</v>
      </c>
    </row>
    <row r="955" spans="3:11" ht="20.100000000000001" customHeight="1">
      <c r="C955" s="96"/>
      <c r="D955" s="96"/>
      <c r="E955" s="112"/>
      <c r="F955" s="100"/>
      <c r="G955" s="99"/>
      <c r="H955" s="100"/>
      <c r="I955" s="82">
        <f>IF(E955="",0,VLOOKUP(E955,DMHH!$D$8:$H$507,IF(H955="",4,5),0))</f>
        <v>0</v>
      </c>
      <c r="J955" s="82">
        <f t="shared" si="30"/>
        <v>0</v>
      </c>
      <c r="K955" s="65">
        <f t="shared" si="29"/>
        <v>41883</v>
      </c>
    </row>
    <row r="956" spans="3:11" ht="20.100000000000001" customHeight="1">
      <c r="C956" s="96"/>
      <c r="D956" s="96"/>
      <c r="E956" s="112"/>
      <c r="F956" s="100"/>
      <c r="G956" s="99"/>
      <c r="H956" s="100"/>
      <c r="I956" s="82">
        <f>IF(E956="",0,VLOOKUP(E956,DMHH!$D$8:$H$507,IF(H956="",4,5),0))</f>
        <v>0</v>
      </c>
      <c r="J956" s="82">
        <f t="shared" si="30"/>
        <v>0</v>
      </c>
      <c r="K956" s="65">
        <f t="shared" si="29"/>
        <v>41883</v>
      </c>
    </row>
    <row r="957" spans="3:11" ht="20.100000000000001" customHeight="1">
      <c r="C957" s="96"/>
      <c r="D957" s="96"/>
      <c r="E957" s="112"/>
      <c r="F957" s="100"/>
      <c r="G957" s="99"/>
      <c r="H957" s="100"/>
      <c r="I957" s="82">
        <f>IF(E957="",0,VLOOKUP(E957,DMHH!$D$8:$H$507,IF(H957="",4,5),0))</f>
        <v>0</v>
      </c>
      <c r="J957" s="82">
        <f t="shared" si="30"/>
        <v>0</v>
      </c>
      <c r="K957" s="65">
        <f t="shared" si="29"/>
        <v>41883</v>
      </c>
    </row>
    <row r="958" spans="3:11" ht="20.100000000000001" customHeight="1">
      <c r="C958" s="96"/>
      <c r="D958" s="96"/>
      <c r="E958" s="112"/>
      <c r="F958" s="100"/>
      <c r="G958" s="99"/>
      <c r="H958" s="100"/>
      <c r="I958" s="82">
        <f>IF(E958="",0,VLOOKUP(E958,DMHH!$D$8:$H$507,IF(H958="",4,5),0))</f>
        <v>0</v>
      </c>
      <c r="J958" s="82">
        <f t="shared" si="30"/>
        <v>0</v>
      </c>
      <c r="K958" s="65">
        <f t="shared" si="29"/>
        <v>41883</v>
      </c>
    </row>
    <row r="959" spans="3:11" ht="20.100000000000001" customHeight="1">
      <c r="C959" s="96"/>
      <c r="D959" s="96"/>
      <c r="E959" s="112"/>
      <c r="F959" s="100"/>
      <c r="G959" s="99"/>
      <c r="H959" s="100"/>
      <c r="I959" s="82">
        <f>IF(E959="",0,VLOOKUP(E959,DMHH!$D$8:$H$507,IF(H959="",4,5),0))</f>
        <v>0</v>
      </c>
      <c r="J959" s="82">
        <f t="shared" si="30"/>
        <v>0</v>
      </c>
      <c r="K959" s="65">
        <f t="shared" si="29"/>
        <v>41883</v>
      </c>
    </row>
    <row r="960" spans="3:11" ht="20.100000000000001" customHeight="1">
      <c r="C960" s="96"/>
      <c r="D960" s="96"/>
      <c r="E960" s="112"/>
      <c r="F960" s="100"/>
      <c r="G960" s="99"/>
      <c r="H960" s="100"/>
      <c r="I960" s="82">
        <f>IF(E960="",0,VLOOKUP(E960,DMHH!$D$8:$H$507,IF(H960="",4,5),0))</f>
        <v>0</v>
      </c>
      <c r="J960" s="82">
        <f t="shared" si="30"/>
        <v>0</v>
      </c>
      <c r="K960" s="65">
        <f t="shared" si="29"/>
        <v>41883</v>
      </c>
    </row>
    <row r="961" spans="3:11" ht="20.100000000000001" customHeight="1">
      <c r="C961" s="96"/>
      <c r="D961" s="96"/>
      <c r="E961" s="112"/>
      <c r="F961" s="100"/>
      <c r="G961" s="99"/>
      <c r="H961" s="100"/>
      <c r="I961" s="82">
        <f>IF(E961="",0,VLOOKUP(E961,DMHH!$D$8:$H$507,IF(H961="",4,5),0))</f>
        <v>0</v>
      </c>
      <c r="J961" s="82">
        <f t="shared" si="30"/>
        <v>0</v>
      </c>
      <c r="K961" s="65">
        <f t="shared" si="29"/>
        <v>41883</v>
      </c>
    </row>
    <row r="962" spans="3:11" ht="20.100000000000001" customHeight="1">
      <c r="C962" s="96"/>
      <c r="D962" s="96"/>
      <c r="E962" s="112"/>
      <c r="F962" s="100"/>
      <c r="G962" s="99"/>
      <c r="H962" s="100"/>
      <c r="I962" s="82">
        <f>IF(E962="",0,VLOOKUP(E962,DMHH!$D$8:$H$507,IF(H962="",4,5),0))</f>
        <v>0</v>
      </c>
      <c r="J962" s="82">
        <f t="shared" si="30"/>
        <v>0</v>
      </c>
      <c r="K962" s="65">
        <f t="shared" si="29"/>
        <v>41883</v>
      </c>
    </row>
    <row r="963" spans="3:11" ht="20.100000000000001" customHeight="1">
      <c r="C963" s="96"/>
      <c r="D963" s="96"/>
      <c r="E963" s="112"/>
      <c r="F963" s="100"/>
      <c r="G963" s="99"/>
      <c r="H963" s="100"/>
      <c r="I963" s="82">
        <f>IF(E963="",0,VLOOKUP(E963,DMHH!$D$8:$H$507,IF(H963="",4,5),0))</f>
        <v>0</v>
      </c>
      <c r="J963" s="82">
        <f t="shared" si="30"/>
        <v>0</v>
      </c>
      <c r="K963" s="65">
        <f t="shared" si="29"/>
        <v>41883</v>
      </c>
    </row>
    <row r="964" spans="3:11" ht="20.100000000000001" customHeight="1">
      <c r="C964" s="96"/>
      <c r="D964" s="96"/>
      <c r="E964" s="112"/>
      <c r="F964" s="100"/>
      <c r="G964" s="99"/>
      <c r="H964" s="100"/>
      <c r="I964" s="82">
        <f>IF(E964="",0,VLOOKUP(E964,DMHH!$D$8:$H$507,IF(H964="",4,5),0))</f>
        <v>0</v>
      </c>
      <c r="J964" s="82">
        <f t="shared" si="30"/>
        <v>0</v>
      </c>
      <c r="K964" s="65">
        <f t="shared" si="29"/>
        <v>41883</v>
      </c>
    </row>
    <row r="965" spans="3:11" ht="20.100000000000001" customHeight="1">
      <c r="C965" s="96"/>
      <c r="D965" s="96"/>
      <c r="E965" s="112"/>
      <c r="F965" s="100"/>
      <c r="G965" s="99"/>
      <c r="H965" s="100"/>
      <c r="I965" s="82">
        <f>IF(E965="",0,VLOOKUP(E965,DMHH!$D$8:$H$507,IF(H965="",4,5),0))</f>
        <v>0</v>
      </c>
      <c r="J965" s="82">
        <f t="shared" si="30"/>
        <v>0</v>
      </c>
      <c r="K965" s="65">
        <f t="shared" si="29"/>
        <v>41883</v>
      </c>
    </row>
    <row r="966" spans="3:11" ht="20.100000000000001" customHeight="1">
      <c r="C966" s="96"/>
      <c r="D966" s="96"/>
      <c r="E966" s="112"/>
      <c r="F966" s="100"/>
      <c r="G966" s="99"/>
      <c r="H966" s="100"/>
      <c r="I966" s="82">
        <f>IF(E966="",0,VLOOKUP(E966,DMHH!$D$8:$H$507,IF(H966="",4,5),0))</f>
        <v>0</v>
      </c>
      <c r="J966" s="82">
        <f t="shared" si="30"/>
        <v>0</v>
      </c>
      <c r="K966" s="65">
        <f t="shared" si="29"/>
        <v>41883</v>
      </c>
    </row>
    <row r="967" spans="3:11" ht="20.100000000000001" customHeight="1">
      <c r="C967" s="96"/>
      <c r="D967" s="96"/>
      <c r="E967" s="112"/>
      <c r="F967" s="100"/>
      <c r="G967" s="99"/>
      <c r="H967" s="100"/>
      <c r="I967" s="82">
        <f>IF(E967="",0,VLOOKUP(E967,DMHH!$D$8:$H$507,IF(H967="",4,5),0))</f>
        <v>0</v>
      </c>
      <c r="J967" s="82">
        <f t="shared" si="30"/>
        <v>0</v>
      </c>
      <c r="K967" s="65">
        <f t="shared" si="29"/>
        <v>41883</v>
      </c>
    </row>
    <row r="968" spans="3:11" ht="20.100000000000001" customHeight="1">
      <c r="C968" s="96"/>
      <c r="D968" s="96"/>
      <c r="E968" s="112"/>
      <c r="F968" s="100"/>
      <c r="G968" s="99"/>
      <c r="H968" s="100"/>
      <c r="I968" s="82">
        <f>IF(E968="",0,VLOOKUP(E968,DMHH!$D$8:$H$507,IF(H968="",4,5),0))</f>
        <v>0</v>
      </c>
      <c r="J968" s="82">
        <f t="shared" si="30"/>
        <v>0</v>
      </c>
      <c r="K968" s="65">
        <f t="shared" si="29"/>
        <v>41883</v>
      </c>
    </row>
    <row r="969" spans="3:11" ht="20.100000000000001" customHeight="1">
      <c r="C969" s="96"/>
      <c r="D969" s="96"/>
      <c r="E969" s="112"/>
      <c r="F969" s="100"/>
      <c r="G969" s="99"/>
      <c r="H969" s="100"/>
      <c r="I969" s="82">
        <f>IF(E969="",0,VLOOKUP(E969,DMHH!$D$8:$H$507,IF(H969="",4,5),0))</f>
        <v>0</v>
      </c>
      <c r="J969" s="82">
        <f t="shared" si="30"/>
        <v>0</v>
      </c>
      <c r="K969" s="65">
        <f t="shared" si="29"/>
        <v>41883</v>
      </c>
    </row>
    <row r="970" spans="3:11" ht="20.100000000000001" customHeight="1">
      <c r="C970" s="96"/>
      <c r="D970" s="96"/>
      <c r="E970" s="112"/>
      <c r="F970" s="100"/>
      <c r="G970" s="99"/>
      <c r="H970" s="100"/>
      <c r="I970" s="82">
        <f>IF(E970="",0,VLOOKUP(E970,DMHH!$D$8:$H$507,IF(H970="",4,5),0))</f>
        <v>0</v>
      </c>
      <c r="J970" s="82">
        <f t="shared" si="30"/>
        <v>0</v>
      </c>
      <c r="K970" s="65">
        <f t="shared" si="29"/>
        <v>41883</v>
      </c>
    </row>
    <row r="971" spans="3:11" ht="20.100000000000001" customHeight="1">
      <c r="C971" s="96"/>
      <c r="D971" s="96"/>
      <c r="E971" s="112"/>
      <c r="F971" s="100"/>
      <c r="G971" s="99"/>
      <c r="H971" s="100"/>
      <c r="I971" s="82">
        <f>IF(E971="",0,VLOOKUP(E971,DMHH!$D$8:$H$507,IF(H971="",4,5),0))</f>
        <v>0</v>
      </c>
      <c r="J971" s="82">
        <f t="shared" si="30"/>
        <v>0</v>
      </c>
      <c r="K971" s="65">
        <f t="shared" ref="K971:K1011" si="31">IF(C971="",K970,C971)</f>
        <v>41883</v>
      </c>
    </row>
    <row r="972" spans="3:11" ht="20.100000000000001" customHeight="1">
      <c r="C972" s="96"/>
      <c r="D972" s="96"/>
      <c r="E972" s="112"/>
      <c r="F972" s="100"/>
      <c r="G972" s="99"/>
      <c r="H972" s="100"/>
      <c r="I972" s="82">
        <f>IF(E972="",0,VLOOKUP(E972,DMHH!$D$8:$H$507,IF(H972="",4,5),0))</f>
        <v>0</v>
      </c>
      <c r="J972" s="82">
        <f t="shared" si="30"/>
        <v>0</v>
      </c>
      <c r="K972" s="65">
        <f t="shared" si="31"/>
        <v>41883</v>
      </c>
    </row>
    <row r="973" spans="3:11" ht="20.100000000000001" customHeight="1">
      <c r="C973" s="96"/>
      <c r="D973" s="96"/>
      <c r="E973" s="112"/>
      <c r="F973" s="100"/>
      <c r="G973" s="99"/>
      <c r="H973" s="100"/>
      <c r="I973" s="82">
        <f>IF(E973="",0,VLOOKUP(E973,DMHH!$D$8:$H$507,IF(H973="",4,5),0))</f>
        <v>0</v>
      </c>
      <c r="J973" s="82">
        <f t="shared" ref="J973:J1011" si="32">F973*I973+H973*I973</f>
        <v>0</v>
      </c>
      <c r="K973" s="65">
        <f t="shared" si="31"/>
        <v>41883</v>
      </c>
    </row>
    <row r="974" spans="3:11" ht="20.100000000000001" customHeight="1">
      <c r="C974" s="96"/>
      <c r="D974" s="96"/>
      <c r="E974" s="112"/>
      <c r="F974" s="100"/>
      <c r="G974" s="99"/>
      <c r="H974" s="100"/>
      <c r="I974" s="82">
        <f>IF(E974="",0,VLOOKUP(E974,DMHH!$D$8:$H$507,IF(H974="",4,5),0))</f>
        <v>0</v>
      </c>
      <c r="J974" s="82">
        <f t="shared" si="32"/>
        <v>0</v>
      </c>
      <c r="K974" s="65">
        <f t="shared" si="31"/>
        <v>41883</v>
      </c>
    </row>
    <row r="975" spans="3:11" ht="20.100000000000001" customHeight="1">
      <c r="C975" s="96"/>
      <c r="D975" s="96"/>
      <c r="E975" s="112"/>
      <c r="F975" s="100"/>
      <c r="G975" s="99"/>
      <c r="H975" s="100"/>
      <c r="I975" s="82">
        <f>IF(E975="",0,VLOOKUP(E975,DMHH!$D$8:$H$507,IF(H975="",4,5),0))</f>
        <v>0</v>
      </c>
      <c r="J975" s="82">
        <f t="shared" si="32"/>
        <v>0</v>
      </c>
      <c r="K975" s="65">
        <f t="shared" si="31"/>
        <v>41883</v>
      </c>
    </row>
    <row r="976" spans="3:11" ht="20.100000000000001" customHeight="1">
      <c r="C976" s="96"/>
      <c r="D976" s="96"/>
      <c r="E976" s="112"/>
      <c r="F976" s="100"/>
      <c r="G976" s="99"/>
      <c r="H976" s="100"/>
      <c r="I976" s="82">
        <f>IF(E976="",0,VLOOKUP(E976,DMHH!$D$8:$H$507,IF(H976="",4,5),0))</f>
        <v>0</v>
      </c>
      <c r="J976" s="82">
        <f t="shared" si="32"/>
        <v>0</v>
      </c>
      <c r="K976" s="65">
        <f t="shared" si="31"/>
        <v>41883</v>
      </c>
    </row>
    <row r="977" spans="3:11" ht="20.100000000000001" customHeight="1">
      <c r="C977" s="96"/>
      <c r="D977" s="96"/>
      <c r="E977" s="112"/>
      <c r="F977" s="100"/>
      <c r="G977" s="99"/>
      <c r="H977" s="100"/>
      <c r="I977" s="82">
        <f>IF(E977="",0,VLOOKUP(E977,DMHH!$D$8:$H$507,IF(H977="",4,5),0))</f>
        <v>0</v>
      </c>
      <c r="J977" s="82">
        <f t="shared" si="32"/>
        <v>0</v>
      </c>
      <c r="K977" s="65">
        <f t="shared" si="31"/>
        <v>41883</v>
      </c>
    </row>
    <row r="978" spans="3:11" ht="20.100000000000001" customHeight="1">
      <c r="C978" s="96"/>
      <c r="D978" s="96"/>
      <c r="E978" s="112"/>
      <c r="F978" s="100"/>
      <c r="G978" s="99"/>
      <c r="H978" s="100"/>
      <c r="I978" s="82">
        <f>IF(E978="",0,VLOOKUP(E978,DMHH!$D$8:$H$507,IF(H978="",4,5),0))</f>
        <v>0</v>
      </c>
      <c r="J978" s="82">
        <f t="shared" si="32"/>
        <v>0</v>
      </c>
      <c r="K978" s="65">
        <f t="shared" si="31"/>
        <v>41883</v>
      </c>
    </row>
    <row r="979" spans="3:11" ht="20.100000000000001" customHeight="1">
      <c r="C979" s="96"/>
      <c r="D979" s="96"/>
      <c r="E979" s="112"/>
      <c r="F979" s="100"/>
      <c r="G979" s="99"/>
      <c r="H979" s="100"/>
      <c r="I979" s="82">
        <f>IF(E979="",0,VLOOKUP(E979,DMHH!$D$8:$H$507,IF(H979="",4,5),0))</f>
        <v>0</v>
      </c>
      <c r="J979" s="82">
        <f t="shared" si="32"/>
        <v>0</v>
      </c>
      <c r="K979" s="65">
        <f t="shared" si="31"/>
        <v>41883</v>
      </c>
    </row>
    <row r="980" spans="3:11" ht="20.100000000000001" customHeight="1">
      <c r="C980" s="96"/>
      <c r="D980" s="96"/>
      <c r="E980" s="112"/>
      <c r="F980" s="100"/>
      <c r="G980" s="99"/>
      <c r="H980" s="100"/>
      <c r="I980" s="82">
        <f>IF(E980="",0,VLOOKUP(E980,DMHH!$D$8:$H$507,IF(H980="",4,5),0))</f>
        <v>0</v>
      </c>
      <c r="J980" s="82">
        <f t="shared" si="32"/>
        <v>0</v>
      </c>
      <c r="K980" s="65">
        <f t="shared" si="31"/>
        <v>41883</v>
      </c>
    </row>
    <row r="981" spans="3:11" ht="20.100000000000001" customHeight="1">
      <c r="C981" s="96"/>
      <c r="D981" s="96"/>
      <c r="E981" s="112"/>
      <c r="F981" s="100"/>
      <c r="G981" s="99"/>
      <c r="H981" s="100"/>
      <c r="I981" s="82">
        <f>IF(E981="",0,VLOOKUP(E981,DMHH!$D$8:$H$507,IF(H981="",4,5),0))</f>
        <v>0</v>
      </c>
      <c r="J981" s="82">
        <f t="shared" si="32"/>
        <v>0</v>
      </c>
      <c r="K981" s="65">
        <f t="shared" si="31"/>
        <v>41883</v>
      </c>
    </row>
    <row r="982" spans="3:11" ht="20.100000000000001" customHeight="1">
      <c r="C982" s="96"/>
      <c r="D982" s="96"/>
      <c r="E982" s="112"/>
      <c r="F982" s="100"/>
      <c r="G982" s="99"/>
      <c r="H982" s="100"/>
      <c r="I982" s="82">
        <f>IF(E982="",0,VLOOKUP(E982,DMHH!$D$8:$H$507,IF(H982="",4,5),0))</f>
        <v>0</v>
      </c>
      <c r="J982" s="82">
        <f t="shared" si="32"/>
        <v>0</v>
      </c>
      <c r="K982" s="65">
        <f t="shared" si="31"/>
        <v>41883</v>
      </c>
    </row>
    <row r="983" spans="3:11" ht="20.100000000000001" customHeight="1">
      <c r="C983" s="96"/>
      <c r="D983" s="96"/>
      <c r="E983" s="112"/>
      <c r="F983" s="100"/>
      <c r="G983" s="99"/>
      <c r="H983" s="100"/>
      <c r="I983" s="82">
        <f>IF(E983="",0,VLOOKUP(E983,DMHH!$D$8:$H$507,IF(H983="",4,5),0))</f>
        <v>0</v>
      </c>
      <c r="J983" s="82">
        <f t="shared" si="32"/>
        <v>0</v>
      </c>
      <c r="K983" s="65">
        <f t="shared" si="31"/>
        <v>41883</v>
      </c>
    </row>
    <row r="984" spans="3:11" ht="20.100000000000001" customHeight="1">
      <c r="C984" s="96"/>
      <c r="D984" s="96"/>
      <c r="E984" s="112"/>
      <c r="F984" s="100"/>
      <c r="G984" s="99"/>
      <c r="H984" s="100"/>
      <c r="I984" s="82">
        <f>IF(E984="",0,VLOOKUP(E984,DMHH!$D$8:$H$507,IF(H984="",4,5),0))</f>
        <v>0</v>
      </c>
      <c r="J984" s="82">
        <f t="shared" si="32"/>
        <v>0</v>
      </c>
      <c r="K984" s="65">
        <f t="shared" si="31"/>
        <v>41883</v>
      </c>
    </row>
    <row r="985" spans="3:11" ht="20.100000000000001" customHeight="1">
      <c r="C985" s="96"/>
      <c r="D985" s="96"/>
      <c r="E985" s="112"/>
      <c r="F985" s="100"/>
      <c r="G985" s="99"/>
      <c r="H985" s="100"/>
      <c r="I985" s="82">
        <f>IF(E985="",0,VLOOKUP(E985,DMHH!$D$8:$H$507,IF(H985="",4,5),0))</f>
        <v>0</v>
      </c>
      <c r="J985" s="82">
        <f t="shared" si="32"/>
        <v>0</v>
      </c>
      <c r="K985" s="65">
        <f t="shared" si="31"/>
        <v>41883</v>
      </c>
    </row>
    <row r="986" spans="3:11" ht="20.100000000000001" customHeight="1">
      <c r="C986" s="96"/>
      <c r="D986" s="96"/>
      <c r="E986" s="112"/>
      <c r="F986" s="100"/>
      <c r="G986" s="99"/>
      <c r="H986" s="100"/>
      <c r="I986" s="82">
        <f>IF(E986="",0,VLOOKUP(E986,DMHH!$D$8:$H$507,IF(H986="",4,5),0))</f>
        <v>0</v>
      </c>
      <c r="J986" s="82">
        <f t="shared" si="32"/>
        <v>0</v>
      </c>
      <c r="K986" s="65">
        <f t="shared" si="31"/>
        <v>41883</v>
      </c>
    </row>
    <row r="987" spans="3:11" ht="20.100000000000001" customHeight="1">
      <c r="C987" s="96"/>
      <c r="D987" s="96"/>
      <c r="E987" s="112"/>
      <c r="F987" s="100"/>
      <c r="G987" s="99"/>
      <c r="H987" s="100"/>
      <c r="I987" s="82">
        <f>IF(E987="",0,VLOOKUP(E987,DMHH!$D$8:$H$507,IF(H987="",4,5),0))</f>
        <v>0</v>
      </c>
      <c r="J987" s="82">
        <f t="shared" si="32"/>
        <v>0</v>
      </c>
      <c r="K987" s="65">
        <f t="shared" si="31"/>
        <v>41883</v>
      </c>
    </row>
    <row r="988" spans="3:11" ht="20.100000000000001" customHeight="1">
      <c r="C988" s="96"/>
      <c r="D988" s="96"/>
      <c r="E988" s="112"/>
      <c r="F988" s="100"/>
      <c r="G988" s="99"/>
      <c r="H988" s="100"/>
      <c r="I988" s="82">
        <f>IF(E988="",0,VLOOKUP(E988,DMHH!$D$8:$H$507,IF(H988="",4,5),0))</f>
        <v>0</v>
      </c>
      <c r="J988" s="82">
        <f t="shared" si="32"/>
        <v>0</v>
      </c>
      <c r="K988" s="65">
        <f t="shared" si="31"/>
        <v>41883</v>
      </c>
    </row>
    <row r="989" spans="3:11" ht="20.100000000000001" customHeight="1">
      <c r="C989" s="96"/>
      <c r="D989" s="96"/>
      <c r="E989" s="112"/>
      <c r="F989" s="100"/>
      <c r="G989" s="99"/>
      <c r="H989" s="100"/>
      <c r="I989" s="82">
        <f>IF(E989="",0,VLOOKUP(E989,DMHH!$D$8:$H$507,IF(H989="",4,5),0))</f>
        <v>0</v>
      </c>
      <c r="J989" s="82">
        <f t="shared" si="32"/>
        <v>0</v>
      </c>
      <c r="K989" s="65">
        <f t="shared" si="31"/>
        <v>41883</v>
      </c>
    </row>
    <row r="990" spans="3:11" ht="20.100000000000001" customHeight="1">
      <c r="C990" s="96"/>
      <c r="D990" s="96"/>
      <c r="E990" s="112"/>
      <c r="F990" s="100"/>
      <c r="G990" s="99"/>
      <c r="H990" s="100"/>
      <c r="I990" s="82">
        <f>IF(E990="",0,VLOOKUP(E990,DMHH!$D$8:$H$507,IF(H990="",4,5),0))</f>
        <v>0</v>
      </c>
      <c r="J990" s="82">
        <f t="shared" si="32"/>
        <v>0</v>
      </c>
      <c r="K990" s="65">
        <f t="shared" si="31"/>
        <v>41883</v>
      </c>
    </row>
    <row r="991" spans="3:11" ht="20.100000000000001" customHeight="1">
      <c r="C991" s="96"/>
      <c r="D991" s="96"/>
      <c r="E991" s="112"/>
      <c r="F991" s="100"/>
      <c r="G991" s="99"/>
      <c r="H991" s="100"/>
      <c r="I991" s="82">
        <f>IF(E991="",0,VLOOKUP(E991,DMHH!$D$8:$H$507,IF(H991="",4,5),0))</f>
        <v>0</v>
      </c>
      <c r="J991" s="82">
        <f t="shared" si="32"/>
        <v>0</v>
      </c>
      <c r="K991" s="65">
        <f t="shared" si="31"/>
        <v>41883</v>
      </c>
    </row>
    <row r="992" spans="3:11" ht="20.100000000000001" customHeight="1">
      <c r="C992" s="96"/>
      <c r="D992" s="96"/>
      <c r="E992" s="112"/>
      <c r="F992" s="100"/>
      <c r="G992" s="99"/>
      <c r="H992" s="100"/>
      <c r="I992" s="82">
        <f>IF(E992="",0,VLOOKUP(E992,DMHH!$D$8:$H$507,IF(H992="",4,5),0))</f>
        <v>0</v>
      </c>
      <c r="J992" s="82">
        <f t="shared" si="32"/>
        <v>0</v>
      </c>
      <c r="K992" s="65">
        <f t="shared" si="31"/>
        <v>41883</v>
      </c>
    </row>
    <row r="993" spans="3:11" ht="20.100000000000001" customHeight="1">
      <c r="C993" s="96"/>
      <c r="D993" s="96"/>
      <c r="E993" s="112"/>
      <c r="F993" s="100"/>
      <c r="G993" s="99"/>
      <c r="H993" s="100"/>
      <c r="I993" s="82">
        <f>IF(E993="",0,VLOOKUP(E993,DMHH!$D$8:$H$507,IF(H993="",4,5),0))</f>
        <v>0</v>
      </c>
      <c r="J993" s="82">
        <f t="shared" si="32"/>
        <v>0</v>
      </c>
      <c r="K993" s="65">
        <f t="shared" si="31"/>
        <v>41883</v>
      </c>
    </row>
    <row r="994" spans="3:11" ht="20.100000000000001" customHeight="1">
      <c r="C994" s="96"/>
      <c r="D994" s="96"/>
      <c r="E994" s="112"/>
      <c r="F994" s="100"/>
      <c r="G994" s="99"/>
      <c r="H994" s="100"/>
      <c r="I994" s="82">
        <f>IF(E994="",0,VLOOKUP(E994,DMHH!$D$8:$H$507,IF(H994="",4,5),0))</f>
        <v>0</v>
      </c>
      <c r="J994" s="82">
        <f t="shared" si="32"/>
        <v>0</v>
      </c>
      <c r="K994" s="65">
        <f t="shared" si="31"/>
        <v>41883</v>
      </c>
    </row>
    <row r="995" spans="3:11" ht="20.100000000000001" customHeight="1">
      <c r="C995" s="96"/>
      <c r="D995" s="96"/>
      <c r="E995" s="112"/>
      <c r="F995" s="100"/>
      <c r="G995" s="99"/>
      <c r="H995" s="100"/>
      <c r="I995" s="82">
        <f>IF(E995="",0,VLOOKUP(E995,DMHH!$D$8:$H$507,IF(H995="",4,5),0))</f>
        <v>0</v>
      </c>
      <c r="J995" s="82">
        <f t="shared" si="32"/>
        <v>0</v>
      </c>
      <c r="K995" s="65">
        <f t="shared" si="31"/>
        <v>41883</v>
      </c>
    </row>
    <row r="996" spans="3:11" ht="20.100000000000001" customHeight="1">
      <c r="C996" s="96"/>
      <c r="D996" s="96"/>
      <c r="E996" s="112"/>
      <c r="F996" s="100"/>
      <c r="G996" s="99"/>
      <c r="H996" s="100"/>
      <c r="I996" s="82">
        <f>IF(E996="",0,VLOOKUP(E996,DMHH!$D$8:$H$507,IF(H996="",4,5),0))</f>
        <v>0</v>
      </c>
      <c r="J996" s="82">
        <f t="shared" si="32"/>
        <v>0</v>
      </c>
      <c r="K996" s="65">
        <f t="shared" si="31"/>
        <v>41883</v>
      </c>
    </row>
    <row r="997" spans="3:11" ht="20.100000000000001" customHeight="1">
      <c r="C997" s="96"/>
      <c r="D997" s="96"/>
      <c r="E997" s="112"/>
      <c r="F997" s="100"/>
      <c r="G997" s="99"/>
      <c r="H997" s="100"/>
      <c r="I997" s="82">
        <f>IF(E997="",0,VLOOKUP(E997,DMHH!$D$8:$H$507,IF(H997="",4,5),0))</f>
        <v>0</v>
      </c>
      <c r="J997" s="82">
        <f t="shared" si="32"/>
        <v>0</v>
      </c>
      <c r="K997" s="65">
        <f t="shared" si="31"/>
        <v>41883</v>
      </c>
    </row>
    <row r="998" spans="3:11" ht="20.100000000000001" customHeight="1">
      <c r="C998" s="96"/>
      <c r="D998" s="96"/>
      <c r="E998" s="112"/>
      <c r="F998" s="100"/>
      <c r="G998" s="99"/>
      <c r="H998" s="100"/>
      <c r="I998" s="82">
        <f>IF(E998="",0,VLOOKUP(E998,DMHH!$D$8:$H$507,IF(H998="",4,5),0))</f>
        <v>0</v>
      </c>
      <c r="J998" s="82">
        <f t="shared" si="32"/>
        <v>0</v>
      </c>
      <c r="K998" s="65">
        <f t="shared" si="31"/>
        <v>41883</v>
      </c>
    </row>
    <row r="999" spans="3:11" ht="20.100000000000001" customHeight="1">
      <c r="C999" s="96"/>
      <c r="D999" s="96"/>
      <c r="E999" s="112"/>
      <c r="F999" s="100"/>
      <c r="G999" s="99"/>
      <c r="H999" s="100"/>
      <c r="I999" s="82">
        <f>IF(E999="",0,VLOOKUP(E999,DMHH!$D$8:$H$507,IF(H999="",4,5),0))</f>
        <v>0</v>
      </c>
      <c r="J999" s="82">
        <f t="shared" si="32"/>
        <v>0</v>
      </c>
      <c r="K999" s="65">
        <f t="shared" si="31"/>
        <v>41883</v>
      </c>
    </row>
    <row r="1000" spans="3:11" ht="20.100000000000001" customHeight="1">
      <c r="C1000" s="96"/>
      <c r="D1000" s="96"/>
      <c r="E1000" s="112"/>
      <c r="F1000" s="100"/>
      <c r="G1000" s="99"/>
      <c r="H1000" s="100"/>
      <c r="I1000" s="82">
        <f>IF(E1000="",0,VLOOKUP(E1000,DMHH!$D$8:$H$507,IF(H1000="",4,5),0))</f>
        <v>0</v>
      </c>
      <c r="J1000" s="82">
        <f t="shared" si="32"/>
        <v>0</v>
      </c>
      <c r="K1000" s="65">
        <f t="shared" si="31"/>
        <v>41883</v>
      </c>
    </row>
    <row r="1001" spans="3:11" ht="20.100000000000001" customHeight="1">
      <c r="C1001" s="96"/>
      <c r="D1001" s="96"/>
      <c r="E1001" s="112"/>
      <c r="F1001" s="100"/>
      <c r="G1001" s="99"/>
      <c r="H1001" s="100"/>
      <c r="I1001" s="82">
        <f>IF(E1001="",0,VLOOKUP(E1001,DMHH!$D$8:$H$507,IF(H1001="",4,5),0))</f>
        <v>0</v>
      </c>
      <c r="J1001" s="82">
        <f t="shared" si="32"/>
        <v>0</v>
      </c>
      <c r="K1001" s="65">
        <f t="shared" si="31"/>
        <v>41883</v>
      </c>
    </row>
    <row r="1002" spans="3:11" ht="20.100000000000001" customHeight="1">
      <c r="C1002" s="96"/>
      <c r="D1002" s="96"/>
      <c r="E1002" s="112"/>
      <c r="F1002" s="100"/>
      <c r="G1002" s="99"/>
      <c r="H1002" s="100"/>
      <c r="I1002" s="82">
        <f>IF(E1002="",0,VLOOKUP(E1002,DMHH!$D$8:$H$507,IF(H1002="",4,5),0))</f>
        <v>0</v>
      </c>
      <c r="J1002" s="82">
        <f t="shared" si="32"/>
        <v>0</v>
      </c>
      <c r="K1002" s="65">
        <f t="shared" si="31"/>
        <v>41883</v>
      </c>
    </row>
    <row r="1003" spans="3:11" ht="20.100000000000001" customHeight="1">
      <c r="C1003" s="96"/>
      <c r="D1003" s="96"/>
      <c r="E1003" s="112"/>
      <c r="F1003" s="100"/>
      <c r="G1003" s="99"/>
      <c r="H1003" s="100"/>
      <c r="I1003" s="82">
        <f>IF(E1003="",0,VLOOKUP(E1003,DMHH!$D$8:$H$507,IF(H1003="",4,5),0))</f>
        <v>0</v>
      </c>
      <c r="J1003" s="82">
        <f t="shared" si="32"/>
        <v>0</v>
      </c>
      <c r="K1003" s="65">
        <f t="shared" si="31"/>
        <v>41883</v>
      </c>
    </row>
    <row r="1004" spans="3:11" ht="20.100000000000001" customHeight="1">
      <c r="C1004" s="96"/>
      <c r="D1004" s="96"/>
      <c r="E1004" s="112"/>
      <c r="F1004" s="100"/>
      <c r="G1004" s="99"/>
      <c r="H1004" s="100"/>
      <c r="I1004" s="82">
        <f>IF(E1004="",0,VLOOKUP(E1004,DMHH!$D$8:$H$507,IF(H1004="",4,5),0))</f>
        <v>0</v>
      </c>
      <c r="J1004" s="82">
        <f t="shared" si="32"/>
        <v>0</v>
      </c>
      <c r="K1004" s="65">
        <f t="shared" si="31"/>
        <v>41883</v>
      </c>
    </row>
    <row r="1005" spans="3:11" ht="20.100000000000001" customHeight="1">
      <c r="C1005" s="96"/>
      <c r="D1005" s="96"/>
      <c r="E1005" s="112"/>
      <c r="F1005" s="100"/>
      <c r="G1005" s="99"/>
      <c r="H1005" s="100"/>
      <c r="I1005" s="82">
        <f>IF(E1005="",0,VLOOKUP(E1005,DMHH!$D$8:$H$507,IF(H1005="",4,5),0))</f>
        <v>0</v>
      </c>
      <c r="J1005" s="82">
        <f t="shared" si="32"/>
        <v>0</v>
      </c>
      <c r="K1005" s="65">
        <f t="shared" si="31"/>
        <v>41883</v>
      </c>
    </row>
    <row r="1006" spans="3:11" ht="20.100000000000001" customHeight="1">
      <c r="C1006" s="96"/>
      <c r="D1006" s="96"/>
      <c r="E1006" s="112"/>
      <c r="F1006" s="100"/>
      <c r="G1006" s="99"/>
      <c r="H1006" s="100"/>
      <c r="I1006" s="82">
        <f>IF(E1006="",0,VLOOKUP(E1006,DMHH!$D$8:$H$507,IF(H1006="",4,5),0))</f>
        <v>0</v>
      </c>
      <c r="J1006" s="82">
        <f t="shared" si="32"/>
        <v>0</v>
      </c>
      <c r="K1006" s="65">
        <f t="shared" si="31"/>
        <v>41883</v>
      </c>
    </row>
    <row r="1007" spans="3:11" ht="20.100000000000001" customHeight="1">
      <c r="C1007" s="96"/>
      <c r="D1007" s="96"/>
      <c r="E1007" s="112"/>
      <c r="F1007" s="100"/>
      <c r="G1007" s="99"/>
      <c r="H1007" s="100"/>
      <c r="I1007" s="82">
        <f>IF(E1007="",0,VLOOKUP(E1007,DMHH!$D$8:$H$507,IF(H1007="",4,5),0))</f>
        <v>0</v>
      </c>
      <c r="J1007" s="82">
        <f t="shared" si="32"/>
        <v>0</v>
      </c>
      <c r="K1007" s="65">
        <f t="shared" si="31"/>
        <v>41883</v>
      </c>
    </row>
    <row r="1008" spans="3:11" ht="20.100000000000001" customHeight="1">
      <c r="C1008" s="96"/>
      <c r="D1008" s="96"/>
      <c r="E1008" s="112"/>
      <c r="F1008" s="100"/>
      <c r="G1008" s="99"/>
      <c r="H1008" s="100"/>
      <c r="I1008" s="82">
        <f>IF(E1008="",0,VLOOKUP(E1008,DMHH!$D$8:$H$507,IF(H1008="",4,5),0))</f>
        <v>0</v>
      </c>
      <c r="J1008" s="82">
        <f t="shared" si="32"/>
        <v>0</v>
      </c>
      <c r="K1008" s="65">
        <f t="shared" si="31"/>
        <v>41883</v>
      </c>
    </row>
    <row r="1009" spans="3:11" ht="20.100000000000001" customHeight="1">
      <c r="C1009" s="96"/>
      <c r="D1009" s="96"/>
      <c r="E1009" s="112"/>
      <c r="F1009" s="100"/>
      <c r="G1009" s="99"/>
      <c r="H1009" s="100"/>
      <c r="I1009" s="82">
        <f>IF(E1009="",0,VLOOKUP(E1009,DMHH!$D$8:$H$507,IF(H1009="",4,5),0))</f>
        <v>0</v>
      </c>
      <c r="J1009" s="82">
        <f t="shared" si="32"/>
        <v>0</v>
      </c>
      <c r="K1009" s="65">
        <f t="shared" si="31"/>
        <v>41883</v>
      </c>
    </row>
    <row r="1010" spans="3:11" ht="20.100000000000001" customHeight="1">
      <c r="C1010" s="96"/>
      <c r="D1010" s="96"/>
      <c r="E1010" s="112"/>
      <c r="F1010" s="100"/>
      <c r="G1010" s="99"/>
      <c r="H1010" s="100"/>
      <c r="I1010" s="82">
        <f>IF(E1010="",0,VLOOKUP(E1010,DMHH!$D$8:$H$507,IF(H1010="",4,5),0))</f>
        <v>0</v>
      </c>
      <c r="J1010" s="82">
        <f t="shared" si="32"/>
        <v>0</v>
      </c>
      <c r="K1010" s="65">
        <f t="shared" si="31"/>
        <v>41883</v>
      </c>
    </row>
    <row r="1011" spans="3:11" ht="20.100000000000001" customHeight="1">
      <c r="C1011" s="113"/>
      <c r="D1011" s="113"/>
      <c r="E1011" s="114"/>
      <c r="F1011" s="115"/>
      <c r="G1011" s="116"/>
      <c r="H1011" s="115"/>
      <c r="I1011" s="85">
        <f>IF(E1011="",0,VLOOKUP(E1011,DMHH!$D$8:$H$507,IF(H1011="",4,5),0))</f>
        <v>0</v>
      </c>
      <c r="J1011" s="85">
        <f t="shared" si="32"/>
        <v>0</v>
      </c>
      <c r="K1011" s="65">
        <f t="shared" si="31"/>
        <v>41883</v>
      </c>
    </row>
    <row r="1012" spans="3:11" ht="18.75" customHeight="1">
      <c r="C1012" s="86"/>
      <c r="D1012" s="86"/>
      <c r="E1012" s="87"/>
      <c r="F1012" s="88"/>
      <c r="G1012" s="89"/>
      <c r="H1012" s="90"/>
      <c r="I1012" s="90"/>
      <c r="J1012" s="90"/>
    </row>
  </sheetData>
  <sheetProtection sheet="1" objects="1" scenarios="1" autoFilter="0"/>
  <autoFilter ref="C9:J9"/>
  <mergeCells count="2">
    <mergeCell ref="A1:A2"/>
    <mergeCell ref="C1:F2"/>
  </mergeCells>
  <conditionalFormatting sqref="F18:F21">
    <cfRule type="expression" dxfId="1" priority="8">
      <formula>IF(#REF!-#REF!&lt;0,TRUE,FALSE)</formula>
    </cfRule>
  </conditionalFormatting>
  <dataValidations count="3">
    <dataValidation errorStyle="warning" operator="lessThanOrEqual" allowBlank="1" showInputMessage="1" showErrorMessage="1" errorTitle="Cảnh báo xuất âm!" error="Số lượng hàng bạn muốn xuất vượt quá số lượng hàng có trong kho. Nếu muốn xuất âm bấm Yes, muốn điều chỉnh lại bấm No." sqref="F18:F21"/>
    <dataValidation type="date" operator="lessThanOrEqual" allowBlank="1" showInputMessage="1" showErrorMessage="1" errorTitle="Lưu ý hạn sử dụng:" error="Chương trình được đăng ký sử dụng đến hết ngày 31/12/2014. Bạn không được sử dụng quá hạn này!" sqref="C10:C1011">
      <formula1>42004</formula1>
    </dataValidation>
    <dataValidation type="list" allowBlank="1" showInputMessage="1" showErrorMessage="1" sqref="D10:D1011">
      <formula1>INDIRECT($K$1)</formula1>
    </dataValidation>
  </dataValidations>
  <hyperlinks>
    <hyperlink ref="A1:A2" location="MENU!A1" display="MENU"/>
  </hyperlinks>
  <pageMargins left="0.7" right="0.7" top="0.75" bottom="0.75" header="0.3" footer="0.3"/>
  <pageSetup orientation="portrait" horizontalDpi="300" r:id="rId1"/>
</worksheet>
</file>

<file path=xl/worksheets/sheet4.xml><?xml version="1.0" encoding="utf-8"?>
<worksheet xmlns="http://schemas.openxmlformats.org/spreadsheetml/2006/main" xmlns:r="http://schemas.openxmlformats.org/officeDocument/2006/relationships">
  <sheetPr>
    <tabColor theme="7" tint="0.59999389629810485"/>
  </sheetPr>
  <dimension ref="A1:V1030"/>
  <sheetViews>
    <sheetView showGridLines="0" showZeros="0" zoomScale="90" zoomScaleNormal="90" workbookViewId="0">
      <pane xSplit="2" ySplit="14" topLeftCell="C15" activePane="bottomRight" state="frozen"/>
      <selection activeCell="E15" sqref="E15"/>
      <selection pane="topRight" activeCell="E15" sqref="E15"/>
      <selection pane="bottomLeft" activeCell="E15" sqref="E15"/>
      <selection pane="bottomRight" activeCell="D18" sqref="D18"/>
    </sheetView>
  </sheetViews>
  <sheetFormatPr defaultColWidth="0" defaultRowHeight="12.75" zeroHeight="1"/>
  <cols>
    <col min="1" max="1" width="4.140625" style="121" customWidth="1"/>
    <col min="2" max="2" width="10.85546875" style="119" bestFit="1" customWidth="1"/>
    <col min="3" max="3" width="10.140625" style="118" bestFit="1" customWidth="1"/>
    <col min="4" max="4" width="8.140625" style="119" customWidth="1"/>
    <col min="5" max="8" width="7.140625" style="120" customWidth="1"/>
    <col min="9" max="9" width="10.42578125" style="118" customWidth="1"/>
    <col min="10" max="12" width="5.7109375" style="119" customWidth="1"/>
    <col min="13" max="13" width="6.42578125" style="121" bestFit="1" customWidth="1"/>
    <col min="14" max="14" width="8.7109375" style="121" bestFit="1" customWidth="1"/>
    <col min="15" max="15" width="10" style="122" customWidth="1"/>
    <col min="16" max="17" width="10" style="121" customWidth="1"/>
    <col min="18" max="18" width="6.85546875" style="122" customWidth="1"/>
    <col min="19" max="19" width="9.28515625" style="122" customWidth="1"/>
    <col min="20" max="20" width="12" style="122" bestFit="1" customWidth="1"/>
    <col min="21" max="21" width="9.140625" style="121" hidden="1" customWidth="1"/>
    <col min="22" max="22" width="9.140625" style="121" customWidth="1"/>
    <col min="23" max="16384" width="9.140625" style="121" hidden="1"/>
  </cols>
  <sheetData>
    <row r="1" spans="1:22" ht="15" customHeight="1">
      <c r="A1" s="117"/>
      <c r="B1" s="377" t="s">
        <v>3</v>
      </c>
      <c r="U1" s="121" t="s">
        <v>224</v>
      </c>
      <c r="V1" s="117"/>
    </row>
    <row r="2" spans="1:22" ht="15" customHeight="1">
      <c r="A2" s="117"/>
      <c r="B2" s="377"/>
      <c r="V2" s="117"/>
    </row>
    <row r="3" spans="1:22">
      <c r="A3" s="117"/>
      <c r="B3" s="123" t="str">
        <f>TongHop!B5</f>
        <v>Đơn vị: Khách sạn A</v>
      </c>
      <c r="V3" s="117"/>
    </row>
    <row r="4" spans="1:22">
      <c r="A4" s="117"/>
      <c r="B4" s="123" t="str">
        <f>TongHop!B6</f>
        <v>Bộ phận: Kế toán</v>
      </c>
      <c r="V4" s="117"/>
    </row>
    <row r="5" spans="1:22">
      <c r="A5" s="117"/>
      <c r="B5" s="123" t="str">
        <f>TongHop!B7</f>
        <v>Người quản lý: Mr. Tester</v>
      </c>
      <c r="V5" s="117"/>
    </row>
    <row r="6" spans="1:22">
      <c r="A6" s="117"/>
      <c r="B6" s="124"/>
      <c r="V6" s="117"/>
    </row>
    <row r="7" spans="1:22" ht="18">
      <c r="A7" s="117"/>
      <c r="B7" s="125" t="s">
        <v>139</v>
      </c>
      <c r="C7" s="126"/>
      <c r="D7" s="127"/>
      <c r="E7" s="128"/>
      <c r="F7" s="128"/>
      <c r="G7" s="128"/>
      <c r="H7" s="128"/>
      <c r="I7" s="129"/>
      <c r="J7" s="126"/>
      <c r="K7" s="126"/>
      <c r="L7" s="126"/>
      <c r="O7" s="126"/>
      <c r="R7" s="126"/>
      <c r="S7" s="126"/>
      <c r="T7" s="126"/>
      <c r="V7" s="117"/>
    </row>
    <row r="8" spans="1:22" ht="18">
      <c r="A8" s="117"/>
      <c r="B8" s="125"/>
      <c r="C8" s="126"/>
      <c r="D8" s="127"/>
      <c r="E8" s="128"/>
      <c r="F8" s="128"/>
      <c r="G8" s="128"/>
      <c r="H8" s="128"/>
      <c r="I8" s="129"/>
      <c r="J8" s="126"/>
      <c r="K8" s="126"/>
      <c r="L8" s="126"/>
      <c r="O8" s="126"/>
      <c r="R8" s="126"/>
      <c r="S8" s="126"/>
      <c r="T8" s="126"/>
      <c r="V8" s="117"/>
    </row>
    <row r="9" spans="1:22" hidden="1">
      <c r="A9" s="117"/>
      <c r="C9" s="130">
        <v>1</v>
      </c>
      <c r="D9" s="130">
        <v>2</v>
      </c>
      <c r="E9" s="131">
        <v>3</v>
      </c>
      <c r="F9" s="131">
        <v>4</v>
      </c>
      <c r="G9" s="131">
        <v>5</v>
      </c>
      <c r="H9" s="131">
        <v>6</v>
      </c>
      <c r="I9" s="130">
        <v>7</v>
      </c>
      <c r="J9" s="130">
        <v>8</v>
      </c>
      <c r="K9" s="130">
        <v>9</v>
      </c>
      <c r="L9" s="130">
        <v>10</v>
      </c>
      <c r="M9" s="130">
        <v>11</v>
      </c>
      <c r="N9" s="130">
        <v>12</v>
      </c>
      <c r="O9" s="130">
        <v>13</v>
      </c>
      <c r="P9" s="130">
        <v>14</v>
      </c>
      <c r="Q9" s="130">
        <v>15</v>
      </c>
      <c r="R9" s="130">
        <v>16</v>
      </c>
      <c r="S9" s="130">
        <v>17</v>
      </c>
      <c r="T9" s="130">
        <v>18</v>
      </c>
      <c r="V9" s="117"/>
    </row>
    <row r="10" spans="1:22" ht="18" customHeight="1">
      <c r="A10" s="117"/>
      <c r="B10" s="378" t="s">
        <v>134</v>
      </c>
      <c r="C10" s="382" t="s">
        <v>128</v>
      </c>
      <c r="D10" s="378" t="s">
        <v>146</v>
      </c>
      <c r="E10" s="381" t="s">
        <v>130</v>
      </c>
      <c r="F10" s="381"/>
      <c r="G10" s="381" t="s">
        <v>131</v>
      </c>
      <c r="H10" s="381"/>
      <c r="I10" s="383" t="s">
        <v>178</v>
      </c>
      <c r="J10" s="381" t="s">
        <v>142</v>
      </c>
      <c r="K10" s="381"/>
      <c r="L10" s="381"/>
      <c r="M10" s="378" t="s">
        <v>154</v>
      </c>
      <c r="N10" s="378"/>
      <c r="O10" s="380" t="s">
        <v>136</v>
      </c>
      <c r="P10" s="380"/>
      <c r="Q10" s="380"/>
      <c r="R10" s="380" t="s">
        <v>137</v>
      </c>
      <c r="S10" s="380"/>
      <c r="T10" s="380"/>
      <c r="V10" s="117"/>
    </row>
    <row r="11" spans="1:22" ht="18" customHeight="1">
      <c r="A11" s="117"/>
      <c r="B11" s="379"/>
      <c r="C11" s="383"/>
      <c r="D11" s="379"/>
      <c r="E11" s="132" t="s">
        <v>143</v>
      </c>
      <c r="F11" s="132" t="s">
        <v>145</v>
      </c>
      <c r="G11" s="132" t="s">
        <v>143</v>
      </c>
      <c r="H11" s="132" t="s">
        <v>145</v>
      </c>
      <c r="I11" s="384"/>
      <c r="J11" s="132" t="s">
        <v>143</v>
      </c>
      <c r="K11" s="132" t="s">
        <v>144</v>
      </c>
      <c r="L11" s="132" t="s">
        <v>128</v>
      </c>
      <c r="M11" s="133" t="s">
        <v>155</v>
      </c>
      <c r="N11" s="134" t="s">
        <v>147</v>
      </c>
      <c r="O11" s="135" t="s">
        <v>129</v>
      </c>
      <c r="P11" s="132" t="s">
        <v>158</v>
      </c>
      <c r="Q11" s="136" t="s">
        <v>159</v>
      </c>
      <c r="R11" s="135" t="s">
        <v>138</v>
      </c>
      <c r="S11" s="135" t="s">
        <v>135</v>
      </c>
      <c r="T11" s="135" t="s">
        <v>136</v>
      </c>
      <c r="V11" s="117"/>
    </row>
    <row r="12" spans="1:22" ht="18" hidden="1" customHeight="1">
      <c r="A12" s="117"/>
      <c r="B12" s="137"/>
      <c r="C12" s="138" t="s">
        <v>28</v>
      </c>
      <c r="D12" s="139" t="s">
        <v>163</v>
      </c>
      <c r="E12" s="132"/>
      <c r="F12" s="132"/>
      <c r="G12" s="132"/>
      <c r="H12" s="132"/>
      <c r="I12" s="140"/>
      <c r="J12" s="132"/>
      <c r="K12" s="132"/>
      <c r="L12" s="132"/>
      <c r="M12" s="133"/>
      <c r="N12" s="134"/>
      <c r="O12" s="135"/>
      <c r="P12" s="132"/>
      <c r="Q12" s="136"/>
      <c r="R12" s="135"/>
      <c r="S12" s="135"/>
      <c r="T12" s="135"/>
      <c r="V12" s="117"/>
    </row>
    <row r="13" spans="1:22" ht="18" customHeight="1">
      <c r="A13" s="117"/>
      <c r="B13" s="137">
        <v>1</v>
      </c>
      <c r="C13" s="137">
        <v>2</v>
      </c>
      <c r="D13" s="137">
        <v>3</v>
      </c>
      <c r="E13" s="137">
        <v>4</v>
      </c>
      <c r="F13" s="137">
        <v>5</v>
      </c>
      <c r="G13" s="137">
        <v>6</v>
      </c>
      <c r="H13" s="137">
        <v>7</v>
      </c>
      <c r="I13" s="137">
        <v>8</v>
      </c>
      <c r="J13" s="137">
        <v>9</v>
      </c>
      <c r="K13" s="137">
        <v>10</v>
      </c>
      <c r="L13" s="137">
        <v>11</v>
      </c>
      <c r="M13" s="137">
        <v>12</v>
      </c>
      <c r="N13" s="137">
        <v>13</v>
      </c>
      <c r="O13" s="137">
        <v>14</v>
      </c>
      <c r="P13" s="137">
        <v>15</v>
      </c>
      <c r="Q13" s="137">
        <v>16</v>
      </c>
      <c r="R13" s="137">
        <v>17</v>
      </c>
      <c r="S13" s="137">
        <v>18</v>
      </c>
      <c r="T13" s="137">
        <v>19</v>
      </c>
      <c r="V13" s="117"/>
    </row>
    <row r="14" spans="1:22" ht="15" customHeight="1">
      <c r="A14" s="117"/>
      <c r="B14" s="141" t="str">
        <f>IF(D14="","","P"&amp;D14&amp;"MA"&amp;COUNTIF($D$14:D14,D14))</f>
        <v>PE101MA1</v>
      </c>
      <c r="C14" s="159">
        <v>41883</v>
      </c>
      <c r="D14" s="160" t="s">
        <v>209</v>
      </c>
      <c r="E14" s="161">
        <v>9</v>
      </c>
      <c r="F14" s="161">
        <v>0</v>
      </c>
      <c r="G14" s="161">
        <v>11</v>
      </c>
      <c r="H14" s="161">
        <v>47</v>
      </c>
      <c r="I14" s="159"/>
      <c r="J14" s="141" t="s">
        <v>35</v>
      </c>
      <c r="K14" s="141"/>
      <c r="L14" s="141"/>
      <c r="M14" s="142">
        <f>(IF(I14&lt;&gt;"",(I14-C14)*24*60,0)+G14*60+H14-E14*60-F14)/60</f>
        <v>2.7833333333333332</v>
      </c>
      <c r="N14" s="142">
        <f>INT(M14)+IF(MOD(M14,2)&gt;0.25,1,0)</f>
        <v>3</v>
      </c>
      <c r="O14" s="143">
        <f t="shared" ref="O14:O1014" si="0">IF(J14&lt;&gt;"",DG_nghigio+DG_themgio*(N14-1),IF(K14&lt;&gt;"",DG_quadem+DG_themgio*(N14-12),DG_ngay*L14))</f>
        <v>80000</v>
      </c>
      <c r="P14" s="143">
        <f ca="1">IF(B14="",0,SUMIF('NHAP XUAT'!$G$10:$J$1011,'Ghi So'!B14,'NHAP XUAT'!$J$10:$J$1011))</f>
        <v>40000</v>
      </c>
      <c r="Q14" s="143">
        <f ca="1">O14+P14</f>
        <v>120000</v>
      </c>
      <c r="R14" s="168">
        <v>2</v>
      </c>
      <c r="S14" s="168">
        <v>12000</v>
      </c>
      <c r="T14" s="143">
        <f>R14*S14</f>
        <v>24000</v>
      </c>
      <c r="U14" s="121" t="str">
        <f>D14&amp;IF(AND(G14="",H14="",I14=""),"Close","Open")</f>
        <v>E101Open</v>
      </c>
      <c r="V14" s="117"/>
    </row>
    <row r="15" spans="1:22" ht="15" customHeight="1">
      <c r="A15" s="117"/>
      <c r="B15" s="144" t="str">
        <f>IF(D15="","","P"&amp;D15&amp;"MA"&amp;COUNTIF($D$14:D15,D15))</f>
        <v>PE102MA1</v>
      </c>
      <c r="C15" s="162">
        <v>41883</v>
      </c>
      <c r="D15" s="163" t="s">
        <v>210</v>
      </c>
      <c r="E15" s="164">
        <v>15</v>
      </c>
      <c r="F15" s="164">
        <v>20</v>
      </c>
      <c r="G15" s="164">
        <v>17</v>
      </c>
      <c r="H15" s="164">
        <v>0</v>
      </c>
      <c r="I15" s="162"/>
      <c r="J15" s="144" t="s">
        <v>35</v>
      </c>
      <c r="K15" s="144"/>
      <c r="L15" s="144"/>
      <c r="M15" s="145">
        <f t="shared" ref="M15:M1014" si="1">(IF(I15&lt;&gt;"",(I15-C15)*24*60,0)+G15*60+H15-E15*60-F15)/60</f>
        <v>1.6666666666666667</v>
      </c>
      <c r="N15" s="145">
        <f t="shared" ref="N15:N1014" si="2">INT(M15)+IF(MOD(M15,2)&gt;0.25,1,0)</f>
        <v>2</v>
      </c>
      <c r="O15" s="146">
        <f t="shared" si="0"/>
        <v>70000</v>
      </c>
      <c r="P15" s="146">
        <f ca="1">IF(B15="",0,SUMIF('NHAP XUAT'!$G$10:$J$1011,'Ghi So'!B15,'NHAP XUAT'!$J$10:$J$1011))</f>
        <v>20000</v>
      </c>
      <c r="Q15" s="146">
        <f t="shared" ref="Q15:Q1014" ca="1" si="3">O15+P15</f>
        <v>90000</v>
      </c>
      <c r="R15" s="169">
        <v>1</v>
      </c>
      <c r="S15" s="169">
        <v>12000</v>
      </c>
      <c r="T15" s="146">
        <f t="shared" ref="T15:T1014" si="4">R15*S15</f>
        <v>12000</v>
      </c>
      <c r="U15" s="121" t="str">
        <f t="shared" ref="U15:U1014" si="5">D15&amp;IF(AND(G15="",H15="",I15=""),"Close","Open")</f>
        <v>E102Open</v>
      </c>
      <c r="V15" s="117"/>
    </row>
    <row r="16" spans="1:22" ht="15" customHeight="1">
      <c r="A16" s="117"/>
      <c r="B16" s="144" t="str">
        <f>IF(D16="","","P"&amp;D16&amp;"MA"&amp;COUNTIF($D$14:D16,D16))</f>
        <v>PE101MA2</v>
      </c>
      <c r="C16" s="162">
        <v>41884</v>
      </c>
      <c r="D16" s="163" t="s">
        <v>209</v>
      </c>
      <c r="E16" s="164">
        <v>21</v>
      </c>
      <c r="F16" s="164">
        <v>0</v>
      </c>
      <c r="G16" s="164">
        <v>9</v>
      </c>
      <c r="H16" s="164">
        <v>15</v>
      </c>
      <c r="I16" s="162">
        <v>41885</v>
      </c>
      <c r="J16" s="144"/>
      <c r="K16" s="144" t="s">
        <v>35</v>
      </c>
      <c r="L16" s="144"/>
      <c r="M16" s="145">
        <f t="shared" si="1"/>
        <v>12.25</v>
      </c>
      <c r="N16" s="145">
        <f t="shared" si="2"/>
        <v>12</v>
      </c>
      <c r="O16" s="146">
        <f t="shared" si="0"/>
        <v>150000</v>
      </c>
      <c r="P16" s="146">
        <f ca="1">IF(B16="",0,SUMIF('NHAP XUAT'!$G$10:$J$1011,'Ghi So'!B16,'NHAP XUAT'!$J$10:$J$1011))</f>
        <v>0</v>
      </c>
      <c r="Q16" s="146">
        <f t="shared" ca="1" si="3"/>
        <v>150000</v>
      </c>
      <c r="R16" s="169">
        <v>2</v>
      </c>
      <c r="S16" s="169">
        <v>12000</v>
      </c>
      <c r="T16" s="146">
        <f t="shared" si="4"/>
        <v>24000</v>
      </c>
      <c r="U16" s="121" t="str">
        <f t="shared" si="5"/>
        <v>E101Open</v>
      </c>
      <c r="V16" s="117"/>
    </row>
    <row r="17" spans="1:22" ht="15" customHeight="1">
      <c r="A17" s="117"/>
      <c r="B17" s="144" t="str">
        <f>IF(D17="","","P"&amp;D17&amp;"MA"&amp;COUNTIF($D$14:D17,D17))</f>
        <v>PE102MA2</v>
      </c>
      <c r="C17" s="162">
        <v>41884</v>
      </c>
      <c r="D17" s="163" t="s">
        <v>210</v>
      </c>
      <c r="E17" s="164">
        <v>16</v>
      </c>
      <c r="F17" s="164">
        <v>0</v>
      </c>
      <c r="G17" s="164">
        <v>12</v>
      </c>
      <c r="H17" s="164">
        <v>0</v>
      </c>
      <c r="I17" s="162">
        <v>41887</v>
      </c>
      <c r="J17" s="144"/>
      <c r="K17" s="144"/>
      <c r="L17" s="144">
        <v>3</v>
      </c>
      <c r="M17" s="145">
        <f t="shared" si="1"/>
        <v>68</v>
      </c>
      <c r="N17" s="145">
        <f t="shared" si="2"/>
        <v>68</v>
      </c>
      <c r="O17" s="146">
        <f t="shared" si="0"/>
        <v>750000</v>
      </c>
      <c r="P17" s="146">
        <f ca="1">IF(B17="",0,SUMIF('NHAP XUAT'!$G$10:$J$1011,'Ghi So'!B17,'NHAP XUAT'!$J$10:$J$1011))</f>
        <v>0</v>
      </c>
      <c r="Q17" s="146">
        <f t="shared" ca="1" si="3"/>
        <v>750000</v>
      </c>
      <c r="R17" s="169">
        <v>1</v>
      </c>
      <c r="S17" s="169">
        <v>12000</v>
      </c>
      <c r="T17" s="146">
        <f t="shared" si="4"/>
        <v>12000</v>
      </c>
      <c r="U17" s="121" t="str">
        <f t="shared" si="5"/>
        <v>E102Open</v>
      </c>
      <c r="V17" s="117"/>
    </row>
    <row r="18" spans="1:22" ht="15" customHeight="1">
      <c r="A18" s="117"/>
      <c r="B18" s="144" t="str">
        <f>IF(D18="","","P"&amp;D18&amp;"MA"&amp;COUNTIF($D$14:D18,D18))</f>
        <v>PE103MA1</v>
      </c>
      <c r="C18" s="162">
        <v>41885</v>
      </c>
      <c r="D18" s="163" t="s">
        <v>211</v>
      </c>
      <c r="E18" s="164">
        <v>13</v>
      </c>
      <c r="F18" s="164">
        <v>5</v>
      </c>
      <c r="G18" s="164"/>
      <c r="H18" s="164"/>
      <c r="I18" s="162"/>
      <c r="J18" s="144"/>
      <c r="K18" s="144"/>
      <c r="L18" s="144">
        <v>10</v>
      </c>
      <c r="M18" s="145">
        <f t="shared" si="1"/>
        <v>-13.083333333333334</v>
      </c>
      <c r="N18" s="145">
        <f t="shared" si="2"/>
        <v>-13</v>
      </c>
      <c r="O18" s="146">
        <f t="shared" si="0"/>
        <v>2500000</v>
      </c>
      <c r="P18" s="146">
        <f ca="1">IF(B18="",0,SUMIF('NHAP XUAT'!$G$10:$J$1011,'Ghi So'!B18,'NHAP XUAT'!$J$10:$J$1011))</f>
        <v>0</v>
      </c>
      <c r="Q18" s="146">
        <f t="shared" ca="1" si="3"/>
        <v>2500000</v>
      </c>
      <c r="R18" s="169">
        <v>10</v>
      </c>
      <c r="S18" s="169">
        <v>12000</v>
      </c>
      <c r="T18" s="146">
        <f t="shared" si="4"/>
        <v>120000</v>
      </c>
      <c r="U18" s="121" t="str">
        <f t="shared" si="5"/>
        <v>E103Close</v>
      </c>
      <c r="V18" s="117"/>
    </row>
    <row r="19" spans="1:22" ht="15" customHeight="1">
      <c r="A19" s="117"/>
      <c r="B19" s="144" t="str">
        <f>IF(D19="","","P"&amp;D19&amp;"MA"&amp;COUNTIF($D$14:D19,D19))</f>
        <v>PE101MA3</v>
      </c>
      <c r="C19" s="162">
        <v>41885</v>
      </c>
      <c r="D19" s="163" t="s">
        <v>209</v>
      </c>
      <c r="E19" s="164">
        <v>7</v>
      </c>
      <c r="F19" s="164">
        <v>20</v>
      </c>
      <c r="G19" s="164"/>
      <c r="H19" s="164"/>
      <c r="I19" s="162"/>
      <c r="J19" s="144"/>
      <c r="K19" s="144"/>
      <c r="L19" s="144"/>
      <c r="M19" s="145">
        <f t="shared" si="1"/>
        <v>-7.333333333333333</v>
      </c>
      <c r="N19" s="145">
        <f t="shared" si="2"/>
        <v>-7</v>
      </c>
      <c r="O19" s="146">
        <f t="shared" si="0"/>
        <v>0</v>
      </c>
      <c r="P19" s="146">
        <f ca="1">IF(B19="",0,SUMIF('NHAP XUAT'!$G$10:$J$1011,'Ghi So'!B19,'NHAP XUAT'!$J$10:$J$1011))</f>
        <v>0</v>
      </c>
      <c r="Q19" s="146">
        <f t="shared" ca="1" si="3"/>
        <v>0</v>
      </c>
      <c r="R19" s="169"/>
      <c r="S19" s="169"/>
      <c r="T19" s="146">
        <f t="shared" si="4"/>
        <v>0</v>
      </c>
      <c r="U19" s="121" t="str">
        <f t="shared" si="5"/>
        <v>E101Close</v>
      </c>
      <c r="V19" s="117"/>
    </row>
    <row r="20" spans="1:22" ht="15" customHeight="1">
      <c r="A20" s="117"/>
      <c r="B20" s="144" t="str">
        <f>IF(D20="","","P"&amp;D20&amp;"MA"&amp;COUNTIF($D$14:D20,D20))</f>
        <v/>
      </c>
      <c r="C20" s="162"/>
      <c r="D20" s="163"/>
      <c r="E20" s="164"/>
      <c r="F20" s="164"/>
      <c r="G20" s="164"/>
      <c r="H20" s="164"/>
      <c r="I20" s="162"/>
      <c r="J20" s="144"/>
      <c r="K20" s="144"/>
      <c r="L20" s="144"/>
      <c r="M20" s="145">
        <f t="shared" si="1"/>
        <v>0</v>
      </c>
      <c r="N20" s="145">
        <f t="shared" si="2"/>
        <v>0</v>
      </c>
      <c r="O20" s="146">
        <f t="shared" si="0"/>
        <v>0</v>
      </c>
      <c r="P20" s="146">
        <f>IF(B20="",0,SUMIF('NHAP XUAT'!$G$10:$J$1011,'Ghi So'!B20,'NHAP XUAT'!$J$10:$J$1011))</f>
        <v>0</v>
      </c>
      <c r="Q20" s="146">
        <f t="shared" si="3"/>
        <v>0</v>
      </c>
      <c r="R20" s="169"/>
      <c r="S20" s="169"/>
      <c r="T20" s="146">
        <f t="shared" si="4"/>
        <v>0</v>
      </c>
      <c r="U20" s="121" t="str">
        <f t="shared" si="5"/>
        <v>Close</v>
      </c>
      <c r="V20" s="117"/>
    </row>
    <row r="21" spans="1:22" ht="15" customHeight="1">
      <c r="A21" s="117"/>
      <c r="B21" s="144" t="str">
        <f>IF(D21="","","P"&amp;D21&amp;"MA"&amp;COUNTIF($D$14:D21,D21))</f>
        <v/>
      </c>
      <c r="C21" s="162"/>
      <c r="D21" s="163"/>
      <c r="E21" s="164"/>
      <c r="F21" s="164"/>
      <c r="G21" s="164"/>
      <c r="H21" s="164"/>
      <c r="I21" s="162"/>
      <c r="J21" s="144"/>
      <c r="K21" s="144"/>
      <c r="L21" s="144"/>
      <c r="M21" s="145">
        <f t="shared" si="1"/>
        <v>0</v>
      </c>
      <c r="N21" s="145">
        <f t="shared" si="2"/>
        <v>0</v>
      </c>
      <c r="O21" s="146">
        <f t="shared" si="0"/>
        <v>0</v>
      </c>
      <c r="P21" s="146">
        <f>IF(B21="",0,SUMIF('NHAP XUAT'!$G$10:$J$1011,'Ghi So'!B21,'NHAP XUAT'!$J$10:$J$1011))</f>
        <v>0</v>
      </c>
      <c r="Q21" s="146">
        <f t="shared" si="3"/>
        <v>0</v>
      </c>
      <c r="R21" s="169"/>
      <c r="S21" s="169"/>
      <c r="T21" s="146">
        <f t="shared" si="4"/>
        <v>0</v>
      </c>
      <c r="U21" s="121" t="str">
        <f t="shared" si="5"/>
        <v>Close</v>
      </c>
      <c r="V21" s="117"/>
    </row>
    <row r="22" spans="1:22" ht="15" customHeight="1">
      <c r="A22" s="117"/>
      <c r="B22" s="144" t="str">
        <f>IF(D22="","","P"&amp;D22&amp;"MA"&amp;COUNTIF($D$14:D22,D22))</f>
        <v/>
      </c>
      <c r="C22" s="162"/>
      <c r="D22" s="163"/>
      <c r="E22" s="164"/>
      <c r="F22" s="164"/>
      <c r="G22" s="164"/>
      <c r="H22" s="164"/>
      <c r="I22" s="162"/>
      <c r="J22" s="144"/>
      <c r="K22" s="144"/>
      <c r="L22" s="144"/>
      <c r="M22" s="145">
        <f t="shared" si="1"/>
        <v>0</v>
      </c>
      <c r="N22" s="145">
        <f t="shared" si="2"/>
        <v>0</v>
      </c>
      <c r="O22" s="146">
        <f t="shared" si="0"/>
        <v>0</v>
      </c>
      <c r="P22" s="146">
        <f>IF(B22="",0,SUMIF('NHAP XUAT'!$G$10:$J$1011,'Ghi So'!B22,'NHAP XUAT'!$J$10:$J$1011))</f>
        <v>0</v>
      </c>
      <c r="Q22" s="146">
        <f t="shared" si="3"/>
        <v>0</v>
      </c>
      <c r="R22" s="169"/>
      <c r="S22" s="169"/>
      <c r="T22" s="146">
        <f t="shared" si="4"/>
        <v>0</v>
      </c>
      <c r="U22" s="121" t="str">
        <f t="shared" si="5"/>
        <v>Close</v>
      </c>
      <c r="V22" s="117"/>
    </row>
    <row r="23" spans="1:22" ht="15" customHeight="1">
      <c r="A23" s="117"/>
      <c r="B23" s="144" t="str">
        <f>IF(D23="","","P"&amp;D23&amp;"MA"&amp;COUNTIF($D$14:D23,D23))</f>
        <v/>
      </c>
      <c r="C23" s="162"/>
      <c r="D23" s="163"/>
      <c r="E23" s="164"/>
      <c r="F23" s="164"/>
      <c r="G23" s="164"/>
      <c r="H23" s="164"/>
      <c r="I23" s="162"/>
      <c r="J23" s="144"/>
      <c r="K23" s="144"/>
      <c r="L23" s="144"/>
      <c r="M23" s="145">
        <f t="shared" si="1"/>
        <v>0</v>
      </c>
      <c r="N23" s="145">
        <f t="shared" si="2"/>
        <v>0</v>
      </c>
      <c r="O23" s="146">
        <f t="shared" si="0"/>
        <v>0</v>
      </c>
      <c r="P23" s="146">
        <f>IF(B23="",0,SUMIF('NHAP XUAT'!$G$10:$J$1011,'Ghi So'!B23,'NHAP XUAT'!$J$10:$J$1011))</f>
        <v>0</v>
      </c>
      <c r="Q23" s="146">
        <f t="shared" si="3"/>
        <v>0</v>
      </c>
      <c r="R23" s="169"/>
      <c r="S23" s="169"/>
      <c r="T23" s="146">
        <f t="shared" si="4"/>
        <v>0</v>
      </c>
      <c r="U23" s="121" t="str">
        <f t="shared" si="5"/>
        <v>Close</v>
      </c>
      <c r="V23" s="117"/>
    </row>
    <row r="24" spans="1:22" ht="15" customHeight="1">
      <c r="A24" s="117"/>
      <c r="B24" s="144" t="str">
        <f>IF(D24="","","P"&amp;D24&amp;"MA"&amp;COUNTIF($D$14:D24,D24))</f>
        <v/>
      </c>
      <c r="C24" s="162"/>
      <c r="D24" s="163"/>
      <c r="E24" s="164"/>
      <c r="F24" s="164"/>
      <c r="G24" s="164"/>
      <c r="H24" s="164"/>
      <c r="I24" s="162"/>
      <c r="J24" s="144"/>
      <c r="K24" s="144"/>
      <c r="L24" s="144"/>
      <c r="M24" s="145">
        <f t="shared" si="1"/>
        <v>0</v>
      </c>
      <c r="N24" s="145">
        <f t="shared" si="2"/>
        <v>0</v>
      </c>
      <c r="O24" s="146">
        <f t="shared" si="0"/>
        <v>0</v>
      </c>
      <c r="P24" s="146">
        <f>IF(B24="",0,SUMIF('NHAP XUAT'!$G$10:$J$1011,'Ghi So'!B24,'NHAP XUAT'!$J$10:$J$1011))</f>
        <v>0</v>
      </c>
      <c r="Q24" s="146">
        <f t="shared" si="3"/>
        <v>0</v>
      </c>
      <c r="R24" s="169"/>
      <c r="S24" s="169"/>
      <c r="T24" s="146">
        <f t="shared" si="4"/>
        <v>0</v>
      </c>
      <c r="U24" s="121" t="str">
        <f t="shared" si="5"/>
        <v>Close</v>
      </c>
      <c r="V24" s="117"/>
    </row>
    <row r="25" spans="1:22" ht="15" customHeight="1">
      <c r="A25" s="117"/>
      <c r="B25" s="144" t="str">
        <f>IF(D25="","","P"&amp;D25&amp;"MA"&amp;COUNTIF($D$14:D25,D25))</f>
        <v/>
      </c>
      <c r="C25" s="162"/>
      <c r="D25" s="163"/>
      <c r="E25" s="164"/>
      <c r="F25" s="164"/>
      <c r="G25" s="164"/>
      <c r="H25" s="164"/>
      <c r="I25" s="162"/>
      <c r="J25" s="144"/>
      <c r="K25" s="144"/>
      <c r="L25" s="144"/>
      <c r="M25" s="145">
        <f t="shared" si="1"/>
        <v>0</v>
      </c>
      <c r="N25" s="145">
        <f t="shared" si="2"/>
        <v>0</v>
      </c>
      <c r="O25" s="146">
        <f t="shared" si="0"/>
        <v>0</v>
      </c>
      <c r="P25" s="146">
        <f>IF(B25="",0,SUMIF('NHAP XUAT'!$G$10:$J$1011,'Ghi So'!B25,'NHAP XUAT'!$J$10:$J$1011))</f>
        <v>0</v>
      </c>
      <c r="Q25" s="146">
        <f t="shared" si="3"/>
        <v>0</v>
      </c>
      <c r="R25" s="169"/>
      <c r="S25" s="169"/>
      <c r="T25" s="146">
        <f t="shared" si="4"/>
        <v>0</v>
      </c>
      <c r="U25" s="121" t="str">
        <f t="shared" si="5"/>
        <v>Close</v>
      </c>
      <c r="V25" s="117"/>
    </row>
    <row r="26" spans="1:22" ht="15" customHeight="1">
      <c r="A26" s="117"/>
      <c r="B26" s="144" t="str">
        <f>IF(D26="","","P"&amp;D26&amp;"MA"&amp;COUNTIF($D$14:D26,D26))</f>
        <v/>
      </c>
      <c r="C26" s="162"/>
      <c r="D26" s="163"/>
      <c r="E26" s="164"/>
      <c r="F26" s="164"/>
      <c r="G26" s="164"/>
      <c r="H26" s="164"/>
      <c r="I26" s="162"/>
      <c r="J26" s="144"/>
      <c r="K26" s="144"/>
      <c r="L26" s="144"/>
      <c r="M26" s="145">
        <f t="shared" si="1"/>
        <v>0</v>
      </c>
      <c r="N26" s="145">
        <f t="shared" si="2"/>
        <v>0</v>
      </c>
      <c r="O26" s="146">
        <f t="shared" si="0"/>
        <v>0</v>
      </c>
      <c r="P26" s="146">
        <f>IF(B26="",0,SUMIF('NHAP XUAT'!$G$10:$J$1011,'Ghi So'!B26,'NHAP XUAT'!$J$10:$J$1011))</f>
        <v>0</v>
      </c>
      <c r="Q26" s="146">
        <f t="shared" si="3"/>
        <v>0</v>
      </c>
      <c r="R26" s="169"/>
      <c r="S26" s="169"/>
      <c r="T26" s="146">
        <f t="shared" si="4"/>
        <v>0</v>
      </c>
      <c r="U26" s="121" t="str">
        <f t="shared" si="5"/>
        <v>Close</v>
      </c>
      <c r="V26" s="117"/>
    </row>
    <row r="27" spans="1:22" ht="15" customHeight="1">
      <c r="A27" s="117"/>
      <c r="B27" s="144" t="str">
        <f>IF(D27="","","P"&amp;D27&amp;"MA"&amp;COUNTIF($D$14:D27,D27))</f>
        <v/>
      </c>
      <c r="C27" s="162"/>
      <c r="D27" s="163"/>
      <c r="E27" s="164"/>
      <c r="F27" s="164"/>
      <c r="G27" s="164"/>
      <c r="H27" s="164"/>
      <c r="I27" s="162"/>
      <c r="J27" s="144"/>
      <c r="K27" s="144"/>
      <c r="L27" s="144"/>
      <c r="M27" s="145">
        <f t="shared" si="1"/>
        <v>0</v>
      </c>
      <c r="N27" s="145">
        <f t="shared" si="2"/>
        <v>0</v>
      </c>
      <c r="O27" s="146">
        <f t="shared" si="0"/>
        <v>0</v>
      </c>
      <c r="P27" s="146">
        <f>IF(B27="",0,SUMIF('NHAP XUAT'!$G$10:$J$1011,'Ghi So'!B27,'NHAP XUAT'!$J$10:$J$1011))</f>
        <v>0</v>
      </c>
      <c r="Q27" s="146">
        <f t="shared" si="3"/>
        <v>0</v>
      </c>
      <c r="R27" s="169"/>
      <c r="S27" s="169"/>
      <c r="T27" s="146">
        <f t="shared" si="4"/>
        <v>0</v>
      </c>
      <c r="U27" s="121" t="str">
        <f t="shared" si="5"/>
        <v>Close</v>
      </c>
      <c r="V27" s="117"/>
    </row>
    <row r="28" spans="1:22" ht="15" customHeight="1">
      <c r="A28" s="117"/>
      <c r="B28" s="144" t="str">
        <f>IF(D28="","","P"&amp;D28&amp;"MA"&amp;COUNTIF($D$14:D28,D28))</f>
        <v/>
      </c>
      <c r="C28" s="162"/>
      <c r="D28" s="163"/>
      <c r="E28" s="164"/>
      <c r="F28" s="164"/>
      <c r="G28" s="164"/>
      <c r="H28" s="164"/>
      <c r="I28" s="162"/>
      <c r="J28" s="144"/>
      <c r="K28" s="144"/>
      <c r="L28" s="144"/>
      <c r="M28" s="145">
        <f t="shared" si="1"/>
        <v>0</v>
      </c>
      <c r="N28" s="145">
        <f t="shared" si="2"/>
        <v>0</v>
      </c>
      <c r="O28" s="146">
        <f t="shared" si="0"/>
        <v>0</v>
      </c>
      <c r="P28" s="146">
        <f>IF(B28="",0,SUMIF('NHAP XUAT'!$G$10:$J$1011,'Ghi So'!B28,'NHAP XUAT'!$J$10:$J$1011))</f>
        <v>0</v>
      </c>
      <c r="Q28" s="146">
        <f t="shared" si="3"/>
        <v>0</v>
      </c>
      <c r="R28" s="169"/>
      <c r="S28" s="169"/>
      <c r="T28" s="146">
        <f t="shared" si="4"/>
        <v>0</v>
      </c>
      <c r="U28" s="121" t="str">
        <f t="shared" si="5"/>
        <v>Close</v>
      </c>
      <c r="V28" s="117"/>
    </row>
    <row r="29" spans="1:22" ht="15" customHeight="1">
      <c r="A29" s="117"/>
      <c r="B29" s="144" t="str">
        <f>IF(D29="","","P"&amp;D29&amp;"MA"&amp;COUNTIF($D$14:D29,D29))</f>
        <v/>
      </c>
      <c r="C29" s="162"/>
      <c r="D29" s="163"/>
      <c r="E29" s="164"/>
      <c r="F29" s="164"/>
      <c r="G29" s="164"/>
      <c r="H29" s="164"/>
      <c r="I29" s="162"/>
      <c r="J29" s="144"/>
      <c r="K29" s="144"/>
      <c r="L29" s="144"/>
      <c r="M29" s="145">
        <f t="shared" ref="M29:M92" si="6">(IF(I29&lt;&gt;"",(I29-C29)*24*60,0)+G29*60+H29-E29*60-F29)/60</f>
        <v>0</v>
      </c>
      <c r="N29" s="145">
        <f t="shared" ref="N29:N92" si="7">INT(M29)+IF(MOD(M29,2)&gt;0.25,1,0)</f>
        <v>0</v>
      </c>
      <c r="O29" s="146">
        <f t="shared" ref="O29:O92" si="8">IF(J29&lt;&gt;"",DG_nghigio+DG_themgio*(N29-1),IF(K29&lt;&gt;"",DG_quadem+DG_themgio*(N29-12),DG_ngay*L29))</f>
        <v>0</v>
      </c>
      <c r="P29" s="146">
        <f>IF(B29="",0,SUMIF('NHAP XUAT'!$G$10:$J$1011,'Ghi So'!B29,'NHAP XUAT'!$J$10:$J$1011))</f>
        <v>0</v>
      </c>
      <c r="Q29" s="146">
        <f t="shared" ref="Q29:Q92" si="9">O29+P29</f>
        <v>0</v>
      </c>
      <c r="R29" s="169"/>
      <c r="S29" s="169"/>
      <c r="T29" s="146">
        <f t="shared" ref="T29:T92" si="10">R29*S29</f>
        <v>0</v>
      </c>
      <c r="U29" s="121" t="str">
        <f t="shared" ref="U29:U92" si="11">D29&amp;IF(AND(G29="",H29="",I29=""),"Close","Open")</f>
        <v>Close</v>
      </c>
      <c r="V29" s="117"/>
    </row>
    <row r="30" spans="1:22" ht="15" customHeight="1">
      <c r="A30" s="117"/>
      <c r="B30" s="144" t="str">
        <f>IF(D30="","","P"&amp;D30&amp;"MA"&amp;COUNTIF($D$14:D30,D30))</f>
        <v/>
      </c>
      <c r="C30" s="162"/>
      <c r="D30" s="163"/>
      <c r="E30" s="164"/>
      <c r="F30" s="164"/>
      <c r="G30" s="164"/>
      <c r="H30" s="164"/>
      <c r="I30" s="162"/>
      <c r="J30" s="144"/>
      <c r="K30" s="144"/>
      <c r="L30" s="144"/>
      <c r="M30" s="145">
        <f t="shared" si="6"/>
        <v>0</v>
      </c>
      <c r="N30" s="145">
        <f t="shared" si="7"/>
        <v>0</v>
      </c>
      <c r="O30" s="146">
        <f t="shared" si="8"/>
        <v>0</v>
      </c>
      <c r="P30" s="146">
        <f>IF(B30="",0,SUMIF('NHAP XUAT'!$G$10:$J$1011,'Ghi So'!B30,'NHAP XUAT'!$J$10:$J$1011))</f>
        <v>0</v>
      </c>
      <c r="Q30" s="146">
        <f t="shared" si="9"/>
        <v>0</v>
      </c>
      <c r="R30" s="169"/>
      <c r="S30" s="169"/>
      <c r="T30" s="146">
        <f t="shared" si="10"/>
        <v>0</v>
      </c>
      <c r="U30" s="121" t="str">
        <f t="shared" si="11"/>
        <v>Close</v>
      </c>
      <c r="V30" s="117"/>
    </row>
    <row r="31" spans="1:22" ht="15" customHeight="1">
      <c r="A31" s="117"/>
      <c r="B31" s="144" t="str">
        <f>IF(D31="","","P"&amp;D31&amp;"MA"&amp;COUNTIF($D$14:D31,D31))</f>
        <v/>
      </c>
      <c r="C31" s="162"/>
      <c r="D31" s="163"/>
      <c r="E31" s="164"/>
      <c r="F31" s="164"/>
      <c r="G31" s="164"/>
      <c r="H31" s="164"/>
      <c r="I31" s="162"/>
      <c r="J31" s="144"/>
      <c r="K31" s="144"/>
      <c r="L31" s="144"/>
      <c r="M31" s="145">
        <f t="shared" si="6"/>
        <v>0</v>
      </c>
      <c r="N31" s="145">
        <f t="shared" si="7"/>
        <v>0</v>
      </c>
      <c r="O31" s="146">
        <f t="shared" si="8"/>
        <v>0</v>
      </c>
      <c r="P31" s="146">
        <f>IF(B31="",0,SUMIF('NHAP XUAT'!$G$10:$J$1011,'Ghi So'!B31,'NHAP XUAT'!$J$10:$J$1011))</f>
        <v>0</v>
      </c>
      <c r="Q31" s="146">
        <f t="shared" si="9"/>
        <v>0</v>
      </c>
      <c r="R31" s="169"/>
      <c r="S31" s="169"/>
      <c r="T31" s="146">
        <f t="shared" si="10"/>
        <v>0</v>
      </c>
      <c r="U31" s="121" t="str">
        <f t="shared" si="11"/>
        <v>Close</v>
      </c>
      <c r="V31" s="117"/>
    </row>
    <row r="32" spans="1:22" ht="15" customHeight="1">
      <c r="A32" s="117"/>
      <c r="B32" s="144" t="str">
        <f>IF(D32="","","P"&amp;D32&amp;"MA"&amp;COUNTIF($D$14:D32,D32))</f>
        <v/>
      </c>
      <c r="C32" s="162"/>
      <c r="D32" s="163"/>
      <c r="E32" s="164"/>
      <c r="F32" s="164"/>
      <c r="G32" s="164"/>
      <c r="H32" s="164"/>
      <c r="I32" s="162"/>
      <c r="J32" s="144"/>
      <c r="K32" s="144"/>
      <c r="L32" s="144"/>
      <c r="M32" s="145">
        <f t="shared" si="6"/>
        <v>0</v>
      </c>
      <c r="N32" s="145">
        <f t="shared" si="7"/>
        <v>0</v>
      </c>
      <c r="O32" s="146">
        <f t="shared" si="8"/>
        <v>0</v>
      </c>
      <c r="P32" s="146">
        <f>IF(B32="",0,SUMIF('NHAP XUAT'!$G$10:$J$1011,'Ghi So'!B32,'NHAP XUAT'!$J$10:$J$1011))</f>
        <v>0</v>
      </c>
      <c r="Q32" s="146">
        <f t="shared" si="9"/>
        <v>0</v>
      </c>
      <c r="R32" s="169"/>
      <c r="S32" s="169"/>
      <c r="T32" s="146">
        <f t="shared" si="10"/>
        <v>0</v>
      </c>
      <c r="U32" s="121" t="str">
        <f t="shared" si="11"/>
        <v>Close</v>
      </c>
      <c r="V32" s="117"/>
    </row>
    <row r="33" spans="1:22" ht="15" customHeight="1">
      <c r="A33" s="117"/>
      <c r="B33" s="144" t="str">
        <f>IF(D33="","","P"&amp;D33&amp;"MA"&amp;COUNTIF($D$14:D33,D33))</f>
        <v/>
      </c>
      <c r="C33" s="162"/>
      <c r="D33" s="163"/>
      <c r="E33" s="164"/>
      <c r="F33" s="164"/>
      <c r="G33" s="164"/>
      <c r="H33" s="164"/>
      <c r="I33" s="162"/>
      <c r="J33" s="144"/>
      <c r="K33" s="144"/>
      <c r="L33" s="144"/>
      <c r="M33" s="145">
        <f t="shared" si="6"/>
        <v>0</v>
      </c>
      <c r="N33" s="145">
        <f t="shared" si="7"/>
        <v>0</v>
      </c>
      <c r="O33" s="146">
        <f t="shared" si="8"/>
        <v>0</v>
      </c>
      <c r="P33" s="146">
        <f>IF(B33="",0,SUMIF('NHAP XUAT'!$G$10:$J$1011,'Ghi So'!B33,'NHAP XUAT'!$J$10:$J$1011))</f>
        <v>0</v>
      </c>
      <c r="Q33" s="146">
        <f t="shared" si="9"/>
        <v>0</v>
      </c>
      <c r="R33" s="169"/>
      <c r="S33" s="169"/>
      <c r="T33" s="146">
        <f t="shared" si="10"/>
        <v>0</v>
      </c>
      <c r="U33" s="121" t="str">
        <f t="shared" si="11"/>
        <v>Close</v>
      </c>
      <c r="V33" s="117"/>
    </row>
    <row r="34" spans="1:22" ht="15" customHeight="1">
      <c r="A34" s="117"/>
      <c r="B34" s="144" t="str">
        <f>IF(D34="","","P"&amp;D34&amp;"MA"&amp;COUNTIF($D$14:D34,D34))</f>
        <v/>
      </c>
      <c r="C34" s="162"/>
      <c r="D34" s="163"/>
      <c r="E34" s="164"/>
      <c r="F34" s="164"/>
      <c r="G34" s="164"/>
      <c r="H34" s="164"/>
      <c r="I34" s="162"/>
      <c r="J34" s="144"/>
      <c r="K34" s="144"/>
      <c r="L34" s="144"/>
      <c r="M34" s="145">
        <f t="shared" si="6"/>
        <v>0</v>
      </c>
      <c r="N34" s="145">
        <f t="shared" si="7"/>
        <v>0</v>
      </c>
      <c r="O34" s="146">
        <f t="shared" si="8"/>
        <v>0</v>
      </c>
      <c r="P34" s="146">
        <f>IF(B34="",0,SUMIF('NHAP XUAT'!$G$10:$J$1011,'Ghi So'!B34,'NHAP XUAT'!$J$10:$J$1011))</f>
        <v>0</v>
      </c>
      <c r="Q34" s="146">
        <f t="shared" si="9"/>
        <v>0</v>
      </c>
      <c r="R34" s="169"/>
      <c r="S34" s="169"/>
      <c r="T34" s="146">
        <f t="shared" si="10"/>
        <v>0</v>
      </c>
      <c r="U34" s="121" t="str">
        <f t="shared" si="11"/>
        <v>Close</v>
      </c>
      <c r="V34" s="117"/>
    </row>
    <row r="35" spans="1:22" ht="15" customHeight="1">
      <c r="A35" s="117"/>
      <c r="B35" s="144" t="str">
        <f>IF(D35="","","P"&amp;D35&amp;"MA"&amp;COUNTIF($D$14:D35,D35))</f>
        <v/>
      </c>
      <c r="C35" s="162"/>
      <c r="D35" s="163"/>
      <c r="E35" s="164"/>
      <c r="F35" s="164"/>
      <c r="G35" s="164"/>
      <c r="H35" s="164"/>
      <c r="I35" s="162"/>
      <c r="J35" s="144"/>
      <c r="K35" s="144"/>
      <c r="L35" s="144"/>
      <c r="M35" s="145">
        <f t="shared" si="6"/>
        <v>0</v>
      </c>
      <c r="N35" s="145">
        <f t="shared" si="7"/>
        <v>0</v>
      </c>
      <c r="O35" s="146">
        <f t="shared" si="8"/>
        <v>0</v>
      </c>
      <c r="P35" s="146">
        <f>IF(B35="",0,SUMIF('NHAP XUAT'!$G$10:$J$1011,'Ghi So'!B35,'NHAP XUAT'!$J$10:$J$1011))</f>
        <v>0</v>
      </c>
      <c r="Q35" s="146">
        <f t="shared" si="9"/>
        <v>0</v>
      </c>
      <c r="R35" s="169"/>
      <c r="S35" s="169"/>
      <c r="T35" s="146">
        <f t="shared" si="10"/>
        <v>0</v>
      </c>
      <c r="U35" s="121" t="str">
        <f t="shared" si="11"/>
        <v>Close</v>
      </c>
      <c r="V35" s="117"/>
    </row>
    <row r="36" spans="1:22" ht="15" customHeight="1">
      <c r="A36" s="117"/>
      <c r="B36" s="144" t="str">
        <f>IF(D36="","","P"&amp;D36&amp;"MA"&amp;COUNTIF($D$14:D36,D36))</f>
        <v/>
      </c>
      <c r="C36" s="162"/>
      <c r="D36" s="163"/>
      <c r="E36" s="164"/>
      <c r="F36" s="164"/>
      <c r="G36" s="164"/>
      <c r="H36" s="164"/>
      <c r="I36" s="162"/>
      <c r="J36" s="144"/>
      <c r="K36" s="144"/>
      <c r="L36" s="144"/>
      <c r="M36" s="145">
        <f t="shared" si="6"/>
        <v>0</v>
      </c>
      <c r="N36" s="145">
        <f t="shared" si="7"/>
        <v>0</v>
      </c>
      <c r="O36" s="146">
        <f t="shared" si="8"/>
        <v>0</v>
      </c>
      <c r="P36" s="146">
        <f>IF(B36="",0,SUMIF('NHAP XUAT'!$G$10:$J$1011,'Ghi So'!B36,'NHAP XUAT'!$J$10:$J$1011))</f>
        <v>0</v>
      </c>
      <c r="Q36" s="146">
        <f t="shared" si="9"/>
        <v>0</v>
      </c>
      <c r="R36" s="169"/>
      <c r="S36" s="169"/>
      <c r="T36" s="146">
        <f t="shared" si="10"/>
        <v>0</v>
      </c>
      <c r="U36" s="121" t="str">
        <f t="shared" si="11"/>
        <v>Close</v>
      </c>
      <c r="V36" s="117"/>
    </row>
    <row r="37" spans="1:22" ht="15" customHeight="1">
      <c r="A37" s="117"/>
      <c r="B37" s="144" t="str">
        <f>IF(D37="","","P"&amp;D37&amp;"MA"&amp;COUNTIF($D$14:D37,D37))</f>
        <v/>
      </c>
      <c r="C37" s="162"/>
      <c r="D37" s="163"/>
      <c r="E37" s="164"/>
      <c r="F37" s="164"/>
      <c r="G37" s="164"/>
      <c r="H37" s="164"/>
      <c r="I37" s="162"/>
      <c r="J37" s="144"/>
      <c r="K37" s="144"/>
      <c r="L37" s="144"/>
      <c r="M37" s="145">
        <f t="shared" si="6"/>
        <v>0</v>
      </c>
      <c r="N37" s="145">
        <f t="shared" si="7"/>
        <v>0</v>
      </c>
      <c r="O37" s="146">
        <f t="shared" si="8"/>
        <v>0</v>
      </c>
      <c r="P37" s="146">
        <f>IF(B37="",0,SUMIF('NHAP XUAT'!$G$10:$J$1011,'Ghi So'!B37,'NHAP XUAT'!$J$10:$J$1011))</f>
        <v>0</v>
      </c>
      <c r="Q37" s="146">
        <f t="shared" si="9"/>
        <v>0</v>
      </c>
      <c r="R37" s="169"/>
      <c r="S37" s="169"/>
      <c r="T37" s="146">
        <f t="shared" si="10"/>
        <v>0</v>
      </c>
      <c r="U37" s="121" t="str">
        <f t="shared" si="11"/>
        <v>Close</v>
      </c>
      <c r="V37" s="117"/>
    </row>
    <row r="38" spans="1:22" ht="15" customHeight="1">
      <c r="A38" s="117"/>
      <c r="B38" s="144" t="str">
        <f>IF(D38="","","P"&amp;D38&amp;"MA"&amp;COUNTIF($D$14:D38,D38))</f>
        <v/>
      </c>
      <c r="C38" s="162"/>
      <c r="D38" s="163"/>
      <c r="E38" s="164"/>
      <c r="F38" s="164"/>
      <c r="G38" s="164"/>
      <c r="H38" s="164"/>
      <c r="I38" s="162"/>
      <c r="J38" s="144"/>
      <c r="K38" s="144"/>
      <c r="L38" s="144"/>
      <c r="M38" s="145">
        <f t="shared" si="6"/>
        <v>0</v>
      </c>
      <c r="N38" s="145">
        <f t="shared" si="7"/>
        <v>0</v>
      </c>
      <c r="O38" s="146">
        <f t="shared" si="8"/>
        <v>0</v>
      </c>
      <c r="P38" s="146">
        <f>IF(B38="",0,SUMIF('NHAP XUAT'!$G$10:$J$1011,'Ghi So'!B38,'NHAP XUAT'!$J$10:$J$1011))</f>
        <v>0</v>
      </c>
      <c r="Q38" s="146">
        <f t="shared" si="9"/>
        <v>0</v>
      </c>
      <c r="R38" s="169"/>
      <c r="S38" s="169"/>
      <c r="T38" s="146">
        <f t="shared" si="10"/>
        <v>0</v>
      </c>
      <c r="U38" s="121" t="str">
        <f t="shared" si="11"/>
        <v>Close</v>
      </c>
      <c r="V38" s="117"/>
    </row>
    <row r="39" spans="1:22" ht="15" customHeight="1">
      <c r="A39" s="117"/>
      <c r="B39" s="144" t="str">
        <f>IF(D39="","","P"&amp;D39&amp;"MA"&amp;COUNTIF($D$14:D39,D39))</f>
        <v/>
      </c>
      <c r="C39" s="162"/>
      <c r="D39" s="163"/>
      <c r="E39" s="164"/>
      <c r="F39" s="164"/>
      <c r="G39" s="164"/>
      <c r="H39" s="164"/>
      <c r="I39" s="162"/>
      <c r="J39" s="144"/>
      <c r="K39" s="144"/>
      <c r="L39" s="144"/>
      <c r="M39" s="145">
        <f t="shared" si="6"/>
        <v>0</v>
      </c>
      <c r="N39" s="145">
        <f t="shared" si="7"/>
        <v>0</v>
      </c>
      <c r="O39" s="146">
        <f t="shared" si="8"/>
        <v>0</v>
      </c>
      <c r="P39" s="146">
        <f>IF(B39="",0,SUMIF('NHAP XUAT'!$G$10:$J$1011,'Ghi So'!B39,'NHAP XUAT'!$J$10:$J$1011))</f>
        <v>0</v>
      </c>
      <c r="Q39" s="146">
        <f t="shared" si="9"/>
        <v>0</v>
      </c>
      <c r="R39" s="169"/>
      <c r="S39" s="169"/>
      <c r="T39" s="146">
        <f t="shared" si="10"/>
        <v>0</v>
      </c>
      <c r="U39" s="121" t="str">
        <f t="shared" si="11"/>
        <v>Close</v>
      </c>
      <c r="V39" s="117"/>
    </row>
    <row r="40" spans="1:22" ht="15" customHeight="1">
      <c r="A40" s="117"/>
      <c r="B40" s="144" t="str">
        <f>IF(D40="","","P"&amp;D40&amp;"MA"&amp;COUNTIF($D$14:D40,D40))</f>
        <v/>
      </c>
      <c r="C40" s="162"/>
      <c r="D40" s="163"/>
      <c r="E40" s="164"/>
      <c r="F40" s="164"/>
      <c r="G40" s="164"/>
      <c r="H40" s="164"/>
      <c r="I40" s="162"/>
      <c r="J40" s="144"/>
      <c r="K40" s="144"/>
      <c r="L40" s="144"/>
      <c r="M40" s="145">
        <f t="shared" si="6"/>
        <v>0</v>
      </c>
      <c r="N40" s="145">
        <f t="shared" si="7"/>
        <v>0</v>
      </c>
      <c r="O40" s="146">
        <f t="shared" si="8"/>
        <v>0</v>
      </c>
      <c r="P40" s="146">
        <f>IF(B40="",0,SUMIF('NHAP XUAT'!$G$10:$J$1011,'Ghi So'!B40,'NHAP XUAT'!$J$10:$J$1011))</f>
        <v>0</v>
      </c>
      <c r="Q40" s="146">
        <f t="shared" si="9"/>
        <v>0</v>
      </c>
      <c r="R40" s="169"/>
      <c r="S40" s="169"/>
      <c r="T40" s="146">
        <f t="shared" si="10"/>
        <v>0</v>
      </c>
      <c r="U40" s="121" t="str">
        <f t="shared" si="11"/>
        <v>Close</v>
      </c>
      <c r="V40" s="117"/>
    </row>
    <row r="41" spans="1:22" ht="15" customHeight="1">
      <c r="A41" s="117"/>
      <c r="B41" s="144" t="str">
        <f>IF(D41="","","P"&amp;D41&amp;"MA"&amp;COUNTIF($D$14:D41,D41))</f>
        <v/>
      </c>
      <c r="C41" s="162"/>
      <c r="D41" s="163"/>
      <c r="E41" s="164"/>
      <c r="F41" s="164"/>
      <c r="G41" s="164"/>
      <c r="H41" s="164"/>
      <c r="I41" s="162"/>
      <c r="J41" s="144"/>
      <c r="K41" s="144"/>
      <c r="L41" s="144"/>
      <c r="M41" s="145">
        <f t="shared" si="6"/>
        <v>0</v>
      </c>
      <c r="N41" s="145">
        <f t="shared" si="7"/>
        <v>0</v>
      </c>
      <c r="O41" s="146">
        <f t="shared" si="8"/>
        <v>0</v>
      </c>
      <c r="P41" s="146">
        <f>IF(B41="",0,SUMIF('NHAP XUAT'!$G$10:$J$1011,'Ghi So'!B41,'NHAP XUAT'!$J$10:$J$1011))</f>
        <v>0</v>
      </c>
      <c r="Q41" s="146">
        <f t="shared" si="9"/>
        <v>0</v>
      </c>
      <c r="R41" s="169"/>
      <c r="S41" s="169"/>
      <c r="T41" s="146">
        <f t="shared" si="10"/>
        <v>0</v>
      </c>
      <c r="U41" s="121" t="str">
        <f t="shared" si="11"/>
        <v>Close</v>
      </c>
      <c r="V41" s="117"/>
    </row>
    <row r="42" spans="1:22" ht="15" customHeight="1">
      <c r="A42" s="117"/>
      <c r="B42" s="144" t="str">
        <f>IF(D42="","","P"&amp;D42&amp;"MA"&amp;COUNTIF($D$14:D42,D42))</f>
        <v/>
      </c>
      <c r="C42" s="162"/>
      <c r="D42" s="163"/>
      <c r="E42" s="164"/>
      <c r="F42" s="164"/>
      <c r="G42" s="164"/>
      <c r="H42" s="164"/>
      <c r="I42" s="162"/>
      <c r="J42" s="144"/>
      <c r="K42" s="144"/>
      <c r="L42" s="144"/>
      <c r="M42" s="145">
        <f t="shared" si="6"/>
        <v>0</v>
      </c>
      <c r="N42" s="145">
        <f t="shared" si="7"/>
        <v>0</v>
      </c>
      <c r="O42" s="146">
        <f t="shared" si="8"/>
        <v>0</v>
      </c>
      <c r="P42" s="146">
        <f>IF(B42="",0,SUMIF('NHAP XUAT'!$G$10:$J$1011,'Ghi So'!B42,'NHAP XUAT'!$J$10:$J$1011))</f>
        <v>0</v>
      </c>
      <c r="Q42" s="146">
        <f t="shared" si="9"/>
        <v>0</v>
      </c>
      <c r="R42" s="169"/>
      <c r="S42" s="169"/>
      <c r="T42" s="146">
        <f t="shared" si="10"/>
        <v>0</v>
      </c>
      <c r="U42" s="121" t="str">
        <f t="shared" si="11"/>
        <v>Close</v>
      </c>
      <c r="V42" s="117"/>
    </row>
    <row r="43" spans="1:22" ht="15" customHeight="1">
      <c r="A43" s="117"/>
      <c r="B43" s="144" t="str">
        <f>IF(D43="","","P"&amp;D43&amp;"MA"&amp;COUNTIF($D$14:D43,D43))</f>
        <v/>
      </c>
      <c r="C43" s="162"/>
      <c r="D43" s="163"/>
      <c r="E43" s="164"/>
      <c r="F43" s="164"/>
      <c r="G43" s="164"/>
      <c r="H43" s="164"/>
      <c r="I43" s="162"/>
      <c r="J43" s="144"/>
      <c r="K43" s="144"/>
      <c r="L43" s="144"/>
      <c r="M43" s="145">
        <f t="shared" si="6"/>
        <v>0</v>
      </c>
      <c r="N43" s="145">
        <f t="shared" si="7"/>
        <v>0</v>
      </c>
      <c r="O43" s="146">
        <f t="shared" si="8"/>
        <v>0</v>
      </c>
      <c r="P43" s="146">
        <f>IF(B43="",0,SUMIF('NHAP XUAT'!$G$10:$J$1011,'Ghi So'!B43,'NHAP XUAT'!$J$10:$J$1011))</f>
        <v>0</v>
      </c>
      <c r="Q43" s="146">
        <f t="shared" si="9"/>
        <v>0</v>
      </c>
      <c r="R43" s="169"/>
      <c r="S43" s="169"/>
      <c r="T43" s="146">
        <f t="shared" si="10"/>
        <v>0</v>
      </c>
      <c r="U43" s="121" t="str">
        <f t="shared" si="11"/>
        <v>Close</v>
      </c>
      <c r="V43" s="117"/>
    </row>
    <row r="44" spans="1:22" ht="15" customHeight="1">
      <c r="A44" s="117"/>
      <c r="B44" s="144" t="str">
        <f>IF(D44="","","P"&amp;D44&amp;"MA"&amp;COUNTIF($D$14:D44,D44))</f>
        <v/>
      </c>
      <c r="C44" s="162"/>
      <c r="D44" s="163"/>
      <c r="E44" s="164"/>
      <c r="F44" s="164"/>
      <c r="G44" s="164"/>
      <c r="H44" s="164"/>
      <c r="I44" s="162"/>
      <c r="J44" s="144"/>
      <c r="K44" s="144"/>
      <c r="L44" s="144"/>
      <c r="M44" s="145">
        <f t="shared" si="6"/>
        <v>0</v>
      </c>
      <c r="N44" s="145">
        <f t="shared" si="7"/>
        <v>0</v>
      </c>
      <c r="O44" s="146">
        <f t="shared" si="8"/>
        <v>0</v>
      </c>
      <c r="P44" s="146">
        <f>IF(B44="",0,SUMIF('NHAP XUAT'!$G$10:$J$1011,'Ghi So'!B44,'NHAP XUAT'!$J$10:$J$1011))</f>
        <v>0</v>
      </c>
      <c r="Q44" s="146">
        <f t="shared" si="9"/>
        <v>0</v>
      </c>
      <c r="R44" s="169"/>
      <c r="S44" s="169"/>
      <c r="T44" s="146">
        <f t="shared" si="10"/>
        <v>0</v>
      </c>
      <c r="U44" s="121" t="str">
        <f t="shared" si="11"/>
        <v>Close</v>
      </c>
      <c r="V44" s="117"/>
    </row>
    <row r="45" spans="1:22" ht="15" customHeight="1">
      <c r="A45" s="117"/>
      <c r="B45" s="144" t="str">
        <f>IF(D45="","","P"&amp;D45&amp;"MA"&amp;COUNTIF($D$14:D45,D45))</f>
        <v/>
      </c>
      <c r="C45" s="162"/>
      <c r="D45" s="163"/>
      <c r="E45" s="164"/>
      <c r="F45" s="164"/>
      <c r="G45" s="164"/>
      <c r="H45" s="164"/>
      <c r="I45" s="162"/>
      <c r="J45" s="144"/>
      <c r="K45" s="144"/>
      <c r="L45" s="144"/>
      <c r="M45" s="145">
        <f t="shared" si="6"/>
        <v>0</v>
      </c>
      <c r="N45" s="145">
        <f t="shared" si="7"/>
        <v>0</v>
      </c>
      <c r="O45" s="146">
        <f t="shared" si="8"/>
        <v>0</v>
      </c>
      <c r="P45" s="146">
        <f>IF(B45="",0,SUMIF('NHAP XUAT'!$G$10:$J$1011,'Ghi So'!B45,'NHAP XUAT'!$J$10:$J$1011))</f>
        <v>0</v>
      </c>
      <c r="Q45" s="146">
        <f t="shared" si="9"/>
        <v>0</v>
      </c>
      <c r="R45" s="169"/>
      <c r="S45" s="169"/>
      <c r="T45" s="146">
        <f t="shared" si="10"/>
        <v>0</v>
      </c>
      <c r="U45" s="121" t="str">
        <f t="shared" si="11"/>
        <v>Close</v>
      </c>
      <c r="V45" s="117"/>
    </row>
    <row r="46" spans="1:22" ht="15" customHeight="1">
      <c r="A46" s="117"/>
      <c r="B46" s="144" t="str">
        <f>IF(D46="","","P"&amp;D46&amp;"MA"&amp;COUNTIF($D$14:D46,D46))</f>
        <v/>
      </c>
      <c r="C46" s="162"/>
      <c r="D46" s="163"/>
      <c r="E46" s="164"/>
      <c r="F46" s="164"/>
      <c r="G46" s="164"/>
      <c r="H46" s="164"/>
      <c r="I46" s="162"/>
      <c r="J46" s="144"/>
      <c r="K46" s="144"/>
      <c r="L46" s="144"/>
      <c r="M46" s="145">
        <f t="shared" si="6"/>
        <v>0</v>
      </c>
      <c r="N46" s="145">
        <f t="shared" si="7"/>
        <v>0</v>
      </c>
      <c r="O46" s="146">
        <f t="shared" si="8"/>
        <v>0</v>
      </c>
      <c r="P46" s="146">
        <f>IF(B46="",0,SUMIF('NHAP XUAT'!$G$10:$J$1011,'Ghi So'!B46,'NHAP XUAT'!$J$10:$J$1011))</f>
        <v>0</v>
      </c>
      <c r="Q46" s="146">
        <f t="shared" si="9"/>
        <v>0</v>
      </c>
      <c r="R46" s="169"/>
      <c r="S46" s="169"/>
      <c r="T46" s="146">
        <f t="shared" si="10"/>
        <v>0</v>
      </c>
      <c r="U46" s="121" t="str">
        <f t="shared" si="11"/>
        <v>Close</v>
      </c>
      <c r="V46" s="117"/>
    </row>
    <row r="47" spans="1:22" ht="15" customHeight="1">
      <c r="A47" s="117"/>
      <c r="B47" s="144" t="str">
        <f>IF(D47="","","P"&amp;D47&amp;"MA"&amp;COUNTIF($D$14:D47,D47))</f>
        <v/>
      </c>
      <c r="C47" s="162"/>
      <c r="D47" s="163"/>
      <c r="E47" s="164"/>
      <c r="F47" s="164"/>
      <c r="G47" s="164"/>
      <c r="H47" s="164"/>
      <c r="I47" s="162"/>
      <c r="J47" s="144"/>
      <c r="K47" s="144"/>
      <c r="L47" s="144"/>
      <c r="M47" s="145">
        <f t="shared" si="6"/>
        <v>0</v>
      </c>
      <c r="N47" s="145">
        <f t="shared" si="7"/>
        <v>0</v>
      </c>
      <c r="O47" s="146">
        <f t="shared" si="8"/>
        <v>0</v>
      </c>
      <c r="P47" s="146">
        <f>IF(B47="",0,SUMIF('NHAP XUAT'!$G$10:$J$1011,'Ghi So'!B47,'NHAP XUAT'!$J$10:$J$1011))</f>
        <v>0</v>
      </c>
      <c r="Q47" s="146">
        <f t="shared" si="9"/>
        <v>0</v>
      </c>
      <c r="R47" s="169"/>
      <c r="S47" s="169"/>
      <c r="T47" s="146">
        <f t="shared" si="10"/>
        <v>0</v>
      </c>
      <c r="U47" s="121" t="str">
        <f t="shared" si="11"/>
        <v>Close</v>
      </c>
      <c r="V47" s="117"/>
    </row>
    <row r="48" spans="1:22" ht="15" customHeight="1">
      <c r="A48" s="117"/>
      <c r="B48" s="144" t="str">
        <f>IF(D48="","","P"&amp;D48&amp;"MA"&amp;COUNTIF($D$14:D48,D48))</f>
        <v/>
      </c>
      <c r="C48" s="162"/>
      <c r="D48" s="163"/>
      <c r="E48" s="164"/>
      <c r="F48" s="164"/>
      <c r="G48" s="164"/>
      <c r="H48" s="164"/>
      <c r="I48" s="162"/>
      <c r="J48" s="144"/>
      <c r="K48" s="144"/>
      <c r="L48" s="144"/>
      <c r="M48" s="145">
        <f t="shared" si="6"/>
        <v>0</v>
      </c>
      <c r="N48" s="145">
        <f t="shared" si="7"/>
        <v>0</v>
      </c>
      <c r="O48" s="146">
        <f t="shared" si="8"/>
        <v>0</v>
      </c>
      <c r="P48" s="146">
        <f>IF(B48="",0,SUMIF('NHAP XUAT'!$G$10:$J$1011,'Ghi So'!B48,'NHAP XUAT'!$J$10:$J$1011))</f>
        <v>0</v>
      </c>
      <c r="Q48" s="146">
        <f t="shared" si="9"/>
        <v>0</v>
      </c>
      <c r="R48" s="169"/>
      <c r="S48" s="169"/>
      <c r="T48" s="146">
        <f t="shared" si="10"/>
        <v>0</v>
      </c>
      <c r="U48" s="121" t="str">
        <f t="shared" si="11"/>
        <v>Close</v>
      </c>
      <c r="V48" s="117"/>
    </row>
    <row r="49" spans="1:22" ht="15" customHeight="1">
      <c r="A49" s="117"/>
      <c r="B49" s="144" t="str">
        <f>IF(D49="","","P"&amp;D49&amp;"MA"&amp;COUNTIF($D$14:D49,D49))</f>
        <v/>
      </c>
      <c r="C49" s="162"/>
      <c r="D49" s="163"/>
      <c r="E49" s="164"/>
      <c r="F49" s="164"/>
      <c r="G49" s="164"/>
      <c r="H49" s="164"/>
      <c r="I49" s="162"/>
      <c r="J49" s="144"/>
      <c r="K49" s="144"/>
      <c r="L49" s="144"/>
      <c r="M49" s="145">
        <f t="shared" si="6"/>
        <v>0</v>
      </c>
      <c r="N49" s="145">
        <f t="shared" si="7"/>
        <v>0</v>
      </c>
      <c r="O49" s="146">
        <f t="shared" si="8"/>
        <v>0</v>
      </c>
      <c r="P49" s="146">
        <f>IF(B49="",0,SUMIF('NHAP XUAT'!$G$10:$J$1011,'Ghi So'!B49,'NHAP XUAT'!$J$10:$J$1011))</f>
        <v>0</v>
      </c>
      <c r="Q49" s="146">
        <f t="shared" si="9"/>
        <v>0</v>
      </c>
      <c r="R49" s="169"/>
      <c r="S49" s="169"/>
      <c r="T49" s="146">
        <f t="shared" si="10"/>
        <v>0</v>
      </c>
      <c r="U49" s="121" t="str">
        <f t="shared" si="11"/>
        <v>Close</v>
      </c>
      <c r="V49" s="117"/>
    </row>
    <row r="50" spans="1:22" ht="15" customHeight="1">
      <c r="A50" s="117"/>
      <c r="B50" s="144" t="str">
        <f>IF(D50="","","P"&amp;D50&amp;"MA"&amp;COUNTIF($D$14:D50,D50))</f>
        <v/>
      </c>
      <c r="C50" s="162"/>
      <c r="D50" s="163"/>
      <c r="E50" s="164"/>
      <c r="F50" s="164"/>
      <c r="G50" s="164"/>
      <c r="H50" s="164"/>
      <c r="I50" s="162"/>
      <c r="J50" s="144"/>
      <c r="K50" s="144"/>
      <c r="L50" s="144"/>
      <c r="M50" s="145">
        <f t="shared" si="6"/>
        <v>0</v>
      </c>
      <c r="N50" s="145">
        <f t="shared" si="7"/>
        <v>0</v>
      </c>
      <c r="O50" s="146">
        <f t="shared" si="8"/>
        <v>0</v>
      </c>
      <c r="P50" s="146">
        <f>IF(B50="",0,SUMIF('NHAP XUAT'!$G$10:$J$1011,'Ghi So'!B50,'NHAP XUAT'!$J$10:$J$1011))</f>
        <v>0</v>
      </c>
      <c r="Q50" s="146">
        <f t="shared" si="9"/>
        <v>0</v>
      </c>
      <c r="R50" s="169"/>
      <c r="S50" s="169"/>
      <c r="T50" s="146">
        <f t="shared" si="10"/>
        <v>0</v>
      </c>
      <c r="U50" s="121" t="str">
        <f t="shared" si="11"/>
        <v>Close</v>
      </c>
      <c r="V50" s="117"/>
    </row>
    <row r="51" spans="1:22" ht="15" customHeight="1">
      <c r="A51" s="117"/>
      <c r="B51" s="144" t="str">
        <f>IF(D51="","","P"&amp;D51&amp;"MA"&amp;COUNTIF($D$14:D51,D51))</f>
        <v/>
      </c>
      <c r="C51" s="162"/>
      <c r="D51" s="163"/>
      <c r="E51" s="164"/>
      <c r="F51" s="164"/>
      <c r="G51" s="164"/>
      <c r="H51" s="164"/>
      <c r="I51" s="162"/>
      <c r="J51" s="144"/>
      <c r="K51" s="144"/>
      <c r="L51" s="144"/>
      <c r="M51" s="145">
        <f t="shared" si="6"/>
        <v>0</v>
      </c>
      <c r="N51" s="145">
        <f t="shared" si="7"/>
        <v>0</v>
      </c>
      <c r="O51" s="146">
        <f t="shared" si="8"/>
        <v>0</v>
      </c>
      <c r="P51" s="146">
        <f>IF(B51="",0,SUMIF('NHAP XUAT'!$G$10:$J$1011,'Ghi So'!B51,'NHAP XUAT'!$J$10:$J$1011))</f>
        <v>0</v>
      </c>
      <c r="Q51" s="146">
        <f t="shared" si="9"/>
        <v>0</v>
      </c>
      <c r="R51" s="169"/>
      <c r="S51" s="169"/>
      <c r="T51" s="146">
        <f t="shared" si="10"/>
        <v>0</v>
      </c>
      <c r="U51" s="121" t="str">
        <f t="shared" si="11"/>
        <v>Close</v>
      </c>
      <c r="V51" s="117"/>
    </row>
    <row r="52" spans="1:22" ht="15" customHeight="1">
      <c r="A52" s="117"/>
      <c r="B52" s="144" t="str">
        <f>IF(D52="","","P"&amp;D52&amp;"MA"&amp;COUNTIF($D$14:D52,D52))</f>
        <v/>
      </c>
      <c r="C52" s="162"/>
      <c r="D52" s="163"/>
      <c r="E52" s="164"/>
      <c r="F52" s="164"/>
      <c r="G52" s="164"/>
      <c r="H52" s="164"/>
      <c r="I52" s="162"/>
      <c r="J52" s="144"/>
      <c r="K52" s="144"/>
      <c r="L52" s="144"/>
      <c r="M52" s="145">
        <f t="shared" si="6"/>
        <v>0</v>
      </c>
      <c r="N52" s="145">
        <f t="shared" si="7"/>
        <v>0</v>
      </c>
      <c r="O52" s="146">
        <f t="shared" si="8"/>
        <v>0</v>
      </c>
      <c r="P52" s="146">
        <f>IF(B52="",0,SUMIF('NHAP XUAT'!$G$10:$J$1011,'Ghi So'!B52,'NHAP XUAT'!$J$10:$J$1011))</f>
        <v>0</v>
      </c>
      <c r="Q52" s="146">
        <f t="shared" si="9"/>
        <v>0</v>
      </c>
      <c r="R52" s="169"/>
      <c r="S52" s="169"/>
      <c r="T52" s="146">
        <f t="shared" si="10"/>
        <v>0</v>
      </c>
      <c r="U52" s="121" t="str">
        <f t="shared" si="11"/>
        <v>Close</v>
      </c>
      <c r="V52" s="117"/>
    </row>
    <row r="53" spans="1:22" ht="15" customHeight="1">
      <c r="A53" s="117"/>
      <c r="B53" s="144" t="str">
        <f>IF(D53="","","P"&amp;D53&amp;"MA"&amp;COUNTIF($D$14:D53,D53))</f>
        <v/>
      </c>
      <c r="C53" s="162"/>
      <c r="D53" s="163"/>
      <c r="E53" s="164"/>
      <c r="F53" s="164"/>
      <c r="G53" s="164"/>
      <c r="H53" s="164"/>
      <c r="I53" s="162"/>
      <c r="J53" s="144"/>
      <c r="K53" s="144"/>
      <c r="L53" s="144"/>
      <c r="M53" s="145">
        <f t="shared" si="6"/>
        <v>0</v>
      </c>
      <c r="N53" s="145">
        <f t="shared" si="7"/>
        <v>0</v>
      </c>
      <c r="O53" s="146">
        <f t="shared" si="8"/>
        <v>0</v>
      </c>
      <c r="P53" s="146">
        <f>IF(B53="",0,SUMIF('NHAP XUAT'!$G$10:$J$1011,'Ghi So'!B53,'NHAP XUAT'!$J$10:$J$1011))</f>
        <v>0</v>
      </c>
      <c r="Q53" s="146">
        <f t="shared" si="9"/>
        <v>0</v>
      </c>
      <c r="R53" s="169"/>
      <c r="S53" s="169"/>
      <c r="T53" s="146">
        <f t="shared" si="10"/>
        <v>0</v>
      </c>
      <c r="U53" s="121" t="str">
        <f t="shared" si="11"/>
        <v>Close</v>
      </c>
      <c r="V53" s="117"/>
    </row>
    <row r="54" spans="1:22" ht="15" customHeight="1">
      <c r="A54" s="117"/>
      <c r="B54" s="144" t="str">
        <f>IF(D54="","","P"&amp;D54&amp;"MA"&amp;COUNTIF($D$14:D54,D54))</f>
        <v/>
      </c>
      <c r="C54" s="162"/>
      <c r="D54" s="163"/>
      <c r="E54" s="164"/>
      <c r="F54" s="164"/>
      <c r="G54" s="164"/>
      <c r="H54" s="164"/>
      <c r="I54" s="162"/>
      <c r="J54" s="144"/>
      <c r="K54" s="144"/>
      <c r="L54" s="144"/>
      <c r="M54" s="145">
        <f t="shared" si="6"/>
        <v>0</v>
      </c>
      <c r="N54" s="145">
        <f t="shared" si="7"/>
        <v>0</v>
      </c>
      <c r="O54" s="146">
        <f t="shared" si="8"/>
        <v>0</v>
      </c>
      <c r="P54" s="146">
        <f>IF(B54="",0,SUMIF('NHAP XUAT'!$G$10:$J$1011,'Ghi So'!B54,'NHAP XUAT'!$J$10:$J$1011))</f>
        <v>0</v>
      </c>
      <c r="Q54" s="146">
        <f t="shared" si="9"/>
        <v>0</v>
      </c>
      <c r="R54" s="169"/>
      <c r="S54" s="169"/>
      <c r="T54" s="146">
        <f t="shared" si="10"/>
        <v>0</v>
      </c>
      <c r="U54" s="121" t="str">
        <f t="shared" si="11"/>
        <v>Close</v>
      </c>
      <c r="V54" s="117"/>
    </row>
    <row r="55" spans="1:22" ht="15" customHeight="1">
      <c r="A55" s="117"/>
      <c r="B55" s="144" t="str">
        <f>IF(D55="","","P"&amp;D55&amp;"MA"&amp;COUNTIF($D$14:D55,D55))</f>
        <v/>
      </c>
      <c r="C55" s="162"/>
      <c r="D55" s="163"/>
      <c r="E55" s="164"/>
      <c r="F55" s="164"/>
      <c r="G55" s="164"/>
      <c r="H55" s="164"/>
      <c r="I55" s="162"/>
      <c r="J55" s="144"/>
      <c r="K55" s="144"/>
      <c r="L55" s="144"/>
      <c r="M55" s="145">
        <f t="shared" si="6"/>
        <v>0</v>
      </c>
      <c r="N55" s="145">
        <f t="shared" si="7"/>
        <v>0</v>
      </c>
      <c r="O55" s="146">
        <f t="shared" si="8"/>
        <v>0</v>
      </c>
      <c r="P55" s="146">
        <f>IF(B55="",0,SUMIF('NHAP XUAT'!$G$10:$J$1011,'Ghi So'!B55,'NHAP XUAT'!$J$10:$J$1011))</f>
        <v>0</v>
      </c>
      <c r="Q55" s="146">
        <f t="shared" si="9"/>
        <v>0</v>
      </c>
      <c r="R55" s="169"/>
      <c r="S55" s="169"/>
      <c r="T55" s="146">
        <f t="shared" si="10"/>
        <v>0</v>
      </c>
      <c r="U55" s="121" t="str">
        <f t="shared" si="11"/>
        <v>Close</v>
      </c>
      <c r="V55" s="117"/>
    </row>
    <row r="56" spans="1:22" ht="15" customHeight="1">
      <c r="A56" s="117"/>
      <c r="B56" s="144" t="str">
        <f>IF(D56="","","P"&amp;D56&amp;"MA"&amp;COUNTIF($D$14:D56,D56))</f>
        <v/>
      </c>
      <c r="C56" s="162"/>
      <c r="D56" s="163"/>
      <c r="E56" s="164"/>
      <c r="F56" s="164"/>
      <c r="G56" s="164"/>
      <c r="H56" s="164"/>
      <c r="I56" s="162"/>
      <c r="J56" s="144"/>
      <c r="K56" s="144"/>
      <c r="L56" s="144"/>
      <c r="M56" s="145">
        <f t="shared" si="6"/>
        <v>0</v>
      </c>
      <c r="N56" s="145">
        <f t="shared" si="7"/>
        <v>0</v>
      </c>
      <c r="O56" s="146">
        <f t="shared" si="8"/>
        <v>0</v>
      </c>
      <c r="P56" s="146">
        <f>IF(B56="",0,SUMIF('NHAP XUAT'!$G$10:$J$1011,'Ghi So'!B56,'NHAP XUAT'!$J$10:$J$1011))</f>
        <v>0</v>
      </c>
      <c r="Q56" s="146">
        <f t="shared" si="9"/>
        <v>0</v>
      </c>
      <c r="R56" s="169"/>
      <c r="S56" s="169"/>
      <c r="T56" s="146">
        <f t="shared" si="10"/>
        <v>0</v>
      </c>
      <c r="U56" s="121" t="str">
        <f t="shared" si="11"/>
        <v>Close</v>
      </c>
      <c r="V56" s="117"/>
    </row>
    <row r="57" spans="1:22" ht="15" customHeight="1">
      <c r="A57" s="117"/>
      <c r="B57" s="144" t="str">
        <f>IF(D57="","","P"&amp;D57&amp;"MA"&amp;COUNTIF($D$14:D57,D57))</f>
        <v/>
      </c>
      <c r="C57" s="162"/>
      <c r="D57" s="163"/>
      <c r="E57" s="164"/>
      <c r="F57" s="164"/>
      <c r="G57" s="164"/>
      <c r="H57" s="164"/>
      <c r="I57" s="162"/>
      <c r="J57" s="144"/>
      <c r="K57" s="144"/>
      <c r="L57" s="144"/>
      <c r="M57" s="145">
        <f t="shared" si="6"/>
        <v>0</v>
      </c>
      <c r="N57" s="145">
        <f t="shared" si="7"/>
        <v>0</v>
      </c>
      <c r="O57" s="146">
        <f t="shared" si="8"/>
        <v>0</v>
      </c>
      <c r="P57" s="146">
        <f>IF(B57="",0,SUMIF('NHAP XUAT'!$G$10:$J$1011,'Ghi So'!B57,'NHAP XUAT'!$J$10:$J$1011))</f>
        <v>0</v>
      </c>
      <c r="Q57" s="146">
        <f t="shared" si="9"/>
        <v>0</v>
      </c>
      <c r="R57" s="169"/>
      <c r="S57" s="169"/>
      <c r="T57" s="146">
        <f t="shared" si="10"/>
        <v>0</v>
      </c>
      <c r="U57" s="121" t="str">
        <f t="shared" si="11"/>
        <v>Close</v>
      </c>
      <c r="V57" s="117"/>
    </row>
    <row r="58" spans="1:22" ht="15" customHeight="1">
      <c r="A58" s="117"/>
      <c r="B58" s="144" t="str">
        <f>IF(D58="","","P"&amp;D58&amp;"MA"&amp;COUNTIF($D$14:D58,D58))</f>
        <v/>
      </c>
      <c r="C58" s="162"/>
      <c r="D58" s="163"/>
      <c r="E58" s="164"/>
      <c r="F58" s="164"/>
      <c r="G58" s="164"/>
      <c r="H58" s="164"/>
      <c r="I58" s="162"/>
      <c r="J58" s="144"/>
      <c r="K58" s="144"/>
      <c r="L58" s="144"/>
      <c r="M58" s="145">
        <f t="shared" si="6"/>
        <v>0</v>
      </c>
      <c r="N58" s="145">
        <f t="shared" si="7"/>
        <v>0</v>
      </c>
      <c r="O58" s="146">
        <f t="shared" si="8"/>
        <v>0</v>
      </c>
      <c r="P58" s="146">
        <f>IF(B58="",0,SUMIF('NHAP XUAT'!$G$10:$J$1011,'Ghi So'!B58,'NHAP XUAT'!$J$10:$J$1011))</f>
        <v>0</v>
      </c>
      <c r="Q58" s="146">
        <f t="shared" si="9"/>
        <v>0</v>
      </c>
      <c r="R58" s="169"/>
      <c r="S58" s="169"/>
      <c r="T58" s="146">
        <f t="shared" si="10"/>
        <v>0</v>
      </c>
      <c r="U58" s="121" t="str">
        <f t="shared" si="11"/>
        <v>Close</v>
      </c>
      <c r="V58" s="117"/>
    </row>
    <row r="59" spans="1:22" ht="15" customHeight="1">
      <c r="A59" s="117"/>
      <c r="B59" s="144" t="str">
        <f>IF(D59="","","P"&amp;D59&amp;"MA"&amp;COUNTIF($D$14:D59,D59))</f>
        <v/>
      </c>
      <c r="C59" s="162"/>
      <c r="D59" s="163"/>
      <c r="E59" s="164"/>
      <c r="F59" s="164"/>
      <c r="G59" s="164"/>
      <c r="H59" s="164"/>
      <c r="I59" s="162"/>
      <c r="J59" s="144"/>
      <c r="K59" s="144"/>
      <c r="L59" s="144"/>
      <c r="M59" s="145">
        <f t="shared" si="6"/>
        <v>0</v>
      </c>
      <c r="N59" s="145">
        <f t="shared" si="7"/>
        <v>0</v>
      </c>
      <c r="O59" s="146">
        <f t="shared" si="8"/>
        <v>0</v>
      </c>
      <c r="P59" s="146">
        <f>IF(B59="",0,SUMIF('NHAP XUAT'!$G$10:$J$1011,'Ghi So'!B59,'NHAP XUAT'!$J$10:$J$1011))</f>
        <v>0</v>
      </c>
      <c r="Q59" s="146">
        <f t="shared" si="9"/>
        <v>0</v>
      </c>
      <c r="R59" s="169"/>
      <c r="S59" s="169"/>
      <c r="T59" s="146">
        <f t="shared" si="10"/>
        <v>0</v>
      </c>
      <c r="U59" s="121" t="str">
        <f t="shared" si="11"/>
        <v>Close</v>
      </c>
      <c r="V59" s="117"/>
    </row>
    <row r="60" spans="1:22" ht="15" customHeight="1">
      <c r="A60" s="117"/>
      <c r="B60" s="144" t="str">
        <f>IF(D60="","","P"&amp;D60&amp;"MA"&amp;COUNTIF($D$14:D60,D60))</f>
        <v/>
      </c>
      <c r="C60" s="162"/>
      <c r="D60" s="163"/>
      <c r="E60" s="164"/>
      <c r="F60" s="164"/>
      <c r="G60" s="164"/>
      <c r="H60" s="164"/>
      <c r="I60" s="162"/>
      <c r="J60" s="144"/>
      <c r="K60" s="144"/>
      <c r="L60" s="144"/>
      <c r="M60" s="145">
        <f t="shared" si="6"/>
        <v>0</v>
      </c>
      <c r="N60" s="145">
        <f t="shared" si="7"/>
        <v>0</v>
      </c>
      <c r="O60" s="146">
        <f t="shared" si="8"/>
        <v>0</v>
      </c>
      <c r="P60" s="146">
        <f>IF(B60="",0,SUMIF('NHAP XUAT'!$G$10:$J$1011,'Ghi So'!B60,'NHAP XUAT'!$J$10:$J$1011))</f>
        <v>0</v>
      </c>
      <c r="Q60" s="146">
        <f t="shared" si="9"/>
        <v>0</v>
      </c>
      <c r="R60" s="169"/>
      <c r="S60" s="169"/>
      <c r="T60" s="146">
        <f t="shared" si="10"/>
        <v>0</v>
      </c>
      <c r="U60" s="121" t="str">
        <f t="shared" si="11"/>
        <v>Close</v>
      </c>
      <c r="V60" s="117"/>
    </row>
    <row r="61" spans="1:22" ht="15" customHeight="1">
      <c r="A61" s="117"/>
      <c r="B61" s="144" t="str">
        <f>IF(D61="","","P"&amp;D61&amp;"MA"&amp;COUNTIF($D$14:D61,D61))</f>
        <v/>
      </c>
      <c r="C61" s="162"/>
      <c r="D61" s="163"/>
      <c r="E61" s="164"/>
      <c r="F61" s="164"/>
      <c r="G61" s="164"/>
      <c r="H61" s="164"/>
      <c r="I61" s="162"/>
      <c r="J61" s="144"/>
      <c r="K61" s="144"/>
      <c r="L61" s="144"/>
      <c r="M61" s="145">
        <f t="shared" si="6"/>
        <v>0</v>
      </c>
      <c r="N61" s="145">
        <f t="shared" si="7"/>
        <v>0</v>
      </c>
      <c r="O61" s="146">
        <f t="shared" si="8"/>
        <v>0</v>
      </c>
      <c r="P61" s="146">
        <f>IF(B61="",0,SUMIF('NHAP XUAT'!$G$10:$J$1011,'Ghi So'!B61,'NHAP XUAT'!$J$10:$J$1011))</f>
        <v>0</v>
      </c>
      <c r="Q61" s="146">
        <f t="shared" si="9"/>
        <v>0</v>
      </c>
      <c r="R61" s="169"/>
      <c r="S61" s="169"/>
      <c r="T61" s="146">
        <f t="shared" si="10"/>
        <v>0</v>
      </c>
      <c r="U61" s="121" t="str">
        <f t="shared" si="11"/>
        <v>Close</v>
      </c>
      <c r="V61" s="117"/>
    </row>
    <row r="62" spans="1:22" ht="15" customHeight="1">
      <c r="A62" s="117"/>
      <c r="B62" s="144" t="str">
        <f>IF(D62="","","P"&amp;D62&amp;"MA"&amp;COUNTIF($D$14:D62,D62))</f>
        <v/>
      </c>
      <c r="C62" s="162"/>
      <c r="D62" s="163"/>
      <c r="E62" s="164"/>
      <c r="F62" s="164"/>
      <c r="G62" s="164"/>
      <c r="H62" s="164"/>
      <c r="I62" s="162"/>
      <c r="J62" s="144"/>
      <c r="K62" s="144"/>
      <c r="L62" s="144"/>
      <c r="M62" s="145">
        <f t="shared" si="6"/>
        <v>0</v>
      </c>
      <c r="N62" s="145">
        <f t="shared" si="7"/>
        <v>0</v>
      </c>
      <c r="O62" s="146">
        <f t="shared" si="8"/>
        <v>0</v>
      </c>
      <c r="P62" s="146">
        <f>IF(B62="",0,SUMIF('NHAP XUAT'!$G$10:$J$1011,'Ghi So'!B62,'NHAP XUAT'!$J$10:$J$1011))</f>
        <v>0</v>
      </c>
      <c r="Q62" s="146">
        <f t="shared" si="9"/>
        <v>0</v>
      </c>
      <c r="R62" s="169"/>
      <c r="S62" s="169"/>
      <c r="T62" s="146">
        <f t="shared" si="10"/>
        <v>0</v>
      </c>
      <c r="U62" s="121" t="str">
        <f t="shared" si="11"/>
        <v>Close</v>
      </c>
      <c r="V62" s="117"/>
    </row>
    <row r="63" spans="1:22" ht="15" customHeight="1">
      <c r="A63" s="117"/>
      <c r="B63" s="144" t="str">
        <f>IF(D63="","","P"&amp;D63&amp;"MA"&amp;COUNTIF($D$14:D63,D63))</f>
        <v/>
      </c>
      <c r="C63" s="162"/>
      <c r="D63" s="163"/>
      <c r="E63" s="164"/>
      <c r="F63" s="164"/>
      <c r="G63" s="164"/>
      <c r="H63" s="164"/>
      <c r="I63" s="162"/>
      <c r="J63" s="144"/>
      <c r="K63" s="144"/>
      <c r="L63" s="144"/>
      <c r="M63" s="145">
        <f t="shared" si="6"/>
        <v>0</v>
      </c>
      <c r="N63" s="145">
        <f t="shared" si="7"/>
        <v>0</v>
      </c>
      <c r="O63" s="146">
        <f t="shared" si="8"/>
        <v>0</v>
      </c>
      <c r="P63" s="146">
        <f>IF(B63="",0,SUMIF('NHAP XUAT'!$G$10:$J$1011,'Ghi So'!B63,'NHAP XUAT'!$J$10:$J$1011))</f>
        <v>0</v>
      </c>
      <c r="Q63" s="146">
        <f t="shared" si="9"/>
        <v>0</v>
      </c>
      <c r="R63" s="169"/>
      <c r="S63" s="169"/>
      <c r="T63" s="146">
        <f t="shared" si="10"/>
        <v>0</v>
      </c>
      <c r="U63" s="121" t="str">
        <f t="shared" si="11"/>
        <v>Close</v>
      </c>
      <c r="V63" s="117"/>
    </row>
    <row r="64" spans="1:22" ht="15" customHeight="1">
      <c r="A64" s="117"/>
      <c r="B64" s="144" t="str">
        <f>IF(D64="","","P"&amp;D64&amp;"MA"&amp;COUNTIF($D$14:D64,D64))</f>
        <v/>
      </c>
      <c r="C64" s="162"/>
      <c r="D64" s="163"/>
      <c r="E64" s="164"/>
      <c r="F64" s="164"/>
      <c r="G64" s="164"/>
      <c r="H64" s="164"/>
      <c r="I64" s="162"/>
      <c r="J64" s="144"/>
      <c r="K64" s="144"/>
      <c r="L64" s="144"/>
      <c r="M64" s="145">
        <f t="shared" si="6"/>
        <v>0</v>
      </c>
      <c r="N64" s="145">
        <f t="shared" si="7"/>
        <v>0</v>
      </c>
      <c r="O64" s="146">
        <f t="shared" si="8"/>
        <v>0</v>
      </c>
      <c r="P64" s="146">
        <f>IF(B64="",0,SUMIF('NHAP XUAT'!$G$10:$J$1011,'Ghi So'!B64,'NHAP XUAT'!$J$10:$J$1011))</f>
        <v>0</v>
      </c>
      <c r="Q64" s="146">
        <f t="shared" si="9"/>
        <v>0</v>
      </c>
      <c r="R64" s="169"/>
      <c r="S64" s="169"/>
      <c r="T64" s="146">
        <f t="shared" si="10"/>
        <v>0</v>
      </c>
      <c r="U64" s="121" t="str">
        <f t="shared" si="11"/>
        <v>Close</v>
      </c>
      <c r="V64" s="117"/>
    </row>
    <row r="65" spans="1:22" ht="15" customHeight="1">
      <c r="A65" s="117"/>
      <c r="B65" s="144" t="str">
        <f>IF(D65="","","P"&amp;D65&amp;"MA"&amp;COUNTIF($D$14:D65,D65))</f>
        <v/>
      </c>
      <c r="C65" s="162"/>
      <c r="D65" s="163"/>
      <c r="E65" s="164"/>
      <c r="F65" s="164"/>
      <c r="G65" s="164"/>
      <c r="H65" s="164"/>
      <c r="I65" s="162"/>
      <c r="J65" s="144"/>
      <c r="K65" s="144"/>
      <c r="L65" s="144"/>
      <c r="M65" s="145">
        <f t="shared" si="6"/>
        <v>0</v>
      </c>
      <c r="N65" s="145">
        <f t="shared" si="7"/>
        <v>0</v>
      </c>
      <c r="O65" s="146">
        <f t="shared" si="8"/>
        <v>0</v>
      </c>
      <c r="P65" s="146">
        <f>IF(B65="",0,SUMIF('NHAP XUAT'!$G$10:$J$1011,'Ghi So'!B65,'NHAP XUAT'!$J$10:$J$1011))</f>
        <v>0</v>
      </c>
      <c r="Q65" s="146">
        <f t="shared" si="9"/>
        <v>0</v>
      </c>
      <c r="R65" s="169"/>
      <c r="S65" s="169"/>
      <c r="T65" s="146">
        <f t="shared" si="10"/>
        <v>0</v>
      </c>
      <c r="U65" s="121" t="str">
        <f t="shared" si="11"/>
        <v>Close</v>
      </c>
      <c r="V65" s="117"/>
    </row>
    <row r="66" spans="1:22" ht="15" customHeight="1">
      <c r="A66" s="117"/>
      <c r="B66" s="144" t="str">
        <f>IF(D66="","","P"&amp;D66&amp;"MA"&amp;COUNTIF($D$14:D66,D66))</f>
        <v/>
      </c>
      <c r="C66" s="162"/>
      <c r="D66" s="163"/>
      <c r="E66" s="164"/>
      <c r="F66" s="164"/>
      <c r="G66" s="164"/>
      <c r="H66" s="164"/>
      <c r="I66" s="162"/>
      <c r="J66" s="144"/>
      <c r="K66" s="144"/>
      <c r="L66" s="144"/>
      <c r="M66" s="145">
        <f t="shared" si="6"/>
        <v>0</v>
      </c>
      <c r="N66" s="145">
        <f t="shared" si="7"/>
        <v>0</v>
      </c>
      <c r="O66" s="146">
        <f t="shared" si="8"/>
        <v>0</v>
      </c>
      <c r="P66" s="146">
        <f>IF(B66="",0,SUMIF('NHAP XUAT'!$G$10:$J$1011,'Ghi So'!B66,'NHAP XUAT'!$J$10:$J$1011))</f>
        <v>0</v>
      </c>
      <c r="Q66" s="146">
        <f t="shared" si="9"/>
        <v>0</v>
      </c>
      <c r="R66" s="169"/>
      <c r="S66" s="169"/>
      <c r="T66" s="146">
        <f t="shared" si="10"/>
        <v>0</v>
      </c>
      <c r="U66" s="121" t="str">
        <f t="shared" si="11"/>
        <v>Close</v>
      </c>
      <c r="V66" s="117"/>
    </row>
    <row r="67" spans="1:22" ht="15" customHeight="1">
      <c r="A67" s="117"/>
      <c r="B67" s="144" t="str">
        <f>IF(D67="","","P"&amp;D67&amp;"MA"&amp;COUNTIF($D$14:D67,D67))</f>
        <v/>
      </c>
      <c r="C67" s="162"/>
      <c r="D67" s="163"/>
      <c r="E67" s="164"/>
      <c r="F67" s="164"/>
      <c r="G67" s="164"/>
      <c r="H67" s="164"/>
      <c r="I67" s="162"/>
      <c r="J67" s="144"/>
      <c r="K67" s="144"/>
      <c r="L67" s="144"/>
      <c r="M67" s="145">
        <f t="shared" si="6"/>
        <v>0</v>
      </c>
      <c r="N67" s="145">
        <f t="shared" si="7"/>
        <v>0</v>
      </c>
      <c r="O67" s="146">
        <f t="shared" si="8"/>
        <v>0</v>
      </c>
      <c r="P67" s="146">
        <f>IF(B67="",0,SUMIF('NHAP XUAT'!$G$10:$J$1011,'Ghi So'!B67,'NHAP XUAT'!$J$10:$J$1011))</f>
        <v>0</v>
      </c>
      <c r="Q67" s="146">
        <f t="shared" si="9"/>
        <v>0</v>
      </c>
      <c r="R67" s="169"/>
      <c r="S67" s="169"/>
      <c r="T67" s="146">
        <f t="shared" si="10"/>
        <v>0</v>
      </c>
      <c r="U67" s="121" t="str">
        <f t="shared" si="11"/>
        <v>Close</v>
      </c>
      <c r="V67" s="117"/>
    </row>
    <row r="68" spans="1:22" ht="15" customHeight="1">
      <c r="A68" s="117"/>
      <c r="B68" s="144" t="str">
        <f>IF(D68="","","P"&amp;D68&amp;"MA"&amp;COUNTIF($D$14:D68,D68))</f>
        <v/>
      </c>
      <c r="C68" s="162"/>
      <c r="D68" s="163"/>
      <c r="E68" s="164"/>
      <c r="F68" s="164"/>
      <c r="G68" s="164"/>
      <c r="H68" s="164"/>
      <c r="I68" s="162"/>
      <c r="J68" s="144"/>
      <c r="K68" s="144"/>
      <c r="L68" s="144"/>
      <c r="M68" s="145">
        <f t="shared" si="6"/>
        <v>0</v>
      </c>
      <c r="N68" s="145">
        <f t="shared" si="7"/>
        <v>0</v>
      </c>
      <c r="O68" s="146">
        <f t="shared" si="8"/>
        <v>0</v>
      </c>
      <c r="P68" s="146">
        <f>IF(B68="",0,SUMIF('NHAP XUAT'!$G$10:$J$1011,'Ghi So'!B68,'NHAP XUAT'!$J$10:$J$1011))</f>
        <v>0</v>
      </c>
      <c r="Q68" s="146">
        <f t="shared" si="9"/>
        <v>0</v>
      </c>
      <c r="R68" s="169"/>
      <c r="S68" s="169"/>
      <c r="T68" s="146">
        <f t="shared" si="10"/>
        <v>0</v>
      </c>
      <c r="U68" s="121" t="str">
        <f t="shared" si="11"/>
        <v>Close</v>
      </c>
      <c r="V68" s="117"/>
    </row>
    <row r="69" spans="1:22" ht="15" customHeight="1">
      <c r="A69" s="117"/>
      <c r="B69" s="144" t="str">
        <f>IF(D69="","","P"&amp;D69&amp;"MA"&amp;COUNTIF($D$14:D69,D69))</f>
        <v/>
      </c>
      <c r="C69" s="162"/>
      <c r="D69" s="163"/>
      <c r="E69" s="164"/>
      <c r="F69" s="164"/>
      <c r="G69" s="164"/>
      <c r="H69" s="164"/>
      <c r="I69" s="162"/>
      <c r="J69" s="144"/>
      <c r="K69" s="144"/>
      <c r="L69" s="144"/>
      <c r="M69" s="145">
        <f t="shared" si="6"/>
        <v>0</v>
      </c>
      <c r="N69" s="145">
        <f t="shared" si="7"/>
        <v>0</v>
      </c>
      <c r="O69" s="146">
        <f t="shared" si="8"/>
        <v>0</v>
      </c>
      <c r="P69" s="146">
        <f>IF(B69="",0,SUMIF('NHAP XUAT'!$G$10:$J$1011,'Ghi So'!B69,'NHAP XUAT'!$J$10:$J$1011))</f>
        <v>0</v>
      </c>
      <c r="Q69" s="146">
        <f t="shared" si="9"/>
        <v>0</v>
      </c>
      <c r="R69" s="169"/>
      <c r="S69" s="169"/>
      <c r="T69" s="146">
        <f t="shared" si="10"/>
        <v>0</v>
      </c>
      <c r="U69" s="121" t="str">
        <f t="shared" si="11"/>
        <v>Close</v>
      </c>
      <c r="V69" s="117"/>
    </row>
    <row r="70" spans="1:22" ht="15" customHeight="1">
      <c r="A70" s="117"/>
      <c r="B70" s="144" t="str">
        <f>IF(D70="","","P"&amp;D70&amp;"MA"&amp;COUNTIF($D$14:D70,D70))</f>
        <v/>
      </c>
      <c r="C70" s="162"/>
      <c r="D70" s="163"/>
      <c r="E70" s="164"/>
      <c r="F70" s="164"/>
      <c r="G70" s="164"/>
      <c r="H70" s="164"/>
      <c r="I70" s="162"/>
      <c r="J70" s="144"/>
      <c r="K70" s="144"/>
      <c r="L70" s="144"/>
      <c r="M70" s="145">
        <f t="shared" si="6"/>
        <v>0</v>
      </c>
      <c r="N70" s="145">
        <f t="shared" si="7"/>
        <v>0</v>
      </c>
      <c r="O70" s="146">
        <f t="shared" si="8"/>
        <v>0</v>
      </c>
      <c r="P70" s="146">
        <f>IF(B70="",0,SUMIF('NHAP XUAT'!$G$10:$J$1011,'Ghi So'!B70,'NHAP XUAT'!$J$10:$J$1011))</f>
        <v>0</v>
      </c>
      <c r="Q70" s="146">
        <f t="shared" si="9"/>
        <v>0</v>
      </c>
      <c r="R70" s="169"/>
      <c r="S70" s="169"/>
      <c r="T70" s="146">
        <f t="shared" si="10"/>
        <v>0</v>
      </c>
      <c r="U70" s="121" t="str">
        <f t="shared" si="11"/>
        <v>Close</v>
      </c>
      <c r="V70" s="117"/>
    </row>
    <row r="71" spans="1:22" ht="15" customHeight="1">
      <c r="A71" s="117"/>
      <c r="B71" s="144" t="str">
        <f>IF(D71="","","P"&amp;D71&amp;"MA"&amp;COUNTIF($D$14:D71,D71))</f>
        <v/>
      </c>
      <c r="C71" s="162"/>
      <c r="D71" s="163"/>
      <c r="E71" s="164"/>
      <c r="F71" s="164"/>
      <c r="G71" s="164"/>
      <c r="H71" s="164"/>
      <c r="I71" s="162"/>
      <c r="J71" s="144"/>
      <c r="K71" s="144"/>
      <c r="L71" s="144"/>
      <c r="M71" s="145">
        <f t="shared" si="6"/>
        <v>0</v>
      </c>
      <c r="N71" s="145">
        <f t="shared" si="7"/>
        <v>0</v>
      </c>
      <c r="O71" s="146">
        <f t="shared" si="8"/>
        <v>0</v>
      </c>
      <c r="P71" s="146">
        <f>IF(B71="",0,SUMIF('NHAP XUAT'!$G$10:$J$1011,'Ghi So'!B71,'NHAP XUAT'!$J$10:$J$1011))</f>
        <v>0</v>
      </c>
      <c r="Q71" s="146">
        <f t="shared" si="9"/>
        <v>0</v>
      </c>
      <c r="R71" s="169"/>
      <c r="S71" s="169"/>
      <c r="T71" s="146">
        <f t="shared" si="10"/>
        <v>0</v>
      </c>
      <c r="U71" s="121" t="str">
        <f t="shared" si="11"/>
        <v>Close</v>
      </c>
      <c r="V71" s="117"/>
    </row>
    <row r="72" spans="1:22" ht="15" customHeight="1">
      <c r="A72" s="117"/>
      <c r="B72" s="144" t="str">
        <f>IF(D72="","","P"&amp;D72&amp;"MA"&amp;COUNTIF($D$14:D72,D72))</f>
        <v/>
      </c>
      <c r="C72" s="162"/>
      <c r="D72" s="163"/>
      <c r="E72" s="164"/>
      <c r="F72" s="164"/>
      <c r="G72" s="164"/>
      <c r="H72" s="164"/>
      <c r="I72" s="162"/>
      <c r="J72" s="144"/>
      <c r="K72" s="144"/>
      <c r="L72" s="144"/>
      <c r="M72" s="145">
        <f t="shared" si="6"/>
        <v>0</v>
      </c>
      <c r="N72" s="145">
        <f t="shared" si="7"/>
        <v>0</v>
      </c>
      <c r="O72" s="146">
        <f t="shared" si="8"/>
        <v>0</v>
      </c>
      <c r="P72" s="146">
        <f>IF(B72="",0,SUMIF('NHAP XUAT'!$G$10:$J$1011,'Ghi So'!B72,'NHAP XUAT'!$J$10:$J$1011))</f>
        <v>0</v>
      </c>
      <c r="Q72" s="146">
        <f t="shared" si="9"/>
        <v>0</v>
      </c>
      <c r="R72" s="169"/>
      <c r="S72" s="169"/>
      <c r="T72" s="146">
        <f t="shared" si="10"/>
        <v>0</v>
      </c>
      <c r="U72" s="121" t="str">
        <f t="shared" si="11"/>
        <v>Close</v>
      </c>
      <c r="V72" s="117"/>
    </row>
    <row r="73" spans="1:22" ht="15" customHeight="1">
      <c r="A73" s="117"/>
      <c r="B73" s="144" t="str">
        <f>IF(D73="","","P"&amp;D73&amp;"MA"&amp;COUNTIF($D$14:D73,D73))</f>
        <v/>
      </c>
      <c r="C73" s="162"/>
      <c r="D73" s="163"/>
      <c r="E73" s="164"/>
      <c r="F73" s="164"/>
      <c r="G73" s="164"/>
      <c r="H73" s="164"/>
      <c r="I73" s="162"/>
      <c r="J73" s="144"/>
      <c r="K73" s="144"/>
      <c r="L73" s="144"/>
      <c r="M73" s="145">
        <f t="shared" si="6"/>
        <v>0</v>
      </c>
      <c r="N73" s="145">
        <f t="shared" si="7"/>
        <v>0</v>
      </c>
      <c r="O73" s="146">
        <f t="shared" si="8"/>
        <v>0</v>
      </c>
      <c r="P73" s="146">
        <f>IF(B73="",0,SUMIF('NHAP XUAT'!$G$10:$J$1011,'Ghi So'!B73,'NHAP XUAT'!$J$10:$J$1011))</f>
        <v>0</v>
      </c>
      <c r="Q73" s="146">
        <f t="shared" si="9"/>
        <v>0</v>
      </c>
      <c r="R73" s="169"/>
      <c r="S73" s="169"/>
      <c r="T73" s="146">
        <f t="shared" si="10"/>
        <v>0</v>
      </c>
      <c r="U73" s="121" t="str">
        <f t="shared" si="11"/>
        <v>Close</v>
      </c>
      <c r="V73" s="117"/>
    </row>
    <row r="74" spans="1:22" ht="15" customHeight="1">
      <c r="A74" s="117"/>
      <c r="B74" s="144" t="str">
        <f>IF(D74="","","P"&amp;D74&amp;"MA"&amp;COUNTIF($D$14:D74,D74))</f>
        <v/>
      </c>
      <c r="C74" s="162"/>
      <c r="D74" s="163"/>
      <c r="E74" s="164"/>
      <c r="F74" s="164"/>
      <c r="G74" s="164"/>
      <c r="H74" s="164"/>
      <c r="I74" s="162"/>
      <c r="J74" s="144"/>
      <c r="K74" s="144"/>
      <c r="L74" s="144"/>
      <c r="M74" s="145">
        <f t="shared" si="6"/>
        <v>0</v>
      </c>
      <c r="N74" s="145">
        <f t="shared" si="7"/>
        <v>0</v>
      </c>
      <c r="O74" s="146">
        <f t="shared" si="8"/>
        <v>0</v>
      </c>
      <c r="P74" s="146">
        <f>IF(B74="",0,SUMIF('NHAP XUAT'!$G$10:$J$1011,'Ghi So'!B74,'NHAP XUAT'!$J$10:$J$1011))</f>
        <v>0</v>
      </c>
      <c r="Q74" s="146">
        <f t="shared" si="9"/>
        <v>0</v>
      </c>
      <c r="R74" s="169"/>
      <c r="S74" s="169"/>
      <c r="T74" s="146">
        <f t="shared" si="10"/>
        <v>0</v>
      </c>
      <c r="U74" s="121" t="str">
        <f t="shared" si="11"/>
        <v>Close</v>
      </c>
      <c r="V74" s="117"/>
    </row>
    <row r="75" spans="1:22" ht="15" customHeight="1">
      <c r="A75" s="117"/>
      <c r="B75" s="144" t="str">
        <f>IF(D75="","","P"&amp;D75&amp;"MA"&amp;COUNTIF($D$14:D75,D75))</f>
        <v/>
      </c>
      <c r="C75" s="162"/>
      <c r="D75" s="163"/>
      <c r="E75" s="164"/>
      <c r="F75" s="164"/>
      <c r="G75" s="164"/>
      <c r="H75" s="164"/>
      <c r="I75" s="162"/>
      <c r="J75" s="144"/>
      <c r="K75" s="144"/>
      <c r="L75" s="144"/>
      <c r="M75" s="145">
        <f t="shared" si="6"/>
        <v>0</v>
      </c>
      <c r="N75" s="145">
        <f t="shared" si="7"/>
        <v>0</v>
      </c>
      <c r="O75" s="146">
        <f t="shared" si="8"/>
        <v>0</v>
      </c>
      <c r="P75" s="146">
        <f>IF(B75="",0,SUMIF('NHAP XUAT'!$G$10:$J$1011,'Ghi So'!B75,'NHAP XUAT'!$J$10:$J$1011))</f>
        <v>0</v>
      </c>
      <c r="Q75" s="146">
        <f t="shared" si="9"/>
        <v>0</v>
      </c>
      <c r="R75" s="169"/>
      <c r="S75" s="169"/>
      <c r="T75" s="146">
        <f t="shared" si="10"/>
        <v>0</v>
      </c>
      <c r="U75" s="121" t="str">
        <f t="shared" si="11"/>
        <v>Close</v>
      </c>
      <c r="V75" s="117"/>
    </row>
    <row r="76" spans="1:22" ht="15" customHeight="1">
      <c r="A76" s="117"/>
      <c r="B76" s="144" t="str">
        <f>IF(D76="","","P"&amp;D76&amp;"MA"&amp;COUNTIF($D$14:D76,D76))</f>
        <v/>
      </c>
      <c r="C76" s="162"/>
      <c r="D76" s="163"/>
      <c r="E76" s="164"/>
      <c r="F76" s="164"/>
      <c r="G76" s="164"/>
      <c r="H76" s="164"/>
      <c r="I76" s="162"/>
      <c r="J76" s="144"/>
      <c r="K76" s="144"/>
      <c r="L76" s="144"/>
      <c r="M76" s="145">
        <f t="shared" si="6"/>
        <v>0</v>
      </c>
      <c r="N76" s="145">
        <f t="shared" si="7"/>
        <v>0</v>
      </c>
      <c r="O76" s="146">
        <f t="shared" si="8"/>
        <v>0</v>
      </c>
      <c r="P76" s="146">
        <f>IF(B76="",0,SUMIF('NHAP XUAT'!$G$10:$J$1011,'Ghi So'!B76,'NHAP XUAT'!$J$10:$J$1011))</f>
        <v>0</v>
      </c>
      <c r="Q76" s="146">
        <f t="shared" si="9"/>
        <v>0</v>
      </c>
      <c r="R76" s="169"/>
      <c r="S76" s="169"/>
      <c r="T76" s="146">
        <f t="shared" si="10"/>
        <v>0</v>
      </c>
      <c r="U76" s="121" t="str">
        <f t="shared" si="11"/>
        <v>Close</v>
      </c>
      <c r="V76" s="117"/>
    </row>
    <row r="77" spans="1:22" ht="15" customHeight="1">
      <c r="A77" s="117"/>
      <c r="B77" s="144" t="str">
        <f>IF(D77="","","P"&amp;D77&amp;"MA"&amp;COUNTIF($D$14:D77,D77))</f>
        <v/>
      </c>
      <c r="C77" s="162"/>
      <c r="D77" s="163"/>
      <c r="E77" s="164"/>
      <c r="F77" s="164"/>
      <c r="G77" s="164"/>
      <c r="H77" s="164"/>
      <c r="I77" s="162"/>
      <c r="J77" s="144"/>
      <c r="K77" s="144"/>
      <c r="L77" s="144"/>
      <c r="M77" s="145">
        <f t="shared" si="6"/>
        <v>0</v>
      </c>
      <c r="N77" s="145">
        <f t="shared" si="7"/>
        <v>0</v>
      </c>
      <c r="O77" s="146">
        <f t="shared" si="8"/>
        <v>0</v>
      </c>
      <c r="P77" s="146">
        <f>IF(B77="",0,SUMIF('NHAP XUAT'!$G$10:$J$1011,'Ghi So'!B77,'NHAP XUAT'!$J$10:$J$1011))</f>
        <v>0</v>
      </c>
      <c r="Q77" s="146">
        <f t="shared" si="9"/>
        <v>0</v>
      </c>
      <c r="R77" s="169"/>
      <c r="S77" s="169"/>
      <c r="T77" s="146">
        <f t="shared" si="10"/>
        <v>0</v>
      </c>
      <c r="U77" s="121" t="str">
        <f t="shared" si="11"/>
        <v>Close</v>
      </c>
      <c r="V77" s="117"/>
    </row>
    <row r="78" spans="1:22" ht="15" customHeight="1">
      <c r="A78" s="117"/>
      <c r="B78" s="144" t="str">
        <f>IF(D78="","","P"&amp;D78&amp;"MA"&amp;COUNTIF($D$14:D78,D78))</f>
        <v/>
      </c>
      <c r="C78" s="162"/>
      <c r="D78" s="163"/>
      <c r="E78" s="164"/>
      <c r="F78" s="164"/>
      <c r="G78" s="164"/>
      <c r="H78" s="164"/>
      <c r="I78" s="162"/>
      <c r="J78" s="144"/>
      <c r="K78" s="144"/>
      <c r="L78" s="144"/>
      <c r="M78" s="145">
        <f t="shared" si="6"/>
        <v>0</v>
      </c>
      <c r="N78" s="145">
        <f t="shared" si="7"/>
        <v>0</v>
      </c>
      <c r="O78" s="146">
        <f t="shared" si="8"/>
        <v>0</v>
      </c>
      <c r="P78" s="146">
        <f>IF(B78="",0,SUMIF('NHAP XUAT'!$G$10:$J$1011,'Ghi So'!B78,'NHAP XUAT'!$J$10:$J$1011))</f>
        <v>0</v>
      </c>
      <c r="Q78" s="146">
        <f t="shared" si="9"/>
        <v>0</v>
      </c>
      <c r="R78" s="169"/>
      <c r="S78" s="169"/>
      <c r="T78" s="146">
        <f t="shared" si="10"/>
        <v>0</v>
      </c>
      <c r="U78" s="121" t="str">
        <f t="shared" si="11"/>
        <v>Close</v>
      </c>
      <c r="V78" s="117"/>
    </row>
    <row r="79" spans="1:22" ht="15" customHeight="1">
      <c r="A79" s="117"/>
      <c r="B79" s="144" t="str">
        <f>IF(D79="","","P"&amp;D79&amp;"MA"&amp;COUNTIF($D$14:D79,D79))</f>
        <v/>
      </c>
      <c r="C79" s="162"/>
      <c r="D79" s="163"/>
      <c r="E79" s="164"/>
      <c r="F79" s="164"/>
      <c r="G79" s="164"/>
      <c r="H79" s="164"/>
      <c r="I79" s="162"/>
      <c r="J79" s="144"/>
      <c r="K79" s="144"/>
      <c r="L79" s="144"/>
      <c r="M79" s="145">
        <f t="shared" si="6"/>
        <v>0</v>
      </c>
      <c r="N79" s="145">
        <f t="shared" si="7"/>
        <v>0</v>
      </c>
      <c r="O79" s="146">
        <f t="shared" si="8"/>
        <v>0</v>
      </c>
      <c r="P79" s="146">
        <f>IF(B79="",0,SUMIF('NHAP XUAT'!$G$10:$J$1011,'Ghi So'!B79,'NHAP XUAT'!$J$10:$J$1011))</f>
        <v>0</v>
      </c>
      <c r="Q79" s="146">
        <f t="shared" si="9"/>
        <v>0</v>
      </c>
      <c r="R79" s="169"/>
      <c r="S79" s="169"/>
      <c r="T79" s="146">
        <f t="shared" si="10"/>
        <v>0</v>
      </c>
      <c r="U79" s="121" t="str">
        <f t="shared" si="11"/>
        <v>Close</v>
      </c>
      <c r="V79" s="117"/>
    </row>
    <row r="80" spans="1:22" ht="15" customHeight="1">
      <c r="A80" s="117"/>
      <c r="B80" s="144" t="str">
        <f>IF(D80="","","P"&amp;D80&amp;"MA"&amp;COUNTIF($D$14:D80,D80))</f>
        <v/>
      </c>
      <c r="C80" s="162"/>
      <c r="D80" s="163"/>
      <c r="E80" s="164"/>
      <c r="F80" s="164"/>
      <c r="G80" s="164"/>
      <c r="H80" s="164"/>
      <c r="I80" s="162"/>
      <c r="J80" s="144"/>
      <c r="K80" s="144"/>
      <c r="L80" s="144"/>
      <c r="M80" s="145">
        <f t="shared" si="6"/>
        <v>0</v>
      </c>
      <c r="N80" s="145">
        <f t="shared" si="7"/>
        <v>0</v>
      </c>
      <c r="O80" s="146">
        <f t="shared" si="8"/>
        <v>0</v>
      </c>
      <c r="P80" s="146">
        <f>IF(B80="",0,SUMIF('NHAP XUAT'!$G$10:$J$1011,'Ghi So'!B80,'NHAP XUAT'!$J$10:$J$1011))</f>
        <v>0</v>
      </c>
      <c r="Q80" s="146">
        <f t="shared" si="9"/>
        <v>0</v>
      </c>
      <c r="R80" s="169"/>
      <c r="S80" s="169"/>
      <c r="T80" s="146">
        <f t="shared" si="10"/>
        <v>0</v>
      </c>
      <c r="U80" s="121" t="str">
        <f t="shared" si="11"/>
        <v>Close</v>
      </c>
      <c r="V80" s="117"/>
    </row>
    <row r="81" spans="1:22" ht="15" customHeight="1">
      <c r="A81" s="117"/>
      <c r="B81" s="144" t="str">
        <f>IF(D81="","","P"&amp;D81&amp;"MA"&amp;COUNTIF($D$14:D81,D81))</f>
        <v/>
      </c>
      <c r="C81" s="162"/>
      <c r="D81" s="163"/>
      <c r="E81" s="164"/>
      <c r="F81" s="164"/>
      <c r="G81" s="164"/>
      <c r="H81" s="164"/>
      <c r="I81" s="162"/>
      <c r="J81" s="144"/>
      <c r="K81" s="144"/>
      <c r="L81" s="144"/>
      <c r="M81" s="145">
        <f t="shared" si="6"/>
        <v>0</v>
      </c>
      <c r="N81" s="145">
        <f t="shared" si="7"/>
        <v>0</v>
      </c>
      <c r="O81" s="146">
        <f t="shared" si="8"/>
        <v>0</v>
      </c>
      <c r="P81" s="146">
        <f>IF(B81="",0,SUMIF('NHAP XUAT'!$G$10:$J$1011,'Ghi So'!B81,'NHAP XUAT'!$J$10:$J$1011))</f>
        <v>0</v>
      </c>
      <c r="Q81" s="146">
        <f t="shared" si="9"/>
        <v>0</v>
      </c>
      <c r="R81" s="169"/>
      <c r="S81" s="169"/>
      <c r="T81" s="146">
        <f t="shared" si="10"/>
        <v>0</v>
      </c>
      <c r="U81" s="121" t="str">
        <f t="shared" si="11"/>
        <v>Close</v>
      </c>
      <c r="V81" s="117"/>
    </row>
    <row r="82" spans="1:22" ht="15" customHeight="1">
      <c r="A82" s="117"/>
      <c r="B82" s="144" t="str">
        <f>IF(D82="","","P"&amp;D82&amp;"MA"&amp;COUNTIF($D$14:D82,D82))</f>
        <v/>
      </c>
      <c r="C82" s="162"/>
      <c r="D82" s="163"/>
      <c r="E82" s="164"/>
      <c r="F82" s="164"/>
      <c r="G82" s="164"/>
      <c r="H82" s="164"/>
      <c r="I82" s="162"/>
      <c r="J82" s="144"/>
      <c r="K82" s="144"/>
      <c r="L82" s="144"/>
      <c r="M82" s="145">
        <f t="shared" si="6"/>
        <v>0</v>
      </c>
      <c r="N82" s="145">
        <f t="shared" si="7"/>
        <v>0</v>
      </c>
      <c r="O82" s="146">
        <f t="shared" si="8"/>
        <v>0</v>
      </c>
      <c r="P82" s="146">
        <f>IF(B82="",0,SUMIF('NHAP XUAT'!$G$10:$J$1011,'Ghi So'!B82,'NHAP XUAT'!$J$10:$J$1011))</f>
        <v>0</v>
      </c>
      <c r="Q82" s="146">
        <f t="shared" si="9"/>
        <v>0</v>
      </c>
      <c r="R82" s="169"/>
      <c r="S82" s="169"/>
      <c r="T82" s="146">
        <f t="shared" si="10"/>
        <v>0</v>
      </c>
      <c r="U82" s="121" t="str">
        <f t="shared" si="11"/>
        <v>Close</v>
      </c>
      <c r="V82" s="117"/>
    </row>
    <row r="83" spans="1:22" ht="15" customHeight="1">
      <c r="A83" s="117"/>
      <c r="B83" s="144" t="str">
        <f>IF(D83="","","P"&amp;D83&amp;"MA"&amp;COUNTIF($D$14:D83,D83))</f>
        <v/>
      </c>
      <c r="C83" s="162"/>
      <c r="D83" s="163"/>
      <c r="E83" s="164"/>
      <c r="F83" s="164"/>
      <c r="G83" s="164"/>
      <c r="H83" s="164"/>
      <c r="I83" s="162"/>
      <c r="J83" s="144"/>
      <c r="K83" s="144"/>
      <c r="L83" s="144"/>
      <c r="M83" s="145">
        <f t="shared" si="6"/>
        <v>0</v>
      </c>
      <c r="N83" s="145">
        <f t="shared" si="7"/>
        <v>0</v>
      </c>
      <c r="O83" s="146">
        <f t="shared" si="8"/>
        <v>0</v>
      </c>
      <c r="P83" s="146">
        <f>IF(B83="",0,SUMIF('NHAP XUAT'!$G$10:$J$1011,'Ghi So'!B83,'NHAP XUAT'!$J$10:$J$1011))</f>
        <v>0</v>
      </c>
      <c r="Q83" s="146">
        <f t="shared" si="9"/>
        <v>0</v>
      </c>
      <c r="R83" s="169"/>
      <c r="S83" s="169"/>
      <c r="T83" s="146">
        <f t="shared" si="10"/>
        <v>0</v>
      </c>
      <c r="U83" s="121" t="str">
        <f t="shared" si="11"/>
        <v>Close</v>
      </c>
      <c r="V83" s="117"/>
    </row>
    <row r="84" spans="1:22" ht="15" customHeight="1">
      <c r="A84" s="117"/>
      <c r="B84" s="144" t="str">
        <f>IF(D84="","","P"&amp;D84&amp;"MA"&amp;COUNTIF($D$14:D84,D84))</f>
        <v/>
      </c>
      <c r="C84" s="162"/>
      <c r="D84" s="163"/>
      <c r="E84" s="164"/>
      <c r="F84" s="164"/>
      <c r="G84" s="164"/>
      <c r="H84" s="164"/>
      <c r="I84" s="162"/>
      <c r="J84" s="144"/>
      <c r="K84" s="144"/>
      <c r="L84" s="144"/>
      <c r="M84" s="145">
        <f t="shared" si="6"/>
        <v>0</v>
      </c>
      <c r="N84" s="145">
        <f t="shared" si="7"/>
        <v>0</v>
      </c>
      <c r="O84" s="146">
        <f t="shared" si="8"/>
        <v>0</v>
      </c>
      <c r="P84" s="146">
        <f>IF(B84="",0,SUMIF('NHAP XUAT'!$G$10:$J$1011,'Ghi So'!B84,'NHAP XUAT'!$J$10:$J$1011))</f>
        <v>0</v>
      </c>
      <c r="Q84" s="146">
        <f t="shared" si="9"/>
        <v>0</v>
      </c>
      <c r="R84" s="169"/>
      <c r="S84" s="169"/>
      <c r="T84" s="146">
        <f t="shared" si="10"/>
        <v>0</v>
      </c>
      <c r="U84" s="121" t="str">
        <f t="shared" si="11"/>
        <v>Close</v>
      </c>
      <c r="V84" s="117"/>
    </row>
    <row r="85" spans="1:22" ht="15" customHeight="1">
      <c r="A85" s="117"/>
      <c r="B85" s="144" t="str">
        <f>IF(D85="","","P"&amp;D85&amp;"MA"&amp;COUNTIF($D$14:D85,D85))</f>
        <v/>
      </c>
      <c r="C85" s="162"/>
      <c r="D85" s="163"/>
      <c r="E85" s="164"/>
      <c r="F85" s="164"/>
      <c r="G85" s="164"/>
      <c r="H85" s="164"/>
      <c r="I85" s="162"/>
      <c r="J85" s="144"/>
      <c r="K85" s="144"/>
      <c r="L85" s="144"/>
      <c r="M85" s="145">
        <f t="shared" si="6"/>
        <v>0</v>
      </c>
      <c r="N85" s="145">
        <f t="shared" si="7"/>
        <v>0</v>
      </c>
      <c r="O85" s="146">
        <f t="shared" si="8"/>
        <v>0</v>
      </c>
      <c r="P85" s="146">
        <f>IF(B85="",0,SUMIF('NHAP XUAT'!$G$10:$J$1011,'Ghi So'!B85,'NHAP XUAT'!$J$10:$J$1011))</f>
        <v>0</v>
      </c>
      <c r="Q85" s="146">
        <f t="shared" si="9"/>
        <v>0</v>
      </c>
      <c r="R85" s="169"/>
      <c r="S85" s="169"/>
      <c r="T85" s="146">
        <f t="shared" si="10"/>
        <v>0</v>
      </c>
      <c r="U85" s="121" t="str">
        <f t="shared" si="11"/>
        <v>Close</v>
      </c>
      <c r="V85" s="117"/>
    </row>
    <row r="86" spans="1:22" ht="15" customHeight="1">
      <c r="A86" s="117"/>
      <c r="B86" s="144" t="str">
        <f>IF(D86="","","P"&amp;D86&amp;"MA"&amp;COUNTIF($D$14:D86,D86))</f>
        <v/>
      </c>
      <c r="C86" s="162"/>
      <c r="D86" s="163"/>
      <c r="E86" s="164"/>
      <c r="F86" s="164"/>
      <c r="G86" s="164"/>
      <c r="H86" s="164"/>
      <c r="I86" s="162"/>
      <c r="J86" s="144"/>
      <c r="K86" s="144"/>
      <c r="L86" s="144"/>
      <c r="M86" s="145">
        <f t="shared" si="6"/>
        <v>0</v>
      </c>
      <c r="N86" s="145">
        <f t="shared" si="7"/>
        <v>0</v>
      </c>
      <c r="O86" s="146">
        <f t="shared" si="8"/>
        <v>0</v>
      </c>
      <c r="P86" s="146">
        <f>IF(B86="",0,SUMIF('NHAP XUAT'!$G$10:$J$1011,'Ghi So'!B86,'NHAP XUAT'!$J$10:$J$1011))</f>
        <v>0</v>
      </c>
      <c r="Q86" s="146">
        <f t="shared" si="9"/>
        <v>0</v>
      </c>
      <c r="R86" s="169"/>
      <c r="S86" s="169"/>
      <c r="T86" s="146">
        <f t="shared" si="10"/>
        <v>0</v>
      </c>
      <c r="U86" s="121" t="str">
        <f t="shared" si="11"/>
        <v>Close</v>
      </c>
      <c r="V86" s="117"/>
    </row>
    <row r="87" spans="1:22" ht="15" customHeight="1">
      <c r="A87" s="117"/>
      <c r="B87" s="144" t="str">
        <f>IF(D87="","","P"&amp;D87&amp;"MA"&amp;COUNTIF($D$14:D87,D87))</f>
        <v/>
      </c>
      <c r="C87" s="162"/>
      <c r="D87" s="163"/>
      <c r="E87" s="164"/>
      <c r="F87" s="164"/>
      <c r="G87" s="164"/>
      <c r="H87" s="164"/>
      <c r="I87" s="162"/>
      <c r="J87" s="144"/>
      <c r="K87" s="144"/>
      <c r="L87" s="144"/>
      <c r="M87" s="145">
        <f t="shared" si="6"/>
        <v>0</v>
      </c>
      <c r="N87" s="145">
        <f t="shared" si="7"/>
        <v>0</v>
      </c>
      <c r="O87" s="146">
        <f t="shared" si="8"/>
        <v>0</v>
      </c>
      <c r="P87" s="146">
        <f>IF(B87="",0,SUMIF('NHAP XUAT'!$G$10:$J$1011,'Ghi So'!B87,'NHAP XUAT'!$J$10:$J$1011))</f>
        <v>0</v>
      </c>
      <c r="Q87" s="146">
        <f t="shared" si="9"/>
        <v>0</v>
      </c>
      <c r="R87" s="169"/>
      <c r="S87" s="169"/>
      <c r="T87" s="146">
        <f t="shared" si="10"/>
        <v>0</v>
      </c>
      <c r="U87" s="121" t="str">
        <f t="shared" si="11"/>
        <v>Close</v>
      </c>
      <c r="V87" s="117"/>
    </row>
    <row r="88" spans="1:22" ht="15" customHeight="1">
      <c r="A88" s="117"/>
      <c r="B88" s="144" t="str">
        <f>IF(D88="","","P"&amp;D88&amp;"MA"&amp;COUNTIF($D$14:D88,D88))</f>
        <v/>
      </c>
      <c r="C88" s="162"/>
      <c r="D88" s="163"/>
      <c r="E88" s="164"/>
      <c r="F88" s="164"/>
      <c r="G88" s="164"/>
      <c r="H88" s="164"/>
      <c r="I88" s="162"/>
      <c r="J88" s="144"/>
      <c r="K88" s="144"/>
      <c r="L88" s="144"/>
      <c r="M88" s="145">
        <f t="shared" si="6"/>
        <v>0</v>
      </c>
      <c r="N88" s="145">
        <f t="shared" si="7"/>
        <v>0</v>
      </c>
      <c r="O88" s="146">
        <f t="shared" si="8"/>
        <v>0</v>
      </c>
      <c r="P88" s="146">
        <f>IF(B88="",0,SUMIF('NHAP XUAT'!$G$10:$J$1011,'Ghi So'!B88,'NHAP XUAT'!$J$10:$J$1011))</f>
        <v>0</v>
      </c>
      <c r="Q88" s="146">
        <f t="shared" si="9"/>
        <v>0</v>
      </c>
      <c r="R88" s="169"/>
      <c r="S88" s="169"/>
      <c r="T88" s="146">
        <f t="shared" si="10"/>
        <v>0</v>
      </c>
      <c r="U88" s="121" t="str">
        <f t="shared" si="11"/>
        <v>Close</v>
      </c>
      <c r="V88" s="117"/>
    </row>
    <row r="89" spans="1:22" ht="15" customHeight="1">
      <c r="A89" s="117"/>
      <c r="B89" s="144" t="str">
        <f>IF(D89="","","P"&amp;D89&amp;"MA"&amp;COUNTIF($D$14:D89,D89))</f>
        <v/>
      </c>
      <c r="C89" s="162"/>
      <c r="D89" s="163"/>
      <c r="E89" s="164"/>
      <c r="F89" s="164"/>
      <c r="G89" s="164"/>
      <c r="H89" s="164"/>
      <c r="I89" s="162"/>
      <c r="J89" s="144"/>
      <c r="K89" s="144"/>
      <c r="L89" s="144"/>
      <c r="M89" s="145">
        <f t="shared" si="6"/>
        <v>0</v>
      </c>
      <c r="N89" s="145">
        <f t="shared" si="7"/>
        <v>0</v>
      </c>
      <c r="O89" s="146">
        <f t="shared" si="8"/>
        <v>0</v>
      </c>
      <c r="P89" s="146">
        <f>IF(B89="",0,SUMIF('NHAP XUAT'!$G$10:$J$1011,'Ghi So'!B89,'NHAP XUAT'!$J$10:$J$1011))</f>
        <v>0</v>
      </c>
      <c r="Q89" s="146">
        <f t="shared" si="9"/>
        <v>0</v>
      </c>
      <c r="R89" s="169"/>
      <c r="S89" s="169"/>
      <c r="T89" s="146">
        <f t="shared" si="10"/>
        <v>0</v>
      </c>
      <c r="U89" s="121" t="str">
        <f t="shared" si="11"/>
        <v>Close</v>
      </c>
      <c r="V89" s="117"/>
    </row>
    <row r="90" spans="1:22" ht="15" customHeight="1">
      <c r="A90" s="117"/>
      <c r="B90" s="144" t="str">
        <f>IF(D90="","","P"&amp;D90&amp;"MA"&amp;COUNTIF($D$14:D90,D90))</f>
        <v/>
      </c>
      <c r="C90" s="162"/>
      <c r="D90" s="163"/>
      <c r="E90" s="164"/>
      <c r="F90" s="164"/>
      <c r="G90" s="164"/>
      <c r="H90" s="164"/>
      <c r="I90" s="162"/>
      <c r="J90" s="144"/>
      <c r="K90" s="144"/>
      <c r="L90" s="144"/>
      <c r="M90" s="145">
        <f t="shared" si="6"/>
        <v>0</v>
      </c>
      <c r="N90" s="145">
        <f t="shared" si="7"/>
        <v>0</v>
      </c>
      <c r="O90" s="146">
        <f t="shared" si="8"/>
        <v>0</v>
      </c>
      <c r="P90" s="146">
        <f>IF(B90="",0,SUMIF('NHAP XUAT'!$G$10:$J$1011,'Ghi So'!B90,'NHAP XUAT'!$J$10:$J$1011))</f>
        <v>0</v>
      </c>
      <c r="Q90" s="146">
        <f t="shared" si="9"/>
        <v>0</v>
      </c>
      <c r="R90" s="169"/>
      <c r="S90" s="169"/>
      <c r="T90" s="146">
        <f t="shared" si="10"/>
        <v>0</v>
      </c>
      <c r="U90" s="121" t="str">
        <f t="shared" si="11"/>
        <v>Close</v>
      </c>
      <c r="V90" s="117"/>
    </row>
    <row r="91" spans="1:22" ht="15" customHeight="1">
      <c r="A91" s="117"/>
      <c r="B91" s="144" t="str">
        <f>IF(D91="","","P"&amp;D91&amp;"MA"&amp;COUNTIF($D$14:D91,D91))</f>
        <v/>
      </c>
      <c r="C91" s="162"/>
      <c r="D91" s="163"/>
      <c r="E91" s="164"/>
      <c r="F91" s="164"/>
      <c r="G91" s="164"/>
      <c r="H91" s="164"/>
      <c r="I91" s="162"/>
      <c r="J91" s="144"/>
      <c r="K91" s="144"/>
      <c r="L91" s="144"/>
      <c r="M91" s="145">
        <f t="shared" si="6"/>
        <v>0</v>
      </c>
      <c r="N91" s="145">
        <f t="shared" si="7"/>
        <v>0</v>
      </c>
      <c r="O91" s="146">
        <f t="shared" si="8"/>
        <v>0</v>
      </c>
      <c r="P91" s="146">
        <f>IF(B91="",0,SUMIF('NHAP XUAT'!$G$10:$J$1011,'Ghi So'!B91,'NHAP XUAT'!$J$10:$J$1011))</f>
        <v>0</v>
      </c>
      <c r="Q91" s="146">
        <f t="shared" si="9"/>
        <v>0</v>
      </c>
      <c r="R91" s="169"/>
      <c r="S91" s="169"/>
      <c r="T91" s="146">
        <f t="shared" si="10"/>
        <v>0</v>
      </c>
      <c r="U91" s="121" t="str">
        <f t="shared" si="11"/>
        <v>Close</v>
      </c>
      <c r="V91" s="117"/>
    </row>
    <row r="92" spans="1:22" ht="15" customHeight="1">
      <c r="A92" s="117"/>
      <c r="B92" s="144" t="str">
        <f>IF(D92="","","P"&amp;D92&amp;"MA"&amp;COUNTIF($D$14:D92,D92))</f>
        <v/>
      </c>
      <c r="C92" s="162"/>
      <c r="D92" s="163"/>
      <c r="E92" s="164"/>
      <c r="F92" s="164"/>
      <c r="G92" s="164"/>
      <c r="H92" s="164"/>
      <c r="I92" s="162"/>
      <c r="J92" s="144"/>
      <c r="K92" s="144"/>
      <c r="L92" s="144"/>
      <c r="M92" s="145">
        <f t="shared" si="6"/>
        <v>0</v>
      </c>
      <c r="N92" s="145">
        <f t="shared" si="7"/>
        <v>0</v>
      </c>
      <c r="O92" s="146">
        <f t="shared" si="8"/>
        <v>0</v>
      </c>
      <c r="P92" s="146">
        <f>IF(B92="",0,SUMIF('NHAP XUAT'!$G$10:$J$1011,'Ghi So'!B92,'NHAP XUAT'!$J$10:$J$1011))</f>
        <v>0</v>
      </c>
      <c r="Q92" s="146">
        <f t="shared" si="9"/>
        <v>0</v>
      </c>
      <c r="R92" s="169"/>
      <c r="S92" s="169"/>
      <c r="T92" s="146">
        <f t="shared" si="10"/>
        <v>0</v>
      </c>
      <c r="U92" s="121" t="str">
        <f t="shared" si="11"/>
        <v>Close</v>
      </c>
      <c r="V92" s="117"/>
    </row>
    <row r="93" spans="1:22" ht="15" customHeight="1">
      <c r="A93" s="117"/>
      <c r="B93" s="144" t="str">
        <f>IF(D93="","","P"&amp;D93&amp;"MA"&amp;COUNTIF($D$14:D93,D93))</f>
        <v/>
      </c>
      <c r="C93" s="162"/>
      <c r="D93" s="163"/>
      <c r="E93" s="164"/>
      <c r="F93" s="164"/>
      <c r="G93" s="164"/>
      <c r="H93" s="164"/>
      <c r="I93" s="162"/>
      <c r="J93" s="144"/>
      <c r="K93" s="144"/>
      <c r="L93" s="144"/>
      <c r="M93" s="145">
        <f t="shared" ref="M93:M156" si="12">(IF(I93&lt;&gt;"",(I93-C93)*24*60,0)+G93*60+H93-E93*60-F93)/60</f>
        <v>0</v>
      </c>
      <c r="N93" s="145">
        <f t="shared" ref="N93:N156" si="13">INT(M93)+IF(MOD(M93,2)&gt;0.25,1,0)</f>
        <v>0</v>
      </c>
      <c r="O93" s="146">
        <f t="shared" ref="O93:O156" si="14">IF(J93&lt;&gt;"",DG_nghigio+DG_themgio*(N93-1),IF(K93&lt;&gt;"",DG_quadem+DG_themgio*(N93-12),DG_ngay*L93))</f>
        <v>0</v>
      </c>
      <c r="P93" s="146">
        <f>IF(B93="",0,SUMIF('NHAP XUAT'!$G$10:$J$1011,'Ghi So'!B93,'NHAP XUAT'!$J$10:$J$1011))</f>
        <v>0</v>
      </c>
      <c r="Q93" s="146">
        <f t="shared" ref="Q93:Q156" si="15">O93+P93</f>
        <v>0</v>
      </c>
      <c r="R93" s="169"/>
      <c r="S93" s="169"/>
      <c r="T93" s="146">
        <f t="shared" ref="T93:T156" si="16">R93*S93</f>
        <v>0</v>
      </c>
      <c r="U93" s="121" t="str">
        <f t="shared" ref="U93:U156" si="17">D93&amp;IF(AND(G93="",H93="",I93=""),"Close","Open")</f>
        <v>Close</v>
      </c>
      <c r="V93" s="117"/>
    </row>
    <row r="94" spans="1:22" ht="15" customHeight="1">
      <c r="A94" s="117"/>
      <c r="B94" s="144" t="str">
        <f>IF(D94="","","P"&amp;D94&amp;"MA"&amp;COUNTIF($D$14:D94,D94))</f>
        <v/>
      </c>
      <c r="C94" s="162"/>
      <c r="D94" s="163"/>
      <c r="E94" s="164"/>
      <c r="F94" s="164"/>
      <c r="G94" s="164"/>
      <c r="H94" s="164"/>
      <c r="I94" s="162"/>
      <c r="J94" s="144"/>
      <c r="K94" s="144"/>
      <c r="L94" s="144"/>
      <c r="M94" s="145">
        <f t="shared" si="12"/>
        <v>0</v>
      </c>
      <c r="N94" s="145">
        <f t="shared" si="13"/>
        <v>0</v>
      </c>
      <c r="O94" s="146">
        <f t="shared" si="14"/>
        <v>0</v>
      </c>
      <c r="P94" s="146">
        <f>IF(B94="",0,SUMIF('NHAP XUAT'!$G$10:$J$1011,'Ghi So'!B94,'NHAP XUAT'!$J$10:$J$1011))</f>
        <v>0</v>
      </c>
      <c r="Q94" s="146">
        <f t="shared" si="15"/>
        <v>0</v>
      </c>
      <c r="R94" s="169"/>
      <c r="S94" s="169"/>
      <c r="T94" s="146">
        <f t="shared" si="16"/>
        <v>0</v>
      </c>
      <c r="U94" s="121" t="str">
        <f t="shared" si="17"/>
        <v>Close</v>
      </c>
      <c r="V94" s="117"/>
    </row>
    <row r="95" spans="1:22" ht="15" customHeight="1">
      <c r="A95" s="117"/>
      <c r="B95" s="144" t="str">
        <f>IF(D95="","","P"&amp;D95&amp;"MA"&amp;COUNTIF($D$14:D95,D95))</f>
        <v/>
      </c>
      <c r="C95" s="162"/>
      <c r="D95" s="163"/>
      <c r="E95" s="164"/>
      <c r="F95" s="164"/>
      <c r="G95" s="164"/>
      <c r="H95" s="164"/>
      <c r="I95" s="162"/>
      <c r="J95" s="144"/>
      <c r="K95" s="144"/>
      <c r="L95" s="144"/>
      <c r="M95" s="145">
        <f t="shared" si="12"/>
        <v>0</v>
      </c>
      <c r="N95" s="145">
        <f t="shared" si="13"/>
        <v>0</v>
      </c>
      <c r="O95" s="146">
        <f t="shared" si="14"/>
        <v>0</v>
      </c>
      <c r="P95" s="146">
        <f>IF(B95="",0,SUMIF('NHAP XUAT'!$G$10:$J$1011,'Ghi So'!B95,'NHAP XUAT'!$J$10:$J$1011))</f>
        <v>0</v>
      </c>
      <c r="Q95" s="146">
        <f t="shared" si="15"/>
        <v>0</v>
      </c>
      <c r="R95" s="169"/>
      <c r="S95" s="169"/>
      <c r="T95" s="146">
        <f t="shared" si="16"/>
        <v>0</v>
      </c>
      <c r="U95" s="121" t="str">
        <f t="shared" si="17"/>
        <v>Close</v>
      </c>
      <c r="V95" s="117"/>
    </row>
    <row r="96" spans="1:22" ht="15" customHeight="1">
      <c r="A96" s="117"/>
      <c r="B96" s="144" t="str">
        <f>IF(D96="","","P"&amp;D96&amp;"MA"&amp;COUNTIF($D$14:D96,D96))</f>
        <v/>
      </c>
      <c r="C96" s="162"/>
      <c r="D96" s="163"/>
      <c r="E96" s="164"/>
      <c r="F96" s="164"/>
      <c r="G96" s="164"/>
      <c r="H96" s="164"/>
      <c r="I96" s="162"/>
      <c r="J96" s="144"/>
      <c r="K96" s="144"/>
      <c r="L96" s="144"/>
      <c r="M96" s="145">
        <f t="shared" si="12"/>
        <v>0</v>
      </c>
      <c r="N96" s="145">
        <f t="shared" si="13"/>
        <v>0</v>
      </c>
      <c r="O96" s="146">
        <f t="shared" si="14"/>
        <v>0</v>
      </c>
      <c r="P96" s="146">
        <f>IF(B96="",0,SUMIF('NHAP XUAT'!$G$10:$J$1011,'Ghi So'!B96,'NHAP XUAT'!$J$10:$J$1011))</f>
        <v>0</v>
      </c>
      <c r="Q96" s="146">
        <f t="shared" si="15"/>
        <v>0</v>
      </c>
      <c r="R96" s="169"/>
      <c r="S96" s="169"/>
      <c r="T96" s="146">
        <f t="shared" si="16"/>
        <v>0</v>
      </c>
      <c r="U96" s="121" t="str">
        <f t="shared" si="17"/>
        <v>Close</v>
      </c>
      <c r="V96" s="117"/>
    </row>
    <row r="97" spans="1:22" ht="15" customHeight="1">
      <c r="A97" s="117"/>
      <c r="B97" s="144" t="str">
        <f>IF(D97="","","P"&amp;D97&amp;"MA"&amp;COUNTIF($D$14:D97,D97))</f>
        <v/>
      </c>
      <c r="C97" s="162"/>
      <c r="D97" s="163"/>
      <c r="E97" s="164"/>
      <c r="F97" s="164"/>
      <c r="G97" s="164"/>
      <c r="H97" s="164"/>
      <c r="I97" s="162"/>
      <c r="J97" s="144"/>
      <c r="K97" s="144"/>
      <c r="L97" s="144"/>
      <c r="M97" s="145">
        <f t="shared" si="12"/>
        <v>0</v>
      </c>
      <c r="N97" s="145">
        <f t="shared" si="13"/>
        <v>0</v>
      </c>
      <c r="O97" s="146">
        <f t="shared" si="14"/>
        <v>0</v>
      </c>
      <c r="P97" s="146">
        <f>IF(B97="",0,SUMIF('NHAP XUAT'!$G$10:$J$1011,'Ghi So'!B97,'NHAP XUAT'!$J$10:$J$1011))</f>
        <v>0</v>
      </c>
      <c r="Q97" s="146">
        <f t="shared" si="15"/>
        <v>0</v>
      </c>
      <c r="R97" s="169"/>
      <c r="S97" s="169"/>
      <c r="T97" s="146">
        <f t="shared" si="16"/>
        <v>0</v>
      </c>
      <c r="U97" s="121" t="str">
        <f t="shared" si="17"/>
        <v>Close</v>
      </c>
      <c r="V97" s="117"/>
    </row>
    <row r="98" spans="1:22" ht="15" customHeight="1">
      <c r="A98" s="117"/>
      <c r="B98" s="144" t="str">
        <f>IF(D98="","","P"&amp;D98&amp;"MA"&amp;COUNTIF($D$14:D98,D98))</f>
        <v/>
      </c>
      <c r="C98" s="162"/>
      <c r="D98" s="163"/>
      <c r="E98" s="164"/>
      <c r="F98" s="164"/>
      <c r="G98" s="164"/>
      <c r="H98" s="164"/>
      <c r="I98" s="162"/>
      <c r="J98" s="144"/>
      <c r="K98" s="144"/>
      <c r="L98" s="144"/>
      <c r="M98" s="145">
        <f t="shared" si="12"/>
        <v>0</v>
      </c>
      <c r="N98" s="145">
        <f t="shared" si="13"/>
        <v>0</v>
      </c>
      <c r="O98" s="146">
        <f t="shared" si="14"/>
        <v>0</v>
      </c>
      <c r="P98" s="146">
        <f>IF(B98="",0,SUMIF('NHAP XUAT'!$G$10:$J$1011,'Ghi So'!B98,'NHAP XUAT'!$J$10:$J$1011))</f>
        <v>0</v>
      </c>
      <c r="Q98" s="146">
        <f t="shared" si="15"/>
        <v>0</v>
      </c>
      <c r="R98" s="169"/>
      <c r="S98" s="169"/>
      <c r="T98" s="146">
        <f t="shared" si="16"/>
        <v>0</v>
      </c>
      <c r="U98" s="121" t="str">
        <f t="shared" si="17"/>
        <v>Close</v>
      </c>
      <c r="V98" s="117"/>
    </row>
    <row r="99" spans="1:22" ht="15" customHeight="1">
      <c r="A99" s="117"/>
      <c r="B99" s="144" t="str">
        <f>IF(D99="","","P"&amp;D99&amp;"MA"&amp;COUNTIF($D$14:D99,D99))</f>
        <v/>
      </c>
      <c r="C99" s="162"/>
      <c r="D99" s="163"/>
      <c r="E99" s="164"/>
      <c r="F99" s="164"/>
      <c r="G99" s="164"/>
      <c r="H99" s="164"/>
      <c r="I99" s="162"/>
      <c r="J99" s="144"/>
      <c r="K99" s="144"/>
      <c r="L99" s="144"/>
      <c r="M99" s="145">
        <f t="shared" si="12"/>
        <v>0</v>
      </c>
      <c r="N99" s="145">
        <f t="shared" si="13"/>
        <v>0</v>
      </c>
      <c r="O99" s="146">
        <f t="shared" si="14"/>
        <v>0</v>
      </c>
      <c r="P99" s="146">
        <f>IF(B99="",0,SUMIF('NHAP XUAT'!$G$10:$J$1011,'Ghi So'!B99,'NHAP XUAT'!$J$10:$J$1011))</f>
        <v>0</v>
      </c>
      <c r="Q99" s="146">
        <f t="shared" si="15"/>
        <v>0</v>
      </c>
      <c r="R99" s="169"/>
      <c r="S99" s="169"/>
      <c r="T99" s="146">
        <f t="shared" si="16"/>
        <v>0</v>
      </c>
      <c r="U99" s="121" t="str">
        <f t="shared" si="17"/>
        <v>Close</v>
      </c>
      <c r="V99" s="117"/>
    </row>
    <row r="100" spans="1:22" ht="15" customHeight="1">
      <c r="A100" s="117"/>
      <c r="B100" s="144" t="str">
        <f>IF(D100="","","P"&amp;D100&amp;"MA"&amp;COUNTIF($D$14:D100,D100))</f>
        <v/>
      </c>
      <c r="C100" s="162"/>
      <c r="D100" s="163"/>
      <c r="E100" s="164"/>
      <c r="F100" s="164"/>
      <c r="G100" s="164"/>
      <c r="H100" s="164"/>
      <c r="I100" s="162"/>
      <c r="J100" s="144"/>
      <c r="K100" s="144"/>
      <c r="L100" s="144"/>
      <c r="M100" s="145">
        <f t="shared" si="12"/>
        <v>0</v>
      </c>
      <c r="N100" s="145">
        <f t="shared" si="13"/>
        <v>0</v>
      </c>
      <c r="O100" s="146">
        <f t="shared" si="14"/>
        <v>0</v>
      </c>
      <c r="P100" s="146">
        <f>IF(B100="",0,SUMIF('NHAP XUAT'!$G$10:$J$1011,'Ghi So'!B100,'NHAP XUAT'!$J$10:$J$1011))</f>
        <v>0</v>
      </c>
      <c r="Q100" s="146">
        <f t="shared" si="15"/>
        <v>0</v>
      </c>
      <c r="R100" s="169"/>
      <c r="S100" s="169"/>
      <c r="T100" s="146">
        <f t="shared" si="16"/>
        <v>0</v>
      </c>
      <c r="U100" s="121" t="str">
        <f t="shared" si="17"/>
        <v>Close</v>
      </c>
      <c r="V100" s="117"/>
    </row>
    <row r="101" spans="1:22" ht="15" customHeight="1">
      <c r="A101" s="117"/>
      <c r="B101" s="144" t="str">
        <f>IF(D101="","","P"&amp;D101&amp;"MA"&amp;COUNTIF($D$14:D101,D101))</f>
        <v/>
      </c>
      <c r="C101" s="162"/>
      <c r="D101" s="163"/>
      <c r="E101" s="164"/>
      <c r="F101" s="164"/>
      <c r="G101" s="164"/>
      <c r="H101" s="164"/>
      <c r="I101" s="162"/>
      <c r="J101" s="144"/>
      <c r="K101" s="144"/>
      <c r="L101" s="144"/>
      <c r="M101" s="145">
        <f t="shared" si="12"/>
        <v>0</v>
      </c>
      <c r="N101" s="145">
        <f t="shared" si="13"/>
        <v>0</v>
      </c>
      <c r="O101" s="146">
        <f t="shared" si="14"/>
        <v>0</v>
      </c>
      <c r="P101" s="146">
        <f>IF(B101="",0,SUMIF('NHAP XUAT'!$G$10:$J$1011,'Ghi So'!B101,'NHAP XUAT'!$J$10:$J$1011))</f>
        <v>0</v>
      </c>
      <c r="Q101" s="146">
        <f t="shared" si="15"/>
        <v>0</v>
      </c>
      <c r="R101" s="169"/>
      <c r="S101" s="169"/>
      <c r="T101" s="146">
        <f t="shared" si="16"/>
        <v>0</v>
      </c>
      <c r="U101" s="121" t="str">
        <f t="shared" si="17"/>
        <v>Close</v>
      </c>
      <c r="V101" s="117"/>
    </row>
    <row r="102" spans="1:22" ht="15" customHeight="1">
      <c r="A102" s="117"/>
      <c r="B102" s="144" t="str">
        <f>IF(D102="","","P"&amp;D102&amp;"MA"&amp;COUNTIF($D$14:D102,D102))</f>
        <v/>
      </c>
      <c r="C102" s="162"/>
      <c r="D102" s="163"/>
      <c r="E102" s="164"/>
      <c r="F102" s="164"/>
      <c r="G102" s="164"/>
      <c r="H102" s="164"/>
      <c r="I102" s="162"/>
      <c r="J102" s="144"/>
      <c r="K102" s="144"/>
      <c r="L102" s="144"/>
      <c r="M102" s="145">
        <f t="shared" si="12"/>
        <v>0</v>
      </c>
      <c r="N102" s="145">
        <f t="shared" si="13"/>
        <v>0</v>
      </c>
      <c r="O102" s="146">
        <f t="shared" si="14"/>
        <v>0</v>
      </c>
      <c r="P102" s="146">
        <f>IF(B102="",0,SUMIF('NHAP XUAT'!$G$10:$J$1011,'Ghi So'!B102,'NHAP XUAT'!$J$10:$J$1011))</f>
        <v>0</v>
      </c>
      <c r="Q102" s="146">
        <f t="shared" si="15"/>
        <v>0</v>
      </c>
      <c r="R102" s="169"/>
      <c r="S102" s="169"/>
      <c r="T102" s="146">
        <f t="shared" si="16"/>
        <v>0</v>
      </c>
      <c r="U102" s="121" t="str">
        <f t="shared" si="17"/>
        <v>Close</v>
      </c>
      <c r="V102" s="117"/>
    </row>
    <row r="103" spans="1:22" ht="15" customHeight="1">
      <c r="A103" s="117"/>
      <c r="B103" s="144" t="str">
        <f>IF(D103="","","P"&amp;D103&amp;"MA"&amp;COUNTIF($D$14:D103,D103))</f>
        <v/>
      </c>
      <c r="C103" s="162"/>
      <c r="D103" s="163"/>
      <c r="E103" s="164"/>
      <c r="F103" s="164"/>
      <c r="G103" s="164"/>
      <c r="H103" s="164"/>
      <c r="I103" s="162"/>
      <c r="J103" s="144"/>
      <c r="K103" s="144"/>
      <c r="L103" s="144"/>
      <c r="M103" s="145">
        <f t="shared" si="12"/>
        <v>0</v>
      </c>
      <c r="N103" s="145">
        <f t="shared" si="13"/>
        <v>0</v>
      </c>
      <c r="O103" s="146">
        <f t="shared" si="14"/>
        <v>0</v>
      </c>
      <c r="P103" s="146">
        <f>IF(B103="",0,SUMIF('NHAP XUAT'!$G$10:$J$1011,'Ghi So'!B103,'NHAP XUAT'!$J$10:$J$1011))</f>
        <v>0</v>
      </c>
      <c r="Q103" s="146">
        <f t="shared" si="15"/>
        <v>0</v>
      </c>
      <c r="R103" s="169"/>
      <c r="S103" s="169"/>
      <c r="T103" s="146">
        <f t="shared" si="16"/>
        <v>0</v>
      </c>
      <c r="U103" s="121" t="str">
        <f t="shared" si="17"/>
        <v>Close</v>
      </c>
      <c r="V103" s="117"/>
    </row>
    <row r="104" spans="1:22" ht="15" customHeight="1">
      <c r="A104" s="117"/>
      <c r="B104" s="144" t="str">
        <f>IF(D104="","","P"&amp;D104&amp;"MA"&amp;COUNTIF($D$14:D104,D104))</f>
        <v/>
      </c>
      <c r="C104" s="162"/>
      <c r="D104" s="163"/>
      <c r="E104" s="164"/>
      <c r="F104" s="164"/>
      <c r="G104" s="164"/>
      <c r="H104" s="164"/>
      <c r="I104" s="162"/>
      <c r="J104" s="144"/>
      <c r="K104" s="144"/>
      <c r="L104" s="144"/>
      <c r="M104" s="145">
        <f t="shared" si="12"/>
        <v>0</v>
      </c>
      <c r="N104" s="145">
        <f t="shared" si="13"/>
        <v>0</v>
      </c>
      <c r="O104" s="146">
        <f t="shared" si="14"/>
        <v>0</v>
      </c>
      <c r="P104" s="146">
        <f>IF(B104="",0,SUMIF('NHAP XUAT'!$G$10:$J$1011,'Ghi So'!B104,'NHAP XUAT'!$J$10:$J$1011))</f>
        <v>0</v>
      </c>
      <c r="Q104" s="146">
        <f t="shared" si="15"/>
        <v>0</v>
      </c>
      <c r="R104" s="169"/>
      <c r="S104" s="169"/>
      <c r="T104" s="146">
        <f t="shared" si="16"/>
        <v>0</v>
      </c>
      <c r="U104" s="121" t="str">
        <f t="shared" si="17"/>
        <v>Close</v>
      </c>
      <c r="V104" s="117"/>
    </row>
    <row r="105" spans="1:22" ht="15" customHeight="1">
      <c r="A105" s="117"/>
      <c r="B105" s="144" t="str">
        <f>IF(D105="","","P"&amp;D105&amp;"MA"&amp;COUNTIF($D$14:D105,D105))</f>
        <v/>
      </c>
      <c r="C105" s="162"/>
      <c r="D105" s="163"/>
      <c r="E105" s="164"/>
      <c r="F105" s="164"/>
      <c r="G105" s="164"/>
      <c r="H105" s="164"/>
      <c r="I105" s="162"/>
      <c r="J105" s="144"/>
      <c r="K105" s="144"/>
      <c r="L105" s="144"/>
      <c r="M105" s="145">
        <f t="shared" si="12"/>
        <v>0</v>
      </c>
      <c r="N105" s="145">
        <f t="shared" si="13"/>
        <v>0</v>
      </c>
      <c r="O105" s="146">
        <f t="shared" si="14"/>
        <v>0</v>
      </c>
      <c r="P105" s="146">
        <f>IF(B105="",0,SUMIF('NHAP XUAT'!$G$10:$J$1011,'Ghi So'!B105,'NHAP XUAT'!$J$10:$J$1011))</f>
        <v>0</v>
      </c>
      <c r="Q105" s="146">
        <f t="shared" si="15"/>
        <v>0</v>
      </c>
      <c r="R105" s="169"/>
      <c r="S105" s="169"/>
      <c r="T105" s="146">
        <f t="shared" si="16"/>
        <v>0</v>
      </c>
      <c r="U105" s="121" t="str">
        <f t="shared" si="17"/>
        <v>Close</v>
      </c>
      <c r="V105" s="117"/>
    </row>
    <row r="106" spans="1:22" ht="15" customHeight="1">
      <c r="A106" s="117"/>
      <c r="B106" s="144" t="str">
        <f>IF(D106="","","P"&amp;D106&amp;"MA"&amp;COUNTIF($D$14:D106,D106))</f>
        <v/>
      </c>
      <c r="C106" s="162"/>
      <c r="D106" s="163"/>
      <c r="E106" s="164"/>
      <c r="F106" s="164"/>
      <c r="G106" s="164"/>
      <c r="H106" s="164"/>
      <c r="I106" s="162"/>
      <c r="J106" s="144"/>
      <c r="K106" s="144"/>
      <c r="L106" s="144"/>
      <c r="M106" s="145">
        <f t="shared" si="12"/>
        <v>0</v>
      </c>
      <c r="N106" s="145">
        <f t="shared" si="13"/>
        <v>0</v>
      </c>
      <c r="O106" s="146">
        <f t="shared" si="14"/>
        <v>0</v>
      </c>
      <c r="P106" s="146">
        <f>IF(B106="",0,SUMIF('NHAP XUAT'!$G$10:$J$1011,'Ghi So'!B106,'NHAP XUAT'!$J$10:$J$1011))</f>
        <v>0</v>
      </c>
      <c r="Q106" s="146">
        <f t="shared" si="15"/>
        <v>0</v>
      </c>
      <c r="R106" s="169"/>
      <c r="S106" s="169"/>
      <c r="T106" s="146">
        <f t="shared" si="16"/>
        <v>0</v>
      </c>
      <c r="U106" s="121" t="str">
        <f t="shared" si="17"/>
        <v>Close</v>
      </c>
      <c r="V106" s="117"/>
    </row>
    <row r="107" spans="1:22" ht="15" customHeight="1">
      <c r="A107" s="117"/>
      <c r="B107" s="144" t="str">
        <f>IF(D107="","","P"&amp;D107&amp;"MA"&amp;COUNTIF($D$14:D107,D107))</f>
        <v/>
      </c>
      <c r="C107" s="162"/>
      <c r="D107" s="163"/>
      <c r="E107" s="164"/>
      <c r="F107" s="164"/>
      <c r="G107" s="164"/>
      <c r="H107" s="164"/>
      <c r="I107" s="162"/>
      <c r="J107" s="144"/>
      <c r="K107" s="144"/>
      <c r="L107" s="144"/>
      <c r="M107" s="145">
        <f t="shared" si="12"/>
        <v>0</v>
      </c>
      <c r="N107" s="145">
        <f t="shared" si="13"/>
        <v>0</v>
      </c>
      <c r="O107" s="146">
        <f t="shared" si="14"/>
        <v>0</v>
      </c>
      <c r="P107" s="146">
        <f>IF(B107="",0,SUMIF('NHAP XUAT'!$G$10:$J$1011,'Ghi So'!B107,'NHAP XUAT'!$J$10:$J$1011))</f>
        <v>0</v>
      </c>
      <c r="Q107" s="146">
        <f t="shared" si="15"/>
        <v>0</v>
      </c>
      <c r="R107" s="169"/>
      <c r="S107" s="169"/>
      <c r="T107" s="146">
        <f t="shared" si="16"/>
        <v>0</v>
      </c>
      <c r="U107" s="121" t="str">
        <f t="shared" si="17"/>
        <v>Close</v>
      </c>
      <c r="V107" s="117"/>
    </row>
    <row r="108" spans="1:22" ht="15" customHeight="1">
      <c r="A108" s="117"/>
      <c r="B108" s="144" t="str">
        <f>IF(D108="","","P"&amp;D108&amp;"MA"&amp;COUNTIF($D$14:D108,D108))</f>
        <v/>
      </c>
      <c r="C108" s="162"/>
      <c r="D108" s="163"/>
      <c r="E108" s="164"/>
      <c r="F108" s="164"/>
      <c r="G108" s="164"/>
      <c r="H108" s="164"/>
      <c r="I108" s="162"/>
      <c r="J108" s="144"/>
      <c r="K108" s="144"/>
      <c r="L108" s="144"/>
      <c r="M108" s="145">
        <f t="shared" si="12"/>
        <v>0</v>
      </c>
      <c r="N108" s="145">
        <f t="shared" si="13"/>
        <v>0</v>
      </c>
      <c r="O108" s="146">
        <f t="shared" si="14"/>
        <v>0</v>
      </c>
      <c r="P108" s="146">
        <f>IF(B108="",0,SUMIF('NHAP XUAT'!$G$10:$J$1011,'Ghi So'!B108,'NHAP XUAT'!$J$10:$J$1011))</f>
        <v>0</v>
      </c>
      <c r="Q108" s="146">
        <f t="shared" si="15"/>
        <v>0</v>
      </c>
      <c r="R108" s="169"/>
      <c r="S108" s="169"/>
      <c r="T108" s="146">
        <f t="shared" si="16"/>
        <v>0</v>
      </c>
      <c r="U108" s="121" t="str">
        <f t="shared" si="17"/>
        <v>Close</v>
      </c>
      <c r="V108" s="117"/>
    </row>
    <row r="109" spans="1:22" ht="15" customHeight="1">
      <c r="A109" s="117"/>
      <c r="B109" s="144" t="str">
        <f>IF(D109="","","P"&amp;D109&amp;"MA"&amp;COUNTIF($D$14:D109,D109))</f>
        <v/>
      </c>
      <c r="C109" s="162"/>
      <c r="D109" s="163"/>
      <c r="E109" s="164"/>
      <c r="F109" s="164"/>
      <c r="G109" s="164"/>
      <c r="H109" s="164"/>
      <c r="I109" s="162"/>
      <c r="J109" s="144"/>
      <c r="K109" s="144"/>
      <c r="L109" s="144"/>
      <c r="M109" s="145">
        <f t="shared" si="12"/>
        <v>0</v>
      </c>
      <c r="N109" s="145">
        <f t="shared" si="13"/>
        <v>0</v>
      </c>
      <c r="O109" s="146">
        <f t="shared" si="14"/>
        <v>0</v>
      </c>
      <c r="P109" s="146">
        <f>IF(B109="",0,SUMIF('NHAP XUAT'!$G$10:$J$1011,'Ghi So'!B109,'NHAP XUAT'!$J$10:$J$1011))</f>
        <v>0</v>
      </c>
      <c r="Q109" s="146">
        <f t="shared" si="15"/>
        <v>0</v>
      </c>
      <c r="R109" s="169"/>
      <c r="S109" s="169"/>
      <c r="T109" s="146">
        <f t="shared" si="16"/>
        <v>0</v>
      </c>
      <c r="U109" s="121" t="str">
        <f t="shared" si="17"/>
        <v>Close</v>
      </c>
      <c r="V109" s="117"/>
    </row>
    <row r="110" spans="1:22" ht="15" customHeight="1">
      <c r="A110" s="117"/>
      <c r="B110" s="144" t="str">
        <f>IF(D110="","","P"&amp;D110&amp;"MA"&amp;COUNTIF($D$14:D110,D110))</f>
        <v/>
      </c>
      <c r="C110" s="162"/>
      <c r="D110" s="163"/>
      <c r="E110" s="164"/>
      <c r="F110" s="164"/>
      <c r="G110" s="164"/>
      <c r="H110" s="164"/>
      <c r="I110" s="162"/>
      <c r="J110" s="144"/>
      <c r="K110" s="144"/>
      <c r="L110" s="144"/>
      <c r="M110" s="145">
        <f t="shared" si="12"/>
        <v>0</v>
      </c>
      <c r="N110" s="145">
        <f t="shared" si="13"/>
        <v>0</v>
      </c>
      <c r="O110" s="146">
        <f t="shared" si="14"/>
        <v>0</v>
      </c>
      <c r="P110" s="146">
        <f>IF(B110="",0,SUMIF('NHAP XUAT'!$G$10:$J$1011,'Ghi So'!B110,'NHAP XUAT'!$J$10:$J$1011))</f>
        <v>0</v>
      </c>
      <c r="Q110" s="146">
        <f t="shared" si="15"/>
        <v>0</v>
      </c>
      <c r="R110" s="169"/>
      <c r="S110" s="169"/>
      <c r="T110" s="146">
        <f t="shared" si="16"/>
        <v>0</v>
      </c>
      <c r="U110" s="121" t="str">
        <f t="shared" si="17"/>
        <v>Close</v>
      </c>
      <c r="V110" s="117"/>
    </row>
    <row r="111" spans="1:22" ht="15" customHeight="1">
      <c r="A111" s="117"/>
      <c r="B111" s="144" t="str">
        <f>IF(D111="","","P"&amp;D111&amp;"MA"&amp;COUNTIF($D$14:D111,D111))</f>
        <v/>
      </c>
      <c r="C111" s="162"/>
      <c r="D111" s="163"/>
      <c r="E111" s="164"/>
      <c r="F111" s="164"/>
      <c r="G111" s="164"/>
      <c r="H111" s="164"/>
      <c r="I111" s="162"/>
      <c r="J111" s="144"/>
      <c r="K111" s="144"/>
      <c r="L111" s="144"/>
      <c r="M111" s="145">
        <f t="shared" si="12"/>
        <v>0</v>
      </c>
      <c r="N111" s="145">
        <f t="shared" si="13"/>
        <v>0</v>
      </c>
      <c r="O111" s="146">
        <f t="shared" si="14"/>
        <v>0</v>
      </c>
      <c r="P111" s="146">
        <f>IF(B111="",0,SUMIF('NHAP XUAT'!$G$10:$J$1011,'Ghi So'!B111,'NHAP XUAT'!$J$10:$J$1011))</f>
        <v>0</v>
      </c>
      <c r="Q111" s="146">
        <f t="shared" si="15"/>
        <v>0</v>
      </c>
      <c r="R111" s="169"/>
      <c r="S111" s="169"/>
      <c r="T111" s="146">
        <f t="shared" si="16"/>
        <v>0</v>
      </c>
      <c r="U111" s="121" t="str">
        <f t="shared" si="17"/>
        <v>Close</v>
      </c>
      <c r="V111" s="117"/>
    </row>
    <row r="112" spans="1:22" ht="15" customHeight="1">
      <c r="A112" s="117"/>
      <c r="B112" s="144" t="str">
        <f>IF(D112="","","P"&amp;D112&amp;"MA"&amp;COUNTIF($D$14:D112,D112))</f>
        <v/>
      </c>
      <c r="C112" s="162"/>
      <c r="D112" s="163"/>
      <c r="E112" s="164"/>
      <c r="F112" s="164"/>
      <c r="G112" s="164"/>
      <c r="H112" s="164"/>
      <c r="I112" s="162"/>
      <c r="J112" s="144"/>
      <c r="K112" s="144"/>
      <c r="L112" s="144"/>
      <c r="M112" s="145">
        <f t="shared" si="12"/>
        <v>0</v>
      </c>
      <c r="N112" s="145">
        <f t="shared" si="13"/>
        <v>0</v>
      </c>
      <c r="O112" s="146">
        <f t="shared" si="14"/>
        <v>0</v>
      </c>
      <c r="P112" s="146">
        <f>IF(B112="",0,SUMIF('NHAP XUAT'!$G$10:$J$1011,'Ghi So'!B112,'NHAP XUAT'!$J$10:$J$1011))</f>
        <v>0</v>
      </c>
      <c r="Q112" s="146">
        <f t="shared" si="15"/>
        <v>0</v>
      </c>
      <c r="R112" s="169"/>
      <c r="S112" s="169"/>
      <c r="T112" s="146">
        <f t="shared" si="16"/>
        <v>0</v>
      </c>
      <c r="U112" s="121" t="str">
        <f t="shared" si="17"/>
        <v>Close</v>
      </c>
      <c r="V112" s="117"/>
    </row>
    <row r="113" spans="1:22" ht="15" customHeight="1">
      <c r="A113" s="117"/>
      <c r="B113" s="144" t="str">
        <f>IF(D113="","","P"&amp;D113&amp;"MA"&amp;COUNTIF($D$14:D113,D113))</f>
        <v/>
      </c>
      <c r="C113" s="162"/>
      <c r="D113" s="163"/>
      <c r="E113" s="164"/>
      <c r="F113" s="164"/>
      <c r="G113" s="164"/>
      <c r="H113" s="164"/>
      <c r="I113" s="162"/>
      <c r="J113" s="144"/>
      <c r="K113" s="144"/>
      <c r="L113" s="144"/>
      <c r="M113" s="145">
        <f t="shared" si="12"/>
        <v>0</v>
      </c>
      <c r="N113" s="145">
        <f t="shared" si="13"/>
        <v>0</v>
      </c>
      <c r="O113" s="146">
        <f t="shared" si="14"/>
        <v>0</v>
      </c>
      <c r="P113" s="146">
        <f>IF(B113="",0,SUMIF('NHAP XUAT'!$G$10:$J$1011,'Ghi So'!B113,'NHAP XUAT'!$J$10:$J$1011))</f>
        <v>0</v>
      </c>
      <c r="Q113" s="146">
        <f t="shared" si="15"/>
        <v>0</v>
      </c>
      <c r="R113" s="169"/>
      <c r="S113" s="169"/>
      <c r="T113" s="146">
        <f t="shared" si="16"/>
        <v>0</v>
      </c>
      <c r="U113" s="121" t="str">
        <f t="shared" si="17"/>
        <v>Close</v>
      </c>
      <c r="V113" s="117"/>
    </row>
    <row r="114" spans="1:22" ht="15" customHeight="1">
      <c r="A114" s="117"/>
      <c r="B114" s="144" t="str">
        <f>IF(D114="","","P"&amp;D114&amp;"MA"&amp;COUNTIF($D$14:D114,D114))</f>
        <v/>
      </c>
      <c r="C114" s="162"/>
      <c r="D114" s="163"/>
      <c r="E114" s="164"/>
      <c r="F114" s="164"/>
      <c r="G114" s="164"/>
      <c r="H114" s="164"/>
      <c r="I114" s="162"/>
      <c r="J114" s="144"/>
      <c r="K114" s="144"/>
      <c r="L114" s="144"/>
      <c r="M114" s="145">
        <f t="shared" si="12"/>
        <v>0</v>
      </c>
      <c r="N114" s="145">
        <f t="shared" si="13"/>
        <v>0</v>
      </c>
      <c r="O114" s="146">
        <f t="shared" si="14"/>
        <v>0</v>
      </c>
      <c r="P114" s="146">
        <f>IF(B114="",0,SUMIF('NHAP XUAT'!$G$10:$J$1011,'Ghi So'!B114,'NHAP XUAT'!$J$10:$J$1011))</f>
        <v>0</v>
      </c>
      <c r="Q114" s="146">
        <f t="shared" si="15"/>
        <v>0</v>
      </c>
      <c r="R114" s="169"/>
      <c r="S114" s="169"/>
      <c r="T114" s="146">
        <f t="shared" si="16"/>
        <v>0</v>
      </c>
      <c r="U114" s="121" t="str">
        <f t="shared" si="17"/>
        <v>Close</v>
      </c>
      <c r="V114" s="117"/>
    </row>
    <row r="115" spans="1:22" ht="15" customHeight="1">
      <c r="A115" s="117"/>
      <c r="B115" s="144" t="str">
        <f>IF(D115="","","P"&amp;D115&amp;"MA"&amp;COUNTIF($D$14:D115,D115))</f>
        <v/>
      </c>
      <c r="C115" s="162"/>
      <c r="D115" s="163"/>
      <c r="E115" s="164"/>
      <c r="F115" s="164"/>
      <c r="G115" s="164"/>
      <c r="H115" s="164"/>
      <c r="I115" s="162"/>
      <c r="J115" s="144"/>
      <c r="K115" s="144"/>
      <c r="L115" s="144"/>
      <c r="M115" s="145">
        <f t="shared" si="12"/>
        <v>0</v>
      </c>
      <c r="N115" s="145">
        <f t="shared" si="13"/>
        <v>0</v>
      </c>
      <c r="O115" s="146">
        <f t="shared" si="14"/>
        <v>0</v>
      </c>
      <c r="P115" s="146">
        <f>IF(B115="",0,SUMIF('NHAP XUAT'!$G$10:$J$1011,'Ghi So'!B115,'NHAP XUAT'!$J$10:$J$1011))</f>
        <v>0</v>
      </c>
      <c r="Q115" s="146">
        <f t="shared" si="15"/>
        <v>0</v>
      </c>
      <c r="R115" s="169"/>
      <c r="S115" s="169"/>
      <c r="T115" s="146">
        <f t="shared" si="16"/>
        <v>0</v>
      </c>
      <c r="U115" s="121" t="str">
        <f t="shared" si="17"/>
        <v>Close</v>
      </c>
      <c r="V115" s="117"/>
    </row>
    <row r="116" spans="1:22" ht="15" customHeight="1">
      <c r="A116" s="117"/>
      <c r="B116" s="144" t="str">
        <f>IF(D116="","","P"&amp;D116&amp;"MA"&amp;COUNTIF($D$14:D116,D116))</f>
        <v/>
      </c>
      <c r="C116" s="162"/>
      <c r="D116" s="163"/>
      <c r="E116" s="164"/>
      <c r="F116" s="164"/>
      <c r="G116" s="164"/>
      <c r="H116" s="164"/>
      <c r="I116" s="162"/>
      <c r="J116" s="144"/>
      <c r="K116" s="144"/>
      <c r="L116" s="144"/>
      <c r="M116" s="145">
        <f t="shared" si="12"/>
        <v>0</v>
      </c>
      <c r="N116" s="145">
        <f t="shared" si="13"/>
        <v>0</v>
      </c>
      <c r="O116" s="146">
        <f t="shared" si="14"/>
        <v>0</v>
      </c>
      <c r="P116" s="146">
        <f>IF(B116="",0,SUMIF('NHAP XUAT'!$G$10:$J$1011,'Ghi So'!B116,'NHAP XUAT'!$J$10:$J$1011))</f>
        <v>0</v>
      </c>
      <c r="Q116" s="146">
        <f t="shared" si="15"/>
        <v>0</v>
      </c>
      <c r="R116" s="169"/>
      <c r="S116" s="169"/>
      <c r="T116" s="146">
        <f t="shared" si="16"/>
        <v>0</v>
      </c>
      <c r="U116" s="121" t="str">
        <f t="shared" si="17"/>
        <v>Close</v>
      </c>
      <c r="V116" s="117"/>
    </row>
    <row r="117" spans="1:22" ht="15" customHeight="1">
      <c r="A117" s="117"/>
      <c r="B117" s="144" t="str">
        <f>IF(D117="","","P"&amp;D117&amp;"MA"&amp;COUNTIF($D$14:D117,D117))</f>
        <v/>
      </c>
      <c r="C117" s="162"/>
      <c r="D117" s="163"/>
      <c r="E117" s="164"/>
      <c r="F117" s="164"/>
      <c r="G117" s="164"/>
      <c r="H117" s="164"/>
      <c r="I117" s="162"/>
      <c r="J117" s="144"/>
      <c r="K117" s="144"/>
      <c r="L117" s="144"/>
      <c r="M117" s="145">
        <f t="shared" si="12"/>
        <v>0</v>
      </c>
      <c r="N117" s="145">
        <f t="shared" si="13"/>
        <v>0</v>
      </c>
      <c r="O117" s="146">
        <f t="shared" si="14"/>
        <v>0</v>
      </c>
      <c r="P117" s="146">
        <f>IF(B117="",0,SUMIF('NHAP XUAT'!$G$10:$J$1011,'Ghi So'!B117,'NHAP XUAT'!$J$10:$J$1011))</f>
        <v>0</v>
      </c>
      <c r="Q117" s="146">
        <f t="shared" si="15"/>
        <v>0</v>
      </c>
      <c r="R117" s="169"/>
      <c r="S117" s="169"/>
      <c r="T117" s="146">
        <f t="shared" si="16"/>
        <v>0</v>
      </c>
      <c r="U117" s="121" t="str">
        <f t="shared" si="17"/>
        <v>Close</v>
      </c>
      <c r="V117" s="117"/>
    </row>
    <row r="118" spans="1:22" ht="15" customHeight="1">
      <c r="A118" s="117"/>
      <c r="B118" s="144" t="str">
        <f>IF(D118="","","P"&amp;D118&amp;"MA"&amp;COUNTIF($D$14:D118,D118))</f>
        <v/>
      </c>
      <c r="C118" s="162"/>
      <c r="D118" s="163"/>
      <c r="E118" s="164"/>
      <c r="F118" s="164"/>
      <c r="G118" s="164"/>
      <c r="H118" s="164"/>
      <c r="I118" s="162"/>
      <c r="J118" s="144"/>
      <c r="K118" s="144"/>
      <c r="L118" s="144"/>
      <c r="M118" s="145">
        <f t="shared" si="12"/>
        <v>0</v>
      </c>
      <c r="N118" s="145">
        <f t="shared" si="13"/>
        <v>0</v>
      </c>
      <c r="O118" s="146">
        <f t="shared" si="14"/>
        <v>0</v>
      </c>
      <c r="P118" s="146">
        <f>IF(B118="",0,SUMIF('NHAP XUAT'!$G$10:$J$1011,'Ghi So'!B118,'NHAP XUAT'!$J$10:$J$1011))</f>
        <v>0</v>
      </c>
      <c r="Q118" s="146">
        <f t="shared" si="15"/>
        <v>0</v>
      </c>
      <c r="R118" s="169"/>
      <c r="S118" s="169"/>
      <c r="T118" s="146">
        <f t="shared" si="16"/>
        <v>0</v>
      </c>
      <c r="U118" s="121" t="str">
        <f t="shared" si="17"/>
        <v>Close</v>
      </c>
      <c r="V118" s="117"/>
    </row>
    <row r="119" spans="1:22" ht="15" customHeight="1">
      <c r="A119" s="117"/>
      <c r="B119" s="144" t="str">
        <f>IF(D119="","","P"&amp;D119&amp;"MA"&amp;COUNTIF($D$14:D119,D119))</f>
        <v/>
      </c>
      <c r="C119" s="162"/>
      <c r="D119" s="163"/>
      <c r="E119" s="164"/>
      <c r="F119" s="164"/>
      <c r="G119" s="164"/>
      <c r="H119" s="164"/>
      <c r="I119" s="162"/>
      <c r="J119" s="144"/>
      <c r="K119" s="144"/>
      <c r="L119" s="144"/>
      <c r="M119" s="145">
        <f t="shared" si="12"/>
        <v>0</v>
      </c>
      <c r="N119" s="145">
        <f t="shared" si="13"/>
        <v>0</v>
      </c>
      <c r="O119" s="146">
        <f t="shared" si="14"/>
        <v>0</v>
      </c>
      <c r="P119" s="146">
        <f>IF(B119="",0,SUMIF('NHAP XUAT'!$G$10:$J$1011,'Ghi So'!B119,'NHAP XUAT'!$J$10:$J$1011))</f>
        <v>0</v>
      </c>
      <c r="Q119" s="146">
        <f t="shared" si="15"/>
        <v>0</v>
      </c>
      <c r="R119" s="169"/>
      <c r="S119" s="169"/>
      <c r="T119" s="146">
        <f t="shared" si="16"/>
        <v>0</v>
      </c>
      <c r="U119" s="121" t="str">
        <f t="shared" si="17"/>
        <v>Close</v>
      </c>
      <c r="V119" s="117"/>
    </row>
    <row r="120" spans="1:22" ht="15" customHeight="1">
      <c r="A120" s="117"/>
      <c r="B120" s="144" t="str">
        <f>IF(D120="","","P"&amp;D120&amp;"MA"&amp;COUNTIF($D$14:D120,D120))</f>
        <v/>
      </c>
      <c r="C120" s="162"/>
      <c r="D120" s="163"/>
      <c r="E120" s="164"/>
      <c r="F120" s="164"/>
      <c r="G120" s="164"/>
      <c r="H120" s="164"/>
      <c r="I120" s="162"/>
      <c r="J120" s="144"/>
      <c r="K120" s="144"/>
      <c r="L120" s="144"/>
      <c r="M120" s="145">
        <f t="shared" si="12"/>
        <v>0</v>
      </c>
      <c r="N120" s="145">
        <f t="shared" si="13"/>
        <v>0</v>
      </c>
      <c r="O120" s="146">
        <f t="shared" si="14"/>
        <v>0</v>
      </c>
      <c r="P120" s="146">
        <f>IF(B120="",0,SUMIF('NHAP XUAT'!$G$10:$J$1011,'Ghi So'!B120,'NHAP XUAT'!$J$10:$J$1011))</f>
        <v>0</v>
      </c>
      <c r="Q120" s="146">
        <f t="shared" si="15"/>
        <v>0</v>
      </c>
      <c r="R120" s="169"/>
      <c r="S120" s="169"/>
      <c r="T120" s="146">
        <f t="shared" si="16"/>
        <v>0</v>
      </c>
      <c r="U120" s="121" t="str">
        <f t="shared" si="17"/>
        <v>Close</v>
      </c>
      <c r="V120" s="117"/>
    </row>
    <row r="121" spans="1:22" ht="15" customHeight="1">
      <c r="A121" s="117"/>
      <c r="B121" s="144" t="str">
        <f>IF(D121="","","P"&amp;D121&amp;"MA"&amp;COUNTIF($D$14:D121,D121))</f>
        <v/>
      </c>
      <c r="C121" s="162"/>
      <c r="D121" s="163"/>
      <c r="E121" s="164"/>
      <c r="F121" s="164"/>
      <c r="G121" s="164"/>
      <c r="H121" s="164"/>
      <c r="I121" s="162"/>
      <c r="J121" s="144"/>
      <c r="K121" s="144"/>
      <c r="L121" s="144"/>
      <c r="M121" s="145">
        <f t="shared" si="12"/>
        <v>0</v>
      </c>
      <c r="N121" s="145">
        <f t="shared" si="13"/>
        <v>0</v>
      </c>
      <c r="O121" s="146">
        <f t="shared" si="14"/>
        <v>0</v>
      </c>
      <c r="P121" s="146">
        <f>IF(B121="",0,SUMIF('NHAP XUAT'!$G$10:$J$1011,'Ghi So'!B121,'NHAP XUAT'!$J$10:$J$1011))</f>
        <v>0</v>
      </c>
      <c r="Q121" s="146">
        <f t="shared" si="15"/>
        <v>0</v>
      </c>
      <c r="R121" s="169"/>
      <c r="S121" s="169"/>
      <c r="T121" s="146">
        <f t="shared" si="16"/>
        <v>0</v>
      </c>
      <c r="U121" s="121" t="str">
        <f t="shared" si="17"/>
        <v>Close</v>
      </c>
      <c r="V121" s="117"/>
    </row>
    <row r="122" spans="1:22" ht="15" customHeight="1">
      <c r="A122" s="117"/>
      <c r="B122" s="144" t="str">
        <f>IF(D122="","","P"&amp;D122&amp;"MA"&amp;COUNTIF($D$14:D122,D122))</f>
        <v/>
      </c>
      <c r="C122" s="162"/>
      <c r="D122" s="163"/>
      <c r="E122" s="164"/>
      <c r="F122" s="164"/>
      <c r="G122" s="164"/>
      <c r="H122" s="164"/>
      <c r="I122" s="162"/>
      <c r="J122" s="144"/>
      <c r="K122" s="144"/>
      <c r="L122" s="144"/>
      <c r="M122" s="145">
        <f t="shared" si="12"/>
        <v>0</v>
      </c>
      <c r="N122" s="145">
        <f t="shared" si="13"/>
        <v>0</v>
      </c>
      <c r="O122" s="146">
        <f t="shared" si="14"/>
        <v>0</v>
      </c>
      <c r="P122" s="146">
        <f>IF(B122="",0,SUMIF('NHAP XUAT'!$G$10:$J$1011,'Ghi So'!B122,'NHAP XUAT'!$J$10:$J$1011))</f>
        <v>0</v>
      </c>
      <c r="Q122" s="146">
        <f t="shared" si="15"/>
        <v>0</v>
      </c>
      <c r="R122" s="169"/>
      <c r="S122" s="169"/>
      <c r="T122" s="146">
        <f t="shared" si="16"/>
        <v>0</v>
      </c>
      <c r="U122" s="121" t="str">
        <f t="shared" si="17"/>
        <v>Close</v>
      </c>
      <c r="V122" s="117"/>
    </row>
    <row r="123" spans="1:22" ht="15" customHeight="1">
      <c r="A123" s="117"/>
      <c r="B123" s="144" t="str">
        <f>IF(D123="","","P"&amp;D123&amp;"MA"&amp;COUNTIF($D$14:D123,D123))</f>
        <v/>
      </c>
      <c r="C123" s="162"/>
      <c r="D123" s="163"/>
      <c r="E123" s="164"/>
      <c r="F123" s="164"/>
      <c r="G123" s="164"/>
      <c r="H123" s="164"/>
      <c r="I123" s="162"/>
      <c r="J123" s="144"/>
      <c r="K123" s="144"/>
      <c r="L123" s="144"/>
      <c r="M123" s="145">
        <f t="shared" si="12"/>
        <v>0</v>
      </c>
      <c r="N123" s="145">
        <f t="shared" si="13"/>
        <v>0</v>
      </c>
      <c r="O123" s="146">
        <f t="shared" si="14"/>
        <v>0</v>
      </c>
      <c r="P123" s="146">
        <f>IF(B123="",0,SUMIF('NHAP XUAT'!$G$10:$J$1011,'Ghi So'!B123,'NHAP XUAT'!$J$10:$J$1011))</f>
        <v>0</v>
      </c>
      <c r="Q123" s="146">
        <f t="shared" si="15"/>
        <v>0</v>
      </c>
      <c r="R123" s="169"/>
      <c r="S123" s="169"/>
      <c r="T123" s="146">
        <f t="shared" si="16"/>
        <v>0</v>
      </c>
      <c r="U123" s="121" t="str">
        <f t="shared" si="17"/>
        <v>Close</v>
      </c>
      <c r="V123" s="117"/>
    </row>
    <row r="124" spans="1:22" ht="15" customHeight="1">
      <c r="A124" s="117"/>
      <c r="B124" s="144" t="str">
        <f>IF(D124="","","P"&amp;D124&amp;"MA"&amp;COUNTIF($D$14:D124,D124))</f>
        <v/>
      </c>
      <c r="C124" s="162"/>
      <c r="D124" s="163"/>
      <c r="E124" s="164"/>
      <c r="F124" s="164"/>
      <c r="G124" s="164"/>
      <c r="H124" s="164"/>
      <c r="I124" s="162"/>
      <c r="J124" s="144"/>
      <c r="K124" s="144"/>
      <c r="L124" s="144"/>
      <c r="M124" s="145">
        <f t="shared" si="12"/>
        <v>0</v>
      </c>
      <c r="N124" s="145">
        <f t="shared" si="13"/>
        <v>0</v>
      </c>
      <c r="O124" s="146">
        <f t="shared" si="14"/>
        <v>0</v>
      </c>
      <c r="P124" s="146">
        <f>IF(B124="",0,SUMIF('NHAP XUAT'!$G$10:$J$1011,'Ghi So'!B124,'NHAP XUAT'!$J$10:$J$1011))</f>
        <v>0</v>
      </c>
      <c r="Q124" s="146">
        <f t="shared" si="15"/>
        <v>0</v>
      </c>
      <c r="R124" s="169"/>
      <c r="S124" s="169"/>
      <c r="T124" s="146">
        <f t="shared" si="16"/>
        <v>0</v>
      </c>
      <c r="U124" s="121" t="str">
        <f t="shared" si="17"/>
        <v>Close</v>
      </c>
      <c r="V124" s="117"/>
    </row>
    <row r="125" spans="1:22" ht="15" customHeight="1">
      <c r="A125" s="117"/>
      <c r="B125" s="144" t="str">
        <f>IF(D125="","","P"&amp;D125&amp;"MA"&amp;COUNTIF($D$14:D125,D125))</f>
        <v/>
      </c>
      <c r="C125" s="162"/>
      <c r="D125" s="163"/>
      <c r="E125" s="164"/>
      <c r="F125" s="164"/>
      <c r="G125" s="164"/>
      <c r="H125" s="164"/>
      <c r="I125" s="162"/>
      <c r="J125" s="144"/>
      <c r="K125" s="144"/>
      <c r="L125" s="144"/>
      <c r="M125" s="145">
        <f t="shared" si="12"/>
        <v>0</v>
      </c>
      <c r="N125" s="145">
        <f t="shared" si="13"/>
        <v>0</v>
      </c>
      <c r="O125" s="146">
        <f t="shared" si="14"/>
        <v>0</v>
      </c>
      <c r="P125" s="146">
        <f>IF(B125="",0,SUMIF('NHAP XUAT'!$G$10:$J$1011,'Ghi So'!B125,'NHAP XUAT'!$J$10:$J$1011))</f>
        <v>0</v>
      </c>
      <c r="Q125" s="146">
        <f t="shared" si="15"/>
        <v>0</v>
      </c>
      <c r="R125" s="169"/>
      <c r="S125" s="169"/>
      <c r="T125" s="146">
        <f t="shared" si="16"/>
        <v>0</v>
      </c>
      <c r="U125" s="121" t="str">
        <f t="shared" si="17"/>
        <v>Close</v>
      </c>
      <c r="V125" s="117"/>
    </row>
    <row r="126" spans="1:22" ht="15" customHeight="1">
      <c r="A126" s="117"/>
      <c r="B126" s="144" t="str">
        <f>IF(D126="","","P"&amp;D126&amp;"MA"&amp;COUNTIF($D$14:D126,D126))</f>
        <v/>
      </c>
      <c r="C126" s="162"/>
      <c r="D126" s="163"/>
      <c r="E126" s="164"/>
      <c r="F126" s="164"/>
      <c r="G126" s="164"/>
      <c r="H126" s="164"/>
      <c r="I126" s="162"/>
      <c r="J126" s="144"/>
      <c r="K126" s="144"/>
      <c r="L126" s="144"/>
      <c r="M126" s="145">
        <f t="shared" si="12"/>
        <v>0</v>
      </c>
      <c r="N126" s="145">
        <f t="shared" si="13"/>
        <v>0</v>
      </c>
      <c r="O126" s="146">
        <f t="shared" si="14"/>
        <v>0</v>
      </c>
      <c r="P126" s="146">
        <f>IF(B126="",0,SUMIF('NHAP XUAT'!$G$10:$J$1011,'Ghi So'!B126,'NHAP XUAT'!$J$10:$J$1011))</f>
        <v>0</v>
      </c>
      <c r="Q126" s="146">
        <f t="shared" si="15"/>
        <v>0</v>
      </c>
      <c r="R126" s="169"/>
      <c r="S126" s="169"/>
      <c r="T126" s="146">
        <f t="shared" si="16"/>
        <v>0</v>
      </c>
      <c r="U126" s="121" t="str">
        <f t="shared" si="17"/>
        <v>Close</v>
      </c>
      <c r="V126" s="117"/>
    </row>
    <row r="127" spans="1:22" ht="15" customHeight="1">
      <c r="A127" s="117"/>
      <c r="B127" s="144" t="str">
        <f>IF(D127="","","P"&amp;D127&amp;"MA"&amp;COUNTIF($D$14:D127,D127))</f>
        <v/>
      </c>
      <c r="C127" s="162"/>
      <c r="D127" s="163"/>
      <c r="E127" s="164"/>
      <c r="F127" s="164"/>
      <c r="G127" s="164"/>
      <c r="H127" s="164"/>
      <c r="I127" s="162"/>
      <c r="J127" s="144"/>
      <c r="K127" s="144"/>
      <c r="L127" s="144"/>
      <c r="M127" s="145">
        <f t="shared" si="12"/>
        <v>0</v>
      </c>
      <c r="N127" s="145">
        <f t="shared" si="13"/>
        <v>0</v>
      </c>
      <c r="O127" s="146">
        <f t="shared" si="14"/>
        <v>0</v>
      </c>
      <c r="P127" s="146">
        <f>IF(B127="",0,SUMIF('NHAP XUAT'!$G$10:$J$1011,'Ghi So'!B127,'NHAP XUAT'!$J$10:$J$1011))</f>
        <v>0</v>
      </c>
      <c r="Q127" s="146">
        <f t="shared" si="15"/>
        <v>0</v>
      </c>
      <c r="R127" s="169"/>
      <c r="S127" s="169"/>
      <c r="T127" s="146">
        <f t="shared" si="16"/>
        <v>0</v>
      </c>
      <c r="U127" s="121" t="str">
        <f t="shared" si="17"/>
        <v>Close</v>
      </c>
      <c r="V127" s="117"/>
    </row>
    <row r="128" spans="1:22" ht="15" customHeight="1">
      <c r="A128" s="117"/>
      <c r="B128" s="144" t="str">
        <f>IF(D128="","","P"&amp;D128&amp;"MA"&amp;COUNTIF($D$14:D128,D128))</f>
        <v/>
      </c>
      <c r="C128" s="162"/>
      <c r="D128" s="163"/>
      <c r="E128" s="164"/>
      <c r="F128" s="164"/>
      <c r="G128" s="164"/>
      <c r="H128" s="164"/>
      <c r="I128" s="162"/>
      <c r="J128" s="144"/>
      <c r="K128" s="144"/>
      <c r="L128" s="144"/>
      <c r="M128" s="145">
        <f t="shared" si="12"/>
        <v>0</v>
      </c>
      <c r="N128" s="145">
        <f t="shared" si="13"/>
        <v>0</v>
      </c>
      <c r="O128" s="146">
        <f t="shared" si="14"/>
        <v>0</v>
      </c>
      <c r="P128" s="146">
        <f>IF(B128="",0,SUMIF('NHAP XUAT'!$G$10:$J$1011,'Ghi So'!B128,'NHAP XUAT'!$J$10:$J$1011))</f>
        <v>0</v>
      </c>
      <c r="Q128" s="146">
        <f t="shared" si="15"/>
        <v>0</v>
      </c>
      <c r="R128" s="169"/>
      <c r="S128" s="169"/>
      <c r="T128" s="146">
        <f t="shared" si="16"/>
        <v>0</v>
      </c>
      <c r="U128" s="121" t="str">
        <f t="shared" si="17"/>
        <v>Close</v>
      </c>
      <c r="V128" s="117"/>
    </row>
    <row r="129" spans="1:22" ht="15" customHeight="1">
      <c r="A129" s="117"/>
      <c r="B129" s="144" t="str">
        <f>IF(D129="","","P"&amp;D129&amp;"MA"&amp;COUNTIF($D$14:D129,D129))</f>
        <v/>
      </c>
      <c r="C129" s="162"/>
      <c r="D129" s="163"/>
      <c r="E129" s="164"/>
      <c r="F129" s="164"/>
      <c r="G129" s="164"/>
      <c r="H129" s="164"/>
      <c r="I129" s="162"/>
      <c r="J129" s="144"/>
      <c r="K129" s="144"/>
      <c r="L129" s="144"/>
      <c r="M129" s="145">
        <f t="shared" si="12"/>
        <v>0</v>
      </c>
      <c r="N129" s="145">
        <f t="shared" si="13"/>
        <v>0</v>
      </c>
      <c r="O129" s="146">
        <f t="shared" si="14"/>
        <v>0</v>
      </c>
      <c r="P129" s="146">
        <f>IF(B129="",0,SUMIF('NHAP XUAT'!$G$10:$J$1011,'Ghi So'!B129,'NHAP XUAT'!$J$10:$J$1011))</f>
        <v>0</v>
      </c>
      <c r="Q129" s="146">
        <f t="shared" si="15"/>
        <v>0</v>
      </c>
      <c r="R129" s="169"/>
      <c r="S129" s="169"/>
      <c r="T129" s="146">
        <f t="shared" si="16"/>
        <v>0</v>
      </c>
      <c r="U129" s="121" t="str">
        <f t="shared" si="17"/>
        <v>Close</v>
      </c>
      <c r="V129" s="117"/>
    </row>
    <row r="130" spans="1:22" ht="15" customHeight="1">
      <c r="A130" s="117"/>
      <c r="B130" s="144" t="str">
        <f>IF(D130="","","P"&amp;D130&amp;"MA"&amp;COUNTIF($D$14:D130,D130))</f>
        <v/>
      </c>
      <c r="C130" s="162"/>
      <c r="D130" s="163"/>
      <c r="E130" s="164"/>
      <c r="F130" s="164"/>
      <c r="G130" s="164"/>
      <c r="H130" s="164"/>
      <c r="I130" s="162"/>
      <c r="J130" s="144"/>
      <c r="K130" s="144"/>
      <c r="L130" s="144"/>
      <c r="M130" s="145">
        <f t="shared" si="12"/>
        <v>0</v>
      </c>
      <c r="N130" s="145">
        <f t="shared" si="13"/>
        <v>0</v>
      </c>
      <c r="O130" s="146">
        <f t="shared" si="14"/>
        <v>0</v>
      </c>
      <c r="P130" s="146">
        <f>IF(B130="",0,SUMIF('NHAP XUAT'!$G$10:$J$1011,'Ghi So'!B130,'NHAP XUAT'!$J$10:$J$1011))</f>
        <v>0</v>
      </c>
      <c r="Q130" s="146">
        <f t="shared" si="15"/>
        <v>0</v>
      </c>
      <c r="R130" s="169"/>
      <c r="S130" s="169"/>
      <c r="T130" s="146">
        <f t="shared" si="16"/>
        <v>0</v>
      </c>
      <c r="U130" s="121" t="str">
        <f t="shared" si="17"/>
        <v>Close</v>
      </c>
      <c r="V130" s="117"/>
    </row>
    <row r="131" spans="1:22" ht="15" customHeight="1">
      <c r="A131" s="117"/>
      <c r="B131" s="144" t="str">
        <f>IF(D131="","","P"&amp;D131&amp;"MA"&amp;COUNTIF($D$14:D131,D131))</f>
        <v/>
      </c>
      <c r="C131" s="162"/>
      <c r="D131" s="163"/>
      <c r="E131" s="164"/>
      <c r="F131" s="164"/>
      <c r="G131" s="164"/>
      <c r="H131" s="164"/>
      <c r="I131" s="162"/>
      <c r="J131" s="144"/>
      <c r="K131" s="144"/>
      <c r="L131" s="144"/>
      <c r="M131" s="145">
        <f t="shared" si="12"/>
        <v>0</v>
      </c>
      <c r="N131" s="145">
        <f t="shared" si="13"/>
        <v>0</v>
      </c>
      <c r="O131" s="146">
        <f t="shared" si="14"/>
        <v>0</v>
      </c>
      <c r="P131" s="146">
        <f>IF(B131="",0,SUMIF('NHAP XUAT'!$G$10:$J$1011,'Ghi So'!B131,'NHAP XUAT'!$J$10:$J$1011))</f>
        <v>0</v>
      </c>
      <c r="Q131" s="146">
        <f t="shared" si="15"/>
        <v>0</v>
      </c>
      <c r="R131" s="169"/>
      <c r="S131" s="169"/>
      <c r="T131" s="146">
        <f t="shared" si="16"/>
        <v>0</v>
      </c>
      <c r="U131" s="121" t="str">
        <f t="shared" si="17"/>
        <v>Close</v>
      </c>
      <c r="V131" s="117"/>
    </row>
    <row r="132" spans="1:22" ht="15" customHeight="1">
      <c r="A132" s="117"/>
      <c r="B132" s="144" t="str">
        <f>IF(D132="","","P"&amp;D132&amp;"MA"&amp;COUNTIF($D$14:D132,D132))</f>
        <v/>
      </c>
      <c r="C132" s="162"/>
      <c r="D132" s="163"/>
      <c r="E132" s="164"/>
      <c r="F132" s="164"/>
      <c r="G132" s="164"/>
      <c r="H132" s="164"/>
      <c r="I132" s="162"/>
      <c r="J132" s="144"/>
      <c r="K132" s="144"/>
      <c r="L132" s="144"/>
      <c r="M132" s="145">
        <f t="shared" si="12"/>
        <v>0</v>
      </c>
      <c r="N132" s="145">
        <f t="shared" si="13"/>
        <v>0</v>
      </c>
      <c r="O132" s="146">
        <f t="shared" si="14"/>
        <v>0</v>
      </c>
      <c r="P132" s="146">
        <f>IF(B132="",0,SUMIF('NHAP XUAT'!$G$10:$J$1011,'Ghi So'!B132,'NHAP XUAT'!$J$10:$J$1011))</f>
        <v>0</v>
      </c>
      <c r="Q132" s="146">
        <f t="shared" si="15"/>
        <v>0</v>
      </c>
      <c r="R132" s="169"/>
      <c r="S132" s="169"/>
      <c r="T132" s="146">
        <f t="shared" si="16"/>
        <v>0</v>
      </c>
      <c r="U132" s="121" t="str">
        <f t="shared" si="17"/>
        <v>Close</v>
      </c>
      <c r="V132" s="117"/>
    </row>
    <row r="133" spans="1:22" ht="15" customHeight="1">
      <c r="A133" s="117"/>
      <c r="B133" s="144" t="str">
        <f>IF(D133="","","P"&amp;D133&amp;"MA"&amp;COUNTIF($D$14:D133,D133))</f>
        <v/>
      </c>
      <c r="C133" s="162"/>
      <c r="D133" s="163"/>
      <c r="E133" s="164"/>
      <c r="F133" s="164"/>
      <c r="G133" s="164"/>
      <c r="H133" s="164"/>
      <c r="I133" s="162"/>
      <c r="J133" s="144"/>
      <c r="K133" s="144"/>
      <c r="L133" s="144"/>
      <c r="M133" s="145">
        <f t="shared" si="12"/>
        <v>0</v>
      </c>
      <c r="N133" s="145">
        <f t="shared" si="13"/>
        <v>0</v>
      </c>
      <c r="O133" s="146">
        <f t="shared" si="14"/>
        <v>0</v>
      </c>
      <c r="P133" s="146">
        <f>IF(B133="",0,SUMIF('NHAP XUAT'!$G$10:$J$1011,'Ghi So'!B133,'NHAP XUAT'!$J$10:$J$1011))</f>
        <v>0</v>
      </c>
      <c r="Q133" s="146">
        <f t="shared" si="15"/>
        <v>0</v>
      </c>
      <c r="R133" s="169"/>
      <c r="S133" s="169"/>
      <c r="T133" s="146">
        <f t="shared" si="16"/>
        <v>0</v>
      </c>
      <c r="U133" s="121" t="str">
        <f t="shared" si="17"/>
        <v>Close</v>
      </c>
      <c r="V133" s="117"/>
    </row>
    <row r="134" spans="1:22" ht="15" customHeight="1">
      <c r="A134" s="117"/>
      <c r="B134" s="144" t="str">
        <f>IF(D134="","","P"&amp;D134&amp;"MA"&amp;COUNTIF($D$14:D134,D134))</f>
        <v/>
      </c>
      <c r="C134" s="162"/>
      <c r="D134" s="163"/>
      <c r="E134" s="164"/>
      <c r="F134" s="164"/>
      <c r="G134" s="164"/>
      <c r="H134" s="164"/>
      <c r="I134" s="162"/>
      <c r="J134" s="144"/>
      <c r="K134" s="144"/>
      <c r="L134" s="144"/>
      <c r="M134" s="145">
        <f t="shared" si="12"/>
        <v>0</v>
      </c>
      <c r="N134" s="145">
        <f t="shared" si="13"/>
        <v>0</v>
      </c>
      <c r="O134" s="146">
        <f t="shared" si="14"/>
        <v>0</v>
      </c>
      <c r="P134" s="146">
        <f>IF(B134="",0,SUMIF('NHAP XUAT'!$G$10:$J$1011,'Ghi So'!B134,'NHAP XUAT'!$J$10:$J$1011))</f>
        <v>0</v>
      </c>
      <c r="Q134" s="146">
        <f t="shared" si="15"/>
        <v>0</v>
      </c>
      <c r="R134" s="169"/>
      <c r="S134" s="169"/>
      <c r="T134" s="146">
        <f t="shared" si="16"/>
        <v>0</v>
      </c>
      <c r="U134" s="121" t="str">
        <f t="shared" si="17"/>
        <v>Close</v>
      </c>
      <c r="V134" s="117"/>
    </row>
    <row r="135" spans="1:22" ht="15" customHeight="1">
      <c r="A135" s="117"/>
      <c r="B135" s="144" t="str">
        <f>IF(D135="","","P"&amp;D135&amp;"MA"&amp;COUNTIF($D$14:D135,D135))</f>
        <v/>
      </c>
      <c r="C135" s="162"/>
      <c r="D135" s="163"/>
      <c r="E135" s="164"/>
      <c r="F135" s="164"/>
      <c r="G135" s="164"/>
      <c r="H135" s="164"/>
      <c r="I135" s="162"/>
      <c r="J135" s="144"/>
      <c r="K135" s="144"/>
      <c r="L135" s="144"/>
      <c r="M135" s="145">
        <f t="shared" si="12"/>
        <v>0</v>
      </c>
      <c r="N135" s="145">
        <f t="shared" si="13"/>
        <v>0</v>
      </c>
      <c r="O135" s="146">
        <f t="shared" si="14"/>
        <v>0</v>
      </c>
      <c r="P135" s="146">
        <f>IF(B135="",0,SUMIF('NHAP XUAT'!$G$10:$J$1011,'Ghi So'!B135,'NHAP XUAT'!$J$10:$J$1011))</f>
        <v>0</v>
      </c>
      <c r="Q135" s="146">
        <f t="shared" si="15"/>
        <v>0</v>
      </c>
      <c r="R135" s="169"/>
      <c r="S135" s="169"/>
      <c r="T135" s="146">
        <f t="shared" si="16"/>
        <v>0</v>
      </c>
      <c r="U135" s="121" t="str">
        <f t="shared" si="17"/>
        <v>Close</v>
      </c>
      <c r="V135" s="117"/>
    </row>
    <row r="136" spans="1:22" ht="15" customHeight="1">
      <c r="A136" s="117"/>
      <c r="B136" s="144" t="str">
        <f>IF(D136="","","P"&amp;D136&amp;"MA"&amp;COUNTIF($D$14:D136,D136))</f>
        <v/>
      </c>
      <c r="C136" s="162"/>
      <c r="D136" s="163"/>
      <c r="E136" s="164"/>
      <c r="F136" s="164"/>
      <c r="G136" s="164"/>
      <c r="H136" s="164"/>
      <c r="I136" s="162"/>
      <c r="J136" s="144"/>
      <c r="K136" s="144"/>
      <c r="L136" s="144"/>
      <c r="M136" s="145">
        <f t="shared" si="12"/>
        <v>0</v>
      </c>
      <c r="N136" s="145">
        <f t="shared" si="13"/>
        <v>0</v>
      </c>
      <c r="O136" s="146">
        <f t="shared" si="14"/>
        <v>0</v>
      </c>
      <c r="P136" s="146">
        <f>IF(B136="",0,SUMIF('NHAP XUAT'!$G$10:$J$1011,'Ghi So'!B136,'NHAP XUAT'!$J$10:$J$1011))</f>
        <v>0</v>
      </c>
      <c r="Q136" s="146">
        <f t="shared" si="15"/>
        <v>0</v>
      </c>
      <c r="R136" s="169"/>
      <c r="S136" s="169"/>
      <c r="T136" s="146">
        <f t="shared" si="16"/>
        <v>0</v>
      </c>
      <c r="U136" s="121" t="str">
        <f t="shared" si="17"/>
        <v>Close</v>
      </c>
      <c r="V136" s="117"/>
    </row>
    <row r="137" spans="1:22" ht="15" customHeight="1">
      <c r="A137" s="117"/>
      <c r="B137" s="144" t="str">
        <f>IF(D137="","","P"&amp;D137&amp;"MA"&amp;COUNTIF($D$14:D137,D137))</f>
        <v/>
      </c>
      <c r="C137" s="162"/>
      <c r="D137" s="163"/>
      <c r="E137" s="164"/>
      <c r="F137" s="164"/>
      <c r="G137" s="164"/>
      <c r="H137" s="164"/>
      <c r="I137" s="162"/>
      <c r="J137" s="144"/>
      <c r="K137" s="144"/>
      <c r="L137" s="144"/>
      <c r="M137" s="145">
        <f t="shared" si="12"/>
        <v>0</v>
      </c>
      <c r="N137" s="145">
        <f t="shared" si="13"/>
        <v>0</v>
      </c>
      <c r="O137" s="146">
        <f t="shared" si="14"/>
        <v>0</v>
      </c>
      <c r="P137" s="146">
        <f>IF(B137="",0,SUMIF('NHAP XUAT'!$G$10:$J$1011,'Ghi So'!B137,'NHAP XUAT'!$J$10:$J$1011))</f>
        <v>0</v>
      </c>
      <c r="Q137" s="146">
        <f t="shared" si="15"/>
        <v>0</v>
      </c>
      <c r="R137" s="169"/>
      <c r="S137" s="169"/>
      <c r="T137" s="146">
        <f t="shared" si="16"/>
        <v>0</v>
      </c>
      <c r="U137" s="121" t="str">
        <f t="shared" si="17"/>
        <v>Close</v>
      </c>
      <c r="V137" s="117"/>
    </row>
    <row r="138" spans="1:22" ht="15" customHeight="1">
      <c r="A138" s="117"/>
      <c r="B138" s="144" t="str">
        <f>IF(D138="","","P"&amp;D138&amp;"MA"&amp;COUNTIF($D$14:D138,D138))</f>
        <v/>
      </c>
      <c r="C138" s="162"/>
      <c r="D138" s="163"/>
      <c r="E138" s="164"/>
      <c r="F138" s="164"/>
      <c r="G138" s="164"/>
      <c r="H138" s="164"/>
      <c r="I138" s="162"/>
      <c r="J138" s="144"/>
      <c r="K138" s="144"/>
      <c r="L138" s="144"/>
      <c r="M138" s="145">
        <f t="shared" si="12"/>
        <v>0</v>
      </c>
      <c r="N138" s="145">
        <f t="shared" si="13"/>
        <v>0</v>
      </c>
      <c r="O138" s="146">
        <f t="shared" si="14"/>
        <v>0</v>
      </c>
      <c r="P138" s="146">
        <f>IF(B138="",0,SUMIF('NHAP XUAT'!$G$10:$J$1011,'Ghi So'!B138,'NHAP XUAT'!$J$10:$J$1011))</f>
        <v>0</v>
      </c>
      <c r="Q138" s="146">
        <f t="shared" si="15"/>
        <v>0</v>
      </c>
      <c r="R138" s="169"/>
      <c r="S138" s="169"/>
      <c r="T138" s="146">
        <f t="shared" si="16"/>
        <v>0</v>
      </c>
      <c r="U138" s="121" t="str">
        <f t="shared" si="17"/>
        <v>Close</v>
      </c>
      <c r="V138" s="117"/>
    </row>
    <row r="139" spans="1:22" ht="15" customHeight="1">
      <c r="A139" s="117"/>
      <c r="B139" s="144" t="str">
        <f>IF(D139="","","P"&amp;D139&amp;"MA"&amp;COUNTIF($D$14:D139,D139))</f>
        <v/>
      </c>
      <c r="C139" s="162"/>
      <c r="D139" s="163"/>
      <c r="E139" s="164"/>
      <c r="F139" s="164"/>
      <c r="G139" s="164"/>
      <c r="H139" s="164"/>
      <c r="I139" s="162"/>
      <c r="J139" s="144"/>
      <c r="K139" s="144"/>
      <c r="L139" s="144"/>
      <c r="M139" s="145">
        <f t="shared" si="12"/>
        <v>0</v>
      </c>
      <c r="N139" s="145">
        <f t="shared" si="13"/>
        <v>0</v>
      </c>
      <c r="O139" s="146">
        <f t="shared" si="14"/>
        <v>0</v>
      </c>
      <c r="P139" s="146">
        <f>IF(B139="",0,SUMIF('NHAP XUAT'!$G$10:$J$1011,'Ghi So'!B139,'NHAP XUAT'!$J$10:$J$1011))</f>
        <v>0</v>
      </c>
      <c r="Q139" s="146">
        <f t="shared" si="15"/>
        <v>0</v>
      </c>
      <c r="R139" s="169"/>
      <c r="S139" s="169"/>
      <c r="T139" s="146">
        <f t="shared" si="16"/>
        <v>0</v>
      </c>
      <c r="U139" s="121" t="str">
        <f t="shared" si="17"/>
        <v>Close</v>
      </c>
      <c r="V139" s="117"/>
    </row>
    <row r="140" spans="1:22" ht="15" customHeight="1">
      <c r="A140" s="117"/>
      <c r="B140" s="144" t="str">
        <f>IF(D140="","","P"&amp;D140&amp;"MA"&amp;COUNTIF($D$14:D140,D140))</f>
        <v/>
      </c>
      <c r="C140" s="162"/>
      <c r="D140" s="163"/>
      <c r="E140" s="164"/>
      <c r="F140" s="164"/>
      <c r="G140" s="164"/>
      <c r="H140" s="164"/>
      <c r="I140" s="162"/>
      <c r="J140" s="144"/>
      <c r="K140" s="144"/>
      <c r="L140" s="144"/>
      <c r="M140" s="145">
        <f t="shared" si="12"/>
        <v>0</v>
      </c>
      <c r="N140" s="145">
        <f t="shared" si="13"/>
        <v>0</v>
      </c>
      <c r="O140" s="146">
        <f t="shared" si="14"/>
        <v>0</v>
      </c>
      <c r="P140" s="146">
        <f>IF(B140="",0,SUMIF('NHAP XUAT'!$G$10:$J$1011,'Ghi So'!B140,'NHAP XUAT'!$J$10:$J$1011))</f>
        <v>0</v>
      </c>
      <c r="Q140" s="146">
        <f t="shared" si="15"/>
        <v>0</v>
      </c>
      <c r="R140" s="169"/>
      <c r="S140" s="169"/>
      <c r="T140" s="146">
        <f t="shared" si="16"/>
        <v>0</v>
      </c>
      <c r="U140" s="121" t="str">
        <f t="shared" si="17"/>
        <v>Close</v>
      </c>
      <c r="V140" s="117"/>
    </row>
    <row r="141" spans="1:22" ht="15" customHeight="1">
      <c r="A141" s="117"/>
      <c r="B141" s="144" t="str">
        <f>IF(D141="","","P"&amp;D141&amp;"MA"&amp;COUNTIF($D$14:D141,D141))</f>
        <v/>
      </c>
      <c r="C141" s="162"/>
      <c r="D141" s="163"/>
      <c r="E141" s="164"/>
      <c r="F141" s="164"/>
      <c r="G141" s="164"/>
      <c r="H141" s="164"/>
      <c r="I141" s="162"/>
      <c r="J141" s="144"/>
      <c r="K141" s="144"/>
      <c r="L141" s="144"/>
      <c r="M141" s="145">
        <f t="shared" si="12"/>
        <v>0</v>
      </c>
      <c r="N141" s="145">
        <f t="shared" si="13"/>
        <v>0</v>
      </c>
      <c r="O141" s="146">
        <f t="shared" si="14"/>
        <v>0</v>
      </c>
      <c r="P141" s="146">
        <f>IF(B141="",0,SUMIF('NHAP XUAT'!$G$10:$J$1011,'Ghi So'!B141,'NHAP XUAT'!$J$10:$J$1011))</f>
        <v>0</v>
      </c>
      <c r="Q141" s="146">
        <f t="shared" si="15"/>
        <v>0</v>
      </c>
      <c r="R141" s="169"/>
      <c r="S141" s="169"/>
      <c r="T141" s="146">
        <f t="shared" si="16"/>
        <v>0</v>
      </c>
      <c r="U141" s="121" t="str">
        <f t="shared" si="17"/>
        <v>Close</v>
      </c>
      <c r="V141" s="117"/>
    </row>
    <row r="142" spans="1:22" ht="15" customHeight="1">
      <c r="A142" s="117"/>
      <c r="B142" s="144" t="str">
        <f>IF(D142="","","P"&amp;D142&amp;"MA"&amp;COUNTIF($D$14:D142,D142))</f>
        <v/>
      </c>
      <c r="C142" s="162"/>
      <c r="D142" s="163"/>
      <c r="E142" s="164"/>
      <c r="F142" s="164"/>
      <c r="G142" s="164"/>
      <c r="H142" s="164"/>
      <c r="I142" s="162"/>
      <c r="J142" s="144"/>
      <c r="K142" s="144"/>
      <c r="L142" s="144"/>
      <c r="M142" s="145">
        <f t="shared" si="12"/>
        <v>0</v>
      </c>
      <c r="N142" s="145">
        <f t="shared" si="13"/>
        <v>0</v>
      </c>
      <c r="O142" s="146">
        <f t="shared" si="14"/>
        <v>0</v>
      </c>
      <c r="P142" s="146">
        <f>IF(B142="",0,SUMIF('NHAP XUAT'!$G$10:$J$1011,'Ghi So'!B142,'NHAP XUAT'!$J$10:$J$1011))</f>
        <v>0</v>
      </c>
      <c r="Q142" s="146">
        <f t="shared" si="15"/>
        <v>0</v>
      </c>
      <c r="R142" s="169"/>
      <c r="S142" s="169"/>
      <c r="T142" s="146">
        <f t="shared" si="16"/>
        <v>0</v>
      </c>
      <c r="U142" s="121" t="str">
        <f t="shared" si="17"/>
        <v>Close</v>
      </c>
      <c r="V142" s="117"/>
    </row>
    <row r="143" spans="1:22" ht="15" customHeight="1">
      <c r="A143" s="117"/>
      <c r="B143" s="144" t="str">
        <f>IF(D143="","","P"&amp;D143&amp;"MA"&amp;COUNTIF($D$14:D143,D143))</f>
        <v/>
      </c>
      <c r="C143" s="162"/>
      <c r="D143" s="163"/>
      <c r="E143" s="164"/>
      <c r="F143" s="164"/>
      <c r="G143" s="164"/>
      <c r="H143" s="164"/>
      <c r="I143" s="162"/>
      <c r="J143" s="144"/>
      <c r="K143" s="144"/>
      <c r="L143" s="144"/>
      <c r="M143" s="145">
        <f t="shared" si="12"/>
        <v>0</v>
      </c>
      <c r="N143" s="145">
        <f t="shared" si="13"/>
        <v>0</v>
      </c>
      <c r="O143" s="146">
        <f t="shared" si="14"/>
        <v>0</v>
      </c>
      <c r="P143" s="146">
        <f>IF(B143="",0,SUMIF('NHAP XUAT'!$G$10:$J$1011,'Ghi So'!B143,'NHAP XUAT'!$J$10:$J$1011))</f>
        <v>0</v>
      </c>
      <c r="Q143" s="146">
        <f t="shared" si="15"/>
        <v>0</v>
      </c>
      <c r="R143" s="169"/>
      <c r="S143" s="169"/>
      <c r="T143" s="146">
        <f t="shared" si="16"/>
        <v>0</v>
      </c>
      <c r="U143" s="121" t="str">
        <f t="shared" si="17"/>
        <v>Close</v>
      </c>
      <c r="V143" s="117"/>
    </row>
    <row r="144" spans="1:22" ht="15" customHeight="1">
      <c r="A144" s="117"/>
      <c r="B144" s="144" t="str">
        <f>IF(D144="","","P"&amp;D144&amp;"MA"&amp;COUNTIF($D$14:D144,D144))</f>
        <v/>
      </c>
      <c r="C144" s="162"/>
      <c r="D144" s="163"/>
      <c r="E144" s="164"/>
      <c r="F144" s="164"/>
      <c r="G144" s="164"/>
      <c r="H144" s="164"/>
      <c r="I144" s="162"/>
      <c r="J144" s="144"/>
      <c r="K144" s="144"/>
      <c r="L144" s="144"/>
      <c r="M144" s="145">
        <f t="shared" si="12"/>
        <v>0</v>
      </c>
      <c r="N144" s="145">
        <f t="shared" si="13"/>
        <v>0</v>
      </c>
      <c r="O144" s="146">
        <f t="shared" si="14"/>
        <v>0</v>
      </c>
      <c r="P144" s="146">
        <f>IF(B144="",0,SUMIF('NHAP XUAT'!$G$10:$J$1011,'Ghi So'!B144,'NHAP XUAT'!$J$10:$J$1011))</f>
        <v>0</v>
      </c>
      <c r="Q144" s="146">
        <f t="shared" si="15"/>
        <v>0</v>
      </c>
      <c r="R144" s="169"/>
      <c r="S144" s="169"/>
      <c r="T144" s="146">
        <f t="shared" si="16"/>
        <v>0</v>
      </c>
      <c r="U144" s="121" t="str">
        <f t="shared" si="17"/>
        <v>Close</v>
      </c>
      <c r="V144" s="117"/>
    </row>
    <row r="145" spans="1:22" ht="15" customHeight="1">
      <c r="A145" s="117"/>
      <c r="B145" s="144" t="str">
        <f>IF(D145="","","P"&amp;D145&amp;"MA"&amp;COUNTIF($D$14:D145,D145))</f>
        <v/>
      </c>
      <c r="C145" s="162"/>
      <c r="D145" s="163"/>
      <c r="E145" s="164"/>
      <c r="F145" s="164"/>
      <c r="G145" s="164"/>
      <c r="H145" s="164"/>
      <c r="I145" s="162"/>
      <c r="J145" s="144"/>
      <c r="K145" s="144"/>
      <c r="L145" s="144"/>
      <c r="M145" s="145">
        <f t="shared" si="12"/>
        <v>0</v>
      </c>
      <c r="N145" s="145">
        <f t="shared" si="13"/>
        <v>0</v>
      </c>
      <c r="O145" s="146">
        <f t="shared" si="14"/>
        <v>0</v>
      </c>
      <c r="P145" s="146">
        <f>IF(B145="",0,SUMIF('NHAP XUAT'!$G$10:$J$1011,'Ghi So'!B145,'NHAP XUAT'!$J$10:$J$1011))</f>
        <v>0</v>
      </c>
      <c r="Q145" s="146">
        <f t="shared" si="15"/>
        <v>0</v>
      </c>
      <c r="R145" s="169"/>
      <c r="S145" s="169"/>
      <c r="T145" s="146">
        <f t="shared" si="16"/>
        <v>0</v>
      </c>
      <c r="U145" s="121" t="str">
        <f t="shared" si="17"/>
        <v>Close</v>
      </c>
      <c r="V145" s="117"/>
    </row>
    <row r="146" spans="1:22" ht="15" customHeight="1">
      <c r="A146" s="117"/>
      <c r="B146" s="144" t="str">
        <f>IF(D146="","","P"&amp;D146&amp;"MA"&amp;COUNTIF($D$14:D146,D146))</f>
        <v/>
      </c>
      <c r="C146" s="162"/>
      <c r="D146" s="163"/>
      <c r="E146" s="164"/>
      <c r="F146" s="164"/>
      <c r="G146" s="164"/>
      <c r="H146" s="164"/>
      <c r="I146" s="162"/>
      <c r="J146" s="144"/>
      <c r="K146" s="144"/>
      <c r="L146" s="144"/>
      <c r="M146" s="145">
        <f t="shared" si="12"/>
        <v>0</v>
      </c>
      <c r="N146" s="145">
        <f t="shared" si="13"/>
        <v>0</v>
      </c>
      <c r="O146" s="146">
        <f t="shared" si="14"/>
        <v>0</v>
      </c>
      <c r="P146" s="146">
        <f>IF(B146="",0,SUMIF('NHAP XUAT'!$G$10:$J$1011,'Ghi So'!B146,'NHAP XUAT'!$J$10:$J$1011))</f>
        <v>0</v>
      </c>
      <c r="Q146" s="146">
        <f t="shared" si="15"/>
        <v>0</v>
      </c>
      <c r="R146" s="169"/>
      <c r="S146" s="169"/>
      <c r="T146" s="146">
        <f t="shared" si="16"/>
        <v>0</v>
      </c>
      <c r="U146" s="121" t="str">
        <f t="shared" si="17"/>
        <v>Close</v>
      </c>
      <c r="V146" s="117"/>
    </row>
    <row r="147" spans="1:22" ht="15" customHeight="1">
      <c r="A147" s="117"/>
      <c r="B147" s="144" t="str">
        <f>IF(D147="","","P"&amp;D147&amp;"MA"&amp;COUNTIF($D$14:D147,D147))</f>
        <v/>
      </c>
      <c r="C147" s="162"/>
      <c r="D147" s="163"/>
      <c r="E147" s="164"/>
      <c r="F147" s="164"/>
      <c r="G147" s="164"/>
      <c r="H147" s="164"/>
      <c r="I147" s="162"/>
      <c r="J147" s="144"/>
      <c r="K147" s="144"/>
      <c r="L147" s="144"/>
      <c r="M147" s="145">
        <f t="shared" si="12"/>
        <v>0</v>
      </c>
      <c r="N147" s="145">
        <f t="shared" si="13"/>
        <v>0</v>
      </c>
      <c r="O147" s="146">
        <f t="shared" si="14"/>
        <v>0</v>
      </c>
      <c r="P147" s="146">
        <f>IF(B147="",0,SUMIF('NHAP XUAT'!$G$10:$J$1011,'Ghi So'!B147,'NHAP XUAT'!$J$10:$J$1011))</f>
        <v>0</v>
      </c>
      <c r="Q147" s="146">
        <f t="shared" si="15"/>
        <v>0</v>
      </c>
      <c r="R147" s="169"/>
      <c r="S147" s="169"/>
      <c r="T147" s="146">
        <f t="shared" si="16"/>
        <v>0</v>
      </c>
      <c r="U147" s="121" t="str">
        <f t="shared" si="17"/>
        <v>Close</v>
      </c>
      <c r="V147" s="117"/>
    </row>
    <row r="148" spans="1:22" ht="15" customHeight="1">
      <c r="A148" s="117"/>
      <c r="B148" s="144" t="str">
        <f>IF(D148="","","P"&amp;D148&amp;"MA"&amp;COUNTIF($D$14:D148,D148))</f>
        <v/>
      </c>
      <c r="C148" s="162"/>
      <c r="D148" s="163"/>
      <c r="E148" s="164"/>
      <c r="F148" s="164"/>
      <c r="G148" s="164"/>
      <c r="H148" s="164"/>
      <c r="I148" s="162"/>
      <c r="J148" s="144"/>
      <c r="K148" s="144"/>
      <c r="L148" s="144"/>
      <c r="M148" s="145">
        <f t="shared" si="12"/>
        <v>0</v>
      </c>
      <c r="N148" s="145">
        <f t="shared" si="13"/>
        <v>0</v>
      </c>
      <c r="O148" s="146">
        <f t="shared" si="14"/>
        <v>0</v>
      </c>
      <c r="P148" s="146">
        <f>IF(B148="",0,SUMIF('NHAP XUAT'!$G$10:$J$1011,'Ghi So'!B148,'NHAP XUAT'!$J$10:$J$1011))</f>
        <v>0</v>
      </c>
      <c r="Q148" s="146">
        <f t="shared" si="15"/>
        <v>0</v>
      </c>
      <c r="R148" s="169"/>
      <c r="S148" s="169"/>
      <c r="T148" s="146">
        <f t="shared" si="16"/>
        <v>0</v>
      </c>
      <c r="U148" s="121" t="str">
        <f t="shared" si="17"/>
        <v>Close</v>
      </c>
      <c r="V148" s="117"/>
    </row>
    <row r="149" spans="1:22" ht="15" customHeight="1">
      <c r="A149" s="117"/>
      <c r="B149" s="144" t="str">
        <f>IF(D149="","","P"&amp;D149&amp;"MA"&amp;COUNTIF($D$14:D149,D149))</f>
        <v/>
      </c>
      <c r="C149" s="162"/>
      <c r="D149" s="163"/>
      <c r="E149" s="164"/>
      <c r="F149" s="164"/>
      <c r="G149" s="164"/>
      <c r="H149" s="164"/>
      <c r="I149" s="162"/>
      <c r="J149" s="144"/>
      <c r="K149" s="144"/>
      <c r="L149" s="144"/>
      <c r="M149" s="145">
        <f t="shared" si="12"/>
        <v>0</v>
      </c>
      <c r="N149" s="145">
        <f t="shared" si="13"/>
        <v>0</v>
      </c>
      <c r="O149" s="146">
        <f t="shared" si="14"/>
        <v>0</v>
      </c>
      <c r="P149" s="146">
        <f>IF(B149="",0,SUMIF('NHAP XUAT'!$G$10:$J$1011,'Ghi So'!B149,'NHAP XUAT'!$J$10:$J$1011))</f>
        <v>0</v>
      </c>
      <c r="Q149" s="146">
        <f t="shared" si="15"/>
        <v>0</v>
      </c>
      <c r="R149" s="169"/>
      <c r="S149" s="169"/>
      <c r="T149" s="146">
        <f t="shared" si="16"/>
        <v>0</v>
      </c>
      <c r="U149" s="121" t="str">
        <f t="shared" si="17"/>
        <v>Close</v>
      </c>
      <c r="V149" s="117"/>
    </row>
    <row r="150" spans="1:22" ht="15" customHeight="1">
      <c r="A150" s="117"/>
      <c r="B150" s="144" t="str">
        <f>IF(D150="","","P"&amp;D150&amp;"MA"&amp;COUNTIF($D$14:D150,D150))</f>
        <v/>
      </c>
      <c r="C150" s="162"/>
      <c r="D150" s="163"/>
      <c r="E150" s="164"/>
      <c r="F150" s="164"/>
      <c r="G150" s="164"/>
      <c r="H150" s="164"/>
      <c r="I150" s="162"/>
      <c r="J150" s="144"/>
      <c r="K150" s="144"/>
      <c r="L150" s="144"/>
      <c r="M150" s="145">
        <f t="shared" si="12"/>
        <v>0</v>
      </c>
      <c r="N150" s="145">
        <f t="shared" si="13"/>
        <v>0</v>
      </c>
      <c r="O150" s="146">
        <f t="shared" si="14"/>
        <v>0</v>
      </c>
      <c r="P150" s="146">
        <f>IF(B150="",0,SUMIF('NHAP XUAT'!$G$10:$J$1011,'Ghi So'!B150,'NHAP XUAT'!$J$10:$J$1011))</f>
        <v>0</v>
      </c>
      <c r="Q150" s="146">
        <f t="shared" si="15"/>
        <v>0</v>
      </c>
      <c r="R150" s="169"/>
      <c r="S150" s="169"/>
      <c r="T150" s="146">
        <f t="shared" si="16"/>
        <v>0</v>
      </c>
      <c r="U150" s="121" t="str">
        <f t="shared" si="17"/>
        <v>Close</v>
      </c>
      <c r="V150" s="117"/>
    </row>
    <row r="151" spans="1:22" ht="15" customHeight="1">
      <c r="A151" s="117"/>
      <c r="B151" s="144" t="str">
        <f>IF(D151="","","P"&amp;D151&amp;"MA"&amp;COUNTIF($D$14:D151,D151))</f>
        <v/>
      </c>
      <c r="C151" s="162"/>
      <c r="D151" s="163"/>
      <c r="E151" s="164"/>
      <c r="F151" s="164"/>
      <c r="G151" s="164"/>
      <c r="H151" s="164"/>
      <c r="I151" s="162"/>
      <c r="J151" s="144"/>
      <c r="K151" s="144"/>
      <c r="L151" s="144"/>
      <c r="M151" s="145">
        <f t="shared" si="12"/>
        <v>0</v>
      </c>
      <c r="N151" s="145">
        <f t="shared" si="13"/>
        <v>0</v>
      </c>
      <c r="O151" s="146">
        <f t="shared" si="14"/>
        <v>0</v>
      </c>
      <c r="P151" s="146">
        <f>IF(B151="",0,SUMIF('NHAP XUAT'!$G$10:$J$1011,'Ghi So'!B151,'NHAP XUAT'!$J$10:$J$1011))</f>
        <v>0</v>
      </c>
      <c r="Q151" s="146">
        <f t="shared" si="15"/>
        <v>0</v>
      </c>
      <c r="R151" s="169"/>
      <c r="S151" s="169"/>
      <c r="T151" s="146">
        <f t="shared" si="16"/>
        <v>0</v>
      </c>
      <c r="U151" s="121" t="str">
        <f t="shared" si="17"/>
        <v>Close</v>
      </c>
      <c r="V151" s="117"/>
    </row>
    <row r="152" spans="1:22" ht="15" customHeight="1">
      <c r="A152" s="117"/>
      <c r="B152" s="144" t="str">
        <f>IF(D152="","","P"&amp;D152&amp;"MA"&amp;COUNTIF($D$14:D152,D152))</f>
        <v/>
      </c>
      <c r="C152" s="162"/>
      <c r="D152" s="163"/>
      <c r="E152" s="164"/>
      <c r="F152" s="164"/>
      <c r="G152" s="164"/>
      <c r="H152" s="164"/>
      <c r="I152" s="162"/>
      <c r="J152" s="144"/>
      <c r="K152" s="144"/>
      <c r="L152" s="144"/>
      <c r="M152" s="145">
        <f t="shared" si="12"/>
        <v>0</v>
      </c>
      <c r="N152" s="145">
        <f t="shared" si="13"/>
        <v>0</v>
      </c>
      <c r="O152" s="146">
        <f t="shared" si="14"/>
        <v>0</v>
      </c>
      <c r="P152" s="146">
        <f>IF(B152="",0,SUMIF('NHAP XUAT'!$G$10:$J$1011,'Ghi So'!B152,'NHAP XUAT'!$J$10:$J$1011))</f>
        <v>0</v>
      </c>
      <c r="Q152" s="146">
        <f t="shared" si="15"/>
        <v>0</v>
      </c>
      <c r="R152" s="169"/>
      <c r="S152" s="169"/>
      <c r="T152" s="146">
        <f t="shared" si="16"/>
        <v>0</v>
      </c>
      <c r="U152" s="121" t="str">
        <f t="shared" si="17"/>
        <v>Close</v>
      </c>
      <c r="V152" s="117"/>
    </row>
    <row r="153" spans="1:22" ht="15" customHeight="1">
      <c r="A153" s="117"/>
      <c r="B153" s="144" t="str">
        <f>IF(D153="","","P"&amp;D153&amp;"MA"&amp;COUNTIF($D$14:D153,D153))</f>
        <v/>
      </c>
      <c r="C153" s="162"/>
      <c r="D153" s="163"/>
      <c r="E153" s="164"/>
      <c r="F153" s="164"/>
      <c r="G153" s="164"/>
      <c r="H153" s="164"/>
      <c r="I153" s="162"/>
      <c r="J153" s="144"/>
      <c r="K153" s="144"/>
      <c r="L153" s="144"/>
      <c r="M153" s="145">
        <f t="shared" si="12"/>
        <v>0</v>
      </c>
      <c r="N153" s="145">
        <f t="shared" si="13"/>
        <v>0</v>
      </c>
      <c r="O153" s="146">
        <f t="shared" si="14"/>
        <v>0</v>
      </c>
      <c r="P153" s="146">
        <f>IF(B153="",0,SUMIF('NHAP XUAT'!$G$10:$J$1011,'Ghi So'!B153,'NHAP XUAT'!$J$10:$J$1011))</f>
        <v>0</v>
      </c>
      <c r="Q153" s="146">
        <f t="shared" si="15"/>
        <v>0</v>
      </c>
      <c r="R153" s="169"/>
      <c r="S153" s="169"/>
      <c r="T153" s="146">
        <f t="shared" si="16"/>
        <v>0</v>
      </c>
      <c r="U153" s="121" t="str">
        <f t="shared" si="17"/>
        <v>Close</v>
      </c>
      <c r="V153" s="117"/>
    </row>
    <row r="154" spans="1:22" ht="15" customHeight="1">
      <c r="A154" s="117"/>
      <c r="B154" s="144" t="str">
        <f>IF(D154="","","P"&amp;D154&amp;"MA"&amp;COUNTIF($D$14:D154,D154))</f>
        <v/>
      </c>
      <c r="C154" s="162"/>
      <c r="D154" s="163"/>
      <c r="E154" s="164"/>
      <c r="F154" s="164"/>
      <c r="G154" s="164"/>
      <c r="H154" s="164"/>
      <c r="I154" s="162"/>
      <c r="J154" s="144"/>
      <c r="K154" s="144"/>
      <c r="L154" s="144"/>
      <c r="M154" s="145">
        <f t="shared" si="12"/>
        <v>0</v>
      </c>
      <c r="N154" s="145">
        <f t="shared" si="13"/>
        <v>0</v>
      </c>
      <c r="O154" s="146">
        <f t="shared" si="14"/>
        <v>0</v>
      </c>
      <c r="P154" s="146">
        <f>IF(B154="",0,SUMIF('NHAP XUAT'!$G$10:$J$1011,'Ghi So'!B154,'NHAP XUAT'!$J$10:$J$1011))</f>
        <v>0</v>
      </c>
      <c r="Q154" s="146">
        <f t="shared" si="15"/>
        <v>0</v>
      </c>
      <c r="R154" s="169"/>
      <c r="S154" s="169"/>
      <c r="T154" s="146">
        <f t="shared" si="16"/>
        <v>0</v>
      </c>
      <c r="U154" s="121" t="str">
        <f t="shared" si="17"/>
        <v>Close</v>
      </c>
      <c r="V154" s="117"/>
    </row>
    <row r="155" spans="1:22" ht="15" customHeight="1">
      <c r="A155" s="117"/>
      <c r="B155" s="144" t="str">
        <f>IF(D155="","","P"&amp;D155&amp;"MA"&amp;COUNTIF($D$14:D155,D155))</f>
        <v/>
      </c>
      <c r="C155" s="162"/>
      <c r="D155" s="163"/>
      <c r="E155" s="164"/>
      <c r="F155" s="164"/>
      <c r="G155" s="164"/>
      <c r="H155" s="164"/>
      <c r="I155" s="162"/>
      <c r="J155" s="144"/>
      <c r="K155" s="144"/>
      <c r="L155" s="144"/>
      <c r="M155" s="145">
        <f t="shared" si="12"/>
        <v>0</v>
      </c>
      <c r="N155" s="145">
        <f t="shared" si="13"/>
        <v>0</v>
      </c>
      <c r="O155" s="146">
        <f t="shared" si="14"/>
        <v>0</v>
      </c>
      <c r="P155" s="146">
        <f>IF(B155="",0,SUMIF('NHAP XUAT'!$G$10:$J$1011,'Ghi So'!B155,'NHAP XUAT'!$J$10:$J$1011))</f>
        <v>0</v>
      </c>
      <c r="Q155" s="146">
        <f t="shared" si="15"/>
        <v>0</v>
      </c>
      <c r="R155" s="169"/>
      <c r="S155" s="169"/>
      <c r="T155" s="146">
        <f t="shared" si="16"/>
        <v>0</v>
      </c>
      <c r="U155" s="121" t="str">
        <f t="shared" si="17"/>
        <v>Close</v>
      </c>
      <c r="V155" s="117"/>
    </row>
    <row r="156" spans="1:22" ht="15" customHeight="1">
      <c r="A156" s="117"/>
      <c r="B156" s="144" t="str">
        <f>IF(D156="","","P"&amp;D156&amp;"MA"&amp;COUNTIF($D$14:D156,D156))</f>
        <v/>
      </c>
      <c r="C156" s="162"/>
      <c r="D156" s="163"/>
      <c r="E156" s="164"/>
      <c r="F156" s="164"/>
      <c r="G156" s="164"/>
      <c r="H156" s="164"/>
      <c r="I156" s="162"/>
      <c r="J156" s="144"/>
      <c r="K156" s="144"/>
      <c r="L156" s="144"/>
      <c r="M156" s="145">
        <f t="shared" si="12"/>
        <v>0</v>
      </c>
      <c r="N156" s="145">
        <f t="shared" si="13"/>
        <v>0</v>
      </c>
      <c r="O156" s="146">
        <f t="shared" si="14"/>
        <v>0</v>
      </c>
      <c r="P156" s="146">
        <f>IF(B156="",0,SUMIF('NHAP XUAT'!$G$10:$J$1011,'Ghi So'!B156,'NHAP XUAT'!$J$10:$J$1011))</f>
        <v>0</v>
      </c>
      <c r="Q156" s="146">
        <f t="shared" si="15"/>
        <v>0</v>
      </c>
      <c r="R156" s="169"/>
      <c r="S156" s="169"/>
      <c r="T156" s="146">
        <f t="shared" si="16"/>
        <v>0</v>
      </c>
      <c r="U156" s="121" t="str">
        <f t="shared" si="17"/>
        <v>Close</v>
      </c>
      <c r="V156" s="117"/>
    </row>
    <row r="157" spans="1:22" ht="15" customHeight="1">
      <c r="A157" s="117"/>
      <c r="B157" s="144" t="str">
        <f>IF(D157="","","P"&amp;D157&amp;"MA"&amp;COUNTIF($D$14:D157,D157))</f>
        <v/>
      </c>
      <c r="C157" s="162"/>
      <c r="D157" s="163"/>
      <c r="E157" s="164"/>
      <c r="F157" s="164"/>
      <c r="G157" s="164"/>
      <c r="H157" s="164"/>
      <c r="I157" s="162"/>
      <c r="J157" s="144"/>
      <c r="K157" s="144"/>
      <c r="L157" s="144"/>
      <c r="M157" s="145">
        <f t="shared" ref="M157:M220" si="18">(IF(I157&lt;&gt;"",(I157-C157)*24*60,0)+G157*60+H157-E157*60-F157)/60</f>
        <v>0</v>
      </c>
      <c r="N157" s="145">
        <f t="shared" ref="N157:N220" si="19">INT(M157)+IF(MOD(M157,2)&gt;0.25,1,0)</f>
        <v>0</v>
      </c>
      <c r="O157" s="146">
        <f t="shared" ref="O157:O220" si="20">IF(J157&lt;&gt;"",DG_nghigio+DG_themgio*(N157-1),IF(K157&lt;&gt;"",DG_quadem+DG_themgio*(N157-12),DG_ngay*L157))</f>
        <v>0</v>
      </c>
      <c r="P157" s="146">
        <f>IF(B157="",0,SUMIF('NHAP XUAT'!$G$10:$J$1011,'Ghi So'!B157,'NHAP XUAT'!$J$10:$J$1011))</f>
        <v>0</v>
      </c>
      <c r="Q157" s="146">
        <f t="shared" ref="Q157:Q220" si="21">O157+P157</f>
        <v>0</v>
      </c>
      <c r="R157" s="169"/>
      <c r="S157" s="169"/>
      <c r="T157" s="146">
        <f t="shared" ref="T157:T220" si="22">R157*S157</f>
        <v>0</v>
      </c>
      <c r="U157" s="121" t="str">
        <f t="shared" ref="U157:U220" si="23">D157&amp;IF(AND(G157="",H157="",I157=""),"Close","Open")</f>
        <v>Close</v>
      </c>
      <c r="V157" s="117"/>
    </row>
    <row r="158" spans="1:22" ht="15" customHeight="1">
      <c r="A158" s="117"/>
      <c r="B158" s="144" t="str">
        <f>IF(D158="","","P"&amp;D158&amp;"MA"&amp;COUNTIF($D$14:D158,D158))</f>
        <v/>
      </c>
      <c r="C158" s="162"/>
      <c r="D158" s="163"/>
      <c r="E158" s="164"/>
      <c r="F158" s="164"/>
      <c r="G158" s="164"/>
      <c r="H158" s="164"/>
      <c r="I158" s="162"/>
      <c r="J158" s="144"/>
      <c r="K158" s="144"/>
      <c r="L158" s="144"/>
      <c r="M158" s="145">
        <f t="shared" si="18"/>
        <v>0</v>
      </c>
      <c r="N158" s="145">
        <f t="shared" si="19"/>
        <v>0</v>
      </c>
      <c r="O158" s="146">
        <f t="shared" si="20"/>
        <v>0</v>
      </c>
      <c r="P158" s="146">
        <f>IF(B158="",0,SUMIF('NHAP XUAT'!$G$10:$J$1011,'Ghi So'!B158,'NHAP XUAT'!$J$10:$J$1011))</f>
        <v>0</v>
      </c>
      <c r="Q158" s="146">
        <f t="shared" si="21"/>
        <v>0</v>
      </c>
      <c r="R158" s="169"/>
      <c r="S158" s="169"/>
      <c r="T158" s="146">
        <f t="shared" si="22"/>
        <v>0</v>
      </c>
      <c r="U158" s="121" t="str">
        <f t="shared" si="23"/>
        <v>Close</v>
      </c>
      <c r="V158" s="117"/>
    </row>
    <row r="159" spans="1:22" ht="15" customHeight="1">
      <c r="A159" s="117"/>
      <c r="B159" s="144" t="str">
        <f>IF(D159="","","P"&amp;D159&amp;"MA"&amp;COUNTIF($D$14:D159,D159))</f>
        <v/>
      </c>
      <c r="C159" s="162"/>
      <c r="D159" s="163"/>
      <c r="E159" s="164"/>
      <c r="F159" s="164"/>
      <c r="G159" s="164"/>
      <c r="H159" s="164"/>
      <c r="I159" s="162"/>
      <c r="J159" s="144"/>
      <c r="K159" s="144"/>
      <c r="L159" s="144"/>
      <c r="M159" s="145">
        <f t="shared" si="18"/>
        <v>0</v>
      </c>
      <c r="N159" s="145">
        <f t="shared" si="19"/>
        <v>0</v>
      </c>
      <c r="O159" s="146">
        <f t="shared" si="20"/>
        <v>0</v>
      </c>
      <c r="P159" s="146">
        <f>IF(B159="",0,SUMIF('NHAP XUAT'!$G$10:$J$1011,'Ghi So'!B159,'NHAP XUAT'!$J$10:$J$1011))</f>
        <v>0</v>
      </c>
      <c r="Q159" s="146">
        <f t="shared" si="21"/>
        <v>0</v>
      </c>
      <c r="R159" s="169"/>
      <c r="S159" s="169"/>
      <c r="T159" s="146">
        <f t="shared" si="22"/>
        <v>0</v>
      </c>
      <c r="U159" s="121" t="str">
        <f t="shared" si="23"/>
        <v>Close</v>
      </c>
      <c r="V159" s="117"/>
    </row>
    <row r="160" spans="1:22" ht="15" customHeight="1">
      <c r="A160" s="117"/>
      <c r="B160" s="144" t="str">
        <f>IF(D160="","","P"&amp;D160&amp;"MA"&amp;COUNTIF($D$14:D160,D160))</f>
        <v/>
      </c>
      <c r="C160" s="162"/>
      <c r="D160" s="163"/>
      <c r="E160" s="164"/>
      <c r="F160" s="164"/>
      <c r="G160" s="164"/>
      <c r="H160" s="164"/>
      <c r="I160" s="162"/>
      <c r="J160" s="144"/>
      <c r="K160" s="144"/>
      <c r="L160" s="144"/>
      <c r="M160" s="145">
        <f t="shared" si="18"/>
        <v>0</v>
      </c>
      <c r="N160" s="145">
        <f t="shared" si="19"/>
        <v>0</v>
      </c>
      <c r="O160" s="146">
        <f t="shared" si="20"/>
        <v>0</v>
      </c>
      <c r="P160" s="146">
        <f>IF(B160="",0,SUMIF('NHAP XUAT'!$G$10:$J$1011,'Ghi So'!B160,'NHAP XUAT'!$J$10:$J$1011))</f>
        <v>0</v>
      </c>
      <c r="Q160" s="146">
        <f t="shared" si="21"/>
        <v>0</v>
      </c>
      <c r="R160" s="169"/>
      <c r="S160" s="169"/>
      <c r="T160" s="146">
        <f t="shared" si="22"/>
        <v>0</v>
      </c>
      <c r="U160" s="121" t="str">
        <f t="shared" si="23"/>
        <v>Close</v>
      </c>
      <c r="V160" s="117"/>
    </row>
    <row r="161" spans="1:22" ht="15" customHeight="1">
      <c r="A161" s="117"/>
      <c r="B161" s="144" t="str">
        <f>IF(D161="","","P"&amp;D161&amp;"MA"&amp;COUNTIF($D$14:D161,D161))</f>
        <v/>
      </c>
      <c r="C161" s="162"/>
      <c r="D161" s="163"/>
      <c r="E161" s="164"/>
      <c r="F161" s="164"/>
      <c r="G161" s="164"/>
      <c r="H161" s="164"/>
      <c r="I161" s="162"/>
      <c r="J161" s="144"/>
      <c r="K161" s="144"/>
      <c r="L161" s="144"/>
      <c r="M161" s="145">
        <f t="shared" si="18"/>
        <v>0</v>
      </c>
      <c r="N161" s="145">
        <f t="shared" si="19"/>
        <v>0</v>
      </c>
      <c r="O161" s="146">
        <f t="shared" si="20"/>
        <v>0</v>
      </c>
      <c r="P161" s="146">
        <f>IF(B161="",0,SUMIF('NHAP XUAT'!$G$10:$J$1011,'Ghi So'!B161,'NHAP XUAT'!$J$10:$J$1011))</f>
        <v>0</v>
      </c>
      <c r="Q161" s="146">
        <f t="shared" si="21"/>
        <v>0</v>
      </c>
      <c r="R161" s="169"/>
      <c r="S161" s="169"/>
      <c r="T161" s="146">
        <f t="shared" si="22"/>
        <v>0</v>
      </c>
      <c r="U161" s="121" t="str">
        <f t="shared" si="23"/>
        <v>Close</v>
      </c>
      <c r="V161" s="117"/>
    </row>
    <row r="162" spans="1:22" ht="15" customHeight="1">
      <c r="A162" s="117"/>
      <c r="B162" s="144" t="str">
        <f>IF(D162="","","P"&amp;D162&amp;"MA"&amp;COUNTIF($D$14:D162,D162))</f>
        <v/>
      </c>
      <c r="C162" s="162"/>
      <c r="D162" s="163"/>
      <c r="E162" s="164"/>
      <c r="F162" s="164"/>
      <c r="G162" s="164"/>
      <c r="H162" s="164"/>
      <c r="I162" s="162"/>
      <c r="J162" s="144"/>
      <c r="K162" s="144"/>
      <c r="L162" s="144"/>
      <c r="M162" s="145">
        <f t="shared" si="18"/>
        <v>0</v>
      </c>
      <c r="N162" s="145">
        <f t="shared" si="19"/>
        <v>0</v>
      </c>
      <c r="O162" s="146">
        <f t="shared" si="20"/>
        <v>0</v>
      </c>
      <c r="P162" s="146">
        <f>IF(B162="",0,SUMIF('NHAP XUAT'!$G$10:$J$1011,'Ghi So'!B162,'NHAP XUAT'!$J$10:$J$1011))</f>
        <v>0</v>
      </c>
      <c r="Q162" s="146">
        <f t="shared" si="21"/>
        <v>0</v>
      </c>
      <c r="R162" s="169"/>
      <c r="S162" s="169"/>
      <c r="T162" s="146">
        <f t="shared" si="22"/>
        <v>0</v>
      </c>
      <c r="U162" s="121" t="str">
        <f t="shared" si="23"/>
        <v>Close</v>
      </c>
      <c r="V162" s="117"/>
    </row>
    <row r="163" spans="1:22" ht="15" customHeight="1">
      <c r="A163" s="117"/>
      <c r="B163" s="144" t="str">
        <f>IF(D163="","","P"&amp;D163&amp;"MA"&amp;COUNTIF($D$14:D163,D163))</f>
        <v/>
      </c>
      <c r="C163" s="162"/>
      <c r="D163" s="163"/>
      <c r="E163" s="164"/>
      <c r="F163" s="164"/>
      <c r="G163" s="164"/>
      <c r="H163" s="164"/>
      <c r="I163" s="162"/>
      <c r="J163" s="144"/>
      <c r="K163" s="144"/>
      <c r="L163" s="144"/>
      <c r="M163" s="145">
        <f t="shared" si="18"/>
        <v>0</v>
      </c>
      <c r="N163" s="145">
        <f t="shared" si="19"/>
        <v>0</v>
      </c>
      <c r="O163" s="146">
        <f t="shared" si="20"/>
        <v>0</v>
      </c>
      <c r="P163" s="146">
        <f>IF(B163="",0,SUMIF('NHAP XUAT'!$G$10:$J$1011,'Ghi So'!B163,'NHAP XUAT'!$J$10:$J$1011))</f>
        <v>0</v>
      </c>
      <c r="Q163" s="146">
        <f t="shared" si="21"/>
        <v>0</v>
      </c>
      <c r="R163" s="169"/>
      <c r="S163" s="169"/>
      <c r="T163" s="146">
        <f t="shared" si="22"/>
        <v>0</v>
      </c>
      <c r="U163" s="121" t="str">
        <f t="shared" si="23"/>
        <v>Close</v>
      </c>
      <c r="V163" s="117"/>
    </row>
    <row r="164" spans="1:22" ht="15" customHeight="1">
      <c r="A164" s="117"/>
      <c r="B164" s="144" t="str">
        <f>IF(D164="","","P"&amp;D164&amp;"MA"&amp;COUNTIF($D$14:D164,D164))</f>
        <v/>
      </c>
      <c r="C164" s="162"/>
      <c r="D164" s="163"/>
      <c r="E164" s="164"/>
      <c r="F164" s="164"/>
      <c r="G164" s="164"/>
      <c r="H164" s="164"/>
      <c r="I164" s="162"/>
      <c r="J164" s="144"/>
      <c r="K164" s="144"/>
      <c r="L164" s="144"/>
      <c r="M164" s="145">
        <f t="shared" si="18"/>
        <v>0</v>
      </c>
      <c r="N164" s="145">
        <f t="shared" si="19"/>
        <v>0</v>
      </c>
      <c r="O164" s="146">
        <f t="shared" si="20"/>
        <v>0</v>
      </c>
      <c r="P164" s="146">
        <f>IF(B164="",0,SUMIF('NHAP XUAT'!$G$10:$J$1011,'Ghi So'!B164,'NHAP XUAT'!$J$10:$J$1011))</f>
        <v>0</v>
      </c>
      <c r="Q164" s="146">
        <f t="shared" si="21"/>
        <v>0</v>
      </c>
      <c r="R164" s="169"/>
      <c r="S164" s="169"/>
      <c r="T164" s="146">
        <f t="shared" si="22"/>
        <v>0</v>
      </c>
      <c r="U164" s="121" t="str">
        <f t="shared" si="23"/>
        <v>Close</v>
      </c>
      <c r="V164" s="117"/>
    </row>
    <row r="165" spans="1:22" ht="15" customHeight="1">
      <c r="A165" s="117"/>
      <c r="B165" s="144" t="str">
        <f>IF(D165="","","P"&amp;D165&amp;"MA"&amp;COUNTIF($D$14:D165,D165))</f>
        <v/>
      </c>
      <c r="C165" s="162"/>
      <c r="D165" s="163"/>
      <c r="E165" s="164"/>
      <c r="F165" s="164"/>
      <c r="G165" s="164"/>
      <c r="H165" s="164"/>
      <c r="I165" s="162"/>
      <c r="J165" s="144"/>
      <c r="K165" s="144"/>
      <c r="L165" s="144"/>
      <c r="M165" s="145">
        <f t="shared" si="18"/>
        <v>0</v>
      </c>
      <c r="N165" s="145">
        <f t="shared" si="19"/>
        <v>0</v>
      </c>
      <c r="O165" s="146">
        <f t="shared" si="20"/>
        <v>0</v>
      </c>
      <c r="P165" s="146">
        <f>IF(B165="",0,SUMIF('NHAP XUAT'!$G$10:$J$1011,'Ghi So'!B165,'NHAP XUAT'!$J$10:$J$1011))</f>
        <v>0</v>
      </c>
      <c r="Q165" s="146">
        <f t="shared" si="21"/>
        <v>0</v>
      </c>
      <c r="R165" s="169"/>
      <c r="S165" s="169"/>
      <c r="T165" s="146">
        <f t="shared" si="22"/>
        <v>0</v>
      </c>
      <c r="U165" s="121" t="str">
        <f t="shared" si="23"/>
        <v>Close</v>
      </c>
      <c r="V165" s="117"/>
    </row>
    <row r="166" spans="1:22" ht="15" customHeight="1">
      <c r="A166" s="117"/>
      <c r="B166" s="144" t="str">
        <f>IF(D166="","","P"&amp;D166&amp;"MA"&amp;COUNTIF($D$14:D166,D166))</f>
        <v/>
      </c>
      <c r="C166" s="162"/>
      <c r="D166" s="163"/>
      <c r="E166" s="164"/>
      <c r="F166" s="164"/>
      <c r="G166" s="164"/>
      <c r="H166" s="164"/>
      <c r="I166" s="162"/>
      <c r="J166" s="144"/>
      <c r="K166" s="144"/>
      <c r="L166" s="144"/>
      <c r="M166" s="145">
        <f t="shared" si="18"/>
        <v>0</v>
      </c>
      <c r="N166" s="145">
        <f t="shared" si="19"/>
        <v>0</v>
      </c>
      <c r="O166" s="146">
        <f t="shared" si="20"/>
        <v>0</v>
      </c>
      <c r="P166" s="146">
        <f>IF(B166="",0,SUMIF('NHAP XUAT'!$G$10:$J$1011,'Ghi So'!B166,'NHAP XUAT'!$J$10:$J$1011))</f>
        <v>0</v>
      </c>
      <c r="Q166" s="146">
        <f t="shared" si="21"/>
        <v>0</v>
      </c>
      <c r="R166" s="169"/>
      <c r="S166" s="169"/>
      <c r="T166" s="146">
        <f t="shared" si="22"/>
        <v>0</v>
      </c>
      <c r="U166" s="121" t="str">
        <f t="shared" si="23"/>
        <v>Close</v>
      </c>
      <c r="V166" s="117"/>
    </row>
    <row r="167" spans="1:22" ht="15" customHeight="1">
      <c r="A167" s="117"/>
      <c r="B167" s="144" t="str">
        <f>IF(D167="","","P"&amp;D167&amp;"MA"&amp;COUNTIF($D$14:D167,D167))</f>
        <v/>
      </c>
      <c r="C167" s="162"/>
      <c r="D167" s="163"/>
      <c r="E167" s="164"/>
      <c r="F167" s="164"/>
      <c r="G167" s="164"/>
      <c r="H167" s="164"/>
      <c r="I167" s="162"/>
      <c r="J167" s="144"/>
      <c r="K167" s="144"/>
      <c r="L167" s="144"/>
      <c r="M167" s="145">
        <f t="shared" si="18"/>
        <v>0</v>
      </c>
      <c r="N167" s="145">
        <f t="shared" si="19"/>
        <v>0</v>
      </c>
      <c r="O167" s="146">
        <f t="shared" si="20"/>
        <v>0</v>
      </c>
      <c r="P167" s="146">
        <f>IF(B167="",0,SUMIF('NHAP XUAT'!$G$10:$J$1011,'Ghi So'!B167,'NHAP XUAT'!$J$10:$J$1011))</f>
        <v>0</v>
      </c>
      <c r="Q167" s="146">
        <f t="shared" si="21"/>
        <v>0</v>
      </c>
      <c r="R167" s="169"/>
      <c r="S167" s="169"/>
      <c r="T167" s="146">
        <f t="shared" si="22"/>
        <v>0</v>
      </c>
      <c r="U167" s="121" t="str">
        <f t="shared" si="23"/>
        <v>Close</v>
      </c>
      <c r="V167" s="117"/>
    </row>
    <row r="168" spans="1:22" ht="15" customHeight="1">
      <c r="A168" s="117"/>
      <c r="B168" s="144" t="str">
        <f>IF(D168="","","P"&amp;D168&amp;"MA"&amp;COUNTIF($D$14:D168,D168))</f>
        <v/>
      </c>
      <c r="C168" s="162"/>
      <c r="D168" s="163"/>
      <c r="E168" s="164"/>
      <c r="F168" s="164"/>
      <c r="G168" s="164"/>
      <c r="H168" s="164"/>
      <c r="I168" s="162"/>
      <c r="J168" s="144"/>
      <c r="K168" s="144"/>
      <c r="L168" s="144"/>
      <c r="M168" s="145">
        <f t="shared" si="18"/>
        <v>0</v>
      </c>
      <c r="N168" s="145">
        <f t="shared" si="19"/>
        <v>0</v>
      </c>
      <c r="O168" s="146">
        <f t="shared" si="20"/>
        <v>0</v>
      </c>
      <c r="P168" s="146">
        <f>IF(B168="",0,SUMIF('NHAP XUAT'!$G$10:$J$1011,'Ghi So'!B168,'NHAP XUAT'!$J$10:$J$1011))</f>
        <v>0</v>
      </c>
      <c r="Q168" s="146">
        <f t="shared" si="21"/>
        <v>0</v>
      </c>
      <c r="R168" s="169"/>
      <c r="S168" s="169"/>
      <c r="T168" s="146">
        <f t="shared" si="22"/>
        <v>0</v>
      </c>
      <c r="U168" s="121" t="str">
        <f t="shared" si="23"/>
        <v>Close</v>
      </c>
      <c r="V168" s="117"/>
    </row>
    <row r="169" spans="1:22" ht="15" customHeight="1">
      <c r="A169" s="117"/>
      <c r="B169" s="144" t="str">
        <f>IF(D169="","","P"&amp;D169&amp;"MA"&amp;COUNTIF($D$14:D169,D169))</f>
        <v/>
      </c>
      <c r="C169" s="162"/>
      <c r="D169" s="163"/>
      <c r="E169" s="164"/>
      <c r="F169" s="164"/>
      <c r="G169" s="164"/>
      <c r="H169" s="164"/>
      <c r="I169" s="162"/>
      <c r="J169" s="144"/>
      <c r="K169" s="144"/>
      <c r="L169" s="144"/>
      <c r="M169" s="145">
        <f t="shared" si="18"/>
        <v>0</v>
      </c>
      <c r="N169" s="145">
        <f t="shared" si="19"/>
        <v>0</v>
      </c>
      <c r="O169" s="146">
        <f t="shared" si="20"/>
        <v>0</v>
      </c>
      <c r="P169" s="146">
        <f>IF(B169="",0,SUMIF('NHAP XUAT'!$G$10:$J$1011,'Ghi So'!B169,'NHAP XUAT'!$J$10:$J$1011))</f>
        <v>0</v>
      </c>
      <c r="Q169" s="146">
        <f t="shared" si="21"/>
        <v>0</v>
      </c>
      <c r="R169" s="169"/>
      <c r="S169" s="169"/>
      <c r="T169" s="146">
        <f t="shared" si="22"/>
        <v>0</v>
      </c>
      <c r="U169" s="121" t="str">
        <f t="shared" si="23"/>
        <v>Close</v>
      </c>
      <c r="V169" s="117"/>
    </row>
    <row r="170" spans="1:22" ht="15" customHeight="1">
      <c r="A170" s="117"/>
      <c r="B170" s="144" t="str">
        <f>IF(D170="","","P"&amp;D170&amp;"MA"&amp;COUNTIF($D$14:D170,D170))</f>
        <v/>
      </c>
      <c r="C170" s="162"/>
      <c r="D170" s="163"/>
      <c r="E170" s="164"/>
      <c r="F170" s="164"/>
      <c r="G170" s="164"/>
      <c r="H170" s="164"/>
      <c r="I170" s="162"/>
      <c r="J170" s="144"/>
      <c r="K170" s="144"/>
      <c r="L170" s="144"/>
      <c r="M170" s="145">
        <f t="shared" si="18"/>
        <v>0</v>
      </c>
      <c r="N170" s="145">
        <f t="shared" si="19"/>
        <v>0</v>
      </c>
      <c r="O170" s="146">
        <f t="shared" si="20"/>
        <v>0</v>
      </c>
      <c r="P170" s="146">
        <f>IF(B170="",0,SUMIF('NHAP XUAT'!$G$10:$J$1011,'Ghi So'!B170,'NHAP XUAT'!$J$10:$J$1011))</f>
        <v>0</v>
      </c>
      <c r="Q170" s="146">
        <f t="shared" si="21"/>
        <v>0</v>
      </c>
      <c r="R170" s="169"/>
      <c r="S170" s="169"/>
      <c r="T170" s="146">
        <f t="shared" si="22"/>
        <v>0</v>
      </c>
      <c r="U170" s="121" t="str">
        <f t="shared" si="23"/>
        <v>Close</v>
      </c>
      <c r="V170" s="117"/>
    </row>
    <row r="171" spans="1:22" ht="15" customHeight="1">
      <c r="A171" s="117"/>
      <c r="B171" s="144" t="str">
        <f>IF(D171="","","P"&amp;D171&amp;"MA"&amp;COUNTIF($D$14:D171,D171))</f>
        <v/>
      </c>
      <c r="C171" s="162"/>
      <c r="D171" s="163"/>
      <c r="E171" s="164"/>
      <c r="F171" s="164"/>
      <c r="G171" s="164"/>
      <c r="H171" s="164"/>
      <c r="I171" s="162"/>
      <c r="J171" s="144"/>
      <c r="K171" s="144"/>
      <c r="L171" s="144"/>
      <c r="M171" s="145">
        <f t="shared" si="18"/>
        <v>0</v>
      </c>
      <c r="N171" s="145">
        <f t="shared" si="19"/>
        <v>0</v>
      </c>
      <c r="O171" s="146">
        <f t="shared" si="20"/>
        <v>0</v>
      </c>
      <c r="P171" s="146">
        <f>IF(B171="",0,SUMIF('NHAP XUAT'!$G$10:$J$1011,'Ghi So'!B171,'NHAP XUAT'!$J$10:$J$1011))</f>
        <v>0</v>
      </c>
      <c r="Q171" s="146">
        <f t="shared" si="21"/>
        <v>0</v>
      </c>
      <c r="R171" s="169"/>
      <c r="S171" s="169"/>
      <c r="T171" s="146">
        <f t="shared" si="22"/>
        <v>0</v>
      </c>
      <c r="U171" s="121" t="str">
        <f t="shared" si="23"/>
        <v>Close</v>
      </c>
      <c r="V171" s="117"/>
    </row>
    <row r="172" spans="1:22" ht="15" customHeight="1">
      <c r="A172" s="117"/>
      <c r="B172" s="144" t="str">
        <f>IF(D172="","","P"&amp;D172&amp;"MA"&amp;COUNTIF($D$14:D172,D172))</f>
        <v/>
      </c>
      <c r="C172" s="162"/>
      <c r="D172" s="163"/>
      <c r="E172" s="164"/>
      <c r="F172" s="164"/>
      <c r="G172" s="164"/>
      <c r="H172" s="164"/>
      <c r="I172" s="162"/>
      <c r="J172" s="144"/>
      <c r="K172" s="144"/>
      <c r="L172" s="144"/>
      <c r="M172" s="145">
        <f t="shared" si="18"/>
        <v>0</v>
      </c>
      <c r="N172" s="145">
        <f t="shared" si="19"/>
        <v>0</v>
      </c>
      <c r="O172" s="146">
        <f t="shared" si="20"/>
        <v>0</v>
      </c>
      <c r="P172" s="146">
        <f>IF(B172="",0,SUMIF('NHAP XUAT'!$G$10:$J$1011,'Ghi So'!B172,'NHAP XUAT'!$J$10:$J$1011))</f>
        <v>0</v>
      </c>
      <c r="Q172" s="146">
        <f t="shared" si="21"/>
        <v>0</v>
      </c>
      <c r="R172" s="169"/>
      <c r="S172" s="169"/>
      <c r="T172" s="146">
        <f t="shared" si="22"/>
        <v>0</v>
      </c>
      <c r="U172" s="121" t="str">
        <f t="shared" si="23"/>
        <v>Close</v>
      </c>
      <c r="V172" s="117"/>
    </row>
    <row r="173" spans="1:22" ht="15" customHeight="1">
      <c r="A173" s="117"/>
      <c r="B173" s="144" t="str">
        <f>IF(D173="","","P"&amp;D173&amp;"MA"&amp;COUNTIF($D$14:D173,D173))</f>
        <v/>
      </c>
      <c r="C173" s="162"/>
      <c r="D173" s="163"/>
      <c r="E173" s="164"/>
      <c r="F173" s="164"/>
      <c r="G173" s="164"/>
      <c r="H173" s="164"/>
      <c r="I173" s="162"/>
      <c r="J173" s="144"/>
      <c r="K173" s="144"/>
      <c r="L173" s="144"/>
      <c r="M173" s="145">
        <f t="shared" si="18"/>
        <v>0</v>
      </c>
      <c r="N173" s="145">
        <f t="shared" si="19"/>
        <v>0</v>
      </c>
      <c r="O173" s="146">
        <f t="shared" si="20"/>
        <v>0</v>
      </c>
      <c r="P173" s="146">
        <f>IF(B173="",0,SUMIF('NHAP XUAT'!$G$10:$J$1011,'Ghi So'!B173,'NHAP XUAT'!$J$10:$J$1011))</f>
        <v>0</v>
      </c>
      <c r="Q173" s="146">
        <f t="shared" si="21"/>
        <v>0</v>
      </c>
      <c r="R173" s="169"/>
      <c r="S173" s="169"/>
      <c r="T173" s="146">
        <f t="shared" si="22"/>
        <v>0</v>
      </c>
      <c r="U173" s="121" t="str">
        <f t="shared" si="23"/>
        <v>Close</v>
      </c>
      <c r="V173" s="117"/>
    </row>
    <row r="174" spans="1:22" ht="15" customHeight="1">
      <c r="A174" s="117"/>
      <c r="B174" s="144" t="str">
        <f>IF(D174="","","P"&amp;D174&amp;"MA"&amp;COUNTIF($D$14:D174,D174))</f>
        <v/>
      </c>
      <c r="C174" s="162"/>
      <c r="D174" s="163"/>
      <c r="E174" s="164"/>
      <c r="F174" s="164"/>
      <c r="G174" s="164"/>
      <c r="H174" s="164"/>
      <c r="I174" s="162"/>
      <c r="J174" s="144"/>
      <c r="K174" s="144"/>
      <c r="L174" s="144"/>
      <c r="M174" s="145">
        <f t="shared" si="18"/>
        <v>0</v>
      </c>
      <c r="N174" s="145">
        <f t="shared" si="19"/>
        <v>0</v>
      </c>
      <c r="O174" s="146">
        <f t="shared" si="20"/>
        <v>0</v>
      </c>
      <c r="P174" s="146">
        <f>IF(B174="",0,SUMIF('NHAP XUAT'!$G$10:$J$1011,'Ghi So'!B174,'NHAP XUAT'!$J$10:$J$1011))</f>
        <v>0</v>
      </c>
      <c r="Q174" s="146">
        <f t="shared" si="21"/>
        <v>0</v>
      </c>
      <c r="R174" s="169"/>
      <c r="S174" s="169"/>
      <c r="T174" s="146">
        <f t="shared" si="22"/>
        <v>0</v>
      </c>
      <c r="U174" s="121" t="str">
        <f t="shared" si="23"/>
        <v>Close</v>
      </c>
      <c r="V174" s="117"/>
    </row>
    <row r="175" spans="1:22" ht="15" customHeight="1">
      <c r="A175" s="117"/>
      <c r="B175" s="144" t="str">
        <f>IF(D175="","","P"&amp;D175&amp;"MA"&amp;COUNTIF($D$14:D175,D175))</f>
        <v/>
      </c>
      <c r="C175" s="162"/>
      <c r="D175" s="163"/>
      <c r="E175" s="164"/>
      <c r="F175" s="164"/>
      <c r="G175" s="164"/>
      <c r="H175" s="164"/>
      <c r="I175" s="162"/>
      <c r="J175" s="144"/>
      <c r="K175" s="144"/>
      <c r="L175" s="144"/>
      <c r="M175" s="145">
        <f t="shared" si="18"/>
        <v>0</v>
      </c>
      <c r="N175" s="145">
        <f t="shared" si="19"/>
        <v>0</v>
      </c>
      <c r="O175" s="146">
        <f t="shared" si="20"/>
        <v>0</v>
      </c>
      <c r="P175" s="146">
        <f>IF(B175="",0,SUMIF('NHAP XUAT'!$G$10:$J$1011,'Ghi So'!B175,'NHAP XUAT'!$J$10:$J$1011))</f>
        <v>0</v>
      </c>
      <c r="Q175" s="146">
        <f t="shared" si="21"/>
        <v>0</v>
      </c>
      <c r="R175" s="169"/>
      <c r="S175" s="169"/>
      <c r="T175" s="146">
        <f t="shared" si="22"/>
        <v>0</v>
      </c>
      <c r="U175" s="121" t="str">
        <f t="shared" si="23"/>
        <v>Close</v>
      </c>
      <c r="V175" s="117"/>
    </row>
    <row r="176" spans="1:22" ht="15" customHeight="1">
      <c r="A176" s="117"/>
      <c r="B176" s="144" t="str">
        <f>IF(D176="","","P"&amp;D176&amp;"MA"&amp;COUNTIF($D$14:D176,D176))</f>
        <v/>
      </c>
      <c r="C176" s="162"/>
      <c r="D176" s="163"/>
      <c r="E176" s="164"/>
      <c r="F176" s="164"/>
      <c r="G176" s="164"/>
      <c r="H176" s="164"/>
      <c r="I176" s="162"/>
      <c r="J176" s="144"/>
      <c r="K176" s="144"/>
      <c r="L176" s="144"/>
      <c r="M176" s="145">
        <f t="shared" si="18"/>
        <v>0</v>
      </c>
      <c r="N176" s="145">
        <f t="shared" si="19"/>
        <v>0</v>
      </c>
      <c r="O176" s="146">
        <f t="shared" si="20"/>
        <v>0</v>
      </c>
      <c r="P176" s="146">
        <f>IF(B176="",0,SUMIF('NHAP XUAT'!$G$10:$J$1011,'Ghi So'!B176,'NHAP XUAT'!$J$10:$J$1011))</f>
        <v>0</v>
      </c>
      <c r="Q176" s="146">
        <f t="shared" si="21"/>
        <v>0</v>
      </c>
      <c r="R176" s="169"/>
      <c r="S176" s="169"/>
      <c r="T176" s="146">
        <f t="shared" si="22"/>
        <v>0</v>
      </c>
      <c r="U176" s="121" t="str">
        <f t="shared" si="23"/>
        <v>Close</v>
      </c>
      <c r="V176" s="117"/>
    </row>
    <row r="177" spans="1:22" ht="15" customHeight="1">
      <c r="A177" s="117"/>
      <c r="B177" s="144" t="str">
        <f>IF(D177="","","P"&amp;D177&amp;"MA"&amp;COUNTIF($D$14:D177,D177))</f>
        <v/>
      </c>
      <c r="C177" s="162"/>
      <c r="D177" s="163"/>
      <c r="E177" s="164"/>
      <c r="F177" s="164"/>
      <c r="G177" s="164"/>
      <c r="H177" s="164"/>
      <c r="I177" s="162"/>
      <c r="J177" s="144"/>
      <c r="K177" s="144"/>
      <c r="L177" s="144"/>
      <c r="M177" s="145">
        <f t="shared" si="18"/>
        <v>0</v>
      </c>
      <c r="N177" s="145">
        <f t="shared" si="19"/>
        <v>0</v>
      </c>
      <c r="O177" s="146">
        <f t="shared" si="20"/>
        <v>0</v>
      </c>
      <c r="P177" s="146">
        <f>IF(B177="",0,SUMIF('NHAP XUAT'!$G$10:$J$1011,'Ghi So'!B177,'NHAP XUAT'!$J$10:$J$1011))</f>
        <v>0</v>
      </c>
      <c r="Q177" s="146">
        <f t="shared" si="21"/>
        <v>0</v>
      </c>
      <c r="R177" s="169"/>
      <c r="S177" s="169"/>
      <c r="T177" s="146">
        <f t="shared" si="22"/>
        <v>0</v>
      </c>
      <c r="U177" s="121" t="str">
        <f t="shared" si="23"/>
        <v>Close</v>
      </c>
      <c r="V177" s="117"/>
    </row>
    <row r="178" spans="1:22" ht="15" customHeight="1">
      <c r="A178" s="117"/>
      <c r="B178" s="144" t="str">
        <f>IF(D178="","","P"&amp;D178&amp;"MA"&amp;COUNTIF($D$14:D178,D178))</f>
        <v/>
      </c>
      <c r="C178" s="162"/>
      <c r="D178" s="163"/>
      <c r="E178" s="164"/>
      <c r="F178" s="164"/>
      <c r="G178" s="164"/>
      <c r="H178" s="164"/>
      <c r="I178" s="162"/>
      <c r="J178" s="144"/>
      <c r="K178" s="144"/>
      <c r="L178" s="144"/>
      <c r="M178" s="145">
        <f t="shared" si="18"/>
        <v>0</v>
      </c>
      <c r="N178" s="145">
        <f t="shared" si="19"/>
        <v>0</v>
      </c>
      <c r="O178" s="146">
        <f t="shared" si="20"/>
        <v>0</v>
      </c>
      <c r="P178" s="146">
        <f>IF(B178="",0,SUMIF('NHAP XUAT'!$G$10:$J$1011,'Ghi So'!B178,'NHAP XUAT'!$J$10:$J$1011))</f>
        <v>0</v>
      </c>
      <c r="Q178" s="146">
        <f t="shared" si="21"/>
        <v>0</v>
      </c>
      <c r="R178" s="169"/>
      <c r="S178" s="169"/>
      <c r="T178" s="146">
        <f t="shared" si="22"/>
        <v>0</v>
      </c>
      <c r="U178" s="121" t="str">
        <f t="shared" si="23"/>
        <v>Close</v>
      </c>
      <c r="V178" s="117"/>
    </row>
    <row r="179" spans="1:22" ht="15" customHeight="1">
      <c r="A179" s="117"/>
      <c r="B179" s="144" t="str">
        <f>IF(D179="","","P"&amp;D179&amp;"MA"&amp;COUNTIF($D$14:D179,D179))</f>
        <v/>
      </c>
      <c r="C179" s="162"/>
      <c r="D179" s="163"/>
      <c r="E179" s="164"/>
      <c r="F179" s="164"/>
      <c r="G179" s="164"/>
      <c r="H179" s="164"/>
      <c r="I179" s="162"/>
      <c r="J179" s="144"/>
      <c r="K179" s="144"/>
      <c r="L179" s="144"/>
      <c r="M179" s="145">
        <f t="shared" si="18"/>
        <v>0</v>
      </c>
      <c r="N179" s="145">
        <f t="shared" si="19"/>
        <v>0</v>
      </c>
      <c r="O179" s="146">
        <f t="shared" si="20"/>
        <v>0</v>
      </c>
      <c r="P179" s="146">
        <f>IF(B179="",0,SUMIF('NHAP XUAT'!$G$10:$J$1011,'Ghi So'!B179,'NHAP XUAT'!$J$10:$J$1011))</f>
        <v>0</v>
      </c>
      <c r="Q179" s="146">
        <f t="shared" si="21"/>
        <v>0</v>
      </c>
      <c r="R179" s="169"/>
      <c r="S179" s="169"/>
      <c r="T179" s="146">
        <f t="shared" si="22"/>
        <v>0</v>
      </c>
      <c r="U179" s="121" t="str">
        <f t="shared" si="23"/>
        <v>Close</v>
      </c>
      <c r="V179" s="117"/>
    </row>
    <row r="180" spans="1:22" ht="15" customHeight="1">
      <c r="A180" s="117"/>
      <c r="B180" s="144" t="str">
        <f>IF(D180="","","P"&amp;D180&amp;"MA"&amp;COUNTIF($D$14:D180,D180))</f>
        <v/>
      </c>
      <c r="C180" s="162"/>
      <c r="D180" s="163"/>
      <c r="E180" s="164"/>
      <c r="F180" s="164"/>
      <c r="G180" s="164"/>
      <c r="H180" s="164"/>
      <c r="I180" s="162"/>
      <c r="J180" s="144"/>
      <c r="K180" s="144"/>
      <c r="L180" s="144"/>
      <c r="M180" s="145">
        <f t="shared" si="18"/>
        <v>0</v>
      </c>
      <c r="N180" s="145">
        <f t="shared" si="19"/>
        <v>0</v>
      </c>
      <c r="O180" s="146">
        <f t="shared" si="20"/>
        <v>0</v>
      </c>
      <c r="P180" s="146">
        <f>IF(B180="",0,SUMIF('NHAP XUAT'!$G$10:$J$1011,'Ghi So'!B180,'NHAP XUAT'!$J$10:$J$1011))</f>
        <v>0</v>
      </c>
      <c r="Q180" s="146">
        <f t="shared" si="21"/>
        <v>0</v>
      </c>
      <c r="R180" s="169"/>
      <c r="S180" s="169"/>
      <c r="T180" s="146">
        <f t="shared" si="22"/>
        <v>0</v>
      </c>
      <c r="U180" s="121" t="str">
        <f t="shared" si="23"/>
        <v>Close</v>
      </c>
      <c r="V180" s="117"/>
    </row>
    <row r="181" spans="1:22" ht="15" customHeight="1">
      <c r="A181" s="117"/>
      <c r="B181" s="144" t="str">
        <f>IF(D181="","","P"&amp;D181&amp;"MA"&amp;COUNTIF($D$14:D181,D181))</f>
        <v/>
      </c>
      <c r="C181" s="162"/>
      <c r="D181" s="163"/>
      <c r="E181" s="164"/>
      <c r="F181" s="164"/>
      <c r="G181" s="164"/>
      <c r="H181" s="164"/>
      <c r="I181" s="162"/>
      <c r="J181" s="144"/>
      <c r="K181" s="144"/>
      <c r="L181" s="144"/>
      <c r="M181" s="145">
        <f t="shared" si="18"/>
        <v>0</v>
      </c>
      <c r="N181" s="145">
        <f t="shared" si="19"/>
        <v>0</v>
      </c>
      <c r="O181" s="146">
        <f t="shared" si="20"/>
        <v>0</v>
      </c>
      <c r="P181" s="146">
        <f>IF(B181="",0,SUMIF('NHAP XUAT'!$G$10:$J$1011,'Ghi So'!B181,'NHAP XUAT'!$J$10:$J$1011))</f>
        <v>0</v>
      </c>
      <c r="Q181" s="146">
        <f t="shared" si="21"/>
        <v>0</v>
      </c>
      <c r="R181" s="169"/>
      <c r="S181" s="169"/>
      <c r="T181" s="146">
        <f t="shared" si="22"/>
        <v>0</v>
      </c>
      <c r="U181" s="121" t="str">
        <f t="shared" si="23"/>
        <v>Close</v>
      </c>
      <c r="V181" s="117"/>
    </row>
    <row r="182" spans="1:22" ht="15" customHeight="1">
      <c r="A182" s="117"/>
      <c r="B182" s="144" t="str">
        <f>IF(D182="","","P"&amp;D182&amp;"MA"&amp;COUNTIF($D$14:D182,D182))</f>
        <v/>
      </c>
      <c r="C182" s="162"/>
      <c r="D182" s="163"/>
      <c r="E182" s="164"/>
      <c r="F182" s="164"/>
      <c r="G182" s="164"/>
      <c r="H182" s="164"/>
      <c r="I182" s="162"/>
      <c r="J182" s="144"/>
      <c r="K182" s="144"/>
      <c r="L182" s="144"/>
      <c r="M182" s="145">
        <f t="shared" si="18"/>
        <v>0</v>
      </c>
      <c r="N182" s="145">
        <f t="shared" si="19"/>
        <v>0</v>
      </c>
      <c r="O182" s="146">
        <f t="shared" si="20"/>
        <v>0</v>
      </c>
      <c r="P182" s="146">
        <f>IF(B182="",0,SUMIF('NHAP XUAT'!$G$10:$J$1011,'Ghi So'!B182,'NHAP XUAT'!$J$10:$J$1011))</f>
        <v>0</v>
      </c>
      <c r="Q182" s="146">
        <f t="shared" si="21"/>
        <v>0</v>
      </c>
      <c r="R182" s="169"/>
      <c r="S182" s="169"/>
      <c r="T182" s="146">
        <f t="shared" si="22"/>
        <v>0</v>
      </c>
      <c r="U182" s="121" t="str">
        <f t="shared" si="23"/>
        <v>Close</v>
      </c>
      <c r="V182" s="117"/>
    </row>
    <row r="183" spans="1:22" ht="15" customHeight="1">
      <c r="A183" s="117"/>
      <c r="B183" s="144" t="str">
        <f>IF(D183="","","P"&amp;D183&amp;"MA"&amp;COUNTIF($D$14:D183,D183))</f>
        <v/>
      </c>
      <c r="C183" s="162"/>
      <c r="D183" s="163"/>
      <c r="E183" s="164"/>
      <c r="F183" s="164"/>
      <c r="G183" s="164"/>
      <c r="H183" s="164"/>
      <c r="I183" s="162"/>
      <c r="J183" s="144"/>
      <c r="K183" s="144"/>
      <c r="L183" s="144"/>
      <c r="M183" s="145">
        <f t="shared" si="18"/>
        <v>0</v>
      </c>
      <c r="N183" s="145">
        <f t="shared" si="19"/>
        <v>0</v>
      </c>
      <c r="O183" s="146">
        <f t="shared" si="20"/>
        <v>0</v>
      </c>
      <c r="P183" s="146">
        <f>IF(B183="",0,SUMIF('NHAP XUAT'!$G$10:$J$1011,'Ghi So'!B183,'NHAP XUAT'!$J$10:$J$1011))</f>
        <v>0</v>
      </c>
      <c r="Q183" s="146">
        <f t="shared" si="21"/>
        <v>0</v>
      </c>
      <c r="R183" s="169"/>
      <c r="S183" s="169"/>
      <c r="T183" s="146">
        <f t="shared" si="22"/>
        <v>0</v>
      </c>
      <c r="U183" s="121" t="str">
        <f t="shared" si="23"/>
        <v>Close</v>
      </c>
      <c r="V183" s="117"/>
    </row>
    <row r="184" spans="1:22" ht="15" customHeight="1">
      <c r="A184" s="117"/>
      <c r="B184" s="144" t="str">
        <f>IF(D184="","","P"&amp;D184&amp;"MA"&amp;COUNTIF($D$14:D184,D184))</f>
        <v/>
      </c>
      <c r="C184" s="162"/>
      <c r="D184" s="163"/>
      <c r="E184" s="164"/>
      <c r="F184" s="164"/>
      <c r="G184" s="164"/>
      <c r="H184" s="164"/>
      <c r="I184" s="162"/>
      <c r="J184" s="144"/>
      <c r="K184" s="144"/>
      <c r="L184" s="144"/>
      <c r="M184" s="145">
        <f t="shared" si="18"/>
        <v>0</v>
      </c>
      <c r="N184" s="145">
        <f t="shared" si="19"/>
        <v>0</v>
      </c>
      <c r="O184" s="146">
        <f t="shared" si="20"/>
        <v>0</v>
      </c>
      <c r="P184" s="146">
        <f>IF(B184="",0,SUMIF('NHAP XUAT'!$G$10:$J$1011,'Ghi So'!B184,'NHAP XUAT'!$J$10:$J$1011))</f>
        <v>0</v>
      </c>
      <c r="Q184" s="146">
        <f t="shared" si="21"/>
        <v>0</v>
      </c>
      <c r="R184" s="169"/>
      <c r="S184" s="169"/>
      <c r="T184" s="146">
        <f t="shared" si="22"/>
        <v>0</v>
      </c>
      <c r="U184" s="121" t="str">
        <f t="shared" si="23"/>
        <v>Close</v>
      </c>
      <c r="V184" s="117"/>
    </row>
    <row r="185" spans="1:22" ht="15" customHeight="1">
      <c r="A185" s="117"/>
      <c r="B185" s="144" t="str">
        <f>IF(D185="","","P"&amp;D185&amp;"MA"&amp;COUNTIF($D$14:D185,D185))</f>
        <v/>
      </c>
      <c r="C185" s="162"/>
      <c r="D185" s="163"/>
      <c r="E185" s="164"/>
      <c r="F185" s="164"/>
      <c r="G185" s="164"/>
      <c r="H185" s="164"/>
      <c r="I185" s="162"/>
      <c r="J185" s="144"/>
      <c r="K185" s="144"/>
      <c r="L185" s="144"/>
      <c r="M185" s="145">
        <f t="shared" si="18"/>
        <v>0</v>
      </c>
      <c r="N185" s="145">
        <f t="shared" si="19"/>
        <v>0</v>
      </c>
      <c r="O185" s="146">
        <f t="shared" si="20"/>
        <v>0</v>
      </c>
      <c r="P185" s="146">
        <f>IF(B185="",0,SUMIF('NHAP XUAT'!$G$10:$J$1011,'Ghi So'!B185,'NHAP XUAT'!$J$10:$J$1011))</f>
        <v>0</v>
      </c>
      <c r="Q185" s="146">
        <f t="shared" si="21"/>
        <v>0</v>
      </c>
      <c r="R185" s="169"/>
      <c r="S185" s="169"/>
      <c r="T185" s="146">
        <f t="shared" si="22"/>
        <v>0</v>
      </c>
      <c r="U185" s="121" t="str">
        <f t="shared" si="23"/>
        <v>Close</v>
      </c>
      <c r="V185" s="117"/>
    </row>
    <row r="186" spans="1:22" ht="15" customHeight="1">
      <c r="A186" s="117"/>
      <c r="B186" s="144" t="str">
        <f>IF(D186="","","P"&amp;D186&amp;"MA"&amp;COUNTIF($D$14:D186,D186))</f>
        <v/>
      </c>
      <c r="C186" s="162"/>
      <c r="D186" s="163"/>
      <c r="E186" s="164"/>
      <c r="F186" s="164"/>
      <c r="G186" s="164"/>
      <c r="H186" s="164"/>
      <c r="I186" s="162"/>
      <c r="J186" s="144"/>
      <c r="K186" s="144"/>
      <c r="L186" s="144"/>
      <c r="M186" s="145">
        <f t="shared" si="18"/>
        <v>0</v>
      </c>
      <c r="N186" s="145">
        <f t="shared" si="19"/>
        <v>0</v>
      </c>
      <c r="O186" s="146">
        <f t="shared" si="20"/>
        <v>0</v>
      </c>
      <c r="P186" s="146">
        <f>IF(B186="",0,SUMIF('NHAP XUAT'!$G$10:$J$1011,'Ghi So'!B186,'NHAP XUAT'!$J$10:$J$1011))</f>
        <v>0</v>
      </c>
      <c r="Q186" s="146">
        <f t="shared" si="21"/>
        <v>0</v>
      </c>
      <c r="R186" s="169"/>
      <c r="S186" s="169"/>
      <c r="T186" s="146">
        <f t="shared" si="22"/>
        <v>0</v>
      </c>
      <c r="U186" s="121" t="str">
        <f t="shared" si="23"/>
        <v>Close</v>
      </c>
      <c r="V186" s="117"/>
    </row>
    <row r="187" spans="1:22" ht="15" customHeight="1">
      <c r="A187" s="117"/>
      <c r="B187" s="144" t="str">
        <f>IF(D187="","","P"&amp;D187&amp;"MA"&amp;COUNTIF($D$14:D187,D187))</f>
        <v/>
      </c>
      <c r="C187" s="162"/>
      <c r="D187" s="163"/>
      <c r="E187" s="164"/>
      <c r="F187" s="164"/>
      <c r="G187" s="164"/>
      <c r="H187" s="164"/>
      <c r="I187" s="162"/>
      <c r="J187" s="144"/>
      <c r="K187" s="144"/>
      <c r="L187" s="144"/>
      <c r="M187" s="145">
        <f t="shared" si="18"/>
        <v>0</v>
      </c>
      <c r="N187" s="145">
        <f t="shared" si="19"/>
        <v>0</v>
      </c>
      <c r="O187" s="146">
        <f t="shared" si="20"/>
        <v>0</v>
      </c>
      <c r="P187" s="146">
        <f>IF(B187="",0,SUMIF('NHAP XUAT'!$G$10:$J$1011,'Ghi So'!B187,'NHAP XUAT'!$J$10:$J$1011))</f>
        <v>0</v>
      </c>
      <c r="Q187" s="146">
        <f t="shared" si="21"/>
        <v>0</v>
      </c>
      <c r="R187" s="169"/>
      <c r="S187" s="169"/>
      <c r="T187" s="146">
        <f t="shared" si="22"/>
        <v>0</v>
      </c>
      <c r="U187" s="121" t="str">
        <f t="shared" si="23"/>
        <v>Close</v>
      </c>
      <c r="V187" s="117"/>
    </row>
    <row r="188" spans="1:22" ht="15" customHeight="1">
      <c r="A188" s="117"/>
      <c r="B188" s="144" t="str">
        <f>IF(D188="","","P"&amp;D188&amp;"MA"&amp;COUNTIF($D$14:D188,D188))</f>
        <v/>
      </c>
      <c r="C188" s="162"/>
      <c r="D188" s="163"/>
      <c r="E188" s="164"/>
      <c r="F188" s="164"/>
      <c r="G188" s="164"/>
      <c r="H188" s="164"/>
      <c r="I188" s="162"/>
      <c r="J188" s="144"/>
      <c r="K188" s="144"/>
      <c r="L188" s="144"/>
      <c r="M188" s="145">
        <f t="shared" si="18"/>
        <v>0</v>
      </c>
      <c r="N188" s="145">
        <f t="shared" si="19"/>
        <v>0</v>
      </c>
      <c r="O188" s="146">
        <f t="shared" si="20"/>
        <v>0</v>
      </c>
      <c r="P188" s="146">
        <f>IF(B188="",0,SUMIF('NHAP XUAT'!$G$10:$J$1011,'Ghi So'!B188,'NHAP XUAT'!$J$10:$J$1011))</f>
        <v>0</v>
      </c>
      <c r="Q188" s="146">
        <f t="shared" si="21"/>
        <v>0</v>
      </c>
      <c r="R188" s="169"/>
      <c r="S188" s="169"/>
      <c r="T188" s="146">
        <f t="shared" si="22"/>
        <v>0</v>
      </c>
      <c r="U188" s="121" t="str">
        <f t="shared" si="23"/>
        <v>Close</v>
      </c>
      <c r="V188" s="117"/>
    </row>
    <row r="189" spans="1:22" ht="15" customHeight="1">
      <c r="A189" s="117"/>
      <c r="B189" s="144" t="str">
        <f>IF(D189="","","P"&amp;D189&amp;"MA"&amp;COUNTIF($D$14:D189,D189))</f>
        <v/>
      </c>
      <c r="C189" s="162"/>
      <c r="D189" s="163"/>
      <c r="E189" s="164"/>
      <c r="F189" s="164"/>
      <c r="G189" s="164"/>
      <c r="H189" s="164"/>
      <c r="I189" s="162"/>
      <c r="J189" s="144"/>
      <c r="K189" s="144"/>
      <c r="L189" s="144"/>
      <c r="M189" s="145">
        <f t="shared" si="18"/>
        <v>0</v>
      </c>
      <c r="N189" s="145">
        <f t="shared" si="19"/>
        <v>0</v>
      </c>
      <c r="O189" s="146">
        <f t="shared" si="20"/>
        <v>0</v>
      </c>
      <c r="P189" s="146">
        <f>IF(B189="",0,SUMIF('NHAP XUAT'!$G$10:$J$1011,'Ghi So'!B189,'NHAP XUAT'!$J$10:$J$1011))</f>
        <v>0</v>
      </c>
      <c r="Q189" s="146">
        <f t="shared" si="21"/>
        <v>0</v>
      </c>
      <c r="R189" s="169"/>
      <c r="S189" s="169"/>
      <c r="T189" s="146">
        <f t="shared" si="22"/>
        <v>0</v>
      </c>
      <c r="U189" s="121" t="str">
        <f t="shared" si="23"/>
        <v>Close</v>
      </c>
      <c r="V189" s="117"/>
    </row>
    <row r="190" spans="1:22" ht="15" customHeight="1">
      <c r="A190" s="117"/>
      <c r="B190" s="144" t="str">
        <f>IF(D190="","","P"&amp;D190&amp;"MA"&amp;COUNTIF($D$14:D190,D190))</f>
        <v/>
      </c>
      <c r="C190" s="162"/>
      <c r="D190" s="163"/>
      <c r="E190" s="164"/>
      <c r="F190" s="164"/>
      <c r="G190" s="164"/>
      <c r="H190" s="164"/>
      <c r="I190" s="162"/>
      <c r="J190" s="144"/>
      <c r="K190" s="144"/>
      <c r="L190" s="144"/>
      <c r="M190" s="145">
        <f t="shared" si="18"/>
        <v>0</v>
      </c>
      <c r="N190" s="145">
        <f t="shared" si="19"/>
        <v>0</v>
      </c>
      <c r="O190" s="146">
        <f t="shared" si="20"/>
        <v>0</v>
      </c>
      <c r="P190" s="146">
        <f>IF(B190="",0,SUMIF('NHAP XUAT'!$G$10:$J$1011,'Ghi So'!B190,'NHAP XUAT'!$J$10:$J$1011))</f>
        <v>0</v>
      </c>
      <c r="Q190" s="146">
        <f t="shared" si="21"/>
        <v>0</v>
      </c>
      <c r="R190" s="169"/>
      <c r="S190" s="169"/>
      <c r="T190" s="146">
        <f t="shared" si="22"/>
        <v>0</v>
      </c>
      <c r="U190" s="121" t="str">
        <f t="shared" si="23"/>
        <v>Close</v>
      </c>
      <c r="V190" s="117"/>
    </row>
    <row r="191" spans="1:22" ht="15" customHeight="1">
      <c r="A191" s="117"/>
      <c r="B191" s="144" t="str">
        <f>IF(D191="","","P"&amp;D191&amp;"MA"&amp;COUNTIF($D$14:D191,D191))</f>
        <v/>
      </c>
      <c r="C191" s="162"/>
      <c r="D191" s="163"/>
      <c r="E191" s="164"/>
      <c r="F191" s="164"/>
      <c r="G191" s="164"/>
      <c r="H191" s="164"/>
      <c r="I191" s="162"/>
      <c r="J191" s="144"/>
      <c r="K191" s="144"/>
      <c r="L191" s="144"/>
      <c r="M191" s="145">
        <f t="shared" si="18"/>
        <v>0</v>
      </c>
      <c r="N191" s="145">
        <f t="shared" si="19"/>
        <v>0</v>
      </c>
      <c r="O191" s="146">
        <f t="shared" si="20"/>
        <v>0</v>
      </c>
      <c r="P191" s="146">
        <f>IF(B191="",0,SUMIF('NHAP XUAT'!$G$10:$J$1011,'Ghi So'!B191,'NHAP XUAT'!$J$10:$J$1011))</f>
        <v>0</v>
      </c>
      <c r="Q191" s="146">
        <f t="shared" si="21"/>
        <v>0</v>
      </c>
      <c r="R191" s="169"/>
      <c r="S191" s="169"/>
      <c r="T191" s="146">
        <f t="shared" si="22"/>
        <v>0</v>
      </c>
      <c r="U191" s="121" t="str">
        <f t="shared" si="23"/>
        <v>Close</v>
      </c>
      <c r="V191" s="117"/>
    </row>
    <row r="192" spans="1:22" ht="15" customHeight="1">
      <c r="A192" s="117"/>
      <c r="B192" s="144" t="str">
        <f>IF(D192="","","P"&amp;D192&amp;"MA"&amp;COUNTIF($D$14:D192,D192))</f>
        <v/>
      </c>
      <c r="C192" s="162"/>
      <c r="D192" s="163"/>
      <c r="E192" s="164"/>
      <c r="F192" s="164"/>
      <c r="G192" s="164"/>
      <c r="H192" s="164"/>
      <c r="I192" s="162"/>
      <c r="J192" s="144"/>
      <c r="K192" s="144"/>
      <c r="L192" s="144"/>
      <c r="M192" s="145">
        <f t="shared" si="18"/>
        <v>0</v>
      </c>
      <c r="N192" s="145">
        <f t="shared" si="19"/>
        <v>0</v>
      </c>
      <c r="O192" s="146">
        <f t="shared" si="20"/>
        <v>0</v>
      </c>
      <c r="P192" s="146">
        <f>IF(B192="",0,SUMIF('NHAP XUAT'!$G$10:$J$1011,'Ghi So'!B192,'NHAP XUAT'!$J$10:$J$1011))</f>
        <v>0</v>
      </c>
      <c r="Q192" s="146">
        <f t="shared" si="21"/>
        <v>0</v>
      </c>
      <c r="R192" s="169"/>
      <c r="S192" s="169"/>
      <c r="T192" s="146">
        <f t="shared" si="22"/>
        <v>0</v>
      </c>
      <c r="U192" s="121" t="str">
        <f t="shared" si="23"/>
        <v>Close</v>
      </c>
      <c r="V192" s="117"/>
    </row>
    <row r="193" spans="1:22" ht="15" customHeight="1">
      <c r="A193" s="117"/>
      <c r="B193" s="144" t="str">
        <f>IF(D193="","","P"&amp;D193&amp;"MA"&amp;COUNTIF($D$14:D193,D193))</f>
        <v/>
      </c>
      <c r="C193" s="162"/>
      <c r="D193" s="163"/>
      <c r="E193" s="164"/>
      <c r="F193" s="164"/>
      <c r="G193" s="164"/>
      <c r="H193" s="164"/>
      <c r="I193" s="162"/>
      <c r="J193" s="144"/>
      <c r="K193" s="144"/>
      <c r="L193" s="144"/>
      <c r="M193" s="145">
        <f t="shared" si="18"/>
        <v>0</v>
      </c>
      <c r="N193" s="145">
        <f t="shared" si="19"/>
        <v>0</v>
      </c>
      <c r="O193" s="146">
        <f t="shared" si="20"/>
        <v>0</v>
      </c>
      <c r="P193" s="146">
        <f>IF(B193="",0,SUMIF('NHAP XUAT'!$G$10:$J$1011,'Ghi So'!B193,'NHAP XUAT'!$J$10:$J$1011))</f>
        <v>0</v>
      </c>
      <c r="Q193" s="146">
        <f t="shared" si="21"/>
        <v>0</v>
      </c>
      <c r="R193" s="169"/>
      <c r="S193" s="169"/>
      <c r="T193" s="146">
        <f t="shared" si="22"/>
        <v>0</v>
      </c>
      <c r="U193" s="121" t="str">
        <f t="shared" si="23"/>
        <v>Close</v>
      </c>
      <c r="V193" s="117"/>
    </row>
    <row r="194" spans="1:22" ht="15" customHeight="1">
      <c r="A194" s="117"/>
      <c r="B194" s="144" t="str">
        <f>IF(D194="","","P"&amp;D194&amp;"MA"&amp;COUNTIF($D$14:D194,D194))</f>
        <v/>
      </c>
      <c r="C194" s="162"/>
      <c r="D194" s="163"/>
      <c r="E194" s="164"/>
      <c r="F194" s="164"/>
      <c r="G194" s="164"/>
      <c r="H194" s="164"/>
      <c r="I194" s="162"/>
      <c r="J194" s="144"/>
      <c r="K194" s="144"/>
      <c r="L194" s="144"/>
      <c r="M194" s="145">
        <f t="shared" si="18"/>
        <v>0</v>
      </c>
      <c r="N194" s="145">
        <f t="shared" si="19"/>
        <v>0</v>
      </c>
      <c r="O194" s="146">
        <f t="shared" si="20"/>
        <v>0</v>
      </c>
      <c r="P194" s="146">
        <f>IF(B194="",0,SUMIF('NHAP XUAT'!$G$10:$J$1011,'Ghi So'!B194,'NHAP XUAT'!$J$10:$J$1011))</f>
        <v>0</v>
      </c>
      <c r="Q194" s="146">
        <f t="shared" si="21"/>
        <v>0</v>
      </c>
      <c r="R194" s="169"/>
      <c r="S194" s="169"/>
      <c r="T194" s="146">
        <f t="shared" si="22"/>
        <v>0</v>
      </c>
      <c r="U194" s="121" t="str">
        <f t="shared" si="23"/>
        <v>Close</v>
      </c>
      <c r="V194" s="117"/>
    </row>
    <row r="195" spans="1:22" ht="15" customHeight="1">
      <c r="A195" s="117"/>
      <c r="B195" s="144" t="str">
        <f>IF(D195="","","P"&amp;D195&amp;"MA"&amp;COUNTIF($D$14:D195,D195))</f>
        <v/>
      </c>
      <c r="C195" s="162"/>
      <c r="D195" s="163"/>
      <c r="E195" s="164"/>
      <c r="F195" s="164"/>
      <c r="G195" s="164"/>
      <c r="H195" s="164"/>
      <c r="I195" s="162"/>
      <c r="J195" s="144"/>
      <c r="K195" s="144"/>
      <c r="L195" s="144"/>
      <c r="M195" s="145">
        <f t="shared" si="18"/>
        <v>0</v>
      </c>
      <c r="N195" s="145">
        <f t="shared" si="19"/>
        <v>0</v>
      </c>
      <c r="O195" s="146">
        <f t="shared" si="20"/>
        <v>0</v>
      </c>
      <c r="P195" s="146">
        <f>IF(B195="",0,SUMIF('NHAP XUAT'!$G$10:$J$1011,'Ghi So'!B195,'NHAP XUAT'!$J$10:$J$1011))</f>
        <v>0</v>
      </c>
      <c r="Q195" s="146">
        <f t="shared" si="21"/>
        <v>0</v>
      </c>
      <c r="R195" s="169"/>
      <c r="S195" s="169"/>
      <c r="T195" s="146">
        <f t="shared" si="22"/>
        <v>0</v>
      </c>
      <c r="U195" s="121" t="str">
        <f t="shared" si="23"/>
        <v>Close</v>
      </c>
      <c r="V195" s="117"/>
    </row>
    <row r="196" spans="1:22" ht="15" customHeight="1">
      <c r="A196" s="117"/>
      <c r="B196" s="144" t="str">
        <f>IF(D196="","","P"&amp;D196&amp;"MA"&amp;COUNTIF($D$14:D196,D196))</f>
        <v/>
      </c>
      <c r="C196" s="162"/>
      <c r="D196" s="163"/>
      <c r="E196" s="164"/>
      <c r="F196" s="164"/>
      <c r="G196" s="164"/>
      <c r="H196" s="164"/>
      <c r="I196" s="162"/>
      <c r="J196" s="144"/>
      <c r="K196" s="144"/>
      <c r="L196" s="144"/>
      <c r="M196" s="145">
        <f t="shared" si="18"/>
        <v>0</v>
      </c>
      <c r="N196" s="145">
        <f t="shared" si="19"/>
        <v>0</v>
      </c>
      <c r="O196" s="146">
        <f t="shared" si="20"/>
        <v>0</v>
      </c>
      <c r="P196" s="146">
        <f>IF(B196="",0,SUMIF('NHAP XUAT'!$G$10:$J$1011,'Ghi So'!B196,'NHAP XUAT'!$J$10:$J$1011))</f>
        <v>0</v>
      </c>
      <c r="Q196" s="146">
        <f t="shared" si="21"/>
        <v>0</v>
      </c>
      <c r="R196" s="169"/>
      <c r="S196" s="169"/>
      <c r="T196" s="146">
        <f t="shared" si="22"/>
        <v>0</v>
      </c>
      <c r="U196" s="121" t="str">
        <f t="shared" si="23"/>
        <v>Close</v>
      </c>
      <c r="V196" s="117"/>
    </row>
    <row r="197" spans="1:22" ht="15" customHeight="1">
      <c r="A197" s="117"/>
      <c r="B197" s="144" t="str">
        <f>IF(D197="","","P"&amp;D197&amp;"MA"&amp;COUNTIF($D$14:D197,D197))</f>
        <v/>
      </c>
      <c r="C197" s="162"/>
      <c r="D197" s="163"/>
      <c r="E197" s="164"/>
      <c r="F197" s="164"/>
      <c r="G197" s="164"/>
      <c r="H197" s="164"/>
      <c r="I197" s="162"/>
      <c r="J197" s="144"/>
      <c r="K197" s="144"/>
      <c r="L197" s="144"/>
      <c r="M197" s="145">
        <f t="shared" si="18"/>
        <v>0</v>
      </c>
      <c r="N197" s="145">
        <f t="shared" si="19"/>
        <v>0</v>
      </c>
      <c r="O197" s="146">
        <f t="shared" si="20"/>
        <v>0</v>
      </c>
      <c r="P197" s="146">
        <f>IF(B197="",0,SUMIF('NHAP XUAT'!$G$10:$J$1011,'Ghi So'!B197,'NHAP XUAT'!$J$10:$J$1011))</f>
        <v>0</v>
      </c>
      <c r="Q197" s="146">
        <f t="shared" si="21"/>
        <v>0</v>
      </c>
      <c r="R197" s="169"/>
      <c r="S197" s="169"/>
      <c r="T197" s="146">
        <f t="shared" si="22"/>
        <v>0</v>
      </c>
      <c r="U197" s="121" t="str">
        <f t="shared" si="23"/>
        <v>Close</v>
      </c>
      <c r="V197" s="117"/>
    </row>
    <row r="198" spans="1:22" ht="15" customHeight="1">
      <c r="A198" s="117"/>
      <c r="B198" s="144" t="str">
        <f>IF(D198="","","P"&amp;D198&amp;"MA"&amp;COUNTIF($D$14:D198,D198))</f>
        <v/>
      </c>
      <c r="C198" s="162"/>
      <c r="D198" s="163"/>
      <c r="E198" s="164"/>
      <c r="F198" s="164"/>
      <c r="G198" s="164"/>
      <c r="H198" s="164"/>
      <c r="I198" s="162"/>
      <c r="J198" s="144"/>
      <c r="K198" s="144"/>
      <c r="L198" s="144"/>
      <c r="M198" s="145">
        <f t="shared" si="18"/>
        <v>0</v>
      </c>
      <c r="N198" s="145">
        <f t="shared" si="19"/>
        <v>0</v>
      </c>
      <c r="O198" s="146">
        <f t="shared" si="20"/>
        <v>0</v>
      </c>
      <c r="P198" s="146">
        <f>IF(B198="",0,SUMIF('NHAP XUAT'!$G$10:$J$1011,'Ghi So'!B198,'NHAP XUAT'!$J$10:$J$1011))</f>
        <v>0</v>
      </c>
      <c r="Q198" s="146">
        <f t="shared" si="21"/>
        <v>0</v>
      </c>
      <c r="R198" s="169"/>
      <c r="S198" s="169"/>
      <c r="T198" s="146">
        <f t="shared" si="22"/>
        <v>0</v>
      </c>
      <c r="U198" s="121" t="str">
        <f t="shared" si="23"/>
        <v>Close</v>
      </c>
      <c r="V198" s="117"/>
    </row>
    <row r="199" spans="1:22" ht="15" customHeight="1">
      <c r="A199" s="117"/>
      <c r="B199" s="144" t="str">
        <f>IF(D199="","","P"&amp;D199&amp;"MA"&amp;COUNTIF($D$14:D199,D199))</f>
        <v/>
      </c>
      <c r="C199" s="162"/>
      <c r="D199" s="163"/>
      <c r="E199" s="164"/>
      <c r="F199" s="164"/>
      <c r="G199" s="164"/>
      <c r="H199" s="164"/>
      <c r="I199" s="162"/>
      <c r="J199" s="144"/>
      <c r="K199" s="144"/>
      <c r="L199" s="144"/>
      <c r="M199" s="145">
        <f t="shared" si="18"/>
        <v>0</v>
      </c>
      <c r="N199" s="145">
        <f t="shared" si="19"/>
        <v>0</v>
      </c>
      <c r="O199" s="146">
        <f t="shared" si="20"/>
        <v>0</v>
      </c>
      <c r="P199" s="146">
        <f>IF(B199="",0,SUMIF('NHAP XUAT'!$G$10:$J$1011,'Ghi So'!B199,'NHAP XUAT'!$J$10:$J$1011))</f>
        <v>0</v>
      </c>
      <c r="Q199" s="146">
        <f t="shared" si="21"/>
        <v>0</v>
      </c>
      <c r="R199" s="169"/>
      <c r="S199" s="169"/>
      <c r="T199" s="146">
        <f t="shared" si="22"/>
        <v>0</v>
      </c>
      <c r="U199" s="121" t="str">
        <f t="shared" si="23"/>
        <v>Close</v>
      </c>
      <c r="V199" s="117"/>
    </row>
    <row r="200" spans="1:22" ht="15" customHeight="1">
      <c r="A200" s="117"/>
      <c r="B200" s="144" t="str">
        <f>IF(D200="","","P"&amp;D200&amp;"MA"&amp;COUNTIF($D$14:D200,D200))</f>
        <v/>
      </c>
      <c r="C200" s="162"/>
      <c r="D200" s="163"/>
      <c r="E200" s="164"/>
      <c r="F200" s="164"/>
      <c r="G200" s="164"/>
      <c r="H200" s="164"/>
      <c r="I200" s="162"/>
      <c r="J200" s="144"/>
      <c r="K200" s="144"/>
      <c r="L200" s="144"/>
      <c r="M200" s="145">
        <f t="shared" si="18"/>
        <v>0</v>
      </c>
      <c r="N200" s="145">
        <f t="shared" si="19"/>
        <v>0</v>
      </c>
      <c r="O200" s="146">
        <f t="shared" si="20"/>
        <v>0</v>
      </c>
      <c r="P200" s="146">
        <f>IF(B200="",0,SUMIF('NHAP XUAT'!$G$10:$J$1011,'Ghi So'!B200,'NHAP XUAT'!$J$10:$J$1011))</f>
        <v>0</v>
      </c>
      <c r="Q200" s="146">
        <f t="shared" si="21"/>
        <v>0</v>
      </c>
      <c r="R200" s="169"/>
      <c r="S200" s="169"/>
      <c r="T200" s="146">
        <f t="shared" si="22"/>
        <v>0</v>
      </c>
      <c r="U200" s="121" t="str">
        <f t="shared" si="23"/>
        <v>Close</v>
      </c>
      <c r="V200" s="117"/>
    </row>
    <row r="201" spans="1:22" ht="15" customHeight="1">
      <c r="A201" s="117"/>
      <c r="B201" s="144" t="str">
        <f>IF(D201="","","P"&amp;D201&amp;"MA"&amp;COUNTIF($D$14:D201,D201))</f>
        <v/>
      </c>
      <c r="C201" s="162"/>
      <c r="D201" s="163"/>
      <c r="E201" s="164"/>
      <c r="F201" s="164"/>
      <c r="G201" s="164"/>
      <c r="H201" s="164"/>
      <c r="I201" s="162"/>
      <c r="J201" s="144"/>
      <c r="K201" s="144"/>
      <c r="L201" s="144"/>
      <c r="M201" s="145">
        <f t="shared" si="18"/>
        <v>0</v>
      </c>
      <c r="N201" s="145">
        <f t="shared" si="19"/>
        <v>0</v>
      </c>
      <c r="O201" s="146">
        <f t="shared" si="20"/>
        <v>0</v>
      </c>
      <c r="P201" s="146">
        <f>IF(B201="",0,SUMIF('NHAP XUAT'!$G$10:$J$1011,'Ghi So'!B201,'NHAP XUAT'!$J$10:$J$1011))</f>
        <v>0</v>
      </c>
      <c r="Q201" s="146">
        <f t="shared" si="21"/>
        <v>0</v>
      </c>
      <c r="R201" s="169"/>
      <c r="S201" s="169"/>
      <c r="T201" s="146">
        <f t="shared" si="22"/>
        <v>0</v>
      </c>
      <c r="U201" s="121" t="str">
        <f t="shared" si="23"/>
        <v>Close</v>
      </c>
      <c r="V201" s="117"/>
    </row>
    <row r="202" spans="1:22" ht="15" customHeight="1">
      <c r="A202" s="117"/>
      <c r="B202" s="144" t="str">
        <f>IF(D202="","","P"&amp;D202&amp;"MA"&amp;COUNTIF($D$14:D202,D202))</f>
        <v/>
      </c>
      <c r="C202" s="162"/>
      <c r="D202" s="163"/>
      <c r="E202" s="164"/>
      <c r="F202" s="164"/>
      <c r="G202" s="164"/>
      <c r="H202" s="164"/>
      <c r="I202" s="162"/>
      <c r="J202" s="144"/>
      <c r="K202" s="144"/>
      <c r="L202" s="144"/>
      <c r="M202" s="145">
        <f t="shared" si="18"/>
        <v>0</v>
      </c>
      <c r="N202" s="145">
        <f t="shared" si="19"/>
        <v>0</v>
      </c>
      <c r="O202" s="146">
        <f t="shared" si="20"/>
        <v>0</v>
      </c>
      <c r="P202" s="146">
        <f>IF(B202="",0,SUMIF('NHAP XUAT'!$G$10:$J$1011,'Ghi So'!B202,'NHAP XUAT'!$J$10:$J$1011))</f>
        <v>0</v>
      </c>
      <c r="Q202" s="146">
        <f t="shared" si="21"/>
        <v>0</v>
      </c>
      <c r="R202" s="169"/>
      <c r="S202" s="169"/>
      <c r="T202" s="146">
        <f t="shared" si="22"/>
        <v>0</v>
      </c>
      <c r="U202" s="121" t="str">
        <f t="shared" si="23"/>
        <v>Close</v>
      </c>
      <c r="V202" s="117"/>
    </row>
    <row r="203" spans="1:22" ht="15" customHeight="1">
      <c r="A203" s="117"/>
      <c r="B203" s="144" t="str">
        <f>IF(D203="","","P"&amp;D203&amp;"MA"&amp;COUNTIF($D$14:D203,D203))</f>
        <v/>
      </c>
      <c r="C203" s="162"/>
      <c r="D203" s="163"/>
      <c r="E203" s="164"/>
      <c r="F203" s="164"/>
      <c r="G203" s="164"/>
      <c r="H203" s="164"/>
      <c r="I203" s="162"/>
      <c r="J203" s="144"/>
      <c r="K203" s="144"/>
      <c r="L203" s="144"/>
      <c r="M203" s="145">
        <f t="shared" si="18"/>
        <v>0</v>
      </c>
      <c r="N203" s="145">
        <f t="shared" si="19"/>
        <v>0</v>
      </c>
      <c r="O203" s="146">
        <f t="shared" si="20"/>
        <v>0</v>
      </c>
      <c r="P203" s="146">
        <f>IF(B203="",0,SUMIF('NHAP XUAT'!$G$10:$J$1011,'Ghi So'!B203,'NHAP XUAT'!$J$10:$J$1011))</f>
        <v>0</v>
      </c>
      <c r="Q203" s="146">
        <f t="shared" si="21"/>
        <v>0</v>
      </c>
      <c r="R203" s="169"/>
      <c r="S203" s="169"/>
      <c r="T203" s="146">
        <f t="shared" si="22"/>
        <v>0</v>
      </c>
      <c r="U203" s="121" t="str">
        <f t="shared" si="23"/>
        <v>Close</v>
      </c>
      <c r="V203" s="117"/>
    </row>
    <row r="204" spans="1:22" ht="15" customHeight="1">
      <c r="A204" s="117"/>
      <c r="B204" s="144" t="str">
        <f>IF(D204="","","P"&amp;D204&amp;"MA"&amp;COUNTIF($D$14:D204,D204))</f>
        <v/>
      </c>
      <c r="C204" s="162"/>
      <c r="D204" s="163"/>
      <c r="E204" s="164"/>
      <c r="F204" s="164"/>
      <c r="G204" s="164"/>
      <c r="H204" s="164"/>
      <c r="I204" s="162"/>
      <c r="J204" s="144"/>
      <c r="K204" s="144"/>
      <c r="L204" s="144"/>
      <c r="M204" s="145">
        <f t="shared" si="18"/>
        <v>0</v>
      </c>
      <c r="N204" s="145">
        <f t="shared" si="19"/>
        <v>0</v>
      </c>
      <c r="O204" s="146">
        <f t="shared" si="20"/>
        <v>0</v>
      </c>
      <c r="P204" s="146">
        <f>IF(B204="",0,SUMIF('NHAP XUAT'!$G$10:$J$1011,'Ghi So'!B204,'NHAP XUAT'!$J$10:$J$1011))</f>
        <v>0</v>
      </c>
      <c r="Q204" s="146">
        <f t="shared" si="21"/>
        <v>0</v>
      </c>
      <c r="R204" s="169"/>
      <c r="S204" s="169"/>
      <c r="T204" s="146">
        <f t="shared" si="22"/>
        <v>0</v>
      </c>
      <c r="U204" s="121" t="str">
        <f t="shared" si="23"/>
        <v>Close</v>
      </c>
      <c r="V204" s="117"/>
    </row>
    <row r="205" spans="1:22" ht="15" customHeight="1">
      <c r="A205" s="117"/>
      <c r="B205" s="144" t="str">
        <f>IF(D205="","","P"&amp;D205&amp;"MA"&amp;COUNTIF($D$14:D205,D205))</f>
        <v/>
      </c>
      <c r="C205" s="162"/>
      <c r="D205" s="163"/>
      <c r="E205" s="164"/>
      <c r="F205" s="164"/>
      <c r="G205" s="164"/>
      <c r="H205" s="164"/>
      <c r="I205" s="162"/>
      <c r="J205" s="144"/>
      <c r="K205" s="144"/>
      <c r="L205" s="144"/>
      <c r="M205" s="145">
        <f t="shared" si="18"/>
        <v>0</v>
      </c>
      <c r="N205" s="145">
        <f t="shared" si="19"/>
        <v>0</v>
      </c>
      <c r="O205" s="146">
        <f t="shared" si="20"/>
        <v>0</v>
      </c>
      <c r="P205" s="146">
        <f>IF(B205="",0,SUMIF('NHAP XUAT'!$G$10:$J$1011,'Ghi So'!B205,'NHAP XUAT'!$J$10:$J$1011))</f>
        <v>0</v>
      </c>
      <c r="Q205" s="146">
        <f t="shared" si="21"/>
        <v>0</v>
      </c>
      <c r="R205" s="169"/>
      <c r="S205" s="169"/>
      <c r="T205" s="146">
        <f t="shared" si="22"/>
        <v>0</v>
      </c>
      <c r="U205" s="121" t="str">
        <f t="shared" si="23"/>
        <v>Close</v>
      </c>
      <c r="V205" s="117"/>
    </row>
    <row r="206" spans="1:22" ht="15" customHeight="1">
      <c r="A206" s="117"/>
      <c r="B206" s="144" t="str">
        <f>IF(D206="","","P"&amp;D206&amp;"MA"&amp;COUNTIF($D$14:D206,D206))</f>
        <v/>
      </c>
      <c r="C206" s="162"/>
      <c r="D206" s="163"/>
      <c r="E206" s="164"/>
      <c r="F206" s="164"/>
      <c r="G206" s="164"/>
      <c r="H206" s="164"/>
      <c r="I206" s="162"/>
      <c r="J206" s="144"/>
      <c r="K206" s="144"/>
      <c r="L206" s="144"/>
      <c r="M206" s="145">
        <f t="shared" si="18"/>
        <v>0</v>
      </c>
      <c r="N206" s="145">
        <f t="shared" si="19"/>
        <v>0</v>
      </c>
      <c r="O206" s="146">
        <f t="shared" si="20"/>
        <v>0</v>
      </c>
      <c r="P206" s="146">
        <f>IF(B206="",0,SUMIF('NHAP XUAT'!$G$10:$J$1011,'Ghi So'!B206,'NHAP XUAT'!$J$10:$J$1011))</f>
        <v>0</v>
      </c>
      <c r="Q206" s="146">
        <f t="shared" si="21"/>
        <v>0</v>
      </c>
      <c r="R206" s="169"/>
      <c r="S206" s="169"/>
      <c r="T206" s="146">
        <f t="shared" si="22"/>
        <v>0</v>
      </c>
      <c r="U206" s="121" t="str">
        <f t="shared" si="23"/>
        <v>Close</v>
      </c>
      <c r="V206" s="117"/>
    </row>
    <row r="207" spans="1:22" ht="15" customHeight="1">
      <c r="A207" s="117"/>
      <c r="B207" s="144" t="str">
        <f>IF(D207="","","P"&amp;D207&amp;"MA"&amp;COUNTIF($D$14:D207,D207))</f>
        <v/>
      </c>
      <c r="C207" s="162"/>
      <c r="D207" s="163"/>
      <c r="E207" s="164"/>
      <c r="F207" s="164"/>
      <c r="G207" s="164"/>
      <c r="H207" s="164"/>
      <c r="I207" s="162"/>
      <c r="J207" s="144"/>
      <c r="K207" s="144"/>
      <c r="L207" s="144"/>
      <c r="M207" s="145">
        <f t="shared" si="18"/>
        <v>0</v>
      </c>
      <c r="N207" s="145">
        <f t="shared" si="19"/>
        <v>0</v>
      </c>
      <c r="O207" s="146">
        <f t="shared" si="20"/>
        <v>0</v>
      </c>
      <c r="P207" s="146">
        <f>IF(B207="",0,SUMIF('NHAP XUAT'!$G$10:$J$1011,'Ghi So'!B207,'NHAP XUAT'!$J$10:$J$1011))</f>
        <v>0</v>
      </c>
      <c r="Q207" s="146">
        <f t="shared" si="21"/>
        <v>0</v>
      </c>
      <c r="R207" s="169"/>
      <c r="S207" s="169"/>
      <c r="T207" s="146">
        <f t="shared" si="22"/>
        <v>0</v>
      </c>
      <c r="U207" s="121" t="str">
        <f t="shared" si="23"/>
        <v>Close</v>
      </c>
      <c r="V207" s="117"/>
    </row>
    <row r="208" spans="1:22" ht="15" customHeight="1">
      <c r="A208" s="117"/>
      <c r="B208" s="144" t="str">
        <f>IF(D208="","","P"&amp;D208&amp;"MA"&amp;COUNTIF($D$14:D208,D208))</f>
        <v/>
      </c>
      <c r="C208" s="162"/>
      <c r="D208" s="163"/>
      <c r="E208" s="164"/>
      <c r="F208" s="164"/>
      <c r="G208" s="164"/>
      <c r="H208" s="164"/>
      <c r="I208" s="162"/>
      <c r="J208" s="144"/>
      <c r="K208" s="144"/>
      <c r="L208" s="144"/>
      <c r="M208" s="145">
        <f t="shared" si="18"/>
        <v>0</v>
      </c>
      <c r="N208" s="145">
        <f t="shared" si="19"/>
        <v>0</v>
      </c>
      <c r="O208" s="146">
        <f t="shared" si="20"/>
        <v>0</v>
      </c>
      <c r="P208" s="146">
        <f>IF(B208="",0,SUMIF('NHAP XUAT'!$G$10:$J$1011,'Ghi So'!B208,'NHAP XUAT'!$J$10:$J$1011))</f>
        <v>0</v>
      </c>
      <c r="Q208" s="146">
        <f t="shared" si="21"/>
        <v>0</v>
      </c>
      <c r="R208" s="169"/>
      <c r="S208" s="169"/>
      <c r="T208" s="146">
        <f t="shared" si="22"/>
        <v>0</v>
      </c>
      <c r="U208" s="121" t="str">
        <f t="shared" si="23"/>
        <v>Close</v>
      </c>
      <c r="V208" s="117"/>
    </row>
    <row r="209" spans="1:22" ht="15" customHeight="1">
      <c r="A209" s="117"/>
      <c r="B209" s="144" t="str">
        <f>IF(D209="","","P"&amp;D209&amp;"MA"&amp;COUNTIF($D$14:D209,D209))</f>
        <v/>
      </c>
      <c r="C209" s="162"/>
      <c r="D209" s="163"/>
      <c r="E209" s="164"/>
      <c r="F209" s="164"/>
      <c r="G209" s="164"/>
      <c r="H209" s="164"/>
      <c r="I209" s="162"/>
      <c r="J209" s="144"/>
      <c r="K209" s="144"/>
      <c r="L209" s="144"/>
      <c r="M209" s="145">
        <f t="shared" si="18"/>
        <v>0</v>
      </c>
      <c r="N209" s="145">
        <f t="shared" si="19"/>
        <v>0</v>
      </c>
      <c r="O209" s="146">
        <f t="shared" si="20"/>
        <v>0</v>
      </c>
      <c r="P209" s="146">
        <f>IF(B209="",0,SUMIF('NHAP XUAT'!$G$10:$J$1011,'Ghi So'!B209,'NHAP XUAT'!$J$10:$J$1011))</f>
        <v>0</v>
      </c>
      <c r="Q209" s="146">
        <f t="shared" si="21"/>
        <v>0</v>
      </c>
      <c r="R209" s="169"/>
      <c r="S209" s="169"/>
      <c r="T209" s="146">
        <f t="shared" si="22"/>
        <v>0</v>
      </c>
      <c r="U209" s="121" t="str">
        <f t="shared" si="23"/>
        <v>Close</v>
      </c>
      <c r="V209" s="117"/>
    </row>
    <row r="210" spans="1:22" ht="15" customHeight="1">
      <c r="A210" s="117"/>
      <c r="B210" s="144" t="str">
        <f>IF(D210="","","P"&amp;D210&amp;"MA"&amp;COUNTIF($D$14:D210,D210))</f>
        <v/>
      </c>
      <c r="C210" s="162"/>
      <c r="D210" s="163"/>
      <c r="E210" s="164"/>
      <c r="F210" s="164"/>
      <c r="G210" s="164"/>
      <c r="H210" s="164"/>
      <c r="I210" s="162"/>
      <c r="J210" s="144"/>
      <c r="K210" s="144"/>
      <c r="L210" s="144"/>
      <c r="M210" s="145">
        <f t="shared" si="18"/>
        <v>0</v>
      </c>
      <c r="N210" s="145">
        <f t="shared" si="19"/>
        <v>0</v>
      </c>
      <c r="O210" s="146">
        <f t="shared" si="20"/>
        <v>0</v>
      </c>
      <c r="P210" s="146">
        <f>IF(B210="",0,SUMIF('NHAP XUAT'!$G$10:$J$1011,'Ghi So'!B210,'NHAP XUAT'!$J$10:$J$1011))</f>
        <v>0</v>
      </c>
      <c r="Q210" s="146">
        <f t="shared" si="21"/>
        <v>0</v>
      </c>
      <c r="R210" s="169"/>
      <c r="S210" s="169"/>
      <c r="T210" s="146">
        <f t="shared" si="22"/>
        <v>0</v>
      </c>
      <c r="U210" s="121" t="str">
        <f t="shared" si="23"/>
        <v>Close</v>
      </c>
      <c r="V210" s="117"/>
    </row>
    <row r="211" spans="1:22" ht="15" customHeight="1">
      <c r="A211" s="117"/>
      <c r="B211" s="144" t="str">
        <f>IF(D211="","","P"&amp;D211&amp;"MA"&amp;COUNTIF($D$14:D211,D211))</f>
        <v/>
      </c>
      <c r="C211" s="162"/>
      <c r="D211" s="163"/>
      <c r="E211" s="164"/>
      <c r="F211" s="164"/>
      <c r="G211" s="164"/>
      <c r="H211" s="164"/>
      <c r="I211" s="162"/>
      <c r="J211" s="144"/>
      <c r="K211" s="144"/>
      <c r="L211" s="144"/>
      <c r="M211" s="145">
        <f t="shared" si="18"/>
        <v>0</v>
      </c>
      <c r="N211" s="145">
        <f t="shared" si="19"/>
        <v>0</v>
      </c>
      <c r="O211" s="146">
        <f t="shared" si="20"/>
        <v>0</v>
      </c>
      <c r="P211" s="146">
        <f>IF(B211="",0,SUMIF('NHAP XUAT'!$G$10:$J$1011,'Ghi So'!B211,'NHAP XUAT'!$J$10:$J$1011))</f>
        <v>0</v>
      </c>
      <c r="Q211" s="146">
        <f t="shared" si="21"/>
        <v>0</v>
      </c>
      <c r="R211" s="169"/>
      <c r="S211" s="169"/>
      <c r="T211" s="146">
        <f t="shared" si="22"/>
        <v>0</v>
      </c>
      <c r="U211" s="121" t="str">
        <f t="shared" si="23"/>
        <v>Close</v>
      </c>
      <c r="V211" s="117"/>
    </row>
    <row r="212" spans="1:22" ht="15" customHeight="1">
      <c r="A212" s="117"/>
      <c r="B212" s="144" t="str">
        <f>IF(D212="","","P"&amp;D212&amp;"MA"&amp;COUNTIF($D$14:D212,D212))</f>
        <v/>
      </c>
      <c r="C212" s="162"/>
      <c r="D212" s="163"/>
      <c r="E212" s="164"/>
      <c r="F212" s="164"/>
      <c r="G212" s="164"/>
      <c r="H212" s="164"/>
      <c r="I212" s="162"/>
      <c r="J212" s="144"/>
      <c r="K212" s="144"/>
      <c r="L212" s="144"/>
      <c r="M212" s="145">
        <f t="shared" si="18"/>
        <v>0</v>
      </c>
      <c r="N212" s="145">
        <f t="shared" si="19"/>
        <v>0</v>
      </c>
      <c r="O212" s="146">
        <f t="shared" si="20"/>
        <v>0</v>
      </c>
      <c r="P212" s="146">
        <f>IF(B212="",0,SUMIF('NHAP XUAT'!$G$10:$J$1011,'Ghi So'!B212,'NHAP XUAT'!$J$10:$J$1011))</f>
        <v>0</v>
      </c>
      <c r="Q212" s="146">
        <f t="shared" si="21"/>
        <v>0</v>
      </c>
      <c r="R212" s="169"/>
      <c r="S212" s="169"/>
      <c r="T212" s="146">
        <f t="shared" si="22"/>
        <v>0</v>
      </c>
      <c r="U212" s="121" t="str">
        <f t="shared" si="23"/>
        <v>Close</v>
      </c>
      <c r="V212" s="117"/>
    </row>
    <row r="213" spans="1:22" ht="15" customHeight="1">
      <c r="A213" s="117"/>
      <c r="B213" s="144" t="str">
        <f>IF(D213="","","P"&amp;D213&amp;"MA"&amp;COUNTIF($D$14:D213,D213))</f>
        <v/>
      </c>
      <c r="C213" s="162"/>
      <c r="D213" s="163"/>
      <c r="E213" s="164"/>
      <c r="F213" s="164"/>
      <c r="G213" s="164"/>
      <c r="H213" s="164"/>
      <c r="I213" s="162"/>
      <c r="J213" s="144"/>
      <c r="K213" s="144"/>
      <c r="L213" s="144"/>
      <c r="M213" s="145">
        <f t="shared" si="18"/>
        <v>0</v>
      </c>
      <c r="N213" s="145">
        <f t="shared" si="19"/>
        <v>0</v>
      </c>
      <c r="O213" s="146">
        <f t="shared" si="20"/>
        <v>0</v>
      </c>
      <c r="P213" s="146">
        <f>IF(B213="",0,SUMIF('NHAP XUAT'!$G$10:$J$1011,'Ghi So'!B213,'NHAP XUAT'!$J$10:$J$1011))</f>
        <v>0</v>
      </c>
      <c r="Q213" s="146">
        <f t="shared" si="21"/>
        <v>0</v>
      </c>
      <c r="R213" s="169"/>
      <c r="S213" s="169"/>
      <c r="T213" s="146">
        <f t="shared" si="22"/>
        <v>0</v>
      </c>
      <c r="U213" s="121" t="str">
        <f t="shared" si="23"/>
        <v>Close</v>
      </c>
      <c r="V213" s="117"/>
    </row>
    <row r="214" spans="1:22" ht="15" customHeight="1">
      <c r="A214" s="117"/>
      <c r="B214" s="144" t="str">
        <f>IF(D214="","","P"&amp;D214&amp;"MA"&amp;COUNTIF($D$14:D214,D214))</f>
        <v/>
      </c>
      <c r="C214" s="162"/>
      <c r="D214" s="163"/>
      <c r="E214" s="164"/>
      <c r="F214" s="164"/>
      <c r="G214" s="164"/>
      <c r="H214" s="164"/>
      <c r="I214" s="162"/>
      <c r="J214" s="144"/>
      <c r="K214" s="144"/>
      <c r="L214" s="144"/>
      <c r="M214" s="145">
        <f t="shared" si="18"/>
        <v>0</v>
      </c>
      <c r="N214" s="145">
        <f t="shared" si="19"/>
        <v>0</v>
      </c>
      <c r="O214" s="146">
        <f t="shared" si="20"/>
        <v>0</v>
      </c>
      <c r="P214" s="146">
        <f>IF(B214="",0,SUMIF('NHAP XUAT'!$G$10:$J$1011,'Ghi So'!B214,'NHAP XUAT'!$J$10:$J$1011))</f>
        <v>0</v>
      </c>
      <c r="Q214" s="146">
        <f t="shared" si="21"/>
        <v>0</v>
      </c>
      <c r="R214" s="169"/>
      <c r="S214" s="169"/>
      <c r="T214" s="146">
        <f t="shared" si="22"/>
        <v>0</v>
      </c>
      <c r="U214" s="121" t="str">
        <f t="shared" si="23"/>
        <v>Close</v>
      </c>
      <c r="V214" s="117"/>
    </row>
    <row r="215" spans="1:22" ht="15" customHeight="1">
      <c r="A215" s="117"/>
      <c r="B215" s="144" t="str">
        <f>IF(D215="","","P"&amp;D215&amp;"MA"&amp;COUNTIF($D$14:D215,D215))</f>
        <v/>
      </c>
      <c r="C215" s="162"/>
      <c r="D215" s="163"/>
      <c r="E215" s="164"/>
      <c r="F215" s="164"/>
      <c r="G215" s="164"/>
      <c r="H215" s="164"/>
      <c r="I215" s="162"/>
      <c r="J215" s="144"/>
      <c r="K215" s="144"/>
      <c r="L215" s="144"/>
      <c r="M215" s="145">
        <f t="shared" si="18"/>
        <v>0</v>
      </c>
      <c r="N215" s="145">
        <f t="shared" si="19"/>
        <v>0</v>
      </c>
      <c r="O215" s="146">
        <f t="shared" si="20"/>
        <v>0</v>
      </c>
      <c r="P215" s="146">
        <f>IF(B215="",0,SUMIF('NHAP XUAT'!$G$10:$J$1011,'Ghi So'!B215,'NHAP XUAT'!$J$10:$J$1011))</f>
        <v>0</v>
      </c>
      <c r="Q215" s="146">
        <f t="shared" si="21"/>
        <v>0</v>
      </c>
      <c r="R215" s="169"/>
      <c r="S215" s="169"/>
      <c r="T215" s="146">
        <f t="shared" si="22"/>
        <v>0</v>
      </c>
      <c r="U215" s="121" t="str">
        <f t="shared" si="23"/>
        <v>Close</v>
      </c>
      <c r="V215" s="117"/>
    </row>
    <row r="216" spans="1:22" ht="15" customHeight="1">
      <c r="A216" s="117"/>
      <c r="B216" s="144" t="str">
        <f>IF(D216="","","P"&amp;D216&amp;"MA"&amp;COUNTIF($D$14:D216,D216))</f>
        <v/>
      </c>
      <c r="C216" s="162"/>
      <c r="D216" s="163"/>
      <c r="E216" s="164"/>
      <c r="F216" s="164"/>
      <c r="G216" s="164"/>
      <c r="H216" s="164"/>
      <c r="I216" s="162"/>
      <c r="J216" s="144"/>
      <c r="K216" s="144"/>
      <c r="L216" s="144"/>
      <c r="M216" s="145">
        <f t="shared" si="18"/>
        <v>0</v>
      </c>
      <c r="N216" s="145">
        <f t="shared" si="19"/>
        <v>0</v>
      </c>
      <c r="O216" s="146">
        <f t="shared" si="20"/>
        <v>0</v>
      </c>
      <c r="P216" s="146">
        <f>IF(B216="",0,SUMIF('NHAP XUAT'!$G$10:$J$1011,'Ghi So'!B216,'NHAP XUAT'!$J$10:$J$1011))</f>
        <v>0</v>
      </c>
      <c r="Q216" s="146">
        <f t="shared" si="21"/>
        <v>0</v>
      </c>
      <c r="R216" s="169"/>
      <c r="S216" s="169"/>
      <c r="T216" s="146">
        <f t="shared" si="22"/>
        <v>0</v>
      </c>
      <c r="U216" s="121" t="str">
        <f t="shared" si="23"/>
        <v>Close</v>
      </c>
      <c r="V216" s="117"/>
    </row>
    <row r="217" spans="1:22" ht="15" customHeight="1">
      <c r="A217" s="117"/>
      <c r="B217" s="144" t="str">
        <f>IF(D217="","","P"&amp;D217&amp;"MA"&amp;COUNTIF($D$14:D217,D217))</f>
        <v/>
      </c>
      <c r="C217" s="162"/>
      <c r="D217" s="163"/>
      <c r="E217" s="164"/>
      <c r="F217" s="164"/>
      <c r="G217" s="164"/>
      <c r="H217" s="164"/>
      <c r="I217" s="162"/>
      <c r="J217" s="144"/>
      <c r="K217" s="144"/>
      <c r="L217" s="144"/>
      <c r="M217" s="145">
        <f t="shared" si="18"/>
        <v>0</v>
      </c>
      <c r="N217" s="145">
        <f t="shared" si="19"/>
        <v>0</v>
      </c>
      <c r="O217" s="146">
        <f t="shared" si="20"/>
        <v>0</v>
      </c>
      <c r="P217" s="146">
        <f>IF(B217="",0,SUMIF('NHAP XUAT'!$G$10:$J$1011,'Ghi So'!B217,'NHAP XUAT'!$J$10:$J$1011))</f>
        <v>0</v>
      </c>
      <c r="Q217" s="146">
        <f t="shared" si="21"/>
        <v>0</v>
      </c>
      <c r="R217" s="169"/>
      <c r="S217" s="169"/>
      <c r="T217" s="146">
        <f t="shared" si="22"/>
        <v>0</v>
      </c>
      <c r="U217" s="121" t="str">
        <f t="shared" si="23"/>
        <v>Close</v>
      </c>
      <c r="V217" s="117"/>
    </row>
    <row r="218" spans="1:22" ht="15" customHeight="1">
      <c r="A218" s="117"/>
      <c r="B218" s="144" t="str">
        <f>IF(D218="","","P"&amp;D218&amp;"MA"&amp;COUNTIF($D$14:D218,D218))</f>
        <v/>
      </c>
      <c r="C218" s="162"/>
      <c r="D218" s="163"/>
      <c r="E218" s="164"/>
      <c r="F218" s="164"/>
      <c r="G218" s="164"/>
      <c r="H218" s="164"/>
      <c r="I218" s="162"/>
      <c r="J218" s="144"/>
      <c r="K218" s="144"/>
      <c r="L218" s="144"/>
      <c r="M218" s="145">
        <f t="shared" si="18"/>
        <v>0</v>
      </c>
      <c r="N218" s="145">
        <f t="shared" si="19"/>
        <v>0</v>
      </c>
      <c r="O218" s="146">
        <f t="shared" si="20"/>
        <v>0</v>
      </c>
      <c r="P218" s="146">
        <f>IF(B218="",0,SUMIF('NHAP XUAT'!$G$10:$J$1011,'Ghi So'!B218,'NHAP XUAT'!$J$10:$J$1011))</f>
        <v>0</v>
      </c>
      <c r="Q218" s="146">
        <f t="shared" si="21"/>
        <v>0</v>
      </c>
      <c r="R218" s="169"/>
      <c r="S218" s="169"/>
      <c r="T218" s="146">
        <f t="shared" si="22"/>
        <v>0</v>
      </c>
      <c r="U218" s="121" t="str">
        <f t="shared" si="23"/>
        <v>Close</v>
      </c>
      <c r="V218" s="117"/>
    </row>
    <row r="219" spans="1:22" ht="15" customHeight="1">
      <c r="A219" s="117"/>
      <c r="B219" s="144" t="str">
        <f>IF(D219="","","P"&amp;D219&amp;"MA"&amp;COUNTIF($D$14:D219,D219))</f>
        <v/>
      </c>
      <c r="C219" s="162"/>
      <c r="D219" s="163"/>
      <c r="E219" s="164"/>
      <c r="F219" s="164"/>
      <c r="G219" s="164"/>
      <c r="H219" s="164"/>
      <c r="I219" s="162"/>
      <c r="J219" s="144"/>
      <c r="K219" s="144"/>
      <c r="L219" s="144"/>
      <c r="M219" s="145">
        <f t="shared" si="18"/>
        <v>0</v>
      </c>
      <c r="N219" s="145">
        <f t="shared" si="19"/>
        <v>0</v>
      </c>
      <c r="O219" s="146">
        <f t="shared" si="20"/>
        <v>0</v>
      </c>
      <c r="P219" s="146">
        <f>IF(B219="",0,SUMIF('NHAP XUAT'!$G$10:$J$1011,'Ghi So'!B219,'NHAP XUAT'!$J$10:$J$1011))</f>
        <v>0</v>
      </c>
      <c r="Q219" s="146">
        <f t="shared" si="21"/>
        <v>0</v>
      </c>
      <c r="R219" s="169"/>
      <c r="S219" s="169"/>
      <c r="T219" s="146">
        <f t="shared" si="22"/>
        <v>0</v>
      </c>
      <c r="U219" s="121" t="str">
        <f t="shared" si="23"/>
        <v>Close</v>
      </c>
      <c r="V219" s="117"/>
    </row>
    <row r="220" spans="1:22" ht="15" customHeight="1">
      <c r="A220" s="117"/>
      <c r="B220" s="144" t="str">
        <f>IF(D220="","","P"&amp;D220&amp;"MA"&amp;COUNTIF($D$14:D220,D220))</f>
        <v/>
      </c>
      <c r="C220" s="162"/>
      <c r="D220" s="163"/>
      <c r="E220" s="164"/>
      <c r="F220" s="164"/>
      <c r="G220" s="164"/>
      <c r="H220" s="164"/>
      <c r="I220" s="162"/>
      <c r="J220" s="144"/>
      <c r="K220" s="144"/>
      <c r="L220" s="144"/>
      <c r="M220" s="145">
        <f t="shared" si="18"/>
        <v>0</v>
      </c>
      <c r="N220" s="145">
        <f t="shared" si="19"/>
        <v>0</v>
      </c>
      <c r="O220" s="146">
        <f t="shared" si="20"/>
        <v>0</v>
      </c>
      <c r="P220" s="146">
        <f>IF(B220="",0,SUMIF('NHAP XUAT'!$G$10:$J$1011,'Ghi So'!B220,'NHAP XUAT'!$J$10:$J$1011))</f>
        <v>0</v>
      </c>
      <c r="Q220" s="146">
        <f t="shared" si="21"/>
        <v>0</v>
      </c>
      <c r="R220" s="169"/>
      <c r="S220" s="169"/>
      <c r="T220" s="146">
        <f t="shared" si="22"/>
        <v>0</v>
      </c>
      <c r="U220" s="121" t="str">
        <f t="shared" si="23"/>
        <v>Close</v>
      </c>
      <c r="V220" s="117"/>
    </row>
    <row r="221" spans="1:22" ht="15" customHeight="1">
      <c r="A221" s="117"/>
      <c r="B221" s="144" t="str">
        <f>IF(D221="","","P"&amp;D221&amp;"MA"&amp;COUNTIF($D$14:D221,D221))</f>
        <v/>
      </c>
      <c r="C221" s="162"/>
      <c r="D221" s="163"/>
      <c r="E221" s="164"/>
      <c r="F221" s="164"/>
      <c r="G221" s="164"/>
      <c r="H221" s="164"/>
      <c r="I221" s="162"/>
      <c r="J221" s="144"/>
      <c r="K221" s="144"/>
      <c r="L221" s="144"/>
      <c r="M221" s="145">
        <f t="shared" ref="M221:M284" si="24">(IF(I221&lt;&gt;"",(I221-C221)*24*60,0)+G221*60+H221-E221*60-F221)/60</f>
        <v>0</v>
      </c>
      <c r="N221" s="145">
        <f t="shared" ref="N221:N284" si="25">INT(M221)+IF(MOD(M221,2)&gt;0.25,1,0)</f>
        <v>0</v>
      </c>
      <c r="O221" s="146">
        <f t="shared" ref="O221:O284" si="26">IF(J221&lt;&gt;"",DG_nghigio+DG_themgio*(N221-1),IF(K221&lt;&gt;"",DG_quadem+DG_themgio*(N221-12),DG_ngay*L221))</f>
        <v>0</v>
      </c>
      <c r="P221" s="146">
        <f>IF(B221="",0,SUMIF('NHAP XUAT'!$G$10:$J$1011,'Ghi So'!B221,'NHAP XUAT'!$J$10:$J$1011))</f>
        <v>0</v>
      </c>
      <c r="Q221" s="146">
        <f t="shared" ref="Q221:Q284" si="27">O221+P221</f>
        <v>0</v>
      </c>
      <c r="R221" s="169"/>
      <c r="S221" s="169"/>
      <c r="T221" s="146">
        <f t="shared" ref="T221:T284" si="28">R221*S221</f>
        <v>0</v>
      </c>
      <c r="U221" s="121" t="str">
        <f t="shared" ref="U221:U284" si="29">D221&amp;IF(AND(G221="",H221="",I221=""),"Close","Open")</f>
        <v>Close</v>
      </c>
      <c r="V221" s="117"/>
    </row>
    <row r="222" spans="1:22" ht="15" customHeight="1">
      <c r="A222" s="117"/>
      <c r="B222" s="144" t="str">
        <f>IF(D222="","","P"&amp;D222&amp;"MA"&amp;COUNTIF($D$14:D222,D222))</f>
        <v/>
      </c>
      <c r="C222" s="162"/>
      <c r="D222" s="163"/>
      <c r="E222" s="164"/>
      <c r="F222" s="164"/>
      <c r="G222" s="164"/>
      <c r="H222" s="164"/>
      <c r="I222" s="162"/>
      <c r="J222" s="144"/>
      <c r="K222" s="144"/>
      <c r="L222" s="144"/>
      <c r="M222" s="145">
        <f t="shared" si="24"/>
        <v>0</v>
      </c>
      <c r="N222" s="145">
        <f t="shared" si="25"/>
        <v>0</v>
      </c>
      <c r="O222" s="146">
        <f t="shared" si="26"/>
        <v>0</v>
      </c>
      <c r="P222" s="146">
        <f>IF(B222="",0,SUMIF('NHAP XUAT'!$G$10:$J$1011,'Ghi So'!B222,'NHAP XUAT'!$J$10:$J$1011))</f>
        <v>0</v>
      </c>
      <c r="Q222" s="146">
        <f t="shared" si="27"/>
        <v>0</v>
      </c>
      <c r="R222" s="169"/>
      <c r="S222" s="169"/>
      <c r="T222" s="146">
        <f t="shared" si="28"/>
        <v>0</v>
      </c>
      <c r="U222" s="121" t="str">
        <f t="shared" si="29"/>
        <v>Close</v>
      </c>
      <c r="V222" s="117"/>
    </row>
    <row r="223" spans="1:22" ht="15" customHeight="1">
      <c r="A223" s="117"/>
      <c r="B223" s="144" t="str">
        <f>IF(D223="","","P"&amp;D223&amp;"MA"&amp;COUNTIF($D$14:D223,D223))</f>
        <v/>
      </c>
      <c r="C223" s="162"/>
      <c r="D223" s="163"/>
      <c r="E223" s="164"/>
      <c r="F223" s="164"/>
      <c r="G223" s="164"/>
      <c r="H223" s="164"/>
      <c r="I223" s="162"/>
      <c r="J223" s="144"/>
      <c r="K223" s="144"/>
      <c r="L223" s="144"/>
      <c r="M223" s="145">
        <f t="shared" si="24"/>
        <v>0</v>
      </c>
      <c r="N223" s="145">
        <f t="shared" si="25"/>
        <v>0</v>
      </c>
      <c r="O223" s="146">
        <f t="shared" si="26"/>
        <v>0</v>
      </c>
      <c r="P223" s="146">
        <f>IF(B223="",0,SUMIF('NHAP XUAT'!$G$10:$J$1011,'Ghi So'!B223,'NHAP XUAT'!$J$10:$J$1011))</f>
        <v>0</v>
      </c>
      <c r="Q223" s="146">
        <f t="shared" si="27"/>
        <v>0</v>
      </c>
      <c r="R223" s="169"/>
      <c r="S223" s="169"/>
      <c r="T223" s="146">
        <f t="shared" si="28"/>
        <v>0</v>
      </c>
      <c r="U223" s="121" t="str">
        <f t="shared" si="29"/>
        <v>Close</v>
      </c>
      <c r="V223" s="117"/>
    </row>
    <row r="224" spans="1:22" ht="15" customHeight="1">
      <c r="A224" s="117"/>
      <c r="B224" s="144" t="str">
        <f>IF(D224="","","P"&amp;D224&amp;"MA"&amp;COUNTIF($D$14:D224,D224))</f>
        <v/>
      </c>
      <c r="C224" s="162"/>
      <c r="D224" s="163"/>
      <c r="E224" s="164"/>
      <c r="F224" s="164"/>
      <c r="G224" s="164"/>
      <c r="H224" s="164"/>
      <c r="I224" s="162"/>
      <c r="J224" s="144"/>
      <c r="K224" s="144"/>
      <c r="L224" s="144"/>
      <c r="M224" s="145">
        <f t="shared" si="24"/>
        <v>0</v>
      </c>
      <c r="N224" s="145">
        <f t="shared" si="25"/>
        <v>0</v>
      </c>
      <c r="O224" s="146">
        <f t="shared" si="26"/>
        <v>0</v>
      </c>
      <c r="P224" s="146">
        <f>IF(B224="",0,SUMIF('NHAP XUAT'!$G$10:$J$1011,'Ghi So'!B224,'NHAP XUAT'!$J$10:$J$1011))</f>
        <v>0</v>
      </c>
      <c r="Q224" s="146">
        <f t="shared" si="27"/>
        <v>0</v>
      </c>
      <c r="R224" s="169"/>
      <c r="S224" s="169"/>
      <c r="T224" s="146">
        <f t="shared" si="28"/>
        <v>0</v>
      </c>
      <c r="U224" s="121" t="str">
        <f t="shared" si="29"/>
        <v>Close</v>
      </c>
      <c r="V224" s="117"/>
    </row>
    <row r="225" spans="1:22" ht="15" customHeight="1">
      <c r="A225" s="117"/>
      <c r="B225" s="144" t="str">
        <f>IF(D225="","","P"&amp;D225&amp;"MA"&amp;COUNTIF($D$14:D225,D225))</f>
        <v/>
      </c>
      <c r="C225" s="162"/>
      <c r="D225" s="163"/>
      <c r="E225" s="164"/>
      <c r="F225" s="164"/>
      <c r="G225" s="164"/>
      <c r="H225" s="164"/>
      <c r="I225" s="162"/>
      <c r="J225" s="144"/>
      <c r="K225" s="144"/>
      <c r="L225" s="144"/>
      <c r="M225" s="145">
        <f t="shared" si="24"/>
        <v>0</v>
      </c>
      <c r="N225" s="145">
        <f t="shared" si="25"/>
        <v>0</v>
      </c>
      <c r="O225" s="146">
        <f t="shared" si="26"/>
        <v>0</v>
      </c>
      <c r="P225" s="146">
        <f>IF(B225="",0,SUMIF('NHAP XUAT'!$G$10:$J$1011,'Ghi So'!B225,'NHAP XUAT'!$J$10:$J$1011))</f>
        <v>0</v>
      </c>
      <c r="Q225" s="146">
        <f t="shared" si="27"/>
        <v>0</v>
      </c>
      <c r="R225" s="169"/>
      <c r="S225" s="169"/>
      <c r="T225" s="146">
        <f t="shared" si="28"/>
        <v>0</v>
      </c>
      <c r="U225" s="121" t="str">
        <f t="shared" si="29"/>
        <v>Close</v>
      </c>
      <c r="V225" s="117"/>
    </row>
    <row r="226" spans="1:22" ht="15" customHeight="1">
      <c r="A226" s="117"/>
      <c r="B226" s="144" t="str">
        <f>IF(D226="","","P"&amp;D226&amp;"MA"&amp;COUNTIF($D$14:D226,D226))</f>
        <v/>
      </c>
      <c r="C226" s="162"/>
      <c r="D226" s="163"/>
      <c r="E226" s="164"/>
      <c r="F226" s="164"/>
      <c r="G226" s="164"/>
      <c r="H226" s="164"/>
      <c r="I226" s="162"/>
      <c r="J226" s="144"/>
      <c r="K226" s="144"/>
      <c r="L226" s="144"/>
      <c r="M226" s="145">
        <f t="shared" si="24"/>
        <v>0</v>
      </c>
      <c r="N226" s="145">
        <f t="shared" si="25"/>
        <v>0</v>
      </c>
      <c r="O226" s="146">
        <f t="shared" si="26"/>
        <v>0</v>
      </c>
      <c r="P226" s="146">
        <f>IF(B226="",0,SUMIF('NHAP XUAT'!$G$10:$J$1011,'Ghi So'!B226,'NHAP XUAT'!$J$10:$J$1011))</f>
        <v>0</v>
      </c>
      <c r="Q226" s="146">
        <f t="shared" si="27"/>
        <v>0</v>
      </c>
      <c r="R226" s="169"/>
      <c r="S226" s="169"/>
      <c r="T226" s="146">
        <f t="shared" si="28"/>
        <v>0</v>
      </c>
      <c r="U226" s="121" t="str">
        <f t="shared" si="29"/>
        <v>Close</v>
      </c>
      <c r="V226" s="117"/>
    </row>
    <row r="227" spans="1:22" ht="15" customHeight="1">
      <c r="A227" s="117"/>
      <c r="B227" s="144" t="str">
        <f>IF(D227="","","P"&amp;D227&amp;"MA"&amp;COUNTIF($D$14:D227,D227))</f>
        <v/>
      </c>
      <c r="C227" s="162"/>
      <c r="D227" s="163"/>
      <c r="E227" s="164"/>
      <c r="F227" s="164"/>
      <c r="G227" s="164"/>
      <c r="H227" s="164"/>
      <c r="I227" s="162"/>
      <c r="J227" s="144"/>
      <c r="K227" s="144"/>
      <c r="L227" s="144"/>
      <c r="M227" s="145">
        <f t="shared" si="24"/>
        <v>0</v>
      </c>
      <c r="N227" s="145">
        <f t="shared" si="25"/>
        <v>0</v>
      </c>
      <c r="O227" s="146">
        <f t="shared" si="26"/>
        <v>0</v>
      </c>
      <c r="P227" s="146">
        <f>IF(B227="",0,SUMIF('NHAP XUAT'!$G$10:$J$1011,'Ghi So'!B227,'NHAP XUAT'!$J$10:$J$1011))</f>
        <v>0</v>
      </c>
      <c r="Q227" s="146">
        <f t="shared" si="27"/>
        <v>0</v>
      </c>
      <c r="R227" s="169"/>
      <c r="S227" s="169"/>
      <c r="T227" s="146">
        <f t="shared" si="28"/>
        <v>0</v>
      </c>
      <c r="U227" s="121" t="str">
        <f t="shared" si="29"/>
        <v>Close</v>
      </c>
      <c r="V227" s="117"/>
    </row>
    <row r="228" spans="1:22" ht="15" customHeight="1">
      <c r="A228" s="117"/>
      <c r="B228" s="144" t="str">
        <f>IF(D228="","","P"&amp;D228&amp;"MA"&amp;COUNTIF($D$14:D228,D228))</f>
        <v/>
      </c>
      <c r="C228" s="162"/>
      <c r="D228" s="163"/>
      <c r="E228" s="164"/>
      <c r="F228" s="164"/>
      <c r="G228" s="164"/>
      <c r="H228" s="164"/>
      <c r="I228" s="162"/>
      <c r="J228" s="144"/>
      <c r="K228" s="144"/>
      <c r="L228" s="144"/>
      <c r="M228" s="145">
        <f t="shared" si="24"/>
        <v>0</v>
      </c>
      <c r="N228" s="145">
        <f t="shared" si="25"/>
        <v>0</v>
      </c>
      <c r="O228" s="146">
        <f t="shared" si="26"/>
        <v>0</v>
      </c>
      <c r="P228" s="146">
        <f>IF(B228="",0,SUMIF('NHAP XUAT'!$G$10:$J$1011,'Ghi So'!B228,'NHAP XUAT'!$J$10:$J$1011))</f>
        <v>0</v>
      </c>
      <c r="Q228" s="146">
        <f t="shared" si="27"/>
        <v>0</v>
      </c>
      <c r="R228" s="169"/>
      <c r="S228" s="169"/>
      <c r="T228" s="146">
        <f t="shared" si="28"/>
        <v>0</v>
      </c>
      <c r="U228" s="121" t="str">
        <f t="shared" si="29"/>
        <v>Close</v>
      </c>
      <c r="V228" s="117"/>
    </row>
    <row r="229" spans="1:22" ht="15" customHeight="1">
      <c r="A229" s="117"/>
      <c r="B229" s="144" t="str">
        <f>IF(D229="","","P"&amp;D229&amp;"MA"&amp;COUNTIF($D$14:D229,D229))</f>
        <v/>
      </c>
      <c r="C229" s="162"/>
      <c r="D229" s="163"/>
      <c r="E229" s="164"/>
      <c r="F229" s="164"/>
      <c r="G229" s="164"/>
      <c r="H229" s="164"/>
      <c r="I229" s="162"/>
      <c r="J229" s="144"/>
      <c r="K229" s="144"/>
      <c r="L229" s="144"/>
      <c r="M229" s="145">
        <f t="shared" si="24"/>
        <v>0</v>
      </c>
      <c r="N229" s="145">
        <f t="shared" si="25"/>
        <v>0</v>
      </c>
      <c r="O229" s="146">
        <f t="shared" si="26"/>
        <v>0</v>
      </c>
      <c r="P229" s="146">
        <f>IF(B229="",0,SUMIF('NHAP XUAT'!$G$10:$J$1011,'Ghi So'!B229,'NHAP XUAT'!$J$10:$J$1011))</f>
        <v>0</v>
      </c>
      <c r="Q229" s="146">
        <f t="shared" si="27"/>
        <v>0</v>
      </c>
      <c r="R229" s="169"/>
      <c r="S229" s="169"/>
      <c r="T229" s="146">
        <f t="shared" si="28"/>
        <v>0</v>
      </c>
      <c r="U229" s="121" t="str">
        <f t="shared" si="29"/>
        <v>Close</v>
      </c>
      <c r="V229" s="117"/>
    </row>
    <row r="230" spans="1:22" ht="15" customHeight="1">
      <c r="A230" s="117"/>
      <c r="B230" s="144" t="str">
        <f>IF(D230="","","P"&amp;D230&amp;"MA"&amp;COUNTIF($D$14:D230,D230))</f>
        <v/>
      </c>
      <c r="C230" s="162"/>
      <c r="D230" s="163"/>
      <c r="E230" s="164"/>
      <c r="F230" s="164"/>
      <c r="G230" s="164"/>
      <c r="H230" s="164"/>
      <c r="I230" s="162"/>
      <c r="J230" s="144"/>
      <c r="K230" s="144"/>
      <c r="L230" s="144"/>
      <c r="M230" s="145">
        <f t="shared" si="24"/>
        <v>0</v>
      </c>
      <c r="N230" s="145">
        <f t="shared" si="25"/>
        <v>0</v>
      </c>
      <c r="O230" s="146">
        <f t="shared" si="26"/>
        <v>0</v>
      </c>
      <c r="P230" s="146">
        <f>IF(B230="",0,SUMIF('NHAP XUAT'!$G$10:$J$1011,'Ghi So'!B230,'NHAP XUAT'!$J$10:$J$1011))</f>
        <v>0</v>
      </c>
      <c r="Q230" s="146">
        <f t="shared" si="27"/>
        <v>0</v>
      </c>
      <c r="R230" s="169"/>
      <c r="S230" s="169"/>
      <c r="T230" s="146">
        <f t="shared" si="28"/>
        <v>0</v>
      </c>
      <c r="U230" s="121" t="str">
        <f t="shared" si="29"/>
        <v>Close</v>
      </c>
      <c r="V230" s="117"/>
    </row>
    <row r="231" spans="1:22" ht="15" customHeight="1">
      <c r="A231" s="117"/>
      <c r="B231" s="144" t="str">
        <f>IF(D231="","","P"&amp;D231&amp;"MA"&amp;COUNTIF($D$14:D231,D231))</f>
        <v/>
      </c>
      <c r="C231" s="162"/>
      <c r="D231" s="163"/>
      <c r="E231" s="164"/>
      <c r="F231" s="164"/>
      <c r="G231" s="164"/>
      <c r="H231" s="164"/>
      <c r="I231" s="162"/>
      <c r="J231" s="144"/>
      <c r="K231" s="144"/>
      <c r="L231" s="144"/>
      <c r="M231" s="145">
        <f t="shared" si="24"/>
        <v>0</v>
      </c>
      <c r="N231" s="145">
        <f t="shared" si="25"/>
        <v>0</v>
      </c>
      <c r="O231" s="146">
        <f t="shared" si="26"/>
        <v>0</v>
      </c>
      <c r="P231" s="146">
        <f>IF(B231="",0,SUMIF('NHAP XUAT'!$G$10:$J$1011,'Ghi So'!B231,'NHAP XUAT'!$J$10:$J$1011))</f>
        <v>0</v>
      </c>
      <c r="Q231" s="146">
        <f t="shared" si="27"/>
        <v>0</v>
      </c>
      <c r="R231" s="169"/>
      <c r="S231" s="169"/>
      <c r="T231" s="146">
        <f t="shared" si="28"/>
        <v>0</v>
      </c>
      <c r="U231" s="121" t="str">
        <f t="shared" si="29"/>
        <v>Close</v>
      </c>
      <c r="V231" s="117"/>
    </row>
    <row r="232" spans="1:22" ht="15" customHeight="1">
      <c r="A232" s="117"/>
      <c r="B232" s="144" t="str">
        <f>IF(D232="","","P"&amp;D232&amp;"MA"&amp;COUNTIF($D$14:D232,D232))</f>
        <v/>
      </c>
      <c r="C232" s="162"/>
      <c r="D232" s="163"/>
      <c r="E232" s="164"/>
      <c r="F232" s="164"/>
      <c r="G232" s="164"/>
      <c r="H232" s="164"/>
      <c r="I232" s="162"/>
      <c r="J232" s="144"/>
      <c r="K232" s="144"/>
      <c r="L232" s="144"/>
      <c r="M232" s="145">
        <f t="shared" si="24"/>
        <v>0</v>
      </c>
      <c r="N232" s="145">
        <f t="shared" si="25"/>
        <v>0</v>
      </c>
      <c r="O232" s="146">
        <f t="shared" si="26"/>
        <v>0</v>
      </c>
      <c r="P232" s="146">
        <f>IF(B232="",0,SUMIF('NHAP XUAT'!$G$10:$J$1011,'Ghi So'!B232,'NHAP XUAT'!$J$10:$J$1011))</f>
        <v>0</v>
      </c>
      <c r="Q232" s="146">
        <f t="shared" si="27"/>
        <v>0</v>
      </c>
      <c r="R232" s="169"/>
      <c r="S232" s="169"/>
      <c r="T232" s="146">
        <f t="shared" si="28"/>
        <v>0</v>
      </c>
      <c r="U232" s="121" t="str">
        <f t="shared" si="29"/>
        <v>Close</v>
      </c>
      <c r="V232" s="117"/>
    </row>
    <row r="233" spans="1:22" ht="15" customHeight="1">
      <c r="A233" s="117"/>
      <c r="B233" s="144" t="str">
        <f>IF(D233="","","P"&amp;D233&amp;"MA"&amp;COUNTIF($D$14:D233,D233))</f>
        <v/>
      </c>
      <c r="C233" s="162"/>
      <c r="D233" s="163"/>
      <c r="E233" s="164"/>
      <c r="F233" s="164"/>
      <c r="G233" s="164"/>
      <c r="H233" s="164"/>
      <c r="I233" s="162"/>
      <c r="J233" s="144"/>
      <c r="K233" s="144"/>
      <c r="L233" s="144"/>
      <c r="M233" s="145">
        <f t="shared" si="24"/>
        <v>0</v>
      </c>
      <c r="N233" s="145">
        <f t="shared" si="25"/>
        <v>0</v>
      </c>
      <c r="O233" s="146">
        <f t="shared" si="26"/>
        <v>0</v>
      </c>
      <c r="P233" s="146">
        <f>IF(B233="",0,SUMIF('NHAP XUAT'!$G$10:$J$1011,'Ghi So'!B233,'NHAP XUAT'!$J$10:$J$1011))</f>
        <v>0</v>
      </c>
      <c r="Q233" s="146">
        <f t="shared" si="27"/>
        <v>0</v>
      </c>
      <c r="R233" s="169"/>
      <c r="S233" s="169"/>
      <c r="T233" s="146">
        <f t="shared" si="28"/>
        <v>0</v>
      </c>
      <c r="U233" s="121" t="str">
        <f t="shared" si="29"/>
        <v>Close</v>
      </c>
      <c r="V233" s="117"/>
    </row>
    <row r="234" spans="1:22" ht="15" customHeight="1">
      <c r="A234" s="117"/>
      <c r="B234" s="144" t="str">
        <f>IF(D234="","","P"&amp;D234&amp;"MA"&amp;COUNTIF($D$14:D234,D234))</f>
        <v/>
      </c>
      <c r="C234" s="162"/>
      <c r="D234" s="163"/>
      <c r="E234" s="164"/>
      <c r="F234" s="164"/>
      <c r="G234" s="164"/>
      <c r="H234" s="164"/>
      <c r="I234" s="162"/>
      <c r="J234" s="144"/>
      <c r="K234" s="144"/>
      <c r="L234" s="144"/>
      <c r="M234" s="145">
        <f t="shared" si="24"/>
        <v>0</v>
      </c>
      <c r="N234" s="145">
        <f t="shared" si="25"/>
        <v>0</v>
      </c>
      <c r="O234" s="146">
        <f t="shared" si="26"/>
        <v>0</v>
      </c>
      <c r="P234" s="146">
        <f>IF(B234="",0,SUMIF('NHAP XUAT'!$G$10:$J$1011,'Ghi So'!B234,'NHAP XUAT'!$J$10:$J$1011))</f>
        <v>0</v>
      </c>
      <c r="Q234" s="146">
        <f t="shared" si="27"/>
        <v>0</v>
      </c>
      <c r="R234" s="169"/>
      <c r="S234" s="169"/>
      <c r="T234" s="146">
        <f t="shared" si="28"/>
        <v>0</v>
      </c>
      <c r="U234" s="121" t="str">
        <f t="shared" si="29"/>
        <v>Close</v>
      </c>
      <c r="V234" s="117"/>
    </row>
    <row r="235" spans="1:22" ht="15" customHeight="1">
      <c r="A235" s="117"/>
      <c r="B235" s="144" t="str">
        <f>IF(D235="","","P"&amp;D235&amp;"MA"&amp;COUNTIF($D$14:D235,D235))</f>
        <v/>
      </c>
      <c r="C235" s="162"/>
      <c r="D235" s="163"/>
      <c r="E235" s="164"/>
      <c r="F235" s="164"/>
      <c r="G235" s="164"/>
      <c r="H235" s="164"/>
      <c r="I235" s="162"/>
      <c r="J235" s="144"/>
      <c r="K235" s="144"/>
      <c r="L235" s="144"/>
      <c r="M235" s="145">
        <f t="shared" si="24"/>
        <v>0</v>
      </c>
      <c r="N235" s="145">
        <f t="shared" si="25"/>
        <v>0</v>
      </c>
      <c r="O235" s="146">
        <f t="shared" si="26"/>
        <v>0</v>
      </c>
      <c r="P235" s="146">
        <f>IF(B235="",0,SUMIF('NHAP XUAT'!$G$10:$J$1011,'Ghi So'!B235,'NHAP XUAT'!$J$10:$J$1011))</f>
        <v>0</v>
      </c>
      <c r="Q235" s="146">
        <f t="shared" si="27"/>
        <v>0</v>
      </c>
      <c r="R235" s="169"/>
      <c r="S235" s="169"/>
      <c r="T235" s="146">
        <f t="shared" si="28"/>
        <v>0</v>
      </c>
      <c r="U235" s="121" t="str">
        <f t="shared" si="29"/>
        <v>Close</v>
      </c>
      <c r="V235" s="117"/>
    </row>
    <row r="236" spans="1:22" ht="15" customHeight="1">
      <c r="A236" s="117"/>
      <c r="B236" s="144" t="str">
        <f>IF(D236="","","P"&amp;D236&amp;"MA"&amp;COUNTIF($D$14:D236,D236))</f>
        <v/>
      </c>
      <c r="C236" s="162"/>
      <c r="D236" s="163"/>
      <c r="E236" s="164"/>
      <c r="F236" s="164"/>
      <c r="G236" s="164"/>
      <c r="H236" s="164"/>
      <c r="I236" s="162"/>
      <c r="J236" s="144"/>
      <c r="K236" s="144"/>
      <c r="L236" s="144"/>
      <c r="M236" s="145">
        <f t="shared" si="24"/>
        <v>0</v>
      </c>
      <c r="N236" s="145">
        <f t="shared" si="25"/>
        <v>0</v>
      </c>
      <c r="O236" s="146">
        <f t="shared" si="26"/>
        <v>0</v>
      </c>
      <c r="P236" s="146">
        <f>IF(B236="",0,SUMIF('NHAP XUAT'!$G$10:$J$1011,'Ghi So'!B236,'NHAP XUAT'!$J$10:$J$1011))</f>
        <v>0</v>
      </c>
      <c r="Q236" s="146">
        <f t="shared" si="27"/>
        <v>0</v>
      </c>
      <c r="R236" s="169"/>
      <c r="S236" s="169"/>
      <c r="T236" s="146">
        <f t="shared" si="28"/>
        <v>0</v>
      </c>
      <c r="U236" s="121" t="str">
        <f t="shared" si="29"/>
        <v>Close</v>
      </c>
      <c r="V236" s="117"/>
    </row>
    <row r="237" spans="1:22" ht="15" customHeight="1">
      <c r="A237" s="117"/>
      <c r="B237" s="144" t="str">
        <f>IF(D237="","","P"&amp;D237&amp;"MA"&amp;COUNTIF($D$14:D237,D237))</f>
        <v/>
      </c>
      <c r="C237" s="162"/>
      <c r="D237" s="163"/>
      <c r="E237" s="164"/>
      <c r="F237" s="164"/>
      <c r="G237" s="164"/>
      <c r="H237" s="164"/>
      <c r="I237" s="162"/>
      <c r="J237" s="144"/>
      <c r="K237" s="144"/>
      <c r="L237" s="144"/>
      <c r="M237" s="145">
        <f t="shared" si="24"/>
        <v>0</v>
      </c>
      <c r="N237" s="145">
        <f t="shared" si="25"/>
        <v>0</v>
      </c>
      <c r="O237" s="146">
        <f t="shared" si="26"/>
        <v>0</v>
      </c>
      <c r="P237" s="146">
        <f>IF(B237="",0,SUMIF('NHAP XUAT'!$G$10:$J$1011,'Ghi So'!B237,'NHAP XUAT'!$J$10:$J$1011))</f>
        <v>0</v>
      </c>
      <c r="Q237" s="146">
        <f t="shared" si="27"/>
        <v>0</v>
      </c>
      <c r="R237" s="169"/>
      <c r="S237" s="169"/>
      <c r="T237" s="146">
        <f t="shared" si="28"/>
        <v>0</v>
      </c>
      <c r="U237" s="121" t="str">
        <f t="shared" si="29"/>
        <v>Close</v>
      </c>
      <c r="V237" s="117"/>
    </row>
    <row r="238" spans="1:22" ht="15" customHeight="1">
      <c r="A238" s="117"/>
      <c r="B238" s="144" t="str">
        <f>IF(D238="","","P"&amp;D238&amp;"MA"&amp;COUNTIF($D$14:D238,D238))</f>
        <v/>
      </c>
      <c r="C238" s="162"/>
      <c r="D238" s="163"/>
      <c r="E238" s="164"/>
      <c r="F238" s="164"/>
      <c r="G238" s="164"/>
      <c r="H238" s="164"/>
      <c r="I238" s="162"/>
      <c r="J238" s="144"/>
      <c r="K238" s="144"/>
      <c r="L238" s="144"/>
      <c r="M238" s="145">
        <f t="shared" si="24"/>
        <v>0</v>
      </c>
      <c r="N238" s="145">
        <f t="shared" si="25"/>
        <v>0</v>
      </c>
      <c r="O238" s="146">
        <f t="shared" si="26"/>
        <v>0</v>
      </c>
      <c r="P238" s="146">
        <f>IF(B238="",0,SUMIF('NHAP XUAT'!$G$10:$J$1011,'Ghi So'!B238,'NHAP XUAT'!$J$10:$J$1011))</f>
        <v>0</v>
      </c>
      <c r="Q238" s="146">
        <f t="shared" si="27"/>
        <v>0</v>
      </c>
      <c r="R238" s="169"/>
      <c r="S238" s="169"/>
      <c r="T238" s="146">
        <f t="shared" si="28"/>
        <v>0</v>
      </c>
      <c r="U238" s="121" t="str">
        <f t="shared" si="29"/>
        <v>Close</v>
      </c>
      <c r="V238" s="117"/>
    </row>
    <row r="239" spans="1:22" ht="15" customHeight="1">
      <c r="A239" s="117"/>
      <c r="B239" s="144" t="str">
        <f>IF(D239="","","P"&amp;D239&amp;"MA"&amp;COUNTIF($D$14:D239,D239))</f>
        <v/>
      </c>
      <c r="C239" s="162"/>
      <c r="D239" s="163"/>
      <c r="E239" s="164"/>
      <c r="F239" s="164"/>
      <c r="G239" s="164"/>
      <c r="H239" s="164"/>
      <c r="I239" s="162"/>
      <c r="J239" s="144"/>
      <c r="K239" s="144"/>
      <c r="L239" s="144"/>
      <c r="M239" s="145">
        <f t="shared" si="24"/>
        <v>0</v>
      </c>
      <c r="N239" s="145">
        <f t="shared" si="25"/>
        <v>0</v>
      </c>
      <c r="O239" s="146">
        <f t="shared" si="26"/>
        <v>0</v>
      </c>
      <c r="P239" s="146">
        <f>IF(B239="",0,SUMIF('NHAP XUAT'!$G$10:$J$1011,'Ghi So'!B239,'NHAP XUAT'!$J$10:$J$1011))</f>
        <v>0</v>
      </c>
      <c r="Q239" s="146">
        <f t="shared" si="27"/>
        <v>0</v>
      </c>
      <c r="R239" s="169"/>
      <c r="S239" s="169"/>
      <c r="T239" s="146">
        <f t="shared" si="28"/>
        <v>0</v>
      </c>
      <c r="U239" s="121" t="str">
        <f t="shared" si="29"/>
        <v>Close</v>
      </c>
      <c r="V239" s="117"/>
    </row>
    <row r="240" spans="1:22" ht="15" customHeight="1">
      <c r="A240" s="117"/>
      <c r="B240" s="144" t="str">
        <f>IF(D240="","","P"&amp;D240&amp;"MA"&amp;COUNTIF($D$14:D240,D240))</f>
        <v/>
      </c>
      <c r="C240" s="162"/>
      <c r="D240" s="163"/>
      <c r="E240" s="164"/>
      <c r="F240" s="164"/>
      <c r="G240" s="164"/>
      <c r="H240" s="164"/>
      <c r="I240" s="162"/>
      <c r="J240" s="144"/>
      <c r="K240" s="144"/>
      <c r="L240" s="144"/>
      <c r="M240" s="145">
        <f t="shared" si="24"/>
        <v>0</v>
      </c>
      <c r="N240" s="145">
        <f t="shared" si="25"/>
        <v>0</v>
      </c>
      <c r="O240" s="146">
        <f t="shared" si="26"/>
        <v>0</v>
      </c>
      <c r="P240" s="146">
        <f>IF(B240="",0,SUMIF('NHAP XUAT'!$G$10:$J$1011,'Ghi So'!B240,'NHAP XUAT'!$J$10:$J$1011))</f>
        <v>0</v>
      </c>
      <c r="Q240" s="146">
        <f t="shared" si="27"/>
        <v>0</v>
      </c>
      <c r="R240" s="169"/>
      <c r="S240" s="169"/>
      <c r="T240" s="146">
        <f t="shared" si="28"/>
        <v>0</v>
      </c>
      <c r="U240" s="121" t="str">
        <f t="shared" si="29"/>
        <v>Close</v>
      </c>
      <c r="V240" s="117"/>
    </row>
    <row r="241" spans="1:22" ht="15" customHeight="1">
      <c r="A241" s="117"/>
      <c r="B241" s="144" t="str">
        <f>IF(D241="","","P"&amp;D241&amp;"MA"&amp;COUNTIF($D$14:D241,D241))</f>
        <v/>
      </c>
      <c r="C241" s="162"/>
      <c r="D241" s="163"/>
      <c r="E241" s="164"/>
      <c r="F241" s="164"/>
      <c r="G241" s="164"/>
      <c r="H241" s="164"/>
      <c r="I241" s="162"/>
      <c r="J241" s="144"/>
      <c r="K241" s="144"/>
      <c r="L241" s="144"/>
      <c r="M241" s="145">
        <f t="shared" si="24"/>
        <v>0</v>
      </c>
      <c r="N241" s="145">
        <f t="shared" si="25"/>
        <v>0</v>
      </c>
      <c r="O241" s="146">
        <f t="shared" si="26"/>
        <v>0</v>
      </c>
      <c r="P241" s="146">
        <f>IF(B241="",0,SUMIF('NHAP XUAT'!$G$10:$J$1011,'Ghi So'!B241,'NHAP XUAT'!$J$10:$J$1011))</f>
        <v>0</v>
      </c>
      <c r="Q241" s="146">
        <f t="shared" si="27"/>
        <v>0</v>
      </c>
      <c r="R241" s="169"/>
      <c r="S241" s="169"/>
      <c r="T241" s="146">
        <f t="shared" si="28"/>
        <v>0</v>
      </c>
      <c r="U241" s="121" t="str">
        <f t="shared" si="29"/>
        <v>Close</v>
      </c>
      <c r="V241" s="117"/>
    </row>
    <row r="242" spans="1:22" ht="15" customHeight="1">
      <c r="A242" s="117"/>
      <c r="B242" s="144" t="str">
        <f>IF(D242="","","P"&amp;D242&amp;"MA"&amp;COUNTIF($D$14:D242,D242))</f>
        <v/>
      </c>
      <c r="C242" s="162"/>
      <c r="D242" s="163"/>
      <c r="E242" s="164"/>
      <c r="F242" s="164"/>
      <c r="G242" s="164"/>
      <c r="H242" s="164"/>
      <c r="I242" s="162"/>
      <c r="J242" s="144"/>
      <c r="K242" s="144"/>
      <c r="L242" s="144"/>
      <c r="M242" s="145">
        <f t="shared" si="24"/>
        <v>0</v>
      </c>
      <c r="N242" s="145">
        <f t="shared" si="25"/>
        <v>0</v>
      </c>
      <c r="O242" s="146">
        <f t="shared" si="26"/>
        <v>0</v>
      </c>
      <c r="P242" s="146">
        <f>IF(B242="",0,SUMIF('NHAP XUAT'!$G$10:$J$1011,'Ghi So'!B242,'NHAP XUAT'!$J$10:$J$1011))</f>
        <v>0</v>
      </c>
      <c r="Q242" s="146">
        <f t="shared" si="27"/>
        <v>0</v>
      </c>
      <c r="R242" s="169"/>
      <c r="S242" s="169"/>
      <c r="T242" s="146">
        <f t="shared" si="28"/>
        <v>0</v>
      </c>
      <c r="U242" s="121" t="str">
        <f t="shared" si="29"/>
        <v>Close</v>
      </c>
      <c r="V242" s="117"/>
    </row>
    <row r="243" spans="1:22" ht="15" customHeight="1">
      <c r="A243" s="117"/>
      <c r="B243" s="144" t="str">
        <f>IF(D243="","","P"&amp;D243&amp;"MA"&amp;COUNTIF($D$14:D243,D243))</f>
        <v/>
      </c>
      <c r="C243" s="162"/>
      <c r="D243" s="163"/>
      <c r="E243" s="164"/>
      <c r="F243" s="164"/>
      <c r="G243" s="164"/>
      <c r="H243" s="164"/>
      <c r="I243" s="162"/>
      <c r="J243" s="144"/>
      <c r="K243" s="144"/>
      <c r="L243" s="144"/>
      <c r="M243" s="145">
        <f t="shared" si="24"/>
        <v>0</v>
      </c>
      <c r="N243" s="145">
        <f t="shared" si="25"/>
        <v>0</v>
      </c>
      <c r="O243" s="146">
        <f t="shared" si="26"/>
        <v>0</v>
      </c>
      <c r="P243" s="146">
        <f>IF(B243="",0,SUMIF('NHAP XUAT'!$G$10:$J$1011,'Ghi So'!B243,'NHAP XUAT'!$J$10:$J$1011))</f>
        <v>0</v>
      </c>
      <c r="Q243" s="146">
        <f t="shared" si="27"/>
        <v>0</v>
      </c>
      <c r="R243" s="169"/>
      <c r="S243" s="169"/>
      <c r="T243" s="146">
        <f t="shared" si="28"/>
        <v>0</v>
      </c>
      <c r="U243" s="121" t="str">
        <f t="shared" si="29"/>
        <v>Close</v>
      </c>
      <c r="V243" s="117"/>
    </row>
    <row r="244" spans="1:22" ht="15" customHeight="1">
      <c r="A244" s="117"/>
      <c r="B244" s="144" t="str">
        <f>IF(D244="","","P"&amp;D244&amp;"MA"&amp;COUNTIF($D$14:D244,D244))</f>
        <v/>
      </c>
      <c r="C244" s="162"/>
      <c r="D244" s="163"/>
      <c r="E244" s="164"/>
      <c r="F244" s="164"/>
      <c r="G244" s="164"/>
      <c r="H244" s="164"/>
      <c r="I244" s="162"/>
      <c r="J244" s="144"/>
      <c r="K244" s="144"/>
      <c r="L244" s="144"/>
      <c r="M244" s="145">
        <f t="shared" si="24"/>
        <v>0</v>
      </c>
      <c r="N244" s="145">
        <f t="shared" si="25"/>
        <v>0</v>
      </c>
      <c r="O244" s="146">
        <f t="shared" si="26"/>
        <v>0</v>
      </c>
      <c r="P244" s="146">
        <f>IF(B244="",0,SUMIF('NHAP XUAT'!$G$10:$J$1011,'Ghi So'!B244,'NHAP XUAT'!$J$10:$J$1011))</f>
        <v>0</v>
      </c>
      <c r="Q244" s="146">
        <f t="shared" si="27"/>
        <v>0</v>
      </c>
      <c r="R244" s="169"/>
      <c r="S244" s="169"/>
      <c r="T244" s="146">
        <f t="shared" si="28"/>
        <v>0</v>
      </c>
      <c r="U244" s="121" t="str">
        <f t="shared" si="29"/>
        <v>Close</v>
      </c>
      <c r="V244" s="117"/>
    </row>
    <row r="245" spans="1:22" ht="15" customHeight="1">
      <c r="A245" s="117"/>
      <c r="B245" s="144" t="str">
        <f>IF(D245="","","P"&amp;D245&amp;"MA"&amp;COUNTIF($D$14:D245,D245))</f>
        <v/>
      </c>
      <c r="C245" s="162"/>
      <c r="D245" s="163"/>
      <c r="E245" s="164"/>
      <c r="F245" s="164"/>
      <c r="G245" s="164"/>
      <c r="H245" s="164"/>
      <c r="I245" s="162"/>
      <c r="J245" s="144"/>
      <c r="K245" s="144"/>
      <c r="L245" s="144"/>
      <c r="M245" s="145">
        <f t="shared" si="24"/>
        <v>0</v>
      </c>
      <c r="N245" s="145">
        <f t="shared" si="25"/>
        <v>0</v>
      </c>
      <c r="O245" s="146">
        <f t="shared" si="26"/>
        <v>0</v>
      </c>
      <c r="P245" s="146">
        <f>IF(B245="",0,SUMIF('NHAP XUAT'!$G$10:$J$1011,'Ghi So'!B245,'NHAP XUAT'!$J$10:$J$1011))</f>
        <v>0</v>
      </c>
      <c r="Q245" s="146">
        <f t="shared" si="27"/>
        <v>0</v>
      </c>
      <c r="R245" s="169"/>
      <c r="S245" s="169"/>
      <c r="T245" s="146">
        <f t="shared" si="28"/>
        <v>0</v>
      </c>
      <c r="U245" s="121" t="str">
        <f t="shared" si="29"/>
        <v>Close</v>
      </c>
      <c r="V245" s="117"/>
    </row>
    <row r="246" spans="1:22" ht="15" customHeight="1">
      <c r="A246" s="117"/>
      <c r="B246" s="144" t="str">
        <f>IF(D246="","","P"&amp;D246&amp;"MA"&amp;COUNTIF($D$14:D246,D246))</f>
        <v/>
      </c>
      <c r="C246" s="162"/>
      <c r="D246" s="163"/>
      <c r="E246" s="164"/>
      <c r="F246" s="164"/>
      <c r="G246" s="164"/>
      <c r="H246" s="164"/>
      <c r="I246" s="162"/>
      <c r="J246" s="144"/>
      <c r="K246" s="144"/>
      <c r="L246" s="144"/>
      <c r="M246" s="145">
        <f t="shared" si="24"/>
        <v>0</v>
      </c>
      <c r="N246" s="145">
        <f t="shared" si="25"/>
        <v>0</v>
      </c>
      <c r="O246" s="146">
        <f t="shared" si="26"/>
        <v>0</v>
      </c>
      <c r="P246" s="146">
        <f>IF(B246="",0,SUMIF('NHAP XUAT'!$G$10:$J$1011,'Ghi So'!B246,'NHAP XUAT'!$J$10:$J$1011))</f>
        <v>0</v>
      </c>
      <c r="Q246" s="146">
        <f t="shared" si="27"/>
        <v>0</v>
      </c>
      <c r="R246" s="169"/>
      <c r="S246" s="169"/>
      <c r="T246" s="146">
        <f t="shared" si="28"/>
        <v>0</v>
      </c>
      <c r="U246" s="121" t="str">
        <f t="shared" si="29"/>
        <v>Close</v>
      </c>
      <c r="V246" s="117"/>
    </row>
    <row r="247" spans="1:22" ht="15" customHeight="1">
      <c r="A247" s="117"/>
      <c r="B247" s="144" t="str">
        <f>IF(D247="","","P"&amp;D247&amp;"MA"&amp;COUNTIF($D$14:D247,D247))</f>
        <v/>
      </c>
      <c r="C247" s="162"/>
      <c r="D247" s="163"/>
      <c r="E247" s="164"/>
      <c r="F247" s="164"/>
      <c r="G247" s="164"/>
      <c r="H247" s="164"/>
      <c r="I247" s="162"/>
      <c r="J247" s="144"/>
      <c r="K247" s="144"/>
      <c r="L247" s="144"/>
      <c r="M247" s="145">
        <f t="shared" si="24"/>
        <v>0</v>
      </c>
      <c r="N247" s="145">
        <f t="shared" si="25"/>
        <v>0</v>
      </c>
      <c r="O247" s="146">
        <f t="shared" si="26"/>
        <v>0</v>
      </c>
      <c r="P247" s="146">
        <f>IF(B247="",0,SUMIF('NHAP XUAT'!$G$10:$J$1011,'Ghi So'!B247,'NHAP XUAT'!$J$10:$J$1011))</f>
        <v>0</v>
      </c>
      <c r="Q247" s="146">
        <f t="shared" si="27"/>
        <v>0</v>
      </c>
      <c r="R247" s="169"/>
      <c r="S247" s="169"/>
      <c r="T247" s="146">
        <f t="shared" si="28"/>
        <v>0</v>
      </c>
      <c r="U247" s="121" t="str">
        <f t="shared" si="29"/>
        <v>Close</v>
      </c>
      <c r="V247" s="117"/>
    </row>
    <row r="248" spans="1:22" ht="15" customHeight="1">
      <c r="A248" s="117"/>
      <c r="B248" s="144" t="str">
        <f>IF(D248="","","P"&amp;D248&amp;"MA"&amp;COUNTIF($D$14:D248,D248))</f>
        <v/>
      </c>
      <c r="C248" s="162"/>
      <c r="D248" s="163"/>
      <c r="E248" s="164"/>
      <c r="F248" s="164"/>
      <c r="G248" s="164"/>
      <c r="H248" s="164"/>
      <c r="I248" s="162"/>
      <c r="J248" s="144"/>
      <c r="K248" s="144"/>
      <c r="L248" s="144"/>
      <c r="M248" s="145">
        <f t="shared" si="24"/>
        <v>0</v>
      </c>
      <c r="N248" s="145">
        <f t="shared" si="25"/>
        <v>0</v>
      </c>
      <c r="O248" s="146">
        <f t="shared" si="26"/>
        <v>0</v>
      </c>
      <c r="P248" s="146">
        <f>IF(B248="",0,SUMIF('NHAP XUAT'!$G$10:$J$1011,'Ghi So'!B248,'NHAP XUAT'!$J$10:$J$1011))</f>
        <v>0</v>
      </c>
      <c r="Q248" s="146">
        <f t="shared" si="27"/>
        <v>0</v>
      </c>
      <c r="R248" s="169"/>
      <c r="S248" s="169"/>
      <c r="T248" s="146">
        <f t="shared" si="28"/>
        <v>0</v>
      </c>
      <c r="U248" s="121" t="str">
        <f t="shared" si="29"/>
        <v>Close</v>
      </c>
      <c r="V248" s="117"/>
    </row>
    <row r="249" spans="1:22" ht="15" customHeight="1">
      <c r="A249" s="117"/>
      <c r="B249" s="144" t="str">
        <f>IF(D249="","","P"&amp;D249&amp;"MA"&amp;COUNTIF($D$14:D249,D249))</f>
        <v/>
      </c>
      <c r="C249" s="162"/>
      <c r="D249" s="163"/>
      <c r="E249" s="164"/>
      <c r="F249" s="164"/>
      <c r="G249" s="164"/>
      <c r="H249" s="164"/>
      <c r="I249" s="162"/>
      <c r="J249" s="144"/>
      <c r="K249" s="144"/>
      <c r="L249" s="144"/>
      <c r="M249" s="145">
        <f t="shared" si="24"/>
        <v>0</v>
      </c>
      <c r="N249" s="145">
        <f t="shared" si="25"/>
        <v>0</v>
      </c>
      <c r="O249" s="146">
        <f t="shared" si="26"/>
        <v>0</v>
      </c>
      <c r="P249" s="146">
        <f>IF(B249="",0,SUMIF('NHAP XUAT'!$G$10:$J$1011,'Ghi So'!B249,'NHAP XUAT'!$J$10:$J$1011))</f>
        <v>0</v>
      </c>
      <c r="Q249" s="146">
        <f t="shared" si="27"/>
        <v>0</v>
      </c>
      <c r="R249" s="169"/>
      <c r="S249" s="169"/>
      <c r="T249" s="146">
        <f t="shared" si="28"/>
        <v>0</v>
      </c>
      <c r="U249" s="121" t="str">
        <f t="shared" si="29"/>
        <v>Close</v>
      </c>
      <c r="V249" s="117"/>
    </row>
    <row r="250" spans="1:22" ht="15" customHeight="1">
      <c r="A250" s="117"/>
      <c r="B250" s="144" t="str">
        <f>IF(D250="","","P"&amp;D250&amp;"MA"&amp;COUNTIF($D$14:D250,D250))</f>
        <v/>
      </c>
      <c r="C250" s="162"/>
      <c r="D250" s="163"/>
      <c r="E250" s="164"/>
      <c r="F250" s="164"/>
      <c r="G250" s="164"/>
      <c r="H250" s="164"/>
      <c r="I250" s="162"/>
      <c r="J250" s="144"/>
      <c r="K250" s="144"/>
      <c r="L250" s="144"/>
      <c r="M250" s="145">
        <f t="shared" si="24"/>
        <v>0</v>
      </c>
      <c r="N250" s="145">
        <f t="shared" si="25"/>
        <v>0</v>
      </c>
      <c r="O250" s="146">
        <f t="shared" si="26"/>
        <v>0</v>
      </c>
      <c r="P250" s="146">
        <f>IF(B250="",0,SUMIF('NHAP XUAT'!$G$10:$J$1011,'Ghi So'!B250,'NHAP XUAT'!$J$10:$J$1011))</f>
        <v>0</v>
      </c>
      <c r="Q250" s="146">
        <f t="shared" si="27"/>
        <v>0</v>
      </c>
      <c r="R250" s="169"/>
      <c r="S250" s="169"/>
      <c r="T250" s="146">
        <f t="shared" si="28"/>
        <v>0</v>
      </c>
      <c r="U250" s="121" t="str">
        <f t="shared" si="29"/>
        <v>Close</v>
      </c>
      <c r="V250" s="117"/>
    </row>
    <row r="251" spans="1:22" ht="15" customHeight="1">
      <c r="A251" s="117"/>
      <c r="B251" s="144" t="str">
        <f>IF(D251="","","P"&amp;D251&amp;"MA"&amp;COUNTIF($D$14:D251,D251))</f>
        <v/>
      </c>
      <c r="C251" s="162"/>
      <c r="D251" s="163"/>
      <c r="E251" s="164"/>
      <c r="F251" s="164"/>
      <c r="G251" s="164"/>
      <c r="H251" s="164"/>
      <c r="I251" s="162"/>
      <c r="J251" s="144"/>
      <c r="K251" s="144"/>
      <c r="L251" s="144"/>
      <c r="M251" s="145">
        <f t="shared" si="24"/>
        <v>0</v>
      </c>
      <c r="N251" s="145">
        <f t="shared" si="25"/>
        <v>0</v>
      </c>
      <c r="O251" s="146">
        <f t="shared" si="26"/>
        <v>0</v>
      </c>
      <c r="P251" s="146">
        <f>IF(B251="",0,SUMIF('NHAP XUAT'!$G$10:$J$1011,'Ghi So'!B251,'NHAP XUAT'!$J$10:$J$1011))</f>
        <v>0</v>
      </c>
      <c r="Q251" s="146">
        <f t="shared" si="27"/>
        <v>0</v>
      </c>
      <c r="R251" s="169"/>
      <c r="S251" s="169"/>
      <c r="T251" s="146">
        <f t="shared" si="28"/>
        <v>0</v>
      </c>
      <c r="U251" s="121" t="str">
        <f t="shared" si="29"/>
        <v>Close</v>
      </c>
      <c r="V251" s="117"/>
    </row>
    <row r="252" spans="1:22" ht="15" customHeight="1">
      <c r="A252" s="117"/>
      <c r="B252" s="144" t="str">
        <f>IF(D252="","","P"&amp;D252&amp;"MA"&amp;COUNTIF($D$14:D252,D252))</f>
        <v/>
      </c>
      <c r="C252" s="162"/>
      <c r="D252" s="163"/>
      <c r="E252" s="164"/>
      <c r="F252" s="164"/>
      <c r="G252" s="164"/>
      <c r="H252" s="164"/>
      <c r="I252" s="162"/>
      <c r="J252" s="144"/>
      <c r="K252" s="144"/>
      <c r="L252" s="144"/>
      <c r="M252" s="145">
        <f t="shared" si="24"/>
        <v>0</v>
      </c>
      <c r="N252" s="145">
        <f t="shared" si="25"/>
        <v>0</v>
      </c>
      <c r="O252" s="146">
        <f t="shared" si="26"/>
        <v>0</v>
      </c>
      <c r="P252" s="146">
        <f>IF(B252="",0,SUMIF('NHAP XUAT'!$G$10:$J$1011,'Ghi So'!B252,'NHAP XUAT'!$J$10:$J$1011))</f>
        <v>0</v>
      </c>
      <c r="Q252" s="146">
        <f t="shared" si="27"/>
        <v>0</v>
      </c>
      <c r="R252" s="169"/>
      <c r="S252" s="169"/>
      <c r="T252" s="146">
        <f t="shared" si="28"/>
        <v>0</v>
      </c>
      <c r="U252" s="121" t="str">
        <f t="shared" si="29"/>
        <v>Close</v>
      </c>
      <c r="V252" s="117"/>
    </row>
    <row r="253" spans="1:22" ht="15" customHeight="1">
      <c r="A253" s="117"/>
      <c r="B253" s="144" t="str">
        <f>IF(D253="","","P"&amp;D253&amp;"MA"&amp;COUNTIF($D$14:D253,D253))</f>
        <v/>
      </c>
      <c r="C253" s="162"/>
      <c r="D253" s="163"/>
      <c r="E253" s="164"/>
      <c r="F253" s="164"/>
      <c r="G253" s="164"/>
      <c r="H253" s="164"/>
      <c r="I253" s="162"/>
      <c r="J253" s="144"/>
      <c r="K253" s="144"/>
      <c r="L253" s="144"/>
      <c r="M253" s="145">
        <f t="shared" si="24"/>
        <v>0</v>
      </c>
      <c r="N253" s="145">
        <f t="shared" si="25"/>
        <v>0</v>
      </c>
      <c r="O253" s="146">
        <f t="shared" si="26"/>
        <v>0</v>
      </c>
      <c r="P253" s="146">
        <f>IF(B253="",0,SUMIF('NHAP XUAT'!$G$10:$J$1011,'Ghi So'!B253,'NHAP XUAT'!$J$10:$J$1011))</f>
        <v>0</v>
      </c>
      <c r="Q253" s="146">
        <f t="shared" si="27"/>
        <v>0</v>
      </c>
      <c r="R253" s="169"/>
      <c r="S253" s="169"/>
      <c r="T253" s="146">
        <f t="shared" si="28"/>
        <v>0</v>
      </c>
      <c r="U253" s="121" t="str">
        <f t="shared" si="29"/>
        <v>Close</v>
      </c>
      <c r="V253" s="117"/>
    </row>
    <row r="254" spans="1:22" ht="15" customHeight="1">
      <c r="A254" s="117"/>
      <c r="B254" s="144" t="str">
        <f>IF(D254="","","P"&amp;D254&amp;"MA"&amp;COUNTIF($D$14:D254,D254))</f>
        <v/>
      </c>
      <c r="C254" s="162"/>
      <c r="D254" s="163"/>
      <c r="E254" s="164"/>
      <c r="F254" s="164"/>
      <c r="G254" s="164"/>
      <c r="H254" s="164"/>
      <c r="I254" s="162"/>
      <c r="J254" s="144"/>
      <c r="K254" s="144"/>
      <c r="L254" s="144"/>
      <c r="M254" s="145">
        <f t="shared" si="24"/>
        <v>0</v>
      </c>
      <c r="N254" s="145">
        <f t="shared" si="25"/>
        <v>0</v>
      </c>
      <c r="O254" s="146">
        <f t="shared" si="26"/>
        <v>0</v>
      </c>
      <c r="P254" s="146">
        <f>IF(B254="",0,SUMIF('NHAP XUAT'!$G$10:$J$1011,'Ghi So'!B254,'NHAP XUAT'!$J$10:$J$1011))</f>
        <v>0</v>
      </c>
      <c r="Q254" s="146">
        <f t="shared" si="27"/>
        <v>0</v>
      </c>
      <c r="R254" s="169"/>
      <c r="S254" s="169"/>
      <c r="T254" s="146">
        <f t="shared" si="28"/>
        <v>0</v>
      </c>
      <c r="U254" s="121" t="str">
        <f t="shared" si="29"/>
        <v>Close</v>
      </c>
      <c r="V254" s="117"/>
    </row>
    <row r="255" spans="1:22" ht="15" customHeight="1">
      <c r="A255" s="117"/>
      <c r="B255" s="144" t="str">
        <f>IF(D255="","","P"&amp;D255&amp;"MA"&amp;COUNTIF($D$14:D255,D255))</f>
        <v/>
      </c>
      <c r="C255" s="162"/>
      <c r="D255" s="163"/>
      <c r="E255" s="164"/>
      <c r="F255" s="164"/>
      <c r="G255" s="164"/>
      <c r="H255" s="164"/>
      <c r="I255" s="162"/>
      <c r="J255" s="144"/>
      <c r="K255" s="144"/>
      <c r="L255" s="144"/>
      <c r="M255" s="145">
        <f t="shared" si="24"/>
        <v>0</v>
      </c>
      <c r="N255" s="145">
        <f t="shared" si="25"/>
        <v>0</v>
      </c>
      <c r="O255" s="146">
        <f t="shared" si="26"/>
        <v>0</v>
      </c>
      <c r="P255" s="146">
        <f>IF(B255="",0,SUMIF('NHAP XUAT'!$G$10:$J$1011,'Ghi So'!B255,'NHAP XUAT'!$J$10:$J$1011))</f>
        <v>0</v>
      </c>
      <c r="Q255" s="146">
        <f t="shared" si="27"/>
        <v>0</v>
      </c>
      <c r="R255" s="169"/>
      <c r="S255" s="169"/>
      <c r="T255" s="146">
        <f t="shared" si="28"/>
        <v>0</v>
      </c>
      <c r="U255" s="121" t="str">
        <f t="shared" si="29"/>
        <v>Close</v>
      </c>
      <c r="V255" s="117"/>
    </row>
    <row r="256" spans="1:22" ht="15" customHeight="1">
      <c r="A256" s="117"/>
      <c r="B256" s="144" t="str">
        <f>IF(D256="","","P"&amp;D256&amp;"MA"&amp;COUNTIF($D$14:D256,D256))</f>
        <v/>
      </c>
      <c r="C256" s="162"/>
      <c r="D256" s="163"/>
      <c r="E256" s="164"/>
      <c r="F256" s="164"/>
      <c r="G256" s="164"/>
      <c r="H256" s="164"/>
      <c r="I256" s="162"/>
      <c r="J256" s="144"/>
      <c r="K256" s="144"/>
      <c r="L256" s="144"/>
      <c r="M256" s="145">
        <f t="shared" si="24"/>
        <v>0</v>
      </c>
      <c r="N256" s="145">
        <f t="shared" si="25"/>
        <v>0</v>
      </c>
      <c r="O256" s="146">
        <f t="shared" si="26"/>
        <v>0</v>
      </c>
      <c r="P256" s="146">
        <f>IF(B256="",0,SUMIF('NHAP XUAT'!$G$10:$J$1011,'Ghi So'!B256,'NHAP XUAT'!$J$10:$J$1011))</f>
        <v>0</v>
      </c>
      <c r="Q256" s="146">
        <f t="shared" si="27"/>
        <v>0</v>
      </c>
      <c r="R256" s="169"/>
      <c r="S256" s="169"/>
      <c r="T256" s="146">
        <f t="shared" si="28"/>
        <v>0</v>
      </c>
      <c r="U256" s="121" t="str">
        <f t="shared" si="29"/>
        <v>Close</v>
      </c>
      <c r="V256" s="117"/>
    </row>
    <row r="257" spans="1:22" ht="15" customHeight="1">
      <c r="A257" s="117"/>
      <c r="B257" s="144" t="str">
        <f>IF(D257="","","P"&amp;D257&amp;"MA"&amp;COUNTIF($D$14:D257,D257))</f>
        <v/>
      </c>
      <c r="C257" s="162"/>
      <c r="D257" s="163"/>
      <c r="E257" s="164"/>
      <c r="F257" s="164"/>
      <c r="G257" s="164"/>
      <c r="H257" s="164"/>
      <c r="I257" s="162"/>
      <c r="J257" s="144"/>
      <c r="K257" s="144"/>
      <c r="L257" s="144"/>
      <c r="M257" s="145">
        <f t="shared" si="24"/>
        <v>0</v>
      </c>
      <c r="N257" s="145">
        <f t="shared" si="25"/>
        <v>0</v>
      </c>
      <c r="O257" s="146">
        <f t="shared" si="26"/>
        <v>0</v>
      </c>
      <c r="P257" s="146">
        <f>IF(B257="",0,SUMIF('NHAP XUAT'!$G$10:$J$1011,'Ghi So'!B257,'NHAP XUAT'!$J$10:$J$1011))</f>
        <v>0</v>
      </c>
      <c r="Q257" s="146">
        <f t="shared" si="27"/>
        <v>0</v>
      </c>
      <c r="R257" s="169"/>
      <c r="S257" s="169"/>
      <c r="T257" s="146">
        <f t="shared" si="28"/>
        <v>0</v>
      </c>
      <c r="U257" s="121" t="str">
        <f t="shared" si="29"/>
        <v>Close</v>
      </c>
      <c r="V257" s="117"/>
    </row>
    <row r="258" spans="1:22" ht="15" customHeight="1">
      <c r="A258" s="117"/>
      <c r="B258" s="144" t="str">
        <f>IF(D258="","","P"&amp;D258&amp;"MA"&amp;COUNTIF($D$14:D258,D258))</f>
        <v/>
      </c>
      <c r="C258" s="162"/>
      <c r="D258" s="163"/>
      <c r="E258" s="164"/>
      <c r="F258" s="164"/>
      <c r="G258" s="164"/>
      <c r="H258" s="164"/>
      <c r="I258" s="162"/>
      <c r="J258" s="144"/>
      <c r="K258" s="144"/>
      <c r="L258" s="144"/>
      <c r="M258" s="145">
        <f t="shared" si="24"/>
        <v>0</v>
      </c>
      <c r="N258" s="145">
        <f t="shared" si="25"/>
        <v>0</v>
      </c>
      <c r="O258" s="146">
        <f t="shared" si="26"/>
        <v>0</v>
      </c>
      <c r="P258" s="146">
        <f>IF(B258="",0,SUMIF('NHAP XUAT'!$G$10:$J$1011,'Ghi So'!B258,'NHAP XUAT'!$J$10:$J$1011))</f>
        <v>0</v>
      </c>
      <c r="Q258" s="146">
        <f t="shared" si="27"/>
        <v>0</v>
      </c>
      <c r="R258" s="169"/>
      <c r="S258" s="169"/>
      <c r="T258" s="146">
        <f t="shared" si="28"/>
        <v>0</v>
      </c>
      <c r="U258" s="121" t="str">
        <f t="shared" si="29"/>
        <v>Close</v>
      </c>
      <c r="V258" s="117"/>
    </row>
    <row r="259" spans="1:22" ht="15" customHeight="1">
      <c r="A259" s="117"/>
      <c r="B259" s="144" t="str">
        <f>IF(D259="","","P"&amp;D259&amp;"MA"&amp;COUNTIF($D$14:D259,D259))</f>
        <v/>
      </c>
      <c r="C259" s="162"/>
      <c r="D259" s="163"/>
      <c r="E259" s="164"/>
      <c r="F259" s="164"/>
      <c r="G259" s="164"/>
      <c r="H259" s="164"/>
      <c r="I259" s="162"/>
      <c r="J259" s="144"/>
      <c r="K259" s="144"/>
      <c r="L259" s="144"/>
      <c r="M259" s="145">
        <f t="shared" si="24"/>
        <v>0</v>
      </c>
      <c r="N259" s="145">
        <f t="shared" si="25"/>
        <v>0</v>
      </c>
      <c r="O259" s="146">
        <f t="shared" si="26"/>
        <v>0</v>
      </c>
      <c r="P259" s="146">
        <f>IF(B259="",0,SUMIF('NHAP XUAT'!$G$10:$J$1011,'Ghi So'!B259,'NHAP XUAT'!$J$10:$J$1011))</f>
        <v>0</v>
      </c>
      <c r="Q259" s="146">
        <f t="shared" si="27"/>
        <v>0</v>
      </c>
      <c r="R259" s="169"/>
      <c r="S259" s="169"/>
      <c r="T259" s="146">
        <f t="shared" si="28"/>
        <v>0</v>
      </c>
      <c r="U259" s="121" t="str">
        <f t="shared" si="29"/>
        <v>Close</v>
      </c>
      <c r="V259" s="117"/>
    </row>
    <row r="260" spans="1:22" ht="15" customHeight="1">
      <c r="A260" s="117"/>
      <c r="B260" s="144" t="str">
        <f>IF(D260="","","P"&amp;D260&amp;"MA"&amp;COUNTIF($D$14:D260,D260))</f>
        <v/>
      </c>
      <c r="C260" s="162"/>
      <c r="D260" s="163"/>
      <c r="E260" s="164"/>
      <c r="F260" s="164"/>
      <c r="G260" s="164"/>
      <c r="H260" s="164"/>
      <c r="I260" s="162"/>
      <c r="J260" s="144"/>
      <c r="K260" s="144"/>
      <c r="L260" s="144"/>
      <c r="M260" s="145">
        <f t="shared" si="24"/>
        <v>0</v>
      </c>
      <c r="N260" s="145">
        <f t="shared" si="25"/>
        <v>0</v>
      </c>
      <c r="O260" s="146">
        <f t="shared" si="26"/>
        <v>0</v>
      </c>
      <c r="P260" s="146">
        <f>IF(B260="",0,SUMIF('NHAP XUAT'!$G$10:$J$1011,'Ghi So'!B260,'NHAP XUAT'!$J$10:$J$1011))</f>
        <v>0</v>
      </c>
      <c r="Q260" s="146">
        <f t="shared" si="27"/>
        <v>0</v>
      </c>
      <c r="R260" s="169"/>
      <c r="S260" s="169"/>
      <c r="T260" s="146">
        <f t="shared" si="28"/>
        <v>0</v>
      </c>
      <c r="U260" s="121" t="str">
        <f t="shared" si="29"/>
        <v>Close</v>
      </c>
      <c r="V260" s="117"/>
    </row>
    <row r="261" spans="1:22" ht="15" customHeight="1">
      <c r="A261" s="117"/>
      <c r="B261" s="144" t="str">
        <f>IF(D261="","","P"&amp;D261&amp;"MA"&amp;COUNTIF($D$14:D261,D261))</f>
        <v/>
      </c>
      <c r="C261" s="162"/>
      <c r="D261" s="163"/>
      <c r="E261" s="164"/>
      <c r="F261" s="164"/>
      <c r="G261" s="164"/>
      <c r="H261" s="164"/>
      <c r="I261" s="162"/>
      <c r="J261" s="144"/>
      <c r="K261" s="144"/>
      <c r="L261" s="144"/>
      <c r="M261" s="145">
        <f t="shared" si="24"/>
        <v>0</v>
      </c>
      <c r="N261" s="145">
        <f t="shared" si="25"/>
        <v>0</v>
      </c>
      <c r="O261" s="146">
        <f t="shared" si="26"/>
        <v>0</v>
      </c>
      <c r="P261" s="146">
        <f>IF(B261="",0,SUMIF('NHAP XUAT'!$G$10:$J$1011,'Ghi So'!B261,'NHAP XUAT'!$J$10:$J$1011))</f>
        <v>0</v>
      </c>
      <c r="Q261" s="146">
        <f t="shared" si="27"/>
        <v>0</v>
      </c>
      <c r="R261" s="169"/>
      <c r="S261" s="169"/>
      <c r="T261" s="146">
        <f t="shared" si="28"/>
        <v>0</v>
      </c>
      <c r="U261" s="121" t="str">
        <f t="shared" si="29"/>
        <v>Close</v>
      </c>
      <c r="V261" s="117"/>
    </row>
    <row r="262" spans="1:22" ht="15" customHeight="1">
      <c r="A262" s="117"/>
      <c r="B262" s="144" t="str">
        <f>IF(D262="","","P"&amp;D262&amp;"MA"&amp;COUNTIF($D$14:D262,D262))</f>
        <v/>
      </c>
      <c r="C262" s="162"/>
      <c r="D262" s="163"/>
      <c r="E262" s="164"/>
      <c r="F262" s="164"/>
      <c r="G262" s="164"/>
      <c r="H262" s="164"/>
      <c r="I262" s="162"/>
      <c r="J262" s="144"/>
      <c r="K262" s="144"/>
      <c r="L262" s="144"/>
      <c r="M262" s="145">
        <f t="shared" si="24"/>
        <v>0</v>
      </c>
      <c r="N262" s="145">
        <f t="shared" si="25"/>
        <v>0</v>
      </c>
      <c r="O262" s="146">
        <f t="shared" si="26"/>
        <v>0</v>
      </c>
      <c r="P262" s="146">
        <f>IF(B262="",0,SUMIF('NHAP XUAT'!$G$10:$J$1011,'Ghi So'!B262,'NHAP XUAT'!$J$10:$J$1011))</f>
        <v>0</v>
      </c>
      <c r="Q262" s="146">
        <f t="shared" si="27"/>
        <v>0</v>
      </c>
      <c r="R262" s="169"/>
      <c r="S262" s="169"/>
      <c r="T262" s="146">
        <f t="shared" si="28"/>
        <v>0</v>
      </c>
      <c r="U262" s="121" t="str">
        <f t="shared" si="29"/>
        <v>Close</v>
      </c>
      <c r="V262" s="117"/>
    </row>
    <row r="263" spans="1:22" ht="15" customHeight="1">
      <c r="A263" s="117"/>
      <c r="B263" s="144" t="str">
        <f>IF(D263="","","P"&amp;D263&amp;"MA"&amp;COUNTIF($D$14:D263,D263))</f>
        <v/>
      </c>
      <c r="C263" s="162"/>
      <c r="D263" s="163"/>
      <c r="E263" s="164"/>
      <c r="F263" s="164"/>
      <c r="G263" s="164"/>
      <c r="H263" s="164"/>
      <c r="I263" s="162"/>
      <c r="J263" s="144"/>
      <c r="K263" s="144"/>
      <c r="L263" s="144"/>
      <c r="M263" s="145">
        <f t="shared" si="24"/>
        <v>0</v>
      </c>
      <c r="N263" s="145">
        <f t="shared" si="25"/>
        <v>0</v>
      </c>
      <c r="O263" s="146">
        <f t="shared" si="26"/>
        <v>0</v>
      </c>
      <c r="P263" s="146">
        <f>IF(B263="",0,SUMIF('NHAP XUAT'!$G$10:$J$1011,'Ghi So'!B263,'NHAP XUAT'!$J$10:$J$1011))</f>
        <v>0</v>
      </c>
      <c r="Q263" s="146">
        <f t="shared" si="27"/>
        <v>0</v>
      </c>
      <c r="R263" s="169"/>
      <c r="S263" s="169"/>
      <c r="T263" s="146">
        <f t="shared" si="28"/>
        <v>0</v>
      </c>
      <c r="U263" s="121" t="str">
        <f t="shared" si="29"/>
        <v>Close</v>
      </c>
      <c r="V263" s="117"/>
    </row>
    <row r="264" spans="1:22" ht="15" customHeight="1">
      <c r="A264" s="117"/>
      <c r="B264" s="144" t="str">
        <f>IF(D264="","","P"&amp;D264&amp;"MA"&amp;COUNTIF($D$14:D264,D264))</f>
        <v/>
      </c>
      <c r="C264" s="162"/>
      <c r="D264" s="163"/>
      <c r="E264" s="164"/>
      <c r="F264" s="164"/>
      <c r="G264" s="164"/>
      <c r="H264" s="164"/>
      <c r="I264" s="162"/>
      <c r="J264" s="144"/>
      <c r="K264" s="144"/>
      <c r="L264" s="144"/>
      <c r="M264" s="145">
        <f t="shared" si="24"/>
        <v>0</v>
      </c>
      <c r="N264" s="145">
        <f t="shared" si="25"/>
        <v>0</v>
      </c>
      <c r="O264" s="146">
        <f t="shared" si="26"/>
        <v>0</v>
      </c>
      <c r="P264" s="146">
        <f>IF(B264="",0,SUMIF('NHAP XUAT'!$G$10:$J$1011,'Ghi So'!B264,'NHAP XUAT'!$J$10:$J$1011))</f>
        <v>0</v>
      </c>
      <c r="Q264" s="146">
        <f t="shared" si="27"/>
        <v>0</v>
      </c>
      <c r="R264" s="169"/>
      <c r="S264" s="169"/>
      <c r="T264" s="146">
        <f t="shared" si="28"/>
        <v>0</v>
      </c>
      <c r="U264" s="121" t="str">
        <f t="shared" si="29"/>
        <v>Close</v>
      </c>
      <c r="V264" s="117"/>
    </row>
    <row r="265" spans="1:22" ht="15" customHeight="1">
      <c r="A265" s="117"/>
      <c r="B265" s="144" t="str">
        <f>IF(D265="","","P"&amp;D265&amp;"MA"&amp;COUNTIF($D$14:D265,D265))</f>
        <v/>
      </c>
      <c r="C265" s="162"/>
      <c r="D265" s="163"/>
      <c r="E265" s="164"/>
      <c r="F265" s="164"/>
      <c r="G265" s="164"/>
      <c r="H265" s="164"/>
      <c r="I265" s="162"/>
      <c r="J265" s="144"/>
      <c r="K265" s="144"/>
      <c r="L265" s="144"/>
      <c r="M265" s="145">
        <f t="shared" si="24"/>
        <v>0</v>
      </c>
      <c r="N265" s="145">
        <f t="shared" si="25"/>
        <v>0</v>
      </c>
      <c r="O265" s="146">
        <f t="shared" si="26"/>
        <v>0</v>
      </c>
      <c r="P265" s="146">
        <f>IF(B265="",0,SUMIF('NHAP XUAT'!$G$10:$J$1011,'Ghi So'!B265,'NHAP XUAT'!$J$10:$J$1011))</f>
        <v>0</v>
      </c>
      <c r="Q265" s="146">
        <f t="shared" si="27"/>
        <v>0</v>
      </c>
      <c r="R265" s="169"/>
      <c r="S265" s="169"/>
      <c r="T265" s="146">
        <f t="shared" si="28"/>
        <v>0</v>
      </c>
      <c r="U265" s="121" t="str">
        <f t="shared" si="29"/>
        <v>Close</v>
      </c>
      <c r="V265" s="117"/>
    </row>
    <row r="266" spans="1:22" ht="15" customHeight="1">
      <c r="A266" s="117"/>
      <c r="B266" s="144" t="str">
        <f>IF(D266="","","P"&amp;D266&amp;"MA"&amp;COUNTIF($D$14:D266,D266))</f>
        <v/>
      </c>
      <c r="C266" s="162"/>
      <c r="D266" s="163"/>
      <c r="E266" s="164"/>
      <c r="F266" s="164"/>
      <c r="G266" s="164"/>
      <c r="H266" s="164"/>
      <c r="I266" s="162"/>
      <c r="J266" s="144"/>
      <c r="K266" s="144"/>
      <c r="L266" s="144"/>
      <c r="M266" s="145">
        <f t="shared" si="24"/>
        <v>0</v>
      </c>
      <c r="N266" s="145">
        <f t="shared" si="25"/>
        <v>0</v>
      </c>
      <c r="O266" s="146">
        <f t="shared" si="26"/>
        <v>0</v>
      </c>
      <c r="P266" s="146">
        <f>IF(B266="",0,SUMIF('NHAP XUAT'!$G$10:$J$1011,'Ghi So'!B266,'NHAP XUAT'!$J$10:$J$1011))</f>
        <v>0</v>
      </c>
      <c r="Q266" s="146">
        <f t="shared" si="27"/>
        <v>0</v>
      </c>
      <c r="R266" s="169"/>
      <c r="S266" s="169"/>
      <c r="T266" s="146">
        <f t="shared" si="28"/>
        <v>0</v>
      </c>
      <c r="U266" s="121" t="str">
        <f t="shared" si="29"/>
        <v>Close</v>
      </c>
      <c r="V266" s="117"/>
    </row>
    <row r="267" spans="1:22" ht="15" customHeight="1">
      <c r="A267" s="117"/>
      <c r="B267" s="144" t="str">
        <f>IF(D267="","","P"&amp;D267&amp;"MA"&amp;COUNTIF($D$14:D267,D267))</f>
        <v/>
      </c>
      <c r="C267" s="162"/>
      <c r="D267" s="163"/>
      <c r="E267" s="164"/>
      <c r="F267" s="164"/>
      <c r="G267" s="164"/>
      <c r="H267" s="164"/>
      <c r="I267" s="162"/>
      <c r="J267" s="144"/>
      <c r="K267" s="144"/>
      <c r="L267" s="144"/>
      <c r="M267" s="145">
        <f t="shared" si="24"/>
        <v>0</v>
      </c>
      <c r="N267" s="145">
        <f t="shared" si="25"/>
        <v>0</v>
      </c>
      <c r="O267" s="146">
        <f t="shared" si="26"/>
        <v>0</v>
      </c>
      <c r="P267" s="146">
        <f>IF(B267="",0,SUMIF('NHAP XUAT'!$G$10:$J$1011,'Ghi So'!B267,'NHAP XUAT'!$J$10:$J$1011))</f>
        <v>0</v>
      </c>
      <c r="Q267" s="146">
        <f t="shared" si="27"/>
        <v>0</v>
      </c>
      <c r="R267" s="169"/>
      <c r="S267" s="169"/>
      <c r="T267" s="146">
        <f t="shared" si="28"/>
        <v>0</v>
      </c>
      <c r="U267" s="121" t="str">
        <f t="shared" si="29"/>
        <v>Close</v>
      </c>
      <c r="V267" s="117"/>
    </row>
    <row r="268" spans="1:22" ht="15" customHeight="1">
      <c r="A268" s="117"/>
      <c r="B268" s="144" t="str">
        <f>IF(D268="","","P"&amp;D268&amp;"MA"&amp;COUNTIF($D$14:D268,D268))</f>
        <v/>
      </c>
      <c r="C268" s="162"/>
      <c r="D268" s="163"/>
      <c r="E268" s="164"/>
      <c r="F268" s="164"/>
      <c r="G268" s="164"/>
      <c r="H268" s="164"/>
      <c r="I268" s="162"/>
      <c r="J268" s="144"/>
      <c r="K268" s="144"/>
      <c r="L268" s="144"/>
      <c r="M268" s="145">
        <f t="shared" si="24"/>
        <v>0</v>
      </c>
      <c r="N268" s="145">
        <f t="shared" si="25"/>
        <v>0</v>
      </c>
      <c r="O268" s="146">
        <f t="shared" si="26"/>
        <v>0</v>
      </c>
      <c r="P268" s="146">
        <f>IF(B268="",0,SUMIF('NHAP XUAT'!$G$10:$J$1011,'Ghi So'!B268,'NHAP XUAT'!$J$10:$J$1011))</f>
        <v>0</v>
      </c>
      <c r="Q268" s="146">
        <f t="shared" si="27"/>
        <v>0</v>
      </c>
      <c r="R268" s="169"/>
      <c r="S268" s="169"/>
      <c r="T268" s="146">
        <f t="shared" si="28"/>
        <v>0</v>
      </c>
      <c r="U268" s="121" t="str">
        <f t="shared" si="29"/>
        <v>Close</v>
      </c>
      <c r="V268" s="117"/>
    </row>
    <row r="269" spans="1:22" ht="15" customHeight="1">
      <c r="A269" s="117"/>
      <c r="B269" s="144" t="str">
        <f>IF(D269="","","P"&amp;D269&amp;"MA"&amp;COUNTIF($D$14:D269,D269))</f>
        <v/>
      </c>
      <c r="C269" s="162"/>
      <c r="D269" s="163"/>
      <c r="E269" s="164"/>
      <c r="F269" s="164"/>
      <c r="G269" s="164"/>
      <c r="H269" s="164"/>
      <c r="I269" s="162"/>
      <c r="J269" s="144"/>
      <c r="K269" s="144"/>
      <c r="L269" s="144"/>
      <c r="M269" s="145">
        <f t="shared" si="24"/>
        <v>0</v>
      </c>
      <c r="N269" s="145">
        <f t="shared" si="25"/>
        <v>0</v>
      </c>
      <c r="O269" s="146">
        <f t="shared" si="26"/>
        <v>0</v>
      </c>
      <c r="P269" s="146">
        <f>IF(B269="",0,SUMIF('NHAP XUAT'!$G$10:$J$1011,'Ghi So'!B269,'NHAP XUAT'!$J$10:$J$1011))</f>
        <v>0</v>
      </c>
      <c r="Q269" s="146">
        <f t="shared" si="27"/>
        <v>0</v>
      </c>
      <c r="R269" s="169"/>
      <c r="S269" s="169"/>
      <c r="T269" s="146">
        <f t="shared" si="28"/>
        <v>0</v>
      </c>
      <c r="U269" s="121" t="str">
        <f t="shared" si="29"/>
        <v>Close</v>
      </c>
      <c r="V269" s="117"/>
    </row>
    <row r="270" spans="1:22" ht="15" customHeight="1">
      <c r="A270" s="117"/>
      <c r="B270" s="144" t="str">
        <f>IF(D270="","","P"&amp;D270&amp;"MA"&amp;COUNTIF($D$14:D270,D270))</f>
        <v/>
      </c>
      <c r="C270" s="162"/>
      <c r="D270" s="163"/>
      <c r="E270" s="164"/>
      <c r="F270" s="164"/>
      <c r="G270" s="164"/>
      <c r="H270" s="164"/>
      <c r="I270" s="162"/>
      <c r="J270" s="144"/>
      <c r="K270" s="144"/>
      <c r="L270" s="144"/>
      <c r="M270" s="145">
        <f t="shared" si="24"/>
        <v>0</v>
      </c>
      <c r="N270" s="145">
        <f t="shared" si="25"/>
        <v>0</v>
      </c>
      <c r="O270" s="146">
        <f t="shared" si="26"/>
        <v>0</v>
      </c>
      <c r="P270" s="146">
        <f>IF(B270="",0,SUMIF('NHAP XUAT'!$G$10:$J$1011,'Ghi So'!B270,'NHAP XUAT'!$J$10:$J$1011))</f>
        <v>0</v>
      </c>
      <c r="Q270" s="146">
        <f t="shared" si="27"/>
        <v>0</v>
      </c>
      <c r="R270" s="169"/>
      <c r="S270" s="169"/>
      <c r="T270" s="146">
        <f t="shared" si="28"/>
        <v>0</v>
      </c>
      <c r="U270" s="121" t="str">
        <f t="shared" si="29"/>
        <v>Close</v>
      </c>
      <c r="V270" s="117"/>
    </row>
    <row r="271" spans="1:22" ht="15" customHeight="1">
      <c r="A271" s="117"/>
      <c r="B271" s="144" t="str">
        <f>IF(D271="","","P"&amp;D271&amp;"MA"&amp;COUNTIF($D$14:D271,D271))</f>
        <v/>
      </c>
      <c r="C271" s="162"/>
      <c r="D271" s="163"/>
      <c r="E271" s="164"/>
      <c r="F271" s="164"/>
      <c r="G271" s="164"/>
      <c r="H271" s="164"/>
      <c r="I271" s="162"/>
      <c r="J271" s="144"/>
      <c r="K271" s="144"/>
      <c r="L271" s="144"/>
      <c r="M271" s="145">
        <f t="shared" si="24"/>
        <v>0</v>
      </c>
      <c r="N271" s="145">
        <f t="shared" si="25"/>
        <v>0</v>
      </c>
      <c r="O271" s="146">
        <f t="shared" si="26"/>
        <v>0</v>
      </c>
      <c r="P271" s="146">
        <f>IF(B271="",0,SUMIF('NHAP XUAT'!$G$10:$J$1011,'Ghi So'!B271,'NHAP XUAT'!$J$10:$J$1011))</f>
        <v>0</v>
      </c>
      <c r="Q271" s="146">
        <f t="shared" si="27"/>
        <v>0</v>
      </c>
      <c r="R271" s="169"/>
      <c r="S271" s="169"/>
      <c r="T271" s="146">
        <f t="shared" si="28"/>
        <v>0</v>
      </c>
      <c r="U271" s="121" t="str">
        <f t="shared" si="29"/>
        <v>Close</v>
      </c>
      <c r="V271" s="117"/>
    </row>
    <row r="272" spans="1:22" ht="15" customHeight="1">
      <c r="A272" s="117"/>
      <c r="B272" s="144" t="str">
        <f>IF(D272="","","P"&amp;D272&amp;"MA"&amp;COUNTIF($D$14:D272,D272))</f>
        <v/>
      </c>
      <c r="C272" s="162"/>
      <c r="D272" s="163"/>
      <c r="E272" s="164"/>
      <c r="F272" s="164"/>
      <c r="G272" s="164"/>
      <c r="H272" s="164"/>
      <c r="I272" s="162"/>
      <c r="J272" s="144"/>
      <c r="K272" s="144"/>
      <c r="L272" s="144"/>
      <c r="M272" s="145">
        <f t="shared" si="24"/>
        <v>0</v>
      </c>
      <c r="N272" s="145">
        <f t="shared" si="25"/>
        <v>0</v>
      </c>
      <c r="O272" s="146">
        <f t="shared" si="26"/>
        <v>0</v>
      </c>
      <c r="P272" s="146">
        <f>IF(B272="",0,SUMIF('NHAP XUAT'!$G$10:$J$1011,'Ghi So'!B272,'NHAP XUAT'!$J$10:$J$1011))</f>
        <v>0</v>
      </c>
      <c r="Q272" s="146">
        <f t="shared" si="27"/>
        <v>0</v>
      </c>
      <c r="R272" s="169"/>
      <c r="S272" s="169"/>
      <c r="T272" s="146">
        <f t="shared" si="28"/>
        <v>0</v>
      </c>
      <c r="U272" s="121" t="str">
        <f t="shared" si="29"/>
        <v>Close</v>
      </c>
      <c r="V272" s="117"/>
    </row>
    <row r="273" spans="1:22" ht="15" customHeight="1">
      <c r="A273" s="117"/>
      <c r="B273" s="144" t="str">
        <f>IF(D273="","","P"&amp;D273&amp;"MA"&amp;COUNTIF($D$14:D273,D273))</f>
        <v/>
      </c>
      <c r="C273" s="162"/>
      <c r="D273" s="163"/>
      <c r="E273" s="164"/>
      <c r="F273" s="164"/>
      <c r="G273" s="164"/>
      <c r="H273" s="164"/>
      <c r="I273" s="162"/>
      <c r="J273" s="144"/>
      <c r="K273" s="144"/>
      <c r="L273" s="144"/>
      <c r="M273" s="145">
        <f t="shared" si="24"/>
        <v>0</v>
      </c>
      <c r="N273" s="145">
        <f t="shared" si="25"/>
        <v>0</v>
      </c>
      <c r="O273" s="146">
        <f t="shared" si="26"/>
        <v>0</v>
      </c>
      <c r="P273" s="146">
        <f>IF(B273="",0,SUMIF('NHAP XUAT'!$G$10:$J$1011,'Ghi So'!B273,'NHAP XUAT'!$J$10:$J$1011))</f>
        <v>0</v>
      </c>
      <c r="Q273" s="146">
        <f t="shared" si="27"/>
        <v>0</v>
      </c>
      <c r="R273" s="169"/>
      <c r="S273" s="169"/>
      <c r="T273" s="146">
        <f t="shared" si="28"/>
        <v>0</v>
      </c>
      <c r="U273" s="121" t="str">
        <f t="shared" si="29"/>
        <v>Close</v>
      </c>
      <c r="V273" s="117"/>
    </row>
    <row r="274" spans="1:22" ht="15" customHeight="1">
      <c r="A274" s="117"/>
      <c r="B274" s="144" t="str">
        <f>IF(D274="","","P"&amp;D274&amp;"MA"&amp;COUNTIF($D$14:D274,D274))</f>
        <v/>
      </c>
      <c r="C274" s="162"/>
      <c r="D274" s="163"/>
      <c r="E274" s="164"/>
      <c r="F274" s="164"/>
      <c r="G274" s="164"/>
      <c r="H274" s="164"/>
      <c r="I274" s="162"/>
      <c r="J274" s="144"/>
      <c r="K274" s="144"/>
      <c r="L274" s="144"/>
      <c r="M274" s="145">
        <f t="shared" si="24"/>
        <v>0</v>
      </c>
      <c r="N274" s="145">
        <f t="shared" si="25"/>
        <v>0</v>
      </c>
      <c r="O274" s="146">
        <f t="shared" si="26"/>
        <v>0</v>
      </c>
      <c r="P274" s="146">
        <f>IF(B274="",0,SUMIF('NHAP XUAT'!$G$10:$J$1011,'Ghi So'!B274,'NHAP XUAT'!$J$10:$J$1011))</f>
        <v>0</v>
      </c>
      <c r="Q274" s="146">
        <f t="shared" si="27"/>
        <v>0</v>
      </c>
      <c r="R274" s="169"/>
      <c r="S274" s="169"/>
      <c r="T274" s="146">
        <f t="shared" si="28"/>
        <v>0</v>
      </c>
      <c r="U274" s="121" t="str">
        <f t="shared" si="29"/>
        <v>Close</v>
      </c>
      <c r="V274" s="117"/>
    </row>
    <row r="275" spans="1:22" ht="15" customHeight="1">
      <c r="A275" s="117"/>
      <c r="B275" s="144" t="str">
        <f>IF(D275="","","P"&amp;D275&amp;"MA"&amp;COUNTIF($D$14:D275,D275))</f>
        <v/>
      </c>
      <c r="C275" s="162"/>
      <c r="D275" s="163"/>
      <c r="E275" s="164"/>
      <c r="F275" s="164"/>
      <c r="G275" s="164"/>
      <c r="H275" s="164"/>
      <c r="I275" s="162"/>
      <c r="J275" s="144"/>
      <c r="K275" s="144"/>
      <c r="L275" s="144"/>
      <c r="M275" s="145">
        <f t="shared" si="24"/>
        <v>0</v>
      </c>
      <c r="N275" s="145">
        <f t="shared" si="25"/>
        <v>0</v>
      </c>
      <c r="O275" s="146">
        <f t="shared" si="26"/>
        <v>0</v>
      </c>
      <c r="P275" s="146">
        <f>IF(B275="",0,SUMIF('NHAP XUAT'!$G$10:$J$1011,'Ghi So'!B275,'NHAP XUAT'!$J$10:$J$1011))</f>
        <v>0</v>
      </c>
      <c r="Q275" s="146">
        <f t="shared" si="27"/>
        <v>0</v>
      </c>
      <c r="R275" s="169"/>
      <c r="S275" s="169"/>
      <c r="T275" s="146">
        <f t="shared" si="28"/>
        <v>0</v>
      </c>
      <c r="U275" s="121" t="str">
        <f t="shared" si="29"/>
        <v>Close</v>
      </c>
      <c r="V275" s="117"/>
    </row>
    <row r="276" spans="1:22" ht="15" customHeight="1">
      <c r="A276" s="117"/>
      <c r="B276" s="144" t="str">
        <f>IF(D276="","","P"&amp;D276&amp;"MA"&amp;COUNTIF($D$14:D276,D276))</f>
        <v/>
      </c>
      <c r="C276" s="162"/>
      <c r="D276" s="163"/>
      <c r="E276" s="164"/>
      <c r="F276" s="164"/>
      <c r="G276" s="164"/>
      <c r="H276" s="164"/>
      <c r="I276" s="162"/>
      <c r="J276" s="144"/>
      <c r="K276" s="144"/>
      <c r="L276" s="144"/>
      <c r="M276" s="145">
        <f t="shared" si="24"/>
        <v>0</v>
      </c>
      <c r="N276" s="145">
        <f t="shared" si="25"/>
        <v>0</v>
      </c>
      <c r="O276" s="146">
        <f t="shared" si="26"/>
        <v>0</v>
      </c>
      <c r="P276" s="146">
        <f>IF(B276="",0,SUMIF('NHAP XUAT'!$G$10:$J$1011,'Ghi So'!B276,'NHAP XUAT'!$J$10:$J$1011))</f>
        <v>0</v>
      </c>
      <c r="Q276" s="146">
        <f t="shared" si="27"/>
        <v>0</v>
      </c>
      <c r="R276" s="169"/>
      <c r="S276" s="169"/>
      <c r="T276" s="146">
        <f t="shared" si="28"/>
        <v>0</v>
      </c>
      <c r="U276" s="121" t="str">
        <f t="shared" si="29"/>
        <v>Close</v>
      </c>
      <c r="V276" s="117"/>
    </row>
    <row r="277" spans="1:22" ht="15" customHeight="1">
      <c r="A277" s="117"/>
      <c r="B277" s="144" t="str">
        <f>IF(D277="","","P"&amp;D277&amp;"MA"&amp;COUNTIF($D$14:D277,D277))</f>
        <v/>
      </c>
      <c r="C277" s="162"/>
      <c r="D277" s="163"/>
      <c r="E277" s="164"/>
      <c r="F277" s="164"/>
      <c r="G277" s="164"/>
      <c r="H277" s="164"/>
      <c r="I277" s="162"/>
      <c r="J277" s="144"/>
      <c r="K277" s="144"/>
      <c r="L277" s="144"/>
      <c r="M277" s="145">
        <f t="shared" si="24"/>
        <v>0</v>
      </c>
      <c r="N277" s="145">
        <f t="shared" si="25"/>
        <v>0</v>
      </c>
      <c r="O277" s="146">
        <f t="shared" si="26"/>
        <v>0</v>
      </c>
      <c r="P277" s="146">
        <f>IF(B277="",0,SUMIF('NHAP XUAT'!$G$10:$J$1011,'Ghi So'!B277,'NHAP XUAT'!$J$10:$J$1011))</f>
        <v>0</v>
      </c>
      <c r="Q277" s="146">
        <f t="shared" si="27"/>
        <v>0</v>
      </c>
      <c r="R277" s="169"/>
      <c r="S277" s="169"/>
      <c r="T277" s="146">
        <f t="shared" si="28"/>
        <v>0</v>
      </c>
      <c r="U277" s="121" t="str">
        <f t="shared" si="29"/>
        <v>Close</v>
      </c>
      <c r="V277" s="117"/>
    </row>
    <row r="278" spans="1:22" ht="15" customHeight="1">
      <c r="A278" s="117"/>
      <c r="B278" s="144" t="str">
        <f>IF(D278="","","P"&amp;D278&amp;"MA"&amp;COUNTIF($D$14:D278,D278))</f>
        <v/>
      </c>
      <c r="C278" s="162"/>
      <c r="D278" s="163"/>
      <c r="E278" s="164"/>
      <c r="F278" s="164"/>
      <c r="G278" s="164"/>
      <c r="H278" s="164"/>
      <c r="I278" s="162"/>
      <c r="J278" s="144"/>
      <c r="K278" s="144"/>
      <c r="L278" s="144"/>
      <c r="M278" s="145">
        <f t="shared" si="24"/>
        <v>0</v>
      </c>
      <c r="N278" s="145">
        <f t="shared" si="25"/>
        <v>0</v>
      </c>
      <c r="O278" s="146">
        <f t="shared" si="26"/>
        <v>0</v>
      </c>
      <c r="P278" s="146">
        <f>IF(B278="",0,SUMIF('NHAP XUAT'!$G$10:$J$1011,'Ghi So'!B278,'NHAP XUAT'!$J$10:$J$1011))</f>
        <v>0</v>
      </c>
      <c r="Q278" s="146">
        <f t="shared" si="27"/>
        <v>0</v>
      </c>
      <c r="R278" s="169"/>
      <c r="S278" s="169"/>
      <c r="T278" s="146">
        <f t="shared" si="28"/>
        <v>0</v>
      </c>
      <c r="U278" s="121" t="str">
        <f t="shared" si="29"/>
        <v>Close</v>
      </c>
      <c r="V278" s="117"/>
    </row>
    <row r="279" spans="1:22" ht="15" customHeight="1">
      <c r="A279" s="117"/>
      <c r="B279" s="144" t="str">
        <f>IF(D279="","","P"&amp;D279&amp;"MA"&amp;COUNTIF($D$14:D279,D279))</f>
        <v/>
      </c>
      <c r="C279" s="162"/>
      <c r="D279" s="163"/>
      <c r="E279" s="164"/>
      <c r="F279" s="164"/>
      <c r="G279" s="164"/>
      <c r="H279" s="164"/>
      <c r="I279" s="162"/>
      <c r="J279" s="144"/>
      <c r="K279" s="144"/>
      <c r="L279" s="144"/>
      <c r="M279" s="145">
        <f t="shared" si="24"/>
        <v>0</v>
      </c>
      <c r="N279" s="145">
        <f t="shared" si="25"/>
        <v>0</v>
      </c>
      <c r="O279" s="146">
        <f t="shared" si="26"/>
        <v>0</v>
      </c>
      <c r="P279" s="146">
        <f>IF(B279="",0,SUMIF('NHAP XUAT'!$G$10:$J$1011,'Ghi So'!B279,'NHAP XUAT'!$J$10:$J$1011))</f>
        <v>0</v>
      </c>
      <c r="Q279" s="146">
        <f t="shared" si="27"/>
        <v>0</v>
      </c>
      <c r="R279" s="169"/>
      <c r="S279" s="169"/>
      <c r="T279" s="146">
        <f t="shared" si="28"/>
        <v>0</v>
      </c>
      <c r="U279" s="121" t="str">
        <f t="shared" si="29"/>
        <v>Close</v>
      </c>
      <c r="V279" s="117"/>
    </row>
    <row r="280" spans="1:22" ht="15" customHeight="1">
      <c r="A280" s="117"/>
      <c r="B280" s="144" t="str">
        <f>IF(D280="","","P"&amp;D280&amp;"MA"&amp;COUNTIF($D$14:D280,D280))</f>
        <v/>
      </c>
      <c r="C280" s="162"/>
      <c r="D280" s="163"/>
      <c r="E280" s="164"/>
      <c r="F280" s="164"/>
      <c r="G280" s="164"/>
      <c r="H280" s="164"/>
      <c r="I280" s="162"/>
      <c r="J280" s="144"/>
      <c r="K280" s="144"/>
      <c r="L280" s="144"/>
      <c r="M280" s="145">
        <f t="shared" si="24"/>
        <v>0</v>
      </c>
      <c r="N280" s="145">
        <f t="shared" si="25"/>
        <v>0</v>
      </c>
      <c r="O280" s="146">
        <f t="shared" si="26"/>
        <v>0</v>
      </c>
      <c r="P280" s="146">
        <f>IF(B280="",0,SUMIF('NHAP XUAT'!$G$10:$J$1011,'Ghi So'!B280,'NHAP XUAT'!$J$10:$J$1011))</f>
        <v>0</v>
      </c>
      <c r="Q280" s="146">
        <f t="shared" si="27"/>
        <v>0</v>
      </c>
      <c r="R280" s="169"/>
      <c r="S280" s="169"/>
      <c r="T280" s="146">
        <f t="shared" si="28"/>
        <v>0</v>
      </c>
      <c r="U280" s="121" t="str">
        <f t="shared" si="29"/>
        <v>Close</v>
      </c>
      <c r="V280" s="117"/>
    </row>
    <row r="281" spans="1:22" ht="15" customHeight="1">
      <c r="A281" s="117"/>
      <c r="B281" s="144" t="str">
        <f>IF(D281="","","P"&amp;D281&amp;"MA"&amp;COUNTIF($D$14:D281,D281))</f>
        <v/>
      </c>
      <c r="C281" s="162"/>
      <c r="D281" s="163"/>
      <c r="E281" s="164"/>
      <c r="F281" s="164"/>
      <c r="G281" s="164"/>
      <c r="H281" s="164"/>
      <c r="I281" s="162"/>
      <c r="J281" s="144"/>
      <c r="K281" s="144"/>
      <c r="L281" s="144"/>
      <c r="M281" s="145">
        <f t="shared" si="24"/>
        <v>0</v>
      </c>
      <c r="N281" s="145">
        <f t="shared" si="25"/>
        <v>0</v>
      </c>
      <c r="O281" s="146">
        <f t="shared" si="26"/>
        <v>0</v>
      </c>
      <c r="P281" s="146">
        <f>IF(B281="",0,SUMIF('NHAP XUAT'!$G$10:$J$1011,'Ghi So'!B281,'NHAP XUAT'!$J$10:$J$1011))</f>
        <v>0</v>
      </c>
      <c r="Q281" s="146">
        <f t="shared" si="27"/>
        <v>0</v>
      </c>
      <c r="R281" s="169"/>
      <c r="S281" s="169"/>
      <c r="T281" s="146">
        <f t="shared" si="28"/>
        <v>0</v>
      </c>
      <c r="U281" s="121" t="str">
        <f t="shared" si="29"/>
        <v>Close</v>
      </c>
      <c r="V281" s="117"/>
    </row>
    <row r="282" spans="1:22" ht="15" customHeight="1">
      <c r="A282" s="117"/>
      <c r="B282" s="144" t="str">
        <f>IF(D282="","","P"&amp;D282&amp;"MA"&amp;COUNTIF($D$14:D282,D282))</f>
        <v/>
      </c>
      <c r="C282" s="162"/>
      <c r="D282" s="163"/>
      <c r="E282" s="164"/>
      <c r="F282" s="164"/>
      <c r="G282" s="164"/>
      <c r="H282" s="164"/>
      <c r="I282" s="162"/>
      <c r="J282" s="144"/>
      <c r="K282" s="144"/>
      <c r="L282" s="144"/>
      <c r="M282" s="145">
        <f t="shared" si="24"/>
        <v>0</v>
      </c>
      <c r="N282" s="145">
        <f t="shared" si="25"/>
        <v>0</v>
      </c>
      <c r="O282" s="146">
        <f t="shared" si="26"/>
        <v>0</v>
      </c>
      <c r="P282" s="146">
        <f>IF(B282="",0,SUMIF('NHAP XUAT'!$G$10:$J$1011,'Ghi So'!B282,'NHAP XUAT'!$J$10:$J$1011))</f>
        <v>0</v>
      </c>
      <c r="Q282" s="146">
        <f t="shared" si="27"/>
        <v>0</v>
      </c>
      <c r="R282" s="169"/>
      <c r="S282" s="169"/>
      <c r="T282" s="146">
        <f t="shared" si="28"/>
        <v>0</v>
      </c>
      <c r="U282" s="121" t="str">
        <f t="shared" si="29"/>
        <v>Close</v>
      </c>
      <c r="V282" s="117"/>
    </row>
    <row r="283" spans="1:22" ht="15" customHeight="1">
      <c r="A283" s="117"/>
      <c r="B283" s="144" t="str">
        <f>IF(D283="","","P"&amp;D283&amp;"MA"&amp;COUNTIF($D$14:D283,D283))</f>
        <v/>
      </c>
      <c r="C283" s="162"/>
      <c r="D283" s="163"/>
      <c r="E283" s="164"/>
      <c r="F283" s="164"/>
      <c r="G283" s="164"/>
      <c r="H283" s="164"/>
      <c r="I283" s="162"/>
      <c r="J283" s="144"/>
      <c r="K283" s="144"/>
      <c r="L283" s="144"/>
      <c r="M283" s="145">
        <f t="shared" si="24"/>
        <v>0</v>
      </c>
      <c r="N283" s="145">
        <f t="shared" si="25"/>
        <v>0</v>
      </c>
      <c r="O283" s="146">
        <f t="shared" si="26"/>
        <v>0</v>
      </c>
      <c r="P283" s="146">
        <f>IF(B283="",0,SUMIF('NHAP XUAT'!$G$10:$J$1011,'Ghi So'!B283,'NHAP XUAT'!$J$10:$J$1011))</f>
        <v>0</v>
      </c>
      <c r="Q283" s="146">
        <f t="shared" si="27"/>
        <v>0</v>
      </c>
      <c r="R283" s="169"/>
      <c r="S283" s="169"/>
      <c r="T283" s="146">
        <f t="shared" si="28"/>
        <v>0</v>
      </c>
      <c r="U283" s="121" t="str">
        <f t="shared" si="29"/>
        <v>Close</v>
      </c>
      <c r="V283" s="117"/>
    </row>
    <row r="284" spans="1:22" ht="15" customHeight="1">
      <c r="A284" s="117"/>
      <c r="B284" s="144" t="str">
        <f>IF(D284="","","P"&amp;D284&amp;"MA"&amp;COUNTIF($D$14:D284,D284))</f>
        <v/>
      </c>
      <c r="C284" s="162"/>
      <c r="D284" s="163"/>
      <c r="E284" s="164"/>
      <c r="F284" s="164"/>
      <c r="G284" s="164"/>
      <c r="H284" s="164"/>
      <c r="I284" s="162"/>
      <c r="J284" s="144"/>
      <c r="K284" s="144"/>
      <c r="L284" s="144"/>
      <c r="M284" s="145">
        <f t="shared" si="24"/>
        <v>0</v>
      </c>
      <c r="N284" s="145">
        <f t="shared" si="25"/>
        <v>0</v>
      </c>
      <c r="O284" s="146">
        <f t="shared" si="26"/>
        <v>0</v>
      </c>
      <c r="P284" s="146">
        <f>IF(B284="",0,SUMIF('NHAP XUAT'!$G$10:$J$1011,'Ghi So'!B284,'NHAP XUAT'!$J$10:$J$1011))</f>
        <v>0</v>
      </c>
      <c r="Q284" s="146">
        <f t="shared" si="27"/>
        <v>0</v>
      </c>
      <c r="R284" s="169"/>
      <c r="S284" s="169"/>
      <c r="T284" s="146">
        <f t="shared" si="28"/>
        <v>0</v>
      </c>
      <c r="U284" s="121" t="str">
        <f t="shared" si="29"/>
        <v>Close</v>
      </c>
      <c r="V284" s="117"/>
    </row>
    <row r="285" spans="1:22" ht="15" customHeight="1">
      <c r="A285" s="117"/>
      <c r="B285" s="144" t="str">
        <f>IF(D285="","","P"&amp;D285&amp;"MA"&amp;COUNTIF($D$14:D285,D285))</f>
        <v/>
      </c>
      <c r="C285" s="162"/>
      <c r="D285" s="163"/>
      <c r="E285" s="164"/>
      <c r="F285" s="164"/>
      <c r="G285" s="164"/>
      <c r="H285" s="164"/>
      <c r="I285" s="162"/>
      <c r="J285" s="144"/>
      <c r="K285" s="144"/>
      <c r="L285" s="144"/>
      <c r="M285" s="145">
        <f t="shared" ref="M285:M348" si="30">(IF(I285&lt;&gt;"",(I285-C285)*24*60,0)+G285*60+H285-E285*60-F285)/60</f>
        <v>0</v>
      </c>
      <c r="N285" s="145">
        <f t="shared" ref="N285:N348" si="31">INT(M285)+IF(MOD(M285,2)&gt;0.25,1,0)</f>
        <v>0</v>
      </c>
      <c r="O285" s="146">
        <f t="shared" ref="O285:O348" si="32">IF(J285&lt;&gt;"",DG_nghigio+DG_themgio*(N285-1),IF(K285&lt;&gt;"",DG_quadem+DG_themgio*(N285-12),DG_ngay*L285))</f>
        <v>0</v>
      </c>
      <c r="P285" s="146">
        <f>IF(B285="",0,SUMIF('NHAP XUAT'!$G$10:$J$1011,'Ghi So'!B285,'NHAP XUAT'!$J$10:$J$1011))</f>
        <v>0</v>
      </c>
      <c r="Q285" s="146">
        <f t="shared" ref="Q285:Q348" si="33">O285+P285</f>
        <v>0</v>
      </c>
      <c r="R285" s="169"/>
      <c r="S285" s="169"/>
      <c r="T285" s="146">
        <f t="shared" ref="T285:T348" si="34">R285*S285</f>
        <v>0</v>
      </c>
      <c r="U285" s="121" t="str">
        <f t="shared" ref="U285:U348" si="35">D285&amp;IF(AND(G285="",H285="",I285=""),"Close","Open")</f>
        <v>Close</v>
      </c>
      <c r="V285" s="117"/>
    </row>
    <row r="286" spans="1:22" ht="15" customHeight="1">
      <c r="A286" s="117"/>
      <c r="B286" s="144" t="str">
        <f>IF(D286="","","P"&amp;D286&amp;"MA"&amp;COUNTIF($D$14:D286,D286))</f>
        <v/>
      </c>
      <c r="C286" s="162"/>
      <c r="D286" s="163"/>
      <c r="E286" s="164"/>
      <c r="F286" s="164"/>
      <c r="G286" s="164"/>
      <c r="H286" s="164"/>
      <c r="I286" s="162"/>
      <c r="J286" s="144"/>
      <c r="K286" s="144"/>
      <c r="L286" s="144"/>
      <c r="M286" s="145">
        <f t="shared" si="30"/>
        <v>0</v>
      </c>
      <c r="N286" s="145">
        <f t="shared" si="31"/>
        <v>0</v>
      </c>
      <c r="O286" s="146">
        <f t="shared" si="32"/>
        <v>0</v>
      </c>
      <c r="P286" s="146">
        <f>IF(B286="",0,SUMIF('NHAP XUAT'!$G$10:$J$1011,'Ghi So'!B286,'NHAP XUAT'!$J$10:$J$1011))</f>
        <v>0</v>
      </c>
      <c r="Q286" s="146">
        <f t="shared" si="33"/>
        <v>0</v>
      </c>
      <c r="R286" s="169"/>
      <c r="S286" s="169"/>
      <c r="T286" s="146">
        <f t="shared" si="34"/>
        <v>0</v>
      </c>
      <c r="U286" s="121" t="str">
        <f t="shared" si="35"/>
        <v>Close</v>
      </c>
      <c r="V286" s="117"/>
    </row>
    <row r="287" spans="1:22" ht="15" customHeight="1">
      <c r="A287" s="117"/>
      <c r="B287" s="144" t="str">
        <f>IF(D287="","","P"&amp;D287&amp;"MA"&amp;COUNTIF($D$14:D287,D287))</f>
        <v/>
      </c>
      <c r="C287" s="162"/>
      <c r="D287" s="163"/>
      <c r="E287" s="164"/>
      <c r="F287" s="164"/>
      <c r="G287" s="164"/>
      <c r="H287" s="164"/>
      <c r="I287" s="162"/>
      <c r="J287" s="144"/>
      <c r="K287" s="144"/>
      <c r="L287" s="144"/>
      <c r="M287" s="145">
        <f t="shared" si="30"/>
        <v>0</v>
      </c>
      <c r="N287" s="145">
        <f t="shared" si="31"/>
        <v>0</v>
      </c>
      <c r="O287" s="146">
        <f t="shared" si="32"/>
        <v>0</v>
      </c>
      <c r="P287" s="146">
        <f>IF(B287="",0,SUMIF('NHAP XUAT'!$G$10:$J$1011,'Ghi So'!B287,'NHAP XUAT'!$J$10:$J$1011))</f>
        <v>0</v>
      </c>
      <c r="Q287" s="146">
        <f t="shared" si="33"/>
        <v>0</v>
      </c>
      <c r="R287" s="169"/>
      <c r="S287" s="169"/>
      <c r="T287" s="146">
        <f t="shared" si="34"/>
        <v>0</v>
      </c>
      <c r="U287" s="121" t="str">
        <f t="shared" si="35"/>
        <v>Close</v>
      </c>
      <c r="V287" s="117"/>
    </row>
    <row r="288" spans="1:22" ht="15" customHeight="1">
      <c r="A288" s="117"/>
      <c r="B288" s="144" t="str">
        <f>IF(D288="","","P"&amp;D288&amp;"MA"&amp;COUNTIF($D$14:D288,D288))</f>
        <v/>
      </c>
      <c r="C288" s="162"/>
      <c r="D288" s="163"/>
      <c r="E288" s="164"/>
      <c r="F288" s="164"/>
      <c r="G288" s="164"/>
      <c r="H288" s="164"/>
      <c r="I288" s="162"/>
      <c r="J288" s="144"/>
      <c r="K288" s="144"/>
      <c r="L288" s="144"/>
      <c r="M288" s="145">
        <f t="shared" si="30"/>
        <v>0</v>
      </c>
      <c r="N288" s="145">
        <f t="shared" si="31"/>
        <v>0</v>
      </c>
      <c r="O288" s="146">
        <f t="shared" si="32"/>
        <v>0</v>
      </c>
      <c r="P288" s="146">
        <f>IF(B288="",0,SUMIF('NHAP XUAT'!$G$10:$J$1011,'Ghi So'!B288,'NHAP XUAT'!$J$10:$J$1011))</f>
        <v>0</v>
      </c>
      <c r="Q288" s="146">
        <f t="shared" si="33"/>
        <v>0</v>
      </c>
      <c r="R288" s="169"/>
      <c r="S288" s="169"/>
      <c r="T288" s="146">
        <f t="shared" si="34"/>
        <v>0</v>
      </c>
      <c r="U288" s="121" t="str">
        <f t="shared" si="35"/>
        <v>Close</v>
      </c>
      <c r="V288" s="117"/>
    </row>
    <row r="289" spans="1:22" ht="15" customHeight="1">
      <c r="A289" s="117"/>
      <c r="B289" s="144" t="str">
        <f>IF(D289="","","P"&amp;D289&amp;"MA"&amp;COUNTIF($D$14:D289,D289))</f>
        <v/>
      </c>
      <c r="C289" s="162"/>
      <c r="D289" s="163"/>
      <c r="E289" s="164"/>
      <c r="F289" s="164"/>
      <c r="G289" s="164"/>
      <c r="H289" s="164"/>
      <c r="I289" s="162"/>
      <c r="J289" s="144"/>
      <c r="K289" s="144"/>
      <c r="L289" s="144"/>
      <c r="M289" s="145">
        <f t="shared" si="30"/>
        <v>0</v>
      </c>
      <c r="N289" s="145">
        <f t="shared" si="31"/>
        <v>0</v>
      </c>
      <c r="O289" s="146">
        <f t="shared" si="32"/>
        <v>0</v>
      </c>
      <c r="P289" s="146">
        <f>IF(B289="",0,SUMIF('NHAP XUAT'!$G$10:$J$1011,'Ghi So'!B289,'NHAP XUAT'!$J$10:$J$1011))</f>
        <v>0</v>
      </c>
      <c r="Q289" s="146">
        <f t="shared" si="33"/>
        <v>0</v>
      </c>
      <c r="R289" s="169"/>
      <c r="S289" s="169"/>
      <c r="T289" s="146">
        <f t="shared" si="34"/>
        <v>0</v>
      </c>
      <c r="U289" s="121" t="str">
        <f t="shared" si="35"/>
        <v>Close</v>
      </c>
      <c r="V289" s="117"/>
    </row>
    <row r="290" spans="1:22" ht="15" customHeight="1">
      <c r="A290" s="117"/>
      <c r="B290" s="144" t="str">
        <f>IF(D290="","","P"&amp;D290&amp;"MA"&amp;COUNTIF($D$14:D290,D290))</f>
        <v/>
      </c>
      <c r="C290" s="162"/>
      <c r="D290" s="163"/>
      <c r="E290" s="164"/>
      <c r="F290" s="164"/>
      <c r="G290" s="164"/>
      <c r="H290" s="164"/>
      <c r="I290" s="162"/>
      <c r="J290" s="144"/>
      <c r="K290" s="144"/>
      <c r="L290" s="144"/>
      <c r="M290" s="145">
        <f t="shared" si="30"/>
        <v>0</v>
      </c>
      <c r="N290" s="145">
        <f t="shared" si="31"/>
        <v>0</v>
      </c>
      <c r="O290" s="146">
        <f t="shared" si="32"/>
        <v>0</v>
      </c>
      <c r="P290" s="146">
        <f>IF(B290="",0,SUMIF('NHAP XUAT'!$G$10:$J$1011,'Ghi So'!B290,'NHAP XUAT'!$J$10:$J$1011))</f>
        <v>0</v>
      </c>
      <c r="Q290" s="146">
        <f t="shared" si="33"/>
        <v>0</v>
      </c>
      <c r="R290" s="169"/>
      <c r="S290" s="169"/>
      <c r="T290" s="146">
        <f t="shared" si="34"/>
        <v>0</v>
      </c>
      <c r="U290" s="121" t="str">
        <f t="shared" si="35"/>
        <v>Close</v>
      </c>
      <c r="V290" s="117"/>
    </row>
    <row r="291" spans="1:22" ht="15" customHeight="1">
      <c r="A291" s="117"/>
      <c r="B291" s="144" t="str">
        <f>IF(D291="","","P"&amp;D291&amp;"MA"&amp;COUNTIF($D$14:D291,D291))</f>
        <v/>
      </c>
      <c r="C291" s="162"/>
      <c r="D291" s="163"/>
      <c r="E291" s="164"/>
      <c r="F291" s="164"/>
      <c r="G291" s="164"/>
      <c r="H291" s="164"/>
      <c r="I291" s="162"/>
      <c r="J291" s="144"/>
      <c r="K291" s="144"/>
      <c r="L291" s="144"/>
      <c r="M291" s="145">
        <f t="shared" si="30"/>
        <v>0</v>
      </c>
      <c r="N291" s="145">
        <f t="shared" si="31"/>
        <v>0</v>
      </c>
      <c r="O291" s="146">
        <f t="shared" si="32"/>
        <v>0</v>
      </c>
      <c r="P291" s="146">
        <f>IF(B291="",0,SUMIF('NHAP XUAT'!$G$10:$J$1011,'Ghi So'!B291,'NHAP XUAT'!$J$10:$J$1011))</f>
        <v>0</v>
      </c>
      <c r="Q291" s="146">
        <f t="shared" si="33"/>
        <v>0</v>
      </c>
      <c r="R291" s="169"/>
      <c r="S291" s="169"/>
      <c r="T291" s="146">
        <f t="shared" si="34"/>
        <v>0</v>
      </c>
      <c r="U291" s="121" t="str">
        <f t="shared" si="35"/>
        <v>Close</v>
      </c>
      <c r="V291" s="117"/>
    </row>
    <row r="292" spans="1:22" ht="15" customHeight="1">
      <c r="A292" s="117"/>
      <c r="B292" s="144" t="str">
        <f>IF(D292="","","P"&amp;D292&amp;"MA"&amp;COUNTIF($D$14:D292,D292))</f>
        <v/>
      </c>
      <c r="C292" s="162"/>
      <c r="D292" s="163"/>
      <c r="E292" s="164"/>
      <c r="F292" s="164"/>
      <c r="G292" s="164"/>
      <c r="H292" s="164"/>
      <c r="I292" s="162"/>
      <c r="J292" s="144"/>
      <c r="K292" s="144"/>
      <c r="L292" s="144"/>
      <c r="M292" s="145">
        <f t="shared" si="30"/>
        <v>0</v>
      </c>
      <c r="N292" s="145">
        <f t="shared" si="31"/>
        <v>0</v>
      </c>
      <c r="O292" s="146">
        <f t="shared" si="32"/>
        <v>0</v>
      </c>
      <c r="P292" s="146">
        <f>IF(B292="",0,SUMIF('NHAP XUAT'!$G$10:$J$1011,'Ghi So'!B292,'NHAP XUAT'!$J$10:$J$1011))</f>
        <v>0</v>
      </c>
      <c r="Q292" s="146">
        <f t="shared" si="33"/>
        <v>0</v>
      </c>
      <c r="R292" s="169"/>
      <c r="S292" s="169"/>
      <c r="T292" s="146">
        <f t="shared" si="34"/>
        <v>0</v>
      </c>
      <c r="U292" s="121" t="str">
        <f t="shared" si="35"/>
        <v>Close</v>
      </c>
      <c r="V292" s="117"/>
    </row>
    <row r="293" spans="1:22" ht="15" customHeight="1">
      <c r="A293" s="117"/>
      <c r="B293" s="144" t="str">
        <f>IF(D293="","","P"&amp;D293&amp;"MA"&amp;COUNTIF($D$14:D293,D293))</f>
        <v/>
      </c>
      <c r="C293" s="162"/>
      <c r="D293" s="163"/>
      <c r="E293" s="164"/>
      <c r="F293" s="164"/>
      <c r="G293" s="164"/>
      <c r="H293" s="164"/>
      <c r="I293" s="162"/>
      <c r="J293" s="144"/>
      <c r="K293" s="144"/>
      <c r="L293" s="144"/>
      <c r="M293" s="145">
        <f t="shared" si="30"/>
        <v>0</v>
      </c>
      <c r="N293" s="145">
        <f t="shared" si="31"/>
        <v>0</v>
      </c>
      <c r="O293" s="146">
        <f t="shared" si="32"/>
        <v>0</v>
      </c>
      <c r="P293" s="146">
        <f>IF(B293="",0,SUMIF('NHAP XUAT'!$G$10:$J$1011,'Ghi So'!B293,'NHAP XUAT'!$J$10:$J$1011))</f>
        <v>0</v>
      </c>
      <c r="Q293" s="146">
        <f t="shared" si="33"/>
        <v>0</v>
      </c>
      <c r="R293" s="169"/>
      <c r="S293" s="169"/>
      <c r="T293" s="146">
        <f t="shared" si="34"/>
        <v>0</v>
      </c>
      <c r="U293" s="121" t="str">
        <f t="shared" si="35"/>
        <v>Close</v>
      </c>
      <c r="V293" s="117"/>
    </row>
    <row r="294" spans="1:22" ht="15" customHeight="1">
      <c r="A294" s="117"/>
      <c r="B294" s="144" t="str">
        <f>IF(D294="","","P"&amp;D294&amp;"MA"&amp;COUNTIF($D$14:D294,D294))</f>
        <v/>
      </c>
      <c r="C294" s="162"/>
      <c r="D294" s="163"/>
      <c r="E294" s="164"/>
      <c r="F294" s="164"/>
      <c r="G294" s="164"/>
      <c r="H294" s="164"/>
      <c r="I294" s="162"/>
      <c r="J294" s="144"/>
      <c r="K294" s="144"/>
      <c r="L294" s="144"/>
      <c r="M294" s="145">
        <f t="shared" si="30"/>
        <v>0</v>
      </c>
      <c r="N294" s="145">
        <f t="shared" si="31"/>
        <v>0</v>
      </c>
      <c r="O294" s="146">
        <f t="shared" si="32"/>
        <v>0</v>
      </c>
      <c r="P294" s="146">
        <f>IF(B294="",0,SUMIF('NHAP XUAT'!$G$10:$J$1011,'Ghi So'!B294,'NHAP XUAT'!$J$10:$J$1011))</f>
        <v>0</v>
      </c>
      <c r="Q294" s="146">
        <f t="shared" si="33"/>
        <v>0</v>
      </c>
      <c r="R294" s="169"/>
      <c r="S294" s="169"/>
      <c r="T294" s="146">
        <f t="shared" si="34"/>
        <v>0</v>
      </c>
      <c r="U294" s="121" t="str">
        <f t="shared" si="35"/>
        <v>Close</v>
      </c>
      <c r="V294" s="117"/>
    </row>
    <row r="295" spans="1:22" ht="15" customHeight="1">
      <c r="A295" s="117"/>
      <c r="B295" s="144" t="str">
        <f>IF(D295="","","P"&amp;D295&amp;"MA"&amp;COUNTIF($D$14:D295,D295))</f>
        <v/>
      </c>
      <c r="C295" s="162"/>
      <c r="D295" s="163"/>
      <c r="E295" s="164"/>
      <c r="F295" s="164"/>
      <c r="G295" s="164"/>
      <c r="H295" s="164"/>
      <c r="I295" s="162"/>
      <c r="J295" s="144"/>
      <c r="K295" s="144"/>
      <c r="L295" s="144"/>
      <c r="M295" s="145">
        <f t="shared" si="30"/>
        <v>0</v>
      </c>
      <c r="N295" s="145">
        <f t="shared" si="31"/>
        <v>0</v>
      </c>
      <c r="O295" s="146">
        <f t="shared" si="32"/>
        <v>0</v>
      </c>
      <c r="P295" s="146">
        <f>IF(B295="",0,SUMIF('NHAP XUAT'!$G$10:$J$1011,'Ghi So'!B295,'NHAP XUAT'!$J$10:$J$1011))</f>
        <v>0</v>
      </c>
      <c r="Q295" s="146">
        <f t="shared" si="33"/>
        <v>0</v>
      </c>
      <c r="R295" s="169"/>
      <c r="S295" s="169"/>
      <c r="T295" s="146">
        <f t="shared" si="34"/>
        <v>0</v>
      </c>
      <c r="U295" s="121" t="str">
        <f t="shared" si="35"/>
        <v>Close</v>
      </c>
      <c r="V295" s="117"/>
    </row>
    <row r="296" spans="1:22" ht="15" customHeight="1">
      <c r="A296" s="117"/>
      <c r="B296" s="144" t="str">
        <f>IF(D296="","","P"&amp;D296&amp;"MA"&amp;COUNTIF($D$14:D296,D296))</f>
        <v/>
      </c>
      <c r="C296" s="162"/>
      <c r="D296" s="163"/>
      <c r="E296" s="164"/>
      <c r="F296" s="164"/>
      <c r="G296" s="164"/>
      <c r="H296" s="164"/>
      <c r="I296" s="162"/>
      <c r="J296" s="144"/>
      <c r="K296" s="144"/>
      <c r="L296" s="144"/>
      <c r="M296" s="145">
        <f t="shared" si="30"/>
        <v>0</v>
      </c>
      <c r="N296" s="145">
        <f t="shared" si="31"/>
        <v>0</v>
      </c>
      <c r="O296" s="146">
        <f t="shared" si="32"/>
        <v>0</v>
      </c>
      <c r="P296" s="146">
        <f>IF(B296="",0,SUMIF('NHAP XUAT'!$G$10:$J$1011,'Ghi So'!B296,'NHAP XUAT'!$J$10:$J$1011))</f>
        <v>0</v>
      </c>
      <c r="Q296" s="146">
        <f t="shared" si="33"/>
        <v>0</v>
      </c>
      <c r="R296" s="169"/>
      <c r="S296" s="169"/>
      <c r="T296" s="146">
        <f t="shared" si="34"/>
        <v>0</v>
      </c>
      <c r="U296" s="121" t="str">
        <f t="shared" si="35"/>
        <v>Close</v>
      </c>
      <c r="V296" s="117"/>
    </row>
    <row r="297" spans="1:22" ht="15" customHeight="1">
      <c r="A297" s="117"/>
      <c r="B297" s="144" t="str">
        <f>IF(D297="","","P"&amp;D297&amp;"MA"&amp;COUNTIF($D$14:D297,D297))</f>
        <v/>
      </c>
      <c r="C297" s="162"/>
      <c r="D297" s="163"/>
      <c r="E297" s="164"/>
      <c r="F297" s="164"/>
      <c r="G297" s="164"/>
      <c r="H297" s="164"/>
      <c r="I297" s="162"/>
      <c r="J297" s="144"/>
      <c r="K297" s="144"/>
      <c r="L297" s="144"/>
      <c r="M297" s="145">
        <f t="shared" si="30"/>
        <v>0</v>
      </c>
      <c r="N297" s="145">
        <f t="shared" si="31"/>
        <v>0</v>
      </c>
      <c r="O297" s="146">
        <f t="shared" si="32"/>
        <v>0</v>
      </c>
      <c r="P297" s="146">
        <f>IF(B297="",0,SUMIF('NHAP XUAT'!$G$10:$J$1011,'Ghi So'!B297,'NHAP XUAT'!$J$10:$J$1011))</f>
        <v>0</v>
      </c>
      <c r="Q297" s="146">
        <f t="shared" si="33"/>
        <v>0</v>
      </c>
      <c r="R297" s="169"/>
      <c r="S297" s="169"/>
      <c r="T297" s="146">
        <f t="shared" si="34"/>
        <v>0</v>
      </c>
      <c r="U297" s="121" t="str">
        <f t="shared" si="35"/>
        <v>Close</v>
      </c>
      <c r="V297" s="117"/>
    </row>
    <row r="298" spans="1:22" ht="15" customHeight="1">
      <c r="A298" s="117"/>
      <c r="B298" s="144" t="str">
        <f>IF(D298="","","P"&amp;D298&amp;"MA"&amp;COUNTIF($D$14:D298,D298))</f>
        <v/>
      </c>
      <c r="C298" s="162"/>
      <c r="D298" s="163"/>
      <c r="E298" s="164"/>
      <c r="F298" s="164"/>
      <c r="G298" s="164"/>
      <c r="H298" s="164"/>
      <c r="I298" s="162"/>
      <c r="J298" s="144"/>
      <c r="K298" s="144"/>
      <c r="L298" s="144"/>
      <c r="M298" s="145">
        <f t="shared" si="30"/>
        <v>0</v>
      </c>
      <c r="N298" s="145">
        <f t="shared" si="31"/>
        <v>0</v>
      </c>
      <c r="O298" s="146">
        <f t="shared" si="32"/>
        <v>0</v>
      </c>
      <c r="P298" s="146">
        <f>IF(B298="",0,SUMIF('NHAP XUAT'!$G$10:$J$1011,'Ghi So'!B298,'NHAP XUAT'!$J$10:$J$1011))</f>
        <v>0</v>
      </c>
      <c r="Q298" s="146">
        <f t="shared" si="33"/>
        <v>0</v>
      </c>
      <c r="R298" s="169"/>
      <c r="S298" s="169"/>
      <c r="T298" s="146">
        <f t="shared" si="34"/>
        <v>0</v>
      </c>
      <c r="U298" s="121" t="str">
        <f t="shared" si="35"/>
        <v>Close</v>
      </c>
      <c r="V298" s="117"/>
    </row>
    <row r="299" spans="1:22" ht="15" customHeight="1">
      <c r="A299" s="117"/>
      <c r="B299" s="144" t="str">
        <f>IF(D299="","","P"&amp;D299&amp;"MA"&amp;COUNTIF($D$14:D299,D299))</f>
        <v/>
      </c>
      <c r="C299" s="162"/>
      <c r="D299" s="163"/>
      <c r="E299" s="164"/>
      <c r="F299" s="164"/>
      <c r="G299" s="164"/>
      <c r="H299" s="164"/>
      <c r="I299" s="162"/>
      <c r="J299" s="144"/>
      <c r="K299" s="144"/>
      <c r="L299" s="144"/>
      <c r="M299" s="145">
        <f t="shared" si="30"/>
        <v>0</v>
      </c>
      <c r="N299" s="145">
        <f t="shared" si="31"/>
        <v>0</v>
      </c>
      <c r="O299" s="146">
        <f t="shared" si="32"/>
        <v>0</v>
      </c>
      <c r="P299" s="146">
        <f>IF(B299="",0,SUMIF('NHAP XUAT'!$G$10:$J$1011,'Ghi So'!B299,'NHAP XUAT'!$J$10:$J$1011))</f>
        <v>0</v>
      </c>
      <c r="Q299" s="146">
        <f t="shared" si="33"/>
        <v>0</v>
      </c>
      <c r="R299" s="169"/>
      <c r="S299" s="169"/>
      <c r="T299" s="146">
        <f t="shared" si="34"/>
        <v>0</v>
      </c>
      <c r="U299" s="121" t="str">
        <f t="shared" si="35"/>
        <v>Close</v>
      </c>
      <c r="V299" s="117"/>
    </row>
    <row r="300" spans="1:22" ht="15" customHeight="1">
      <c r="A300" s="117"/>
      <c r="B300" s="144" t="str">
        <f>IF(D300="","","P"&amp;D300&amp;"MA"&amp;COUNTIF($D$14:D300,D300))</f>
        <v/>
      </c>
      <c r="C300" s="162"/>
      <c r="D300" s="163"/>
      <c r="E300" s="164"/>
      <c r="F300" s="164"/>
      <c r="G300" s="164"/>
      <c r="H300" s="164"/>
      <c r="I300" s="162"/>
      <c r="J300" s="144"/>
      <c r="K300" s="144"/>
      <c r="L300" s="144"/>
      <c r="M300" s="145">
        <f t="shared" si="30"/>
        <v>0</v>
      </c>
      <c r="N300" s="145">
        <f t="shared" si="31"/>
        <v>0</v>
      </c>
      <c r="O300" s="146">
        <f t="shared" si="32"/>
        <v>0</v>
      </c>
      <c r="P300" s="146">
        <f>IF(B300="",0,SUMIF('NHAP XUAT'!$G$10:$J$1011,'Ghi So'!B300,'NHAP XUAT'!$J$10:$J$1011))</f>
        <v>0</v>
      </c>
      <c r="Q300" s="146">
        <f t="shared" si="33"/>
        <v>0</v>
      </c>
      <c r="R300" s="169"/>
      <c r="S300" s="169"/>
      <c r="T300" s="146">
        <f t="shared" si="34"/>
        <v>0</v>
      </c>
      <c r="U300" s="121" t="str">
        <f t="shared" si="35"/>
        <v>Close</v>
      </c>
      <c r="V300" s="117"/>
    </row>
    <row r="301" spans="1:22" ht="15" customHeight="1">
      <c r="A301" s="117"/>
      <c r="B301" s="144" t="str">
        <f>IF(D301="","","P"&amp;D301&amp;"MA"&amp;COUNTIF($D$14:D301,D301))</f>
        <v/>
      </c>
      <c r="C301" s="162"/>
      <c r="D301" s="163"/>
      <c r="E301" s="164"/>
      <c r="F301" s="164"/>
      <c r="G301" s="164"/>
      <c r="H301" s="164"/>
      <c r="I301" s="162"/>
      <c r="J301" s="144"/>
      <c r="K301" s="144"/>
      <c r="L301" s="144"/>
      <c r="M301" s="145">
        <f t="shared" si="30"/>
        <v>0</v>
      </c>
      <c r="N301" s="145">
        <f t="shared" si="31"/>
        <v>0</v>
      </c>
      <c r="O301" s="146">
        <f t="shared" si="32"/>
        <v>0</v>
      </c>
      <c r="P301" s="146">
        <f>IF(B301="",0,SUMIF('NHAP XUAT'!$G$10:$J$1011,'Ghi So'!B301,'NHAP XUAT'!$J$10:$J$1011))</f>
        <v>0</v>
      </c>
      <c r="Q301" s="146">
        <f t="shared" si="33"/>
        <v>0</v>
      </c>
      <c r="R301" s="169"/>
      <c r="S301" s="169"/>
      <c r="T301" s="146">
        <f t="shared" si="34"/>
        <v>0</v>
      </c>
      <c r="U301" s="121" t="str">
        <f t="shared" si="35"/>
        <v>Close</v>
      </c>
      <c r="V301" s="117"/>
    </row>
    <row r="302" spans="1:22" ht="15" customHeight="1">
      <c r="A302" s="117"/>
      <c r="B302" s="144" t="str">
        <f>IF(D302="","","P"&amp;D302&amp;"MA"&amp;COUNTIF($D$14:D302,D302))</f>
        <v/>
      </c>
      <c r="C302" s="162"/>
      <c r="D302" s="163"/>
      <c r="E302" s="164"/>
      <c r="F302" s="164"/>
      <c r="G302" s="164"/>
      <c r="H302" s="164"/>
      <c r="I302" s="162"/>
      <c r="J302" s="144"/>
      <c r="K302" s="144"/>
      <c r="L302" s="144"/>
      <c r="M302" s="145">
        <f t="shared" si="30"/>
        <v>0</v>
      </c>
      <c r="N302" s="145">
        <f t="shared" si="31"/>
        <v>0</v>
      </c>
      <c r="O302" s="146">
        <f t="shared" si="32"/>
        <v>0</v>
      </c>
      <c r="P302" s="146">
        <f>IF(B302="",0,SUMIF('NHAP XUAT'!$G$10:$J$1011,'Ghi So'!B302,'NHAP XUAT'!$J$10:$J$1011))</f>
        <v>0</v>
      </c>
      <c r="Q302" s="146">
        <f t="shared" si="33"/>
        <v>0</v>
      </c>
      <c r="R302" s="169"/>
      <c r="S302" s="169"/>
      <c r="T302" s="146">
        <f t="shared" si="34"/>
        <v>0</v>
      </c>
      <c r="U302" s="121" t="str">
        <f t="shared" si="35"/>
        <v>Close</v>
      </c>
      <c r="V302" s="117"/>
    </row>
    <row r="303" spans="1:22" ht="15" customHeight="1">
      <c r="A303" s="117"/>
      <c r="B303" s="144" t="str">
        <f>IF(D303="","","P"&amp;D303&amp;"MA"&amp;COUNTIF($D$14:D303,D303))</f>
        <v/>
      </c>
      <c r="C303" s="162"/>
      <c r="D303" s="163"/>
      <c r="E303" s="164"/>
      <c r="F303" s="164"/>
      <c r="G303" s="164"/>
      <c r="H303" s="164"/>
      <c r="I303" s="162"/>
      <c r="J303" s="144"/>
      <c r="K303" s="144"/>
      <c r="L303" s="144"/>
      <c r="M303" s="145">
        <f t="shared" si="30"/>
        <v>0</v>
      </c>
      <c r="N303" s="145">
        <f t="shared" si="31"/>
        <v>0</v>
      </c>
      <c r="O303" s="146">
        <f t="shared" si="32"/>
        <v>0</v>
      </c>
      <c r="P303" s="146">
        <f>IF(B303="",0,SUMIF('NHAP XUAT'!$G$10:$J$1011,'Ghi So'!B303,'NHAP XUAT'!$J$10:$J$1011))</f>
        <v>0</v>
      </c>
      <c r="Q303" s="146">
        <f t="shared" si="33"/>
        <v>0</v>
      </c>
      <c r="R303" s="169"/>
      <c r="S303" s="169"/>
      <c r="T303" s="146">
        <f t="shared" si="34"/>
        <v>0</v>
      </c>
      <c r="U303" s="121" t="str">
        <f t="shared" si="35"/>
        <v>Close</v>
      </c>
      <c r="V303" s="117"/>
    </row>
    <row r="304" spans="1:22" ht="15" customHeight="1">
      <c r="A304" s="117"/>
      <c r="B304" s="144" t="str">
        <f>IF(D304="","","P"&amp;D304&amp;"MA"&amp;COUNTIF($D$14:D304,D304))</f>
        <v/>
      </c>
      <c r="C304" s="162"/>
      <c r="D304" s="163"/>
      <c r="E304" s="164"/>
      <c r="F304" s="164"/>
      <c r="G304" s="164"/>
      <c r="H304" s="164"/>
      <c r="I304" s="162"/>
      <c r="J304" s="144"/>
      <c r="K304" s="144"/>
      <c r="L304" s="144"/>
      <c r="M304" s="145">
        <f t="shared" si="30"/>
        <v>0</v>
      </c>
      <c r="N304" s="145">
        <f t="shared" si="31"/>
        <v>0</v>
      </c>
      <c r="O304" s="146">
        <f t="shared" si="32"/>
        <v>0</v>
      </c>
      <c r="P304" s="146">
        <f>IF(B304="",0,SUMIF('NHAP XUAT'!$G$10:$J$1011,'Ghi So'!B304,'NHAP XUAT'!$J$10:$J$1011))</f>
        <v>0</v>
      </c>
      <c r="Q304" s="146">
        <f t="shared" si="33"/>
        <v>0</v>
      </c>
      <c r="R304" s="169"/>
      <c r="S304" s="169"/>
      <c r="T304" s="146">
        <f t="shared" si="34"/>
        <v>0</v>
      </c>
      <c r="U304" s="121" t="str">
        <f t="shared" si="35"/>
        <v>Close</v>
      </c>
      <c r="V304" s="117"/>
    </row>
    <row r="305" spans="1:22" ht="15" customHeight="1">
      <c r="A305" s="117"/>
      <c r="B305" s="144" t="str">
        <f>IF(D305="","","P"&amp;D305&amp;"MA"&amp;COUNTIF($D$14:D305,D305))</f>
        <v/>
      </c>
      <c r="C305" s="162"/>
      <c r="D305" s="163"/>
      <c r="E305" s="164"/>
      <c r="F305" s="164"/>
      <c r="G305" s="164"/>
      <c r="H305" s="164"/>
      <c r="I305" s="162"/>
      <c r="J305" s="144"/>
      <c r="K305" s="144"/>
      <c r="L305" s="144"/>
      <c r="M305" s="145">
        <f t="shared" si="30"/>
        <v>0</v>
      </c>
      <c r="N305" s="145">
        <f t="shared" si="31"/>
        <v>0</v>
      </c>
      <c r="O305" s="146">
        <f t="shared" si="32"/>
        <v>0</v>
      </c>
      <c r="P305" s="146">
        <f>IF(B305="",0,SUMIF('NHAP XUAT'!$G$10:$J$1011,'Ghi So'!B305,'NHAP XUAT'!$J$10:$J$1011))</f>
        <v>0</v>
      </c>
      <c r="Q305" s="146">
        <f t="shared" si="33"/>
        <v>0</v>
      </c>
      <c r="R305" s="169"/>
      <c r="S305" s="169"/>
      <c r="T305" s="146">
        <f t="shared" si="34"/>
        <v>0</v>
      </c>
      <c r="U305" s="121" t="str">
        <f t="shared" si="35"/>
        <v>Close</v>
      </c>
      <c r="V305" s="117"/>
    </row>
    <row r="306" spans="1:22" ht="15" customHeight="1">
      <c r="A306" s="117"/>
      <c r="B306" s="144" t="str">
        <f>IF(D306="","","P"&amp;D306&amp;"MA"&amp;COUNTIF($D$14:D306,D306))</f>
        <v/>
      </c>
      <c r="C306" s="162"/>
      <c r="D306" s="163"/>
      <c r="E306" s="164"/>
      <c r="F306" s="164"/>
      <c r="G306" s="164"/>
      <c r="H306" s="164"/>
      <c r="I306" s="162"/>
      <c r="J306" s="144"/>
      <c r="K306" s="144"/>
      <c r="L306" s="144"/>
      <c r="M306" s="145">
        <f t="shared" si="30"/>
        <v>0</v>
      </c>
      <c r="N306" s="145">
        <f t="shared" si="31"/>
        <v>0</v>
      </c>
      <c r="O306" s="146">
        <f t="shared" si="32"/>
        <v>0</v>
      </c>
      <c r="P306" s="146">
        <f>IF(B306="",0,SUMIF('NHAP XUAT'!$G$10:$J$1011,'Ghi So'!B306,'NHAP XUAT'!$J$10:$J$1011))</f>
        <v>0</v>
      </c>
      <c r="Q306" s="146">
        <f t="shared" si="33"/>
        <v>0</v>
      </c>
      <c r="R306" s="169"/>
      <c r="S306" s="169"/>
      <c r="T306" s="146">
        <f t="shared" si="34"/>
        <v>0</v>
      </c>
      <c r="U306" s="121" t="str">
        <f t="shared" si="35"/>
        <v>Close</v>
      </c>
      <c r="V306" s="117"/>
    </row>
    <row r="307" spans="1:22" ht="15" customHeight="1">
      <c r="A307" s="117"/>
      <c r="B307" s="144" t="str">
        <f>IF(D307="","","P"&amp;D307&amp;"MA"&amp;COUNTIF($D$14:D307,D307))</f>
        <v/>
      </c>
      <c r="C307" s="162"/>
      <c r="D307" s="163"/>
      <c r="E307" s="164"/>
      <c r="F307" s="164"/>
      <c r="G307" s="164"/>
      <c r="H307" s="164"/>
      <c r="I307" s="162"/>
      <c r="J307" s="144"/>
      <c r="K307" s="144"/>
      <c r="L307" s="144"/>
      <c r="M307" s="145">
        <f t="shared" si="30"/>
        <v>0</v>
      </c>
      <c r="N307" s="145">
        <f t="shared" si="31"/>
        <v>0</v>
      </c>
      <c r="O307" s="146">
        <f t="shared" si="32"/>
        <v>0</v>
      </c>
      <c r="P307" s="146">
        <f>IF(B307="",0,SUMIF('NHAP XUAT'!$G$10:$J$1011,'Ghi So'!B307,'NHAP XUAT'!$J$10:$J$1011))</f>
        <v>0</v>
      </c>
      <c r="Q307" s="146">
        <f t="shared" si="33"/>
        <v>0</v>
      </c>
      <c r="R307" s="169"/>
      <c r="S307" s="169"/>
      <c r="T307" s="146">
        <f t="shared" si="34"/>
        <v>0</v>
      </c>
      <c r="U307" s="121" t="str">
        <f t="shared" si="35"/>
        <v>Close</v>
      </c>
      <c r="V307" s="117"/>
    </row>
    <row r="308" spans="1:22" ht="15" customHeight="1">
      <c r="A308" s="117"/>
      <c r="B308" s="144" t="str">
        <f>IF(D308="","","P"&amp;D308&amp;"MA"&amp;COUNTIF($D$14:D308,D308))</f>
        <v/>
      </c>
      <c r="C308" s="162"/>
      <c r="D308" s="163"/>
      <c r="E308" s="164"/>
      <c r="F308" s="164"/>
      <c r="G308" s="164"/>
      <c r="H308" s="164"/>
      <c r="I308" s="162"/>
      <c r="J308" s="144"/>
      <c r="K308" s="144"/>
      <c r="L308" s="144"/>
      <c r="M308" s="145">
        <f t="shared" si="30"/>
        <v>0</v>
      </c>
      <c r="N308" s="145">
        <f t="shared" si="31"/>
        <v>0</v>
      </c>
      <c r="O308" s="146">
        <f t="shared" si="32"/>
        <v>0</v>
      </c>
      <c r="P308" s="146">
        <f>IF(B308="",0,SUMIF('NHAP XUAT'!$G$10:$J$1011,'Ghi So'!B308,'NHAP XUAT'!$J$10:$J$1011))</f>
        <v>0</v>
      </c>
      <c r="Q308" s="146">
        <f t="shared" si="33"/>
        <v>0</v>
      </c>
      <c r="R308" s="169"/>
      <c r="S308" s="169"/>
      <c r="T308" s="146">
        <f t="shared" si="34"/>
        <v>0</v>
      </c>
      <c r="U308" s="121" t="str">
        <f t="shared" si="35"/>
        <v>Close</v>
      </c>
      <c r="V308" s="117"/>
    </row>
    <row r="309" spans="1:22" ht="15" customHeight="1">
      <c r="A309" s="117"/>
      <c r="B309" s="144" t="str">
        <f>IF(D309="","","P"&amp;D309&amp;"MA"&amp;COUNTIF($D$14:D309,D309))</f>
        <v/>
      </c>
      <c r="C309" s="162"/>
      <c r="D309" s="163"/>
      <c r="E309" s="164"/>
      <c r="F309" s="164"/>
      <c r="G309" s="164"/>
      <c r="H309" s="164"/>
      <c r="I309" s="162"/>
      <c r="J309" s="144"/>
      <c r="K309" s="144"/>
      <c r="L309" s="144"/>
      <c r="M309" s="145">
        <f t="shared" si="30"/>
        <v>0</v>
      </c>
      <c r="N309" s="145">
        <f t="shared" si="31"/>
        <v>0</v>
      </c>
      <c r="O309" s="146">
        <f t="shared" si="32"/>
        <v>0</v>
      </c>
      <c r="P309" s="146">
        <f>IF(B309="",0,SUMIF('NHAP XUAT'!$G$10:$J$1011,'Ghi So'!B309,'NHAP XUAT'!$J$10:$J$1011))</f>
        <v>0</v>
      </c>
      <c r="Q309" s="146">
        <f t="shared" si="33"/>
        <v>0</v>
      </c>
      <c r="R309" s="169"/>
      <c r="S309" s="169"/>
      <c r="T309" s="146">
        <f t="shared" si="34"/>
        <v>0</v>
      </c>
      <c r="U309" s="121" t="str">
        <f t="shared" si="35"/>
        <v>Close</v>
      </c>
      <c r="V309" s="117"/>
    </row>
    <row r="310" spans="1:22" ht="15" customHeight="1">
      <c r="A310" s="117"/>
      <c r="B310" s="144" t="str">
        <f>IF(D310="","","P"&amp;D310&amp;"MA"&amp;COUNTIF($D$14:D310,D310))</f>
        <v/>
      </c>
      <c r="C310" s="162"/>
      <c r="D310" s="163"/>
      <c r="E310" s="164"/>
      <c r="F310" s="164"/>
      <c r="G310" s="164"/>
      <c r="H310" s="164"/>
      <c r="I310" s="162"/>
      <c r="J310" s="144"/>
      <c r="K310" s="144"/>
      <c r="L310" s="144"/>
      <c r="M310" s="145">
        <f t="shared" si="30"/>
        <v>0</v>
      </c>
      <c r="N310" s="145">
        <f t="shared" si="31"/>
        <v>0</v>
      </c>
      <c r="O310" s="146">
        <f t="shared" si="32"/>
        <v>0</v>
      </c>
      <c r="P310" s="146">
        <f>IF(B310="",0,SUMIF('NHAP XUAT'!$G$10:$J$1011,'Ghi So'!B310,'NHAP XUAT'!$J$10:$J$1011))</f>
        <v>0</v>
      </c>
      <c r="Q310" s="146">
        <f t="shared" si="33"/>
        <v>0</v>
      </c>
      <c r="R310" s="169"/>
      <c r="S310" s="169"/>
      <c r="T310" s="146">
        <f t="shared" si="34"/>
        <v>0</v>
      </c>
      <c r="U310" s="121" t="str">
        <f t="shared" si="35"/>
        <v>Close</v>
      </c>
      <c r="V310" s="117"/>
    </row>
    <row r="311" spans="1:22" ht="15" customHeight="1">
      <c r="A311" s="117"/>
      <c r="B311" s="144" t="str">
        <f>IF(D311="","","P"&amp;D311&amp;"MA"&amp;COUNTIF($D$14:D311,D311))</f>
        <v/>
      </c>
      <c r="C311" s="162"/>
      <c r="D311" s="163"/>
      <c r="E311" s="164"/>
      <c r="F311" s="164"/>
      <c r="G311" s="164"/>
      <c r="H311" s="164"/>
      <c r="I311" s="162"/>
      <c r="J311" s="144"/>
      <c r="K311" s="144"/>
      <c r="L311" s="144"/>
      <c r="M311" s="145">
        <f t="shared" si="30"/>
        <v>0</v>
      </c>
      <c r="N311" s="145">
        <f t="shared" si="31"/>
        <v>0</v>
      </c>
      <c r="O311" s="146">
        <f t="shared" si="32"/>
        <v>0</v>
      </c>
      <c r="P311" s="146">
        <f>IF(B311="",0,SUMIF('NHAP XUAT'!$G$10:$J$1011,'Ghi So'!B311,'NHAP XUAT'!$J$10:$J$1011))</f>
        <v>0</v>
      </c>
      <c r="Q311" s="146">
        <f t="shared" si="33"/>
        <v>0</v>
      </c>
      <c r="R311" s="169"/>
      <c r="S311" s="169"/>
      <c r="T311" s="146">
        <f t="shared" si="34"/>
        <v>0</v>
      </c>
      <c r="U311" s="121" t="str">
        <f t="shared" si="35"/>
        <v>Close</v>
      </c>
      <c r="V311" s="117"/>
    </row>
    <row r="312" spans="1:22" ht="15" customHeight="1">
      <c r="A312" s="117"/>
      <c r="B312" s="144" t="str">
        <f>IF(D312="","","P"&amp;D312&amp;"MA"&amp;COUNTIF($D$14:D312,D312))</f>
        <v/>
      </c>
      <c r="C312" s="162"/>
      <c r="D312" s="163"/>
      <c r="E312" s="164"/>
      <c r="F312" s="164"/>
      <c r="G312" s="164"/>
      <c r="H312" s="164"/>
      <c r="I312" s="162"/>
      <c r="J312" s="144"/>
      <c r="K312" s="144"/>
      <c r="L312" s="144"/>
      <c r="M312" s="145">
        <f t="shared" si="30"/>
        <v>0</v>
      </c>
      <c r="N312" s="145">
        <f t="shared" si="31"/>
        <v>0</v>
      </c>
      <c r="O312" s="146">
        <f t="shared" si="32"/>
        <v>0</v>
      </c>
      <c r="P312" s="146">
        <f>IF(B312="",0,SUMIF('NHAP XUAT'!$G$10:$J$1011,'Ghi So'!B312,'NHAP XUAT'!$J$10:$J$1011))</f>
        <v>0</v>
      </c>
      <c r="Q312" s="146">
        <f t="shared" si="33"/>
        <v>0</v>
      </c>
      <c r="R312" s="169"/>
      <c r="S312" s="169"/>
      <c r="T312" s="146">
        <f t="shared" si="34"/>
        <v>0</v>
      </c>
      <c r="U312" s="121" t="str">
        <f t="shared" si="35"/>
        <v>Close</v>
      </c>
      <c r="V312" s="117"/>
    </row>
    <row r="313" spans="1:22" ht="15" customHeight="1">
      <c r="A313" s="117"/>
      <c r="B313" s="144" t="str">
        <f>IF(D313="","","P"&amp;D313&amp;"MA"&amp;COUNTIF($D$14:D313,D313))</f>
        <v/>
      </c>
      <c r="C313" s="162"/>
      <c r="D313" s="163"/>
      <c r="E313" s="164"/>
      <c r="F313" s="164"/>
      <c r="G313" s="164"/>
      <c r="H313" s="164"/>
      <c r="I313" s="162"/>
      <c r="J313" s="144"/>
      <c r="K313" s="144"/>
      <c r="L313" s="144"/>
      <c r="M313" s="145">
        <f t="shared" si="30"/>
        <v>0</v>
      </c>
      <c r="N313" s="145">
        <f t="shared" si="31"/>
        <v>0</v>
      </c>
      <c r="O313" s="146">
        <f t="shared" si="32"/>
        <v>0</v>
      </c>
      <c r="P313" s="146">
        <f>IF(B313="",0,SUMIF('NHAP XUAT'!$G$10:$J$1011,'Ghi So'!B313,'NHAP XUAT'!$J$10:$J$1011))</f>
        <v>0</v>
      </c>
      <c r="Q313" s="146">
        <f t="shared" si="33"/>
        <v>0</v>
      </c>
      <c r="R313" s="169"/>
      <c r="S313" s="169"/>
      <c r="T313" s="146">
        <f t="shared" si="34"/>
        <v>0</v>
      </c>
      <c r="U313" s="121" t="str">
        <f t="shared" si="35"/>
        <v>Close</v>
      </c>
      <c r="V313" s="117"/>
    </row>
    <row r="314" spans="1:22" ht="15" customHeight="1">
      <c r="A314" s="117"/>
      <c r="B314" s="144" t="str">
        <f>IF(D314="","","P"&amp;D314&amp;"MA"&amp;COUNTIF($D$14:D314,D314))</f>
        <v/>
      </c>
      <c r="C314" s="162"/>
      <c r="D314" s="163"/>
      <c r="E314" s="164"/>
      <c r="F314" s="164"/>
      <c r="G314" s="164"/>
      <c r="H314" s="164"/>
      <c r="I314" s="162"/>
      <c r="J314" s="144"/>
      <c r="K314" s="144"/>
      <c r="L314" s="144"/>
      <c r="M314" s="145">
        <f t="shared" si="30"/>
        <v>0</v>
      </c>
      <c r="N314" s="145">
        <f t="shared" si="31"/>
        <v>0</v>
      </c>
      <c r="O314" s="146">
        <f t="shared" si="32"/>
        <v>0</v>
      </c>
      <c r="P314" s="146">
        <f>IF(B314="",0,SUMIF('NHAP XUAT'!$G$10:$J$1011,'Ghi So'!B314,'NHAP XUAT'!$J$10:$J$1011))</f>
        <v>0</v>
      </c>
      <c r="Q314" s="146">
        <f t="shared" si="33"/>
        <v>0</v>
      </c>
      <c r="R314" s="169"/>
      <c r="S314" s="169"/>
      <c r="T314" s="146">
        <f t="shared" si="34"/>
        <v>0</v>
      </c>
      <c r="U314" s="121" t="str">
        <f t="shared" si="35"/>
        <v>Close</v>
      </c>
      <c r="V314" s="117"/>
    </row>
    <row r="315" spans="1:22" ht="15" customHeight="1">
      <c r="A315" s="117"/>
      <c r="B315" s="144" t="str">
        <f>IF(D315="","","P"&amp;D315&amp;"MA"&amp;COUNTIF($D$14:D315,D315))</f>
        <v/>
      </c>
      <c r="C315" s="162"/>
      <c r="D315" s="163"/>
      <c r="E315" s="164"/>
      <c r="F315" s="164"/>
      <c r="G315" s="164"/>
      <c r="H315" s="164"/>
      <c r="I315" s="162"/>
      <c r="J315" s="144"/>
      <c r="K315" s="144"/>
      <c r="L315" s="144"/>
      <c r="M315" s="145">
        <f t="shared" si="30"/>
        <v>0</v>
      </c>
      <c r="N315" s="145">
        <f t="shared" si="31"/>
        <v>0</v>
      </c>
      <c r="O315" s="146">
        <f t="shared" si="32"/>
        <v>0</v>
      </c>
      <c r="P315" s="146">
        <f>IF(B315="",0,SUMIF('NHAP XUAT'!$G$10:$J$1011,'Ghi So'!B315,'NHAP XUAT'!$J$10:$J$1011))</f>
        <v>0</v>
      </c>
      <c r="Q315" s="146">
        <f t="shared" si="33"/>
        <v>0</v>
      </c>
      <c r="R315" s="169"/>
      <c r="S315" s="169"/>
      <c r="T315" s="146">
        <f t="shared" si="34"/>
        <v>0</v>
      </c>
      <c r="U315" s="121" t="str">
        <f t="shared" si="35"/>
        <v>Close</v>
      </c>
      <c r="V315" s="117"/>
    </row>
    <row r="316" spans="1:22" ht="15" customHeight="1">
      <c r="A316" s="117"/>
      <c r="B316" s="144" t="str">
        <f>IF(D316="","","P"&amp;D316&amp;"MA"&amp;COUNTIF($D$14:D316,D316))</f>
        <v/>
      </c>
      <c r="C316" s="162"/>
      <c r="D316" s="163"/>
      <c r="E316" s="164"/>
      <c r="F316" s="164"/>
      <c r="G316" s="164"/>
      <c r="H316" s="164"/>
      <c r="I316" s="162"/>
      <c r="J316" s="144"/>
      <c r="K316" s="144"/>
      <c r="L316" s="144"/>
      <c r="M316" s="145">
        <f t="shared" si="30"/>
        <v>0</v>
      </c>
      <c r="N316" s="145">
        <f t="shared" si="31"/>
        <v>0</v>
      </c>
      <c r="O316" s="146">
        <f t="shared" si="32"/>
        <v>0</v>
      </c>
      <c r="P316" s="146">
        <f>IF(B316="",0,SUMIF('NHAP XUAT'!$G$10:$J$1011,'Ghi So'!B316,'NHAP XUAT'!$J$10:$J$1011))</f>
        <v>0</v>
      </c>
      <c r="Q316" s="146">
        <f t="shared" si="33"/>
        <v>0</v>
      </c>
      <c r="R316" s="169"/>
      <c r="S316" s="169"/>
      <c r="T316" s="146">
        <f t="shared" si="34"/>
        <v>0</v>
      </c>
      <c r="U316" s="121" t="str">
        <f t="shared" si="35"/>
        <v>Close</v>
      </c>
      <c r="V316" s="117"/>
    </row>
    <row r="317" spans="1:22" ht="15" customHeight="1">
      <c r="A317" s="117"/>
      <c r="B317" s="144" t="str">
        <f>IF(D317="","","P"&amp;D317&amp;"MA"&amp;COUNTIF($D$14:D317,D317))</f>
        <v/>
      </c>
      <c r="C317" s="162"/>
      <c r="D317" s="163"/>
      <c r="E317" s="164"/>
      <c r="F317" s="164"/>
      <c r="G317" s="164"/>
      <c r="H317" s="164"/>
      <c r="I317" s="162"/>
      <c r="J317" s="144"/>
      <c r="K317" s="144"/>
      <c r="L317" s="144"/>
      <c r="M317" s="145">
        <f t="shared" si="30"/>
        <v>0</v>
      </c>
      <c r="N317" s="145">
        <f t="shared" si="31"/>
        <v>0</v>
      </c>
      <c r="O317" s="146">
        <f t="shared" si="32"/>
        <v>0</v>
      </c>
      <c r="P317" s="146">
        <f>IF(B317="",0,SUMIF('NHAP XUAT'!$G$10:$J$1011,'Ghi So'!B317,'NHAP XUAT'!$J$10:$J$1011))</f>
        <v>0</v>
      </c>
      <c r="Q317" s="146">
        <f t="shared" si="33"/>
        <v>0</v>
      </c>
      <c r="R317" s="169"/>
      <c r="S317" s="169"/>
      <c r="T317" s="146">
        <f t="shared" si="34"/>
        <v>0</v>
      </c>
      <c r="U317" s="121" t="str">
        <f t="shared" si="35"/>
        <v>Close</v>
      </c>
      <c r="V317" s="117"/>
    </row>
    <row r="318" spans="1:22" ht="15" customHeight="1">
      <c r="A318" s="117"/>
      <c r="B318" s="144" t="str">
        <f>IF(D318="","","P"&amp;D318&amp;"MA"&amp;COUNTIF($D$14:D318,D318))</f>
        <v/>
      </c>
      <c r="C318" s="162"/>
      <c r="D318" s="163"/>
      <c r="E318" s="164"/>
      <c r="F318" s="164"/>
      <c r="G318" s="164"/>
      <c r="H318" s="164"/>
      <c r="I318" s="162"/>
      <c r="J318" s="144"/>
      <c r="K318" s="144"/>
      <c r="L318" s="144"/>
      <c r="M318" s="145">
        <f t="shared" si="30"/>
        <v>0</v>
      </c>
      <c r="N318" s="145">
        <f t="shared" si="31"/>
        <v>0</v>
      </c>
      <c r="O318" s="146">
        <f t="shared" si="32"/>
        <v>0</v>
      </c>
      <c r="P318" s="146">
        <f>IF(B318="",0,SUMIF('NHAP XUAT'!$G$10:$J$1011,'Ghi So'!B318,'NHAP XUAT'!$J$10:$J$1011))</f>
        <v>0</v>
      </c>
      <c r="Q318" s="146">
        <f t="shared" si="33"/>
        <v>0</v>
      </c>
      <c r="R318" s="169"/>
      <c r="S318" s="169"/>
      <c r="T318" s="146">
        <f t="shared" si="34"/>
        <v>0</v>
      </c>
      <c r="U318" s="121" t="str">
        <f t="shared" si="35"/>
        <v>Close</v>
      </c>
      <c r="V318" s="117"/>
    </row>
    <row r="319" spans="1:22" ht="15" customHeight="1">
      <c r="A319" s="117"/>
      <c r="B319" s="144" t="str">
        <f>IF(D319="","","P"&amp;D319&amp;"MA"&amp;COUNTIF($D$14:D319,D319))</f>
        <v/>
      </c>
      <c r="C319" s="162"/>
      <c r="D319" s="163"/>
      <c r="E319" s="164"/>
      <c r="F319" s="164"/>
      <c r="G319" s="164"/>
      <c r="H319" s="164"/>
      <c r="I319" s="162"/>
      <c r="J319" s="144"/>
      <c r="K319" s="144"/>
      <c r="L319" s="144"/>
      <c r="M319" s="145">
        <f t="shared" si="30"/>
        <v>0</v>
      </c>
      <c r="N319" s="145">
        <f t="shared" si="31"/>
        <v>0</v>
      </c>
      <c r="O319" s="146">
        <f t="shared" si="32"/>
        <v>0</v>
      </c>
      <c r="P319" s="146">
        <f>IF(B319="",0,SUMIF('NHAP XUAT'!$G$10:$J$1011,'Ghi So'!B319,'NHAP XUAT'!$J$10:$J$1011))</f>
        <v>0</v>
      </c>
      <c r="Q319" s="146">
        <f t="shared" si="33"/>
        <v>0</v>
      </c>
      <c r="R319" s="169"/>
      <c r="S319" s="169"/>
      <c r="T319" s="146">
        <f t="shared" si="34"/>
        <v>0</v>
      </c>
      <c r="U319" s="121" t="str">
        <f t="shared" si="35"/>
        <v>Close</v>
      </c>
      <c r="V319" s="117"/>
    </row>
    <row r="320" spans="1:22" ht="15" customHeight="1">
      <c r="A320" s="117"/>
      <c r="B320" s="144" t="str">
        <f>IF(D320="","","P"&amp;D320&amp;"MA"&amp;COUNTIF($D$14:D320,D320))</f>
        <v/>
      </c>
      <c r="C320" s="162"/>
      <c r="D320" s="163"/>
      <c r="E320" s="164"/>
      <c r="F320" s="164"/>
      <c r="G320" s="164"/>
      <c r="H320" s="164"/>
      <c r="I320" s="162"/>
      <c r="J320" s="144"/>
      <c r="K320" s="144"/>
      <c r="L320" s="144"/>
      <c r="M320" s="145">
        <f t="shared" si="30"/>
        <v>0</v>
      </c>
      <c r="N320" s="145">
        <f t="shared" si="31"/>
        <v>0</v>
      </c>
      <c r="O320" s="146">
        <f t="shared" si="32"/>
        <v>0</v>
      </c>
      <c r="P320" s="146">
        <f>IF(B320="",0,SUMIF('NHAP XUAT'!$G$10:$J$1011,'Ghi So'!B320,'NHAP XUAT'!$J$10:$J$1011))</f>
        <v>0</v>
      </c>
      <c r="Q320" s="146">
        <f t="shared" si="33"/>
        <v>0</v>
      </c>
      <c r="R320" s="169"/>
      <c r="S320" s="169"/>
      <c r="T320" s="146">
        <f t="shared" si="34"/>
        <v>0</v>
      </c>
      <c r="U320" s="121" t="str">
        <f t="shared" si="35"/>
        <v>Close</v>
      </c>
      <c r="V320" s="117"/>
    </row>
    <row r="321" spans="1:22" ht="15" customHeight="1">
      <c r="A321" s="117"/>
      <c r="B321" s="144" t="str">
        <f>IF(D321="","","P"&amp;D321&amp;"MA"&amp;COUNTIF($D$14:D321,D321))</f>
        <v/>
      </c>
      <c r="C321" s="162"/>
      <c r="D321" s="163"/>
      <c r="E321" s="164"/>
      <c r="F321" s="164"/>
      <c r="G321" s="164"/>
      <c r="H321" s="164"/>
      <c r="I321" s="162"/>
      <c r="J321" s="144"/>
      <c r="K321" s="144"/>
      <c r="L321" s="144"/>
      <c r="M321" s="145">
        <f t="shared" si="30"/>
        <v>0</v>
      </c>
      <c r="N321" s="145">
        <f t="shared" si="31"/>
        <v>0</v>
      </c>
      <c r="O321" s="146">
        <f t="shared" si="32"/>
        <v>0</v>
      </c>
      <c r="P321" s="146">
        <f>IF(B321="",0,SUMIF('NHAP XUAT'!$G$10:$J$1011,'Ghi So'!B321,'NHAP XUAT'!$J$10:$J$1011))</f>
        <v>0</v>
      </c>
      <c r="Q321" s="146">
        <f t="shared" si="33"/>
        <v>0</v>
      </c>
      <c r="R321" s="169"/>
      <c r="S321" s="169"/>
      <c r="T321" s="146">
        <f t="shared" si="34"/>
        <v>0</v>
      </c>
      <c r="U321" s="121" t="str">
        <f t="shared" si="35"/>
        <v>Close</v>
      </c>
      <c r="V321" s="117"/>
    </row>
    <row r="322" spans="1:22" ht="15" customHeight="1">
      <c r="A322" s="117"/>
      <c r="B322" s="144" t="str">
        <f>IF(D322="","","P"&amp;D322&amp;"MA"&amp;COUNTIF($D$14:D322,D322))</f>
        <v/>
      </c>
      <c r="C322" s="162"/>
      <c r="D322" s="163"/>
      <c r="E322" s="164"/>
      <c r="F322" s="164"/>
      <c r="G322" s="164"/>
      <c r="H322" s="164"/>
      <c r="I322" s="162"/>
      <c r="J322" s="144"/>
      <c r="K322" s="144"/>
      <c r="L322" s="144"/>
      <c r="M322" s="145">
        <f t="shared" si="30"/>
        <v>0</v>
      </c>
      <c r="N322" s="145">
        <f t="shared" si="31"/>
        <v>0</v>
      </c>
      <c r="O322" s="146">
        <f t="shared" si="32"/>
        <v>0</v>
      </c>
      <c r="P322" s="146">
        <f>IF(B322="",0,SUMIF('NHAP XUAT'!$G$10:$J$1011,'Ghi So'!B322,'NHAP XUAT'!$J$10:$J$1011))</f>
        <v>0</v>
      </c>
      <c r="Q322" s="146">
        <f t="shared" si="33"/>
        <v>0</v>
      </c>
      <c r="R322" s="169"/>
      <c r="S322" s="169"/>
      <c r="T322" s="146">
        <f t="shared" si="34"/>
        <v>0</v>
      </c>
      <c r="U322" s="121" t="str">
        <f t="shared" si="35"/>
        <v>Close</v>
      </c>
      <c r="V322" s="117"/>
    </row>
    <row r="323" spans="1:22" ht="15" customHeight="1">
      <c r="A323" s="117"/>
      <c r="B323" s="144" t="str">
        <f>IF(D323="","","P"&amp;D323&amp;"MA"&amp;COUNTIF($D$14:D323,D323))</f>
        <v/>
      </c>
      <c r="C323" s="162"/>
      <c r="D323" s="163"/>
      <c r="E323" s="164"/>
      <c r="F323" s="164"/>
      <c r="G323" s="164"/>
      <c r="H323" s="164"/>
      <c r="I323" s="162"/>
      <c r="J323" s="144"/>
      <c r="K323" s="144"/>
      <c r="L323" s="144"/>
      <c r="M323" s="145">
        <f t="shared" si="30"/>
        <v>0</v>
      </c>
      <c r="N323" s="145">
        <f t="shared" si="31"/>
        <v>0</v>
      </c>
      <c r="O323" s="146">
        <f t="shared" si="32"/>
        <v>0</v>
      </c>
      <c r="P323" s="146">
        <f>IF(B323="",0,SUMIF('NHAP XUAT'!$G$10:$J$1011,'Ghi So'!B323,'NHAP XUAT'!$J$10:$J$1011))</f>
        <v>0</v>
      </c>
      <c r="Q323" s="146">
        <f t="shared" si="33"/>
        <v>0</v>
      </c>
      <c r="R323" s="169"/>
      <c r="S323" s="169"/>
      <c r="T323" s="146">
        <f t="shared" si="34"/>
        <v>0</v>
      </c>
      <c r="U323" s="121" t="str">
        <f t="shared" si="35"/>
        <v>Close</v>
      </c>
      <c r="V323" s="117"/>
    </row>
    <row r="324" spans="1:22" ht="15" customHeight="1">
      <c r="A324" s="117"/>
      <c r="B324" s="144" t="str">
        <f>IF(D324="","","P"&amp;D324&amp;"MA"&amp;COUNTIF($D$14:D324,D324))</f>
        <v/>
      </c>
      <c r="C324" s="162"/>
      <c r="D324" s="163"/>
      <c r="E324" s="164"/>
      <c r="F324" s="164"/>
      <c r="G324" s="164"/>
      <c r="H324" s="164"/>
      <c r="I324" s="162"/>
      <c r="J324" s="144"/>
      <c r="K324" s="144"/>
      <c r="L324" s="144"/>
      <c r="M324" s="145">
        <f t="shared" si="30"/>
        <v>0</v>
      </c>
      <c r="N324" s="145">
        <f t="shared" si="31"/>
        <v>0</v>
      </c>
      <c r="O324" s="146">
        <f t="shared" si="32"/>
        <v>0</v>
      </c>
      <c r="P324" s="146">
        <f>IF(B324="",0,SUMIF('NHAP XUAT'!$G$10:$J$1011,'Ghi So'!B324,'NHAP XUAT'!$J$10:$J$1011))</f>
        <v>0</v>
      </c>
      <c r="Q324" s="146">
        <f t="shared" si="33"/>
        <v>0</v>
      </c>
      <c r="R324" s="169"/>
      <c r="S324" s="169"/>
      <c r="T324" s="146">
        <f t="shared" si="34"/>
        <v>0</v>
      </c>
      <c r="U324" s="121" t="str">
        <f t="shared" si="35"/>
        <v>Close</v>
      </c>
      <c r="V324" s="117"/>
    </row>
    <row r="325" spans="1:22" ht="15" customHeight="1">
      <c r="A325" s="117"/>
      <c r="B325" s="144" t="str">
        <f>IF(D325="","","P"&amp;D325&amp;"MA"&amp;COUNTIF($D$14:D325,D325))</f>
        <v/>
      </c>
      <c r="C325" s="162"/>
      <c r="D325" s="163"/>
      <c r="E325" s="164"/>
      <c r="F325" s="164"/>
      <c r="G325" s="164"/>
      <c r="H325" s="164"/>
      <c r="I325" s="162"/>
      <c r="J325" s="144"/>
      <c r="K325" s="144"/>
      <c r="L325" s="144"/>
      <c r="M325" s="145">
        <f t="shared" si="30"/>
        <v>0</v>
      </c>
      <c r="N325" s="145">
        <f t="shared" si="31"/>
        <v>0</v>
      </c>
      <c r="O325" s="146">
        <f t="shared" si="32"/>
        <v>0</v>
      </c>
      <c r="P325" s="146">
        <f>IF(B325="",0,SUMIF('NHAP XUAT'!$G$10:$J$1011,'Ghi So'!B325,'NHAP XUAT'!$J$10:$J$1011))</f>
        <v>0</v>
      </c>
      <c r="Q325" s="146">
        <f t="shared" si="33"/>
        <v>0</v>
      </c>
      <c r="R325" s="169"/>
      <c r="S325" s="169"/>
      <c r="T325" s="146">
        <f t="shared" si="34"/>
        <v>0</v>
      </c>
      <c r="U325" s="121" t="str">
        <f t="shared" si="35"/>
        <v>Close</v>
      </c>
      <c r="V325" s="117"/>
    </row>
    <row r="326" spans="1:22" ht="15" customHeight="1">
      <c r="A326" s="117"/>
      <c r="B326" s="144" t="str">
        <f>IF(D326="","","P"&amp;D326&amp;"MA"&amp;COUNTIF($D$14:D326,D326))</f>
        <v/>
      </c>
      <c r="C326" s="162"/>
      <c r="D326" s="163"/>
      <c r="E326" s="164"/>
      <c r="F326" s="164"/>
      <c r="G326" s="164"/>
      <c r="H326" s="164"/>
      <c r="I326" s="162"/>
      <c r="J326" s="144"/>
      <c r="K326" s="144"/>
      <c r="L326" s="144"/>
      <c r="M326" s="145">
        <f t="shared" si="30"/>
        <v>0</v>
      </c>
      <c r="N326" s="145">
        <f t="shared" si="31"/>
        <v>0</v>
      </c>
      <c r="O326" s="146">
        <f t="shared" si="32"/>
        <v>0</v>
      </c>
      <c r="P326" s="146">
        <f>IF(B326="",0,SUMIF('NHAP XUAT'!$G$10:$J$1011,'Ghi So'!B326,'NHAP XUAT'!$J$10:$J$1011))</f>
        <v>0</v>
      </c>
      <c r="Q326" s="146">
        <f t="shared" si="33"/>
        <v>0</v>
      </c>
      <c r="R326" s="169"/>
      <c r="S326" s="169"/>
      <c r="T326" s="146">
        <f t="shared" si="34"/>
        <v>0</v>
      </c>
      <c r="U326" s="121" t="str">
        <f t="shared" si="35"/>
        <v>Close</v>
      </c>
      <c r="V326" s="117"/>
    </row>
    <row r="327" spans="1:22" ht="15" customHeight="1">
      <c r="A327" s="117"/>
      <c r="B327" s="144" t="str">
        <f>IF(D327="","","P"&amp;D327&amp;"MA"&amp;COUNTIF($D$14:D327,D327))</f>
        <v/>
      </c>
      <c r="C327" s="162"/>
      <c r="D327" s="163"/>
      <c r="E327" s="164"/>
      <c r="F327" s="164"/>
      <c r="G327" s="164"/>
      <c r="H327" s="164"/>
      <c r="I327" s="162"/>
      <c r="J327" s="144"/>
      <c r="K327" s="144"/>
      <c r="L327" s="144"/>
      <c r="M327" s="145">
        <f t="shared" si="30"/>
        <v>0</v>
      </c>
      <c r="N327" s="145">
        <f t="shared" si="31"/>
        <v>0</v>
      </c>
      <c r="O327" s="146">
        <f t="shared" si="32"/>
        <v>0</v>
      </c>
      <c r="P327" s="146">
        <f>IF(B327="",0,SUMIF('NHAP XUAT'!$G$10:$J$1011,'Ghi So'!B327,'NHAP XUAT'!$J$10:$J$1011))</f>
        <v>0</v>
      </c>
      <c r="Q327" s="146">
        <f t="shared" si="33"/>
        <v>0</v>
      </c>
      <c r="R327" s="169"/>
      <c r="S327" s="169"/>
      <c r="T327" s="146">
        <f t="shared" si="34"/>
        <v>0</v>
      </c>
      <c r="U327" s="121" t="str">
        <f t="shared" si="35"/>
        <v>Close</v>
      </c>
      <c r="V327" s="117"/>
    </row>
    <row r="328" spans="1:22" ht="15" customHeight="1">
      <c r="A328" s="117"/>
      <c r="B328" s="144" t="str">
        <f>IF(D328="","","P"&amp;D328&amp;"MA"&amp;COUNTIF($D$14:D328,D328))</f>
        <v/>
      </c>
      <c r="C328" s="162"/>
      <c r="D328" s="163"/>
      <c r="E328" s="164"/>
      <c r="F328" s="164"/>
      <c r="G328" s="164"/>
      <c r="H328" s="164"/>
      <c r="I328" s="162"/>
      <c r="J328" s="144"/>
      <c r="K328" s="144"/>
      <c r="L328" s="144"/>
      <c r="M328" s="145">
        <f t="shared" si="30"/>
        <v>0</v>
      </c>
      <c r="N328" s="145">
        <f t="shared" si="31"/>
        <v>0</v>
      </c>
      <c r="O328" s="146">
        <f t="shared" si="32"/>
        <v>0</v>
      </c>
      <c r="P328" s="146">
        <f>IF(B328="",0,SUMIF('NHAP XUAT'!$G$10:$J$1011,'Ghi So'!B328,'NHAP XUAT'!$J$10:$J$1011))</f>
        <v>0</v>
      </c>
      <c r="Q328" s="146">
        <f t="shared" si="33"/>
        <v>0</v>
      </c>
      <c r="R328" s="169"/>
      <c r="S328" s="169"/>
      <c r="T328" s="146">
        <f t="shared" si="34"/>
        <v>0</v>
      </c>
      <c r="U328" s="121" t="str">
        <f t="shared" si="35"/>
        <v>Close</v>
      </c>
      <c r="V328" s="117"/>
    </row>
    <row r="329" spans="1:22" ht="15" customHeight="1">
      <c r="A329" s="117"/>
      <c r="B329" s="144" t="str">
        <f>IF(D329="","","P"&amp;D329&amp;"MA"&amp;COUNTIF($D$14:D329,D329))</f>
        <v/>
      </c>
      <c r="C329" s="162"/>
      <c r="D329" s="163"/>
      <c r="E329" s="164"/>
      <c r="F329" s="164"/>
      <c r="G329" s="164"/>
      <c r="H329" s="164"/>
      <c r="I329" s="162"/>
      <c r="J329" s="144"/>
      <c r="K329" s="144"/>
      <c r="L329" s="144"/>
      <c r="M329" s="145">
        <f t="shared" si="30"/>
        <v>0</v>
      </c>
      <c r="N329" s="145">
        <f t="shared" si="31"/>
        <v>0</v>
      </c>
      <c r="O329" s="146">
        <f t="shared" si="32"/>
        <v>0</v>
      </c>
      <c r="P329" s="146">
        <f>IF(B329="",0,SUMIF('NHAP XUAT'!$G$10:$J$1011,'Ghi So'!B329,'NHAP XUAT'!$J$10:$J$1011))</f>
        <v>0</v>
      </c>
      <c r="Q329" s="146">
        <f t="shared" si="33"/>
        <v>0</v>
      </c>
      <c r="R329" s="169"/>
      <c r="S329" s="169"/>
      <c r="T329" s="146">
        <f t="shared" si="34"/>
        <v>0</v>
      </c>
      <c r="U329" s="121" t="str">
        <f t="shared" si="35"/>
        <v>Close</v>
      </c>
      <c r="V329" s="117"/>
    </row>
    <row r="330" spans="1:22" ht="15" customHeight="1">
      <c r="A330" s="117"/>
      <c r="B330" s="144" t="str">
        <f>IF(D330="","","P"&amp;D330&amp;"MA"&amp;COUNTIF($D$14:D330,D330))</f>
        <v/>
      </c>
      <c r="C330" s="162"/>
      <c r="D330" s="163"/>
      <c r="E330" s="164"/>
      <c r="F330" s="164"/>
      <c r="G330" s="164"/>
      <c r="H330" s="164"/>
      <c r="I330" s="162"/>
      <c r="J330" s="144"/>
      <c r="K330" s="144"/>
      <c r="L330" s="144"/>
      <c r="M330" s="145">
        <f t="shared" si="30"/>
        <v>0</v>
      </c>
      <c r="N330" s="145">
        <f t="shared" si="31"/>
        <v>0</v>
      </c>
      <c r="O330" s="146">
        <f t="shared" si="32"/>
        <v>0</v>
      </c>
      <c r="P330" s="146">
        <f>IF(B330="",0,SUMIF('NHAP XUAT'!$G$10:$J$1011,'Ghi So'!B330,'NHAP XUAT'!$J$10:$J$1011))</f>
        <v>0</v>
      </c>
      <c r="Q330" s="146">
        <f t="shared" si="33"/>
        <v>0</v>
      </c>
      <c r="R330" s="169"/>
      <c r="S330" s="169"/>
      <c r="T330" s="146">
        <f t="shared" si="34"/>
        <v>0</v>
      </c>
      <c r="U330" s="121" t="str">
        <f t="shared" si="35"/>
        <v>Close</v>
      </c>
      <c r="V330" s="117"/>
    </row>
    <row r="331" spans="1:22" ht="15" customHeight="1">
      <c r="A331" s="117"/>
      <c r="B331" s="144" t="str">
        <f>IF(D331="","","P"&amp;D331&amp;"MA"&amp;COUNTIF($D$14:D331,D331))</f>
        <v/>
      </c>
      <c r="C331" s="162"/>
      <c r="D331" s="163"/>
      <c r="E331" s="164"/>
      <c r="F331" s="164"/>
      <c r="G331" s="164"/>
      <c r="H331" s="164"/>
      <c r="I331" s="162"/>
      <c r="J331" s="144"/>
      <c r="K331" s="144"/>
      <c r="L331" s="144"/>
      <c r="M331" s="145">
        <f t="shared" si="30"/>
        <v>0</v>
      </c>
      <c r="N331" s="145">
        <f t="shared" si="31"/>
        <v>0</v>
      </c>
      <c r="O331" s="146">
        <f t="shared" si="32"/>
        <v>0</v>
      </c>
      <c r="P331" s="146">
        <f>IF(B331="",0,SUMIF('NHAP XUAT'!$G$10:$J$1011,'Ghi So'!B331,'NHAP XUAT'!$J$10:$J$1011))</f>
        <v>0</v>
      </c>
      <c r="Q331" s="146">
        <f t="shared" si="33"/>
        <v>0</v>
      </c>
      <c r="R331" s="169"/>
      <c r="S331" s="169"/>
      <c r="T331" s="146">
        <f t="shared" si="34"/>
        <v>0</v>
      </c>
      <c r="U331" s="121" t="str">
        <f t="shared" si="35"/>
        <v>Close</v>
      </c>
      <c r="V331" s="117"/>
    </row>
    <row r="332" spans="1:22" ht="15" customHeight="1">
      <c r="A332" s="117"/>
      <c r="B332" s="144" t="str">
        <f>IF(D332="","","P"&amp;D332&amp;"MA"&amp;COUNTIF($D$14:D332,D332))</f>
        <v/>
      </c>
      <c r="C332" s="162"/>
      <c r="D332" s="163"/>
      <c r="E332" s="164"/>
      <c r="F332" s="164"/>
      <c r="G332" s="164"/>
      <c r="H332" s="164"/>
      <c r="I332" s="162"/>
      <c r="J332" s="144"/>
      <c r="K332" s="144"/>
      <c r="L332" s="144"/>
      <c r="M332" s="145">
        <f t="shared" si="30"/>
        <v>0</v>
      </c>
      <c r="N332" s="145">
        <f t="shared" si="31"/>
        <v>0</v>
      </c>
      <c r="O332" s="146">
        <f t="shared" si="32"/>
        <v>0</v>
      </c>
      <c r="P332" s="146">
        <f>IF(B332="",0,SUMIF('NHAP XUAT'!$G$10:$J$1011,'Ghi So'!B332,'NHAP XUAT'!$J$10:$J$1011))</f>
        <v>0</v>
      </c>
      <c r="Q332" s="146">
        <f t="shared" si="33"/>
        <v>0</v>
      </c>
      <c r="R332" s="169"/>
      <c r="S332" s="169"/>
      <c r="T332" s="146">
        <f t="shared" si="34"/>
        <v>0</v>
      </c>
      <c r="U332" s="121" t="str">
        <f t="shared" si="35"/>
        <v>Close</v>
      </c>
      <c r="V332" s="117"/>
    </row>
    <row r="333" spans="1:22" ht="15" customHeight="1">
      <c r="A333" s="117"/>
      <c r="B333" s="144" t="str">
        <f>IF(D333="","","P"&amp;D333&amp;"MA"&amp;COUNTIF($D$14:D333,D333))</f>
        <v/>
      </c>
      <c r="C333" s="162"/>
      <c r="D333" s="163"/>
      <c r="E333" s="164"/>
      <c r="F333" s="164"/>
      <c r="G333" s="164"/>
      <c r="H333" s="164"/>
      <c r="I333" s="162"/>
      <c r="J333" s="144"/>
      <c r="K333" s="144"/>
      <c r="L333" s="144"/>
      <c r="M333" s="145">
        <f t="shared" si="30"/>
        <v>0</v>
      </c>
      <c r="N333" s="145">
        <f t="shared" si="31"/>
        <v>0</v>
      </c>
      <c r="O333" s="146">
        <f t="shared" si="32"/>
        <v>0</v>
      </c>
      <c r="P333" s="146">
        <f>IF(B333="",0,SUMIF('NHAP XUAT'!$G$10:$J$1011,'Ghi So'!B333,'NHAP XUAT'!$J$10:$J$1011))</f>
        <v>0</v>
      </c>
      <c r="Q333" s="146">
        <f t="shared" si="33"/>
        <v>0</v>
      </c>
      <c r="R333" s="169"/>
      <c r="S333" s="169"/>
      <c r="T333" s="146">
        <f t="shared" si="34"/>
        <v>0</v>
      </c>
      <c r="U333" s="121" t="str">
        <f t="shared" si="35"/>
        <v>Close</v>
      </c>
      <c r="V333" s="117"/>
    </row>
    <row r="334" spans="1:22" ht="15" customHeight="1">
      <c r="A334" s="117"/>
      <c r="B334" s="144" t="str">
        <f>IF(D334="","","P"&amp;D334&amp;"MA"&amp;COUNTIF($D$14:D334,D334))</f>
        <v/>
      </c>
      <c r="C334" s="162"/>
      <c r="D334" s="163"/>
      <c r="E334" s="164"/>
      <c r="F334" s="164"/>
      <c r="G334" s="164"/>
      <c r="H334" s="164"/>
      <c r="I334" s="162"/>
      <c r="J334" s="144"/>
      <c r="K334" s="144"/>
      <c r="L334" s="144"/>
      <c r="M334" s="145">
        <f t="shared" si="30"/>
        <v>0</v>
      </c>
      <c r="N334" s="145">
        <f t="shared" si="31"/>
        <v>0</v>
      </c>
      <c r="O334" s="146">
        <f t="shared" si="32"/>
        <v>0</v>
      </c>
      <c r="P334" s="146">
        <f>IF(B334="",0,SUMIF('NHAP XUAT'!$G$10:$J$1011,'Ghi So'!B334,'NHAP XUAT'!$J$10:$J$1011))</f>
        <v>0</v>
      </c>
      <c r="Q334" s="146">
        <f t="shared" si="33"/>
        <v>0</v>
      </c>
      <c r="R334" s="169"/>
      <c r="S334" s="169"/>
      <c r="T334" s="146">
        <f t="shared" si="34"/>
        <v>0</v>
      </c>
      <c r="U334" s="121" t="str">
        <f t="shared" si="35"/>
        <v>Close</v>
      </c>
      <c r="V334" s="117"/>
    </row>
    <row r="335" spans="1:22" ht="15" customHeight="1">
      <c r="A335" s="117"/>
      <c r="B335" s="144" t="str">
        <f>IF(D335="","","P"&amp;D335&amp;"MA"&amp;COUNTIF($D$14:D335,D335))</f>
        <v/>
      </c>
      <c r="C335" s="162"/>
      <c r="D335" s="163"/>
      <c r="E335" s="164"/>
      <c r="F335" s="164"/>
      <c r="G335" s="164"/>
      <c r="H335" s="164"/>
      <c r="I335" s="162"/>
      <c r="J335" s="144"/>
      <c r="K335" s="144"/>
      <c r="L335" s="144"/>
      <c r="M335" s="145">
        <f t="shared" si="30"/>
        <v>0</v>
      </c>
      <c r="N335" s="145">
        <f t="shared" si="31"/>
        <v>0</v>
      </c>
      <c r="O335" s="146">
        <f t="shared" si="32"/>
        <v>0</v>
      </c>
      <c r="P335" s="146">
        <f>IF(B335="",0,SUMIF('NHAP XUAT'!$G$10:$J$1011,'Ghi So'!B335,'NHAP XUAT'!$J$10:$J$1011))</f>
        <v>0</v>
      </c>
      <c r="Q335" s="146">
        <f t="shared" si="33"/>
        <v>0</v>
      </c>
      <c r="R335" s="169"/>
      <c r="S335" s="169"/>
      <c r="T335" s="146">
        <f t="shared" si="34"/>
        <v>0</v>
      </c>
      <c r="U335" s="121" t="str">
        <f t="shared" si="35"/>
        <v>Close</v>
      </c>
      <c r="V335" s="117"/>
    </row>
    <row r="336" spans="1:22" ht="15" customHeight="1">
      <c r="A336" s="117"/>
      <c r="B336" s="144" t="str">
        <f>IF(D336="","","P"&amp;D336&amp;"MA"&amp;COUNTIF($D$14:D336,D336))</f>
        <v/>
      </c>
      <c r="C336" s="162"/>
      <c r="D336" s="163"/>
      <c r="E336" s="164"/>
      <c r="F336" s="164"/>
      <c r="G336" s="164"/>
      <c r="H336" s="164"/>
      <c r="I336" s="162"/>
      <c r="J336" s="144"/>
      <c r="K336" s="144"/>
      <c r="L336" s="144"/>
      <c r="M336" s="145">
        <f t="shared" si="30"/>
        <v>0</v>
      </c>
      <c r="N336" s="145">
        <f t="shared" si="31"/>
        <v>0</v>
      </c>
      <c r="O336" s="146">
        <f t="shared" si="32"/>
        <v>0</v>
      </c>
      <c r="P336" s="146">
        <f>IF(B336="",0,SUMIF('NHAP XUAT'!$G$10:$J$1011,'Ghi So'!B336,'NHAP XUAT'!$J$10:$J$1011))</f>
        <v>0</v>
      </c>
      <c r="Q336" s="146">
        <f t="shared" si="33"/>
        <v>0</v>
      </c>
      <c r="R336" s="169"/>
      <c r="S336" s="169"/>
      <c r="T336" s="146">
        <f t="shared" si="34"/>
        <v>0</v>
      </c>
      <c r="U336" s="121" t="str">
        <f t="shared" si="35"/>
        <v>Close</v>
      </c>
      <c r="V336" s="117"/>
    </row>
    <row r="337" spans="1:22" ht="15" customHeight="1">
      <c r="A337" s="117"/>
      <c r="B337" s="144" t="str">
        <f>IF(D337="","","P"&amp;D337&amp;"MA"&amp;COUNTIF($D$14:D337,D337))</f>
        <v/>
      </c>
      <c r="C337" s="162"/>
      <c r="D337" s="163"/>
      <c r="E337" s="164"/>
      <c r="F337" s="164"/>
      <c r="G337" s="164"/>
      <c r="H337" s="164"/>
      <c r="I337" s="162"/>
      <c r="J337" s="144"/>
      <c r="K337" s="144"/>
      <c r="L337" s="144"/>
      <c r="M337" s="145">
        <f t="shared" si="30"/>
        <v>0</v>
      </c>
      <c r="N337" s="145">
        <f t="shared" si="31"/>
        <v>0</v>
      </c>
      <c r="O337" s="146">
        <f t="shared" si="32"/>
        <v>0</v>
      </c>
      <c r="P337" s="146">
        <f>IF(B337="",0,SUMIF('NHAP XUAT'!$G$10:$J$1011,'Ghi So'!B337,'NHAP XUAT'!$J$10:$J$1011))</f>
        <v>0</v>
      </c>
      <c r="Q337" s="146">
        <f t="shared" si="33"/>
        <v>0</v>
      </c>
      <c r="R337" s="169"/>
      <c r="S337" s="169"/>
      <c r="T337" s="146">
        <f t="shared" si="34"/>
        <v>0</v>
      </c>
      <c r="U337" s="121" t="str">
        <f t="shared" si="35"/>
        <v>Close</v>
      </c>
      <c r="V337" s="117"/>
    </row>
    <row r="338" spans="1:22" ht="15" customHeight="1">
      <c r="A338" s="117"/>
      <c r="B338" s="144" t="str">
        <f>IF(D338="","","P"&amp;D338&amp;"MA"&amp;COUNTIF($D$14:D338,D338))</f>
        <v/>
      </c>
      <c r="C338" s="162"/>
      <c r="D338" s="163"/>
      <c r="E338" s="164"/>
      <c r="F338" s="164"/>
      <c r="G338" s="164"/>
      <c r="H338" s="164"/>
      <c r="I338" s="162"/>
      <c r="J338" s="144"/>
      <c r="K338" s="144"/>
      <c r="L338" s="144"/>
      <c r="M338" s="145">
        <f t="shared" si="30"/>
        <v>0</v>
      </c>
      <c r="N338" s="145">
        <f t="shared" si="31"/>
        <v>0</v>
      </c>
      <c r="O338" s="146">
        <f t="shared" si="32"/>
        <v>0</v>
      </c>
      <c r="P338" s="146">
        <f>IF(B338="",0,SUMIF('NHAP XUAT'!$G$10:$J$1011,'Ghi So'!B338,'NHAP XUAT'!$J$10:$J$1011))</f>
        <v>0</v>
      </c>
      <c r="Q338" s="146">
        <f t="shared" si="33"/>
        <v>0</v>
      </c>
      <c r="R338" s="169"/>
      <c r="S338" s="169"/>
      <c r="T338" s="146">
        <f t="shared" si="34"/>
        <v>0</v>
      </c>
      <c r="U338" s="121" t="str">
        <f t="shared" si="35"/>
        <v>Close</v>
      </c>
      <c r="V338" s="117"/>
    </row>
    <row r="339" spans="1:22" ht="15" customHeight="1">
      <c r="A339" s="117"/>
      <c r="B339" s="144" t="str">
        <f>IF(D339="","","P"&amp;D339&amp;"MA"&amp;COUNTIF($D$14:D339,D339))</f>
        <v/>
      </c>
      <c r="C339" s="162"/>
      <c r="D339" s="163"/>
      <c r="E339" s="164"/>
      <c r="F339" s="164"/>
      <c r="G339" s="164"/>
      <c r="H339" s="164"/>
      <c r="I339" s="162"/>
      <c r="J339" s="144"/>
      <c r="K339" s="144"/>
      <c r="L339" s="144"/>
      <c r="M339" s="145">
        <f t="shared" si="30"/>
        <v>0</v>
      </c>
      <c r="N339" s="145">
        <f t="shared" si="31"/>
        <v>0</v>
      </c>
      <c r="O339" s="146">
        <f t="shared" si="32"/>
        <v>0</v>
      </c>
      <c r="P339" s="146">
        <f>IF(B339="",0,SUMIF('NHAP XUAT'!$G$10:$J$1011,'Ghi So'!B339,'NHAP XUAT'!$J$10:$J$1011))</f>
        <v>0</v>
      </c>
      <c r="Q339" s="146">
        <f t="shared" si="33"/>
        <v>0</v>
      </c>
      <c r="R339" s="169"/>
      <c r="S339" s="169"/>
      <c r="T339" s="146">
        <f t="shared" si="34"/>
        <v>0</v>
      </c>
      <c r="U339" s="121" t="str">
        <f t="shared" si="35"/>
        <v>Close</v>
      </c>
      <c r="V339" s="117"/>
    </row>
    <row r="340" spans="1:22" ht="15" customHeight="1">
      <c r="A340" s="117"/>
      <c r="B340" s="144" t="str">
        <f>IF(D340="","","P"&amp;D340&amp;"MA"&amp;COUNTIF($D$14:D340,D340))</f>
        <v/>
      </c>
      <c r="C340" s="162"/>
      <c r="D340" s="163"/>
      <c r="E340" s="164"/>
      <c r="F340" s="164"/>
      <c r="G340" s="164"/>
      <c r="H340" s="164"/>
      <c r="I340" s="162"/>
      <c r="J340" s="144"/>
      <c r="K340" s="144"/>
      <c r="L340" s="144"/>
      <c r="M340" s="145">
        <f t="shared" si="30"/>
        <v>0</v>
      </c>
      <c r="N340" s="145">
        <f t="shared" si="31"/>
        <v>0</v>
      </c>
      <c r="O340" s="146">
        <f t="shared" si="32"/>
        <v>0</v>
      </c>
      <c r="P340" s="146">
        <f>IF(B340="",0,SUMIF('NHAP XUAT'!$G$10:$J$1011,'Ghi So'!B340,'NHAP XUAT'!$J$10:$J$1011))</f>
        <v>0</v>
      </c>
      <c r="Q340" s="146">
        <f t="shared" si="33"/>
        <v>0</v>
      </c>
      <c r="R340" s="169"/>
      <c r="S340" s="169"/>
      <c r="T340" s="146">
        <f t="shared" si="34"/>
        <v>0</v>
      </c>
      <c r="U340" s="121" t="str">
        <f t="shared" si="35"/>
        <v>Close</v>
      </c>
      <c r="V340" s="117"/>
    </row>
    <row r="341" spans="1:22" ht="15" customHeight="1">
      <c r="A341" s="117"/>
      <c r="B341" s="144" t="str">
        <f>IF(D341="","","P"&amp;D341&amp;"MA"&amp;COUNTIF($D$14:D341,D341))</f>
        <v/>
      </c>
      <c r="C341" s="162"/>
      <c r="D341" s="163"/>
      <c r="E341" s="164"/>
      <c r="F341" s="164"/>
      <c r="G341" s="164"/>
      <c r="H341" s="164"/>
      <c r="I341" s="162"/>
      <c r="J341" s="144"/>
      <c r="K341" s="144"/>
      <c r="L341" s="144"/>
      <c r="M341" s="145">
        <f t="shared" si="30"/>
        <v>0</v>
      </c>
      <c r="N341" s="145">
        <f t="shared" si="31"/>
        <v>0</v>
      </c>
      <c r="O341" s="146">
        <f t="shared" si="32"/>
        <v>0</v>
      </c>
      <c r="P341" s="146">
        <f>IF(B341="",0,SUMIF('NHAP XUAT'!$G$10:$J$1011,'Ghi So'!B341,'NHAP XUAT'!$J$10:$J$1011))</f>
        <v>0</v>
      </c>
      <c r="Q341" s="146">
        <f t="shared" si="33"/>
        <v>0</v>
      </c>
      <c r="R341" s="169"/>
      <c r="S341" s="169"/>
      <c r="T341" s="146">
        <f t="shared" si="34"/>
        <v>0</v>
      </c>
      <c r="U341" s="121" t="str">
        <f t="shared" si="35"/>
        <v>Close</v>
      </c>
      <c r="V341" s="117"/>
    </row>
    <row r="342" spans="1:22" ht="15" customHeight="1">
      <c r="A342" s="117"/>
      <c r="B342" s="144" t="str">
        <f>IF(D342="","","P"&amp;D342&amp;"MA"&amp;COUNTIF($D$14:D342,D342))</f>
        <v/>
      </c>
      <c r="C342" s="162"/>
      <c r="D342" s="163"/>
      <c r="E342" s="164"/>
      <c r="F342" s="164"/>
      <c r="G342" s="164"/>
      <c r="H342" s="164"/>
      <c r="I342" s="162"/>
      <c r="J342" s="144"/>
      <c r="K342" s="144"/>
      <c r="L342" s="144"/>
      <c r="M342" s="145">
        <f t="shared" si="30"/>
        <v>0</v>
      </c>
      <c r="N342" s="145">
        <f t="shared" si="31"/>
        <v>0</v>
      </c>
      <c r="O342" s="146">
        <f t="shared" si="32"/>
        <v>0</v>
      </c>
      <c r="P342" s="146">
        <f>IF(B342="",0,SUMIF('NHAP XUAT'!$G$10:$J$1011,'Ghi So'!B342,'NHAP XUAT'!$J$10:$J$1011))</f>
        <v>0</v>
      </c>
      <c r="Q342" s="146">
        <f t="shared" si="33"/>
        <v>0</v>
      </c>
      <c r="R342" s="169"/>
      <c r="S342" s="169"/>
      <c r="T342" s="146">
        <f t="shared" si="34"/>
        <v>0</v>
      </c>
      <c r="U342" s="121" t="str">
        <f t="shared" si="35"/>
        <v>Close</v>
      </c>
      <c r="V342" s="117"/>
    </row>
    <row r="343" spans="1:22" ht="15" customHeight="1">
      <c r="A343" s="117"/>
      <c r="B343" s="144" t="str">
        <f>IF(D343="","","P"&amp;D343&amp;"MA"&amp;COUNTIF($D$14:D343,D343))</f>
        <v/>
      </c>
      <c r="C343" s="162"/>
      <c r="D343" s="163"/>
      <c r="E343" s="164"/>
      <c r="F343" s="164"/>
      <c r="G343" s="164"/>
      <c r="H343" s="164"/>
      <c r="I343" s="162"/>
      <c r="J343" s="144"/>
      <c r="K343" s="144"/>
      <c r="L343" s="144"/>
      <c r="M343" s="145">
        <f t="shared" si="30"/>
        <v>0</v>
      </c>
      <c r="N343" s="145">
        <f t="shared" si="31"/>
        <v>0</v>
      </c>
      <c r="O343" s="146">
        <f t="shared" si="32"/>
        <v>0</v>
      </c>
      <c r="P343" s="146">
        <f>IF(B343="",0,SUMIF('NHAP XUAT'!$G$10:$J$1011,'Ghi So'!B343,'NHAP XUAT'!$J$10:$J$1011))</f>
        <v>0</v>
      </c>
      <c r="Q343" s="146">
        <f t="shared" si="33"/>
        <v>0</v>
      </c>
      <c r="R343" s="169"/>
      <c r="S343" s="169"/>
      <c r="T343" s="146">
        <f t="shared" si="34"/>
        <v>0</v>
      </c>
      <c r="U343" s="121" t="str">
        <f t="shared" si="35"/>
        <v>Close</v>
      </c>
      <c r="V343" s="117"/>
    </row>
    <row r="344" spans="1:22" ht="15" customHeight="1">
      <c r="A344" s="117"/>
      <c r="B344" s="144" t="str">
        <f>IF(D344="","","P"&amp;D344&amp;"MA"&amp;COUNTIF($D$14:D344,D344))</f>
        <v/>
      </c>
      <c r="C344" s="162"/>
      <c r="D344" s="163"/>
      <c r="E344" s="164"/>
      <c r="F344" s="164"/>
      <c r="G344" s="164"/>
      <c r="H344" s="164"/>
      <c r="I344" s="162"/>
      <c r="J344" s="144"/>
      <c r="K344" s="144"/>
      <c r="L344" s="144"/>
      <c r="M344" s="145">
        <f t="shared" si="30"/>
        <v>0</v>
      </c>
      <c r="N344" s="145">
        <f t="shared" si="31"/>
        <v>0</v>
      </c>
      <c r="O344" s="146">
        <f t="shared" si="32"/>
        <v>0</v>
      </c>
      <c r="P344" s="146">
        <f>IF(B344="",0,SUMIF('NHAP XUAT'!$G$10:$J$1011,'Ghi So'!B344,'NHAP XUAT'!$J$10:$J$1011))</f>
        <v>0</v>
      </c>
      <c r="Q344" s="146">
        <f t="shared" si="33"/>
        <v>0</v>
      </c>
      <c r="R344" s="169"/>
      <c r="S344" s="169"/>
      <c r="T344" s="146">
        <f t="shared" si="34"/>
        <v>0</v>
      </c>
      <c r="U344" s="121" t="str">
        <f t="shared" si="35"/>
        <v>Close</v>
      </c>
      <c r="V344" s="117"/>
    </row>
    <row r="345" spans="1:22" ht="15" customHeight="1">
      <c r="A345" s="117"/>
      <c r="B345" s="144" t="str">
        <f>IF(D345="","","P"&amp;D345&amp;"MA"&amp;COUNTIF($D$14:D345,D345))</f>
        <v/>
      </c>
      <c r="C345" s="162"/>
      <c r="D345" s="163"/>
      <c r="E345" s="164"/>
      <c r="F345" s="164"/>
      <c r="G345" s="164"/>
      <c r="H345" s="164"/>
      <c r="I345" s="162"/>
      <c r="J345" s="144"/>
      <c r="K345" s="144"/>
      <c r="L345" s="144"/>
      <c r="M345" s="145">
        <f t="shared" si="30"/>
        <v>0</v>
      </c>
      <c r="N345" s="145">
        <f t="shared" si="31"/>
        <v>0</v>
      </c>
      <c r="O345" s="146">
        <f t="shared" si="32"/>
        <v>0</v>
      </c>
      <c r="P345" s="146">
        <f>IF(B345="",0,SUMIF('NHAP XUAT'!$G$10:$J$1011,'Ghi So'!B345,'NHAP XUAT'!$J$10:$J$1011))</f>
        <v>0</v>
      </c>
      <c r="Q345" s="146">
        <f t="shared" si="33"/>
        <v>0</v>
      </c>
      <c r="R345" s="169"/>
      <c r="S345" s="169"/>
      <c r="T345" s="146">
        <f t="shared" si="34"/>
        <v>0</v>
      </c>
      <c r="U345" s="121" t="str">
        <f t="shared" si="35"/>
        <v>Close</v>
      </c>
      <c r="V345" s="117"/>
    </row>
    <row r="346" spans="1:22" ht="15" customHeight="1">
      <c r="A346" s="117"/>
      <c r="B346" s="144" t="str">
        <f>IF(D346="","","P"&amp;D346&amp;"MA"&amp;COUNTIF($D$14:D346,D346))</f>
        <v/>
      </c>
      <c r="C346" s="162"/>
      <c r="D346" s="163"/>
      <c r="E346" s="164"/>
      <c r="F346" s="164"/>
      <c r="G346" s="164"/>
      <c r="H346" s="164"/>
      <c r="I346" s="162"/>
      <c r="J346" s="144"/>
      <c r="K346" s="144"/>
      <c r="L346" s="144"/>
      <c r="M346" s="145">
        <f t="shared" si="30"/>
        <v>0</v>
      </c>
      <c r="N346" s="145">
        <f t="shared" si="31"/>
        <v>0</v>
      </c>
      <c r="O346" s="146">
        <f t="shared" si="32"/>
        <v>0</v>
      </c>
      <c r="P346" s="146">
        <f>IF(B346="",0,SUMIF('NHAP XUAT'!$G$10:$J$1011,'Ghi So'!B346,'NHAP XUAT'!$J$10:$J$1011))</f>
        <v>0</v>
      </c>
      <c r="Q346" s="146">
        <f t="shared" si="33"/>
        <v>0</v>
      </c>
      <c r="R346" s="169"/>
      <c r="S346" s="169"/>
      <c r="T346" s="146">
        <f t="shared" si="34"/>
        <v>0</v>
      </c>
      <c r="U346" s="121" t="str">
        <f t="shared" si="35"/>
        <v>Close</v>
      </c>
      <c r="V346" s="117"/>
    </row>
    <row r="347" spans="1:22" ht="15" customHeight="1">
      <c r="A347" s="117"/>
      <c r="B347" s="144" t="str">
        <f>IF(D347="","","P"&amp;D347&amp;"MA"&amp;COUNTIF($D$14:D347,D347))</f>
        <v/>
      </c>
      <c r="C347" s="162"/>
      <c r="D347" s="163"/>
      <c r="E347" s="164"/>
      <c r="F347" s="164"/>
      <c r="G347" s="164"/>
      <c r="H347" s="164"/>
      <c r="I347" s="162"/>
      <c r="J347" s="144"/>
      <c r="K347" s="144"/>
      <c r="L347" s="144"/>
      <c r="M347" s="145">
        <f t="shared" si="30"/>
        <v>0</v>
      </c>
      <c r="N347" s="145">
        <f t="shared" si="31"/>
        <v>0</v>
      </c>
      <c r="O347" s="146">
        <f t="shared" si="32"/>
        <v>0</v>
      </c>
      <c r="P347" s="146">
        <f>IF(B347="",0,SUMIF('NHAP XUAT'!$G$10:$J$1011,'Ghi So'!B347,'NHAP XUAT'!$J$10:$J$1011))</f>
        <v>0</v>
      </c>
      <c r="Q347" s="146">
        <f t="shared" si="33"/>
        <v>0</v>
      </c>
      <c r="R347" s="169"/>
      <c r="S347" s="169"/>
      <c r="T347" s="146">
        <f t="shared" si="34"/>
        <v>0</v>
      </c>
      <c r="U347" s="121" t="str">
        <f t="shared" si="35"/>
        <v>Close</v>
      </c>
      <c r="V347" s="117"/>
    </row>
    <row r="348" spans="1:22" ht="15" customHeight="1">
      <c r="A348" s="117"/>
      <c r="B348" s="144" t="str">
        <f>IF(D348="","","P"&amp;D348&amp;"MA"&amp;COUNTIF($D$14:D348,D348))</f>
        <v/>
      </c>
      <c r="C348" s="162"/>
      <c r="D348" s="163"/>
      <c r="E348" s="164"/>
      <c r="F348" s="164"/>
      <c r="G348" s="164"/>
      <c r="H348" s="164"/>
      <c r="I348" s="162"/>
      <c r="J348" s="144"/>
      <c r="K348" s="144"/>
      <c r="L348" s="144"/>
      <c r="M348" s="145">
        <f t="shared" si="30"/>
        <v>0</v>
      </c>
      <c r="N348" s="145">
        <f t="shared" si="31"/>
        <v>0</v>
      </c>
      <c r="O348" s="146">
        <f t="shared" si="32"/>
        <v>0</v>
      </c>
      <c r="P348" s="146">
        <f>IF(B348="",0,SUMIF('NHAP XUAT'!$G$10:$J$1011,'Ghi So'!B348,'NHAP XUAT'!$J$10:$J$1011))</f>
        <v>0</v>
      </c>
      <c r="Q348" s="146">
        <f t="shared" si="33"/>
        <v>0</v>
      </c>
      <c r="R348" s="169"/>
      <c r="S348" s="169"/>
      <c r="T348" s="146">
        <f t="shared" si="34"/>
        <v>0</v>
      </c>
      <c r="U348" s="121" t="str">
        <f t="shared" si="35"/>
        <v>Close</v>
      </c>
      <c r="V348" s="117"/>
    </row>
    <row r="349" spans="1:22" ht="15" customHeight="1">
      <c r="A349" s="117"/>
      <c r="B349" s="144" t="str">
        <f>IF(D349="","","P"&amp;D349&amp;"MA"&amp;COUNTIF($D$14:D349,D349))</f>
        <v/>
      </c>
      <c r="C349" s="162"/>
      <c r="D349" s="163"/>
      <c r="E349" s="164"/>
      <c r="F349" s="164"/>
      <c r="G349" s="164"/>
      <c r="H349" s="164"/>
      <c r="I349" s="162"/>
      <c r="J349" s="144"/>
      <c r="K349" s="144"/>
      <c r="L349" s="144"/>
      <c r="M349" s="145">
        <f t="shared" ref="M349:M412" si="36">(IF(I349&lt;&gt;"",(I349-C349)*24*60,0)+G349*60+H349-E349*60-F349)/60</f>
        <v>0</v>
      </c>
      <c r="N349" s="145">
        <f t="shared" ref="N349:N412" si="37">INT(M349)+IF(MOD(M349,2)&gt;0.25,1,0)</f>
        <v>0</v>
      </c>
      <c r="O349" s="146">
        <f t="shared" ref="O349:O412" si="38">IF(J349&lt;&gt;"",DG_nghigio+DG_themgio*(N349-1),IF(K349&lt;&gt;"",DG_quadem+DG_themgio*(N349-12),DG_ngay*L349))</f>
        <v>0</v>
      </c>
      <c r="P349" s="146">
        <f>IF(B349="",0,SUMIF('NHAP XUAT'!$G$10:$J$1011,'Ghi So'!B349,'NHAP XUAT'!$J$10:$J$1011))</f>
        <v>0</v>
      </c>
      <c r="Q349" s="146">
        <f t="shared" ref="Q349:Q412" si="39">O349+P349</f>
        <v>0</v>
      </c>
      <c r="R349" s="169"/>
      <c r="S349" s="169"/>
      <c r="T349" s="146">
        <f t="shared" ref="T349:T412" si="40">R349*S349</f>
        <v>0</v>
      </c>
      <c r="U349" s="121" t="str">
        <f t="shared" ref="U349:U412" si="41">D349&amp;IF(AND(G349="",H349="",I349=""),"Close","Open")</f>
        <v>Close</v>
      </c>
      <c r="V349" s="117"/>
    </row>
    <row r="350" spans="1:22" ht="15" customHeight="1">
      <c r="A350" s="117"/>
      <c r="B350" s="144" t="str">
        <f>IF(D350="","","P"&amp;D350&amp;"MA"&amp;COUNTIF($D$14:D350,D350))</f>
        <v/>
      </c>
      <c r="C350" s="162"/>
      <c r="D350" s="163"/>
      <c r="E350" s="164"/>
      <c r="F350" s="164"/>
      <c r="G350" s="164"/>
      <c r="H350" s="164"/>
      <c r="I350" s="162"/>
      <c r="J350" s="144"/>
      <c r="K350" s="144"/>
      <c r="L350" s="144"/>
      <c r="M350" s="145">
        <f t="shared" si="36"/>
        <v>0</v>
      </c>
      <c r="N350" s="145">
        <f t="shared" si="37"/>
        <v>0</v>
      </c>
      <c r="O350" s="146">
        <f t="shared" si="38"/>
        <v>0</v>
      </c>
      <c r="P350" s="146">
        <f>IF(B350="",0,SUMIF('NHAP XUAT'!$G$10:$J$1011,'Ghi So'!B350,'NHAP XUAT'!$J$10:$J$1011))</f>
        <v>0</v>
      </c>
      <c r="Q350" s="146">
        <f t="shared" si="39"/>
        <v>0</v>
      </c>
      <c r="R350" s="169"/>
      <c r="S350" s="169"/>
      <c r="T350" s="146">
        <f t="shared" si="40"/>
        <v>0</v>
      </c>
      <c r="U350" s="121" t="str">
        <f t="shared" si="41"/>
        <v>Close</v>
      </c>
      <c r="V350" s="117"/>
    </row>
    <row r="351" spans="1:22" ht="15" customHeight="1">
      <c r="A351" s="117"/>
      <c r="B351" s="144" t="str">
        <f>IF(D351="","","P"&amp;D351&amp;"MA"&amp;COUNTIF($D$14:D351,D351))</f>
        <v/>
      </c>
      <c r="C351" s="162"/>
      <c r="D351" s="163"/>
      <c r="E351" s="164"/>
      <c r="F351" s="164"/>
      <c r="G351" s="164"/>
      <c r="H351" s="164"/>
      <c r="I351" s="162"/>
      <c r="J351" s="144"/>
      <c r="K351" s="144"/>
      <c r="L351" s="144"/>
      <c r="M351" s="145">
        <f t="shared" si="36"/>
        <v>0</v>
      </c>
      <c r="N351" s="145">
        <f t="shared" si="37"/>
        <v>0</v>
      </c>
      <c r="O351" s="146">
        <f t="shared" si="38"/>
        <v>0</v>
      </c>
      <c r="P351" s="146">
        <f>IF(B351="",0,SUMIF('NHAP XUAT'!$G$10:$J$1011,'Ghi So'!B351,'NHAP XUAT'!$J$10:$J$1011))</f>
        <v>0</v>
      </c>
      <c r="Q351" s="146">
        <f t="shared" si="39"/>
        <v>0</v>
      </c>
      <c r="R351" s="169"/>
      <c r="S351" s="169"/>
      <c r="T351" s="146">
        <f t="shared" si="40"/>
        <v>0</v>
      </c>
      <c r="U351" s="121" t="str">
        <f t="shared" si="41"/>
        <v>Close</v>
      </c>
      <c r="V351" s="117"/>
    </row>
    <row r="352" spans="1:22" ht="15" customHeight="1">
      <c r="A352" s="117"/>
      <c r="B352" s="144" t="str">
        <f>IF(D352="","","P"&amp;D352&amp;"MA"&amp;COUNTIF($D$14:D352,D352))</f>
        <v/>
      </c>
      <c r="C352" s="162"/>
      <c r="D352" s="163"/>
      <c r="E352" s="164"/>
      <c r="F352" s="164"/>
      <c r="G352" s="164"/>
      <c r="H352" s="164"/>
      <c r="I352" s="162"/>
      <c r="J352" s="144"/>
      <c r="K352" s="144"/>
      <c r="L352" s="144"/>
      <c r="M352" s="145">
        <f t="shared" si="36"/>
        <v>0</v>
      </c>
      <c r="N352" s="145">
        <f t="shared" si="37"/>
        <v>0</v>
      </c>
      <c r="O352" s="146">
        <f t="shared" si="38"/>
        <v>0</v>
      </c>
      <c r="P352" s="146">
        <f>IF(B352="",0,SUMIF('NHAP XUAT'!$G$10:$J$1011,'Ghi So'!B352,'NHAP XUAT'!$J$10:$J$1011))</f>
        <v>0</v>
      </c>
      <c r="Q352" s="146">
        <f t="shared" si="39"/>
        <v>0</v>
      </c>
      <c r="R352" s="169"/>
      <c r="S352" s="169"/>
      <c r="T352" s="146">
        <f t="shared" si="40"/>
        <v>0</v>
      </c>
      <c r="U352" s="121" t="str">
        <f t="shared" si="41"/>
        <v>Close</v>
      </c>
      <c r="V352" s="117"/>
    </row>
    <row r="353" spans="1:22" ht="15" customHeight="1">
      <c r="A353" s="117"/>
      <c r="B353" s="144" t="str">
        <f>IF(D353="","","P"&amp;D353&amp;"MA"&amp;COUNTIF($D$14:D353,D353))</f>
        <v/>
      </c>
      <c r="C353" s="162"/>
      <c r="D353" s="163"/>
      <c r="E353" s="164"/>
      <c r="F353" s="164"/>
      <c r="G353" s="164"/>
      <c r="H353" s="164"/>
      <c r="I353" s="162"/>
      <c r="J353" s="144"/>
      <c r="K353" s="144"/>
      <c r="L353" s="144"/>
      <c r="M353" s="145">
        <f t="shared" si="36"/>
        <v>0</v>
      </c>
      <c r="N353" s="145">
        <f t="shared" si="37"/>
        <v>0</v>
      </c>
      <c r="O353" s="146">
        <f t="shared" si="38"/>
        <v>0</v>
      </c>
      <c r="P353" s="146">
        <f>IF(B353="",0,SUMIF('NHAP XUAT'!$G$10:$J$1011,'Ghi So'!B353,'NHAP XUAT'!$J$10:$J$1011))</f>
        <v>0</v>
      </c>
      <c r="Q353" s="146">
        <f t="shared" si="39"/>
        <v>0</v>
      </c>
      <c r="R353" s="169"/>
      <c r="S353" s="169"/>
      <c r="T353" s="146">
        <f t="shared" si="40"/>
        <v>0</v>
      </c>
      <c r="U353" s="121" t="str">
        <f t="shared" si="41"/>
        <v>Close</v>
      </c>
      <c r="V353" s="117"/>
    </row>
    <row r="354" spans="1:22" ht="15" customHeight="1">
      <c r="A354" s="117"/>
      <c r="B354" s="144" t="str">
        <f>IF(D354="","","P"&amp;D354&amp;"MA"&amp;COUNTIF($D$14:D354,D354))</f>
        <v/>
      </c>
      <c r="C354" s="162"/>
      <c r="D354" s="163"/>
      <c r="E354" s="164"/>
      <c r="F354" s="164"/>
      <c r="G354" s="164"/>
      <c r="H354" s="164"/>
      <c r="I354" s="162"/>
      <c r="J354" s="144"/>
      <c r="K354" s="144"/>
      <c r="L354" s="144"/>
      <c r="M354" s="145">
        <f t="shared" si="36"/>
        <v>0</v>
      </c>
      <c r="N354" s="145">
        <f t="shared" si="37"/>
        <v>0</v>
      </c>
      <c r="O354" s="146">
        <f t="shared" si="38"/>
        <v>0</v>
      </c>
      <c r="P354" s="146">
        <f>IF(B354="",0,SUMIF('NHAP XUAT'!$G$10:$J$1011,'Ghi So'!B354,'NHAP XUAT'!$J$10:$J$1011))</f>
        <v>0</v>
      </c>
      <c r="Q354" s="146">
        <f t="shared" si="39"/>
        <v>0</v>
      </c>
      <c r="R354" s="169"/>
      <c r="S354" s="169"/>
      <c r="T354" s="146">
        <f t="shared" si="40"/>
        <v>0</v>
      </c>
      <c r="U354" s="121" t="str">
        <f t="shared" si="41"/>
        <v>Close</v>
      </c>
      <c r="V354" s="117"/>
    </row>
    <row r="355" spans="1:22" ht="15" customHeight="1">
      <c r="A355" s="117"/>
      <c r="B355" s="144" t="str">
        <f>IF(D355="","","P"&amp;D355&amp;"MA"&amp;COUNTIF($D$14:D355,D355))</f>
        <v/>
      </c>
      <c r="C355" s="162"/>
      <c r="D355" s="163"/>
      <c r="E355" s="164"/>
      <c r="F355" s="164"/>
      <c r="G355" s="164"/>
      <c r="H355" s="164"/>
      <c r="I355" s="162"/>
      <c r="J355" s="144"/>
      <c r="K355" s="144"/>
      <c r="L355" s="144"/>
      <c r="M355" s="145">
        <f t="shared" si="36"/>
        <v>0</v>
      </c>
      <c r="N355" s="145">
        <f t="shared" si="37"/>
        <v>0</v>
      </c>
      <c r="O355" s="146">
        <f t="shared" si="38"/>
        <v>0</v>
      </c>
      <c r="P355" s="146">
        <f>IF(B355="",0,SUMIF('NHAP XUAT'!$G$10:$J$1011,'Ghi So'!B355,'NHAP XUAT'!$J$10:$J$1011))</f>
        <v>0</v>
      </c>
      <c r="Q355" s="146">
        <f t="shared" si="39"/>
        <v>0</v>
      </c>
      <c r="R355" s="169"/>
      <c r="S355" s="169"/>
      <c r="T355" s="146">
        <f t="shared" si="40"/>
        <v>0</v>
      </c>
      <c r="U355" s="121" t="str">
        <f t="shared" si="41"/>
        <v>Close</v>
      </c>
      <c r="V355" s="117"/>
    </row>
    <row r="356" spans="1:22" ht="15" customHeight="1">
      <c r="A356" s="117"/>
      <c r="B356" s="144" t="str">
        <f>IF(D356="","","P"&amp;D356&amp;"MA"&amp;COUNTIF($D$14:D356,D356))</f>
        <v/>
      </c>
      <c r="C356" s="162"/>
      <c r="D356" s="163"/>
      <c r="E356" s="164"/>
      <c r="F356" s="164"/>
      <c r="G356" s="164"/>
      <c r="H356" s="164"/>
      <c r="I356" s="162"/>
      <c r="J356" s="144"/>
      <c r="K356" s="144"/>
      <c r="L356" s="144"/>
      <c r="M356" s="145">
        <f t="shared" si="36"/>
        <v>0</v>
      </c>
      <c r="N356" s="145">
        <f t="shared" si="37"/>
        <v>0</v>
      </c>
      <c r="O356" s="146">
        <f t="shared" si="38"/>
        <v>0</v>
      </c>
      <c r="P356" s="146">
        <f>IF(B356="",0,SUMIF('NHAP XUAT'!$G$10:$J$1011,'Ghi So'!B356,'NHAP XUAT'!$J$10:$J$1011))</f>
        <v>0</v>
      </c>
      <c r="Q356" s="146">
        <f t="shared" si="39"/>
        <v>0</v>
      </c>
      <c r="R356" s="169"/>
      <c r="S356" s="169"/>
      <c r="T356" s="146">
        <f t="shared" si="40"/>
        <v>0</v>
      </c>
      <c r="U356" s="121" t="str">
        <f t="shared" si="41"/>
        <v>Close</v>
      </c>
      <c r="V356" s="117"/>
    </row>
    <row r="357" spans="1:22" ht="15" customHeight="1">
      <c r="A357" s="117"/>
      <c r="B357" s="144" t="str">
        <f>IF(D357="","","P"&amp;D357&amp;"MA"&amp;COUNTIF($D$14:D357,D357))</f>
        <v/>
      </c>
      <c r="C357" s="162"/>
      <c r="D357" s="163"/>
      <c r="E357" s="164"/>
      <c r="F357" s="164"/>
      <c r="G357" s="164"/>
      <c r="H357" s="164"/>
      <c r="I357" s="162"/>
      <c r="J357" s="144"/>
      <c r="K357" s="144"/>
      <c r="L357" s="144"/>
      <c r="M357" s="145">
        <f t="shared" si="36"/>
        <v>0</v>
      </c>
      <c r="N357" s="145">
        <f t="shared" si="37"/>
        <v>0</v>
      </c>
      <c r="O357" s="146">
        <f t="shared" si="38"/>
        <v>0</v>
      </c>
      <c r="P357" s="146">
        <f>IF(B357="",0,SUMIF('NHAP XUAT'!$G$10:$J$1011,'Ghi So'!B357,'NHAP XUAT'!$J$10:$J$1011))</f>
        <v>0</v>
      </c>
      <c r="Q357" s="146">
        <f t="shared" si="39"/>
        <v>0</v>
      </c>
      <c r="R357" s="169"/>
      <c r="S357" s="169"/>
      <c r="T357" s="146">
        <f t="shared" si="40"/>
        <v>0</v>
      </c>
      <c r="U357" s="121" t="str">
        <f t="shared" si="41"/>
        <v>Close</v>
      </c>
      <c r="V357" s="117"/>
    </row>
    <row r="358" spans="1:22" ht="15" customHeight="1">
      <c r="A358" s="117"/>
      <c r="B358" s="144" t="str">
        <f>IF(D358="","","P"&amp;D358&amp;"MA"&amp;COUNTIF($D$14:D358,D358))</f>
        <v/>
      </c>
      <c r="C358" s="162"/>
      <c r="D358" s="163"/>
      <c r="E358" s="164"/>
      <c r="F358" s="164"/>
      <c r="G358" s="164"/>
      <c r="H358" s="164"/>
      <c r="I358" s="162"/>
      <c r="J358" s="144"/>
      <c r="K358" s="144"/>
      <c r="L358" s="144"/>
      <c r="M358" s="145">
        <f t="shared" si="36"/>
        <v>0</v>
      </c>
      <c r="N358" s="145">
        <f t="shared" si="37"/>
        <v>0</v>
      </c>
      <c r="O358" s="146">
        <f t="shared" si="38"/>
        <v>0</v>
      </c>
      <c r="P358" s="146">
        <f>IF(B358="",0,SUMIF('NHAP XUAT'!$G$10:$J$1011,'Ghi So'!B358,'NHAP XUAT'!$J$10:$J$1011))</f>
        <v>0</v>
      </c>
      <c r="Q358" s="146">
        <f t="shared" si="39"/>
        <v>0</v>
      </c>
      <c r="R358" s="169"/>
      <c r="S358" s="169"/>
      <c r="T358" s="146">
        <f t="shared" si="40"/>
        <v>0</v>
      </c>
      <c r="U358" s="121" t="str">
        <f t="shared" si="41"/>
        <v>Close</v>
      </c>
      <c r="V358" s="117"/>
    </row>
    <row r="359" spans="1:22" ht="15" customHeight="1">
      <c r="A359" s="117"/>
      <c r="B359" s="144" t="str">
        <f>IF(D359="","","P"&amp;D359&amp;"MA"&amp;COUNTIF($D$14:D359,D359))</f>
        <v/>
      </c>
      <c r="C359" s="162"/>
      <c r="D359" s="163"/>
      <c r="E359" s="164"/>
      <c r="F359" s="164"/>
      <c r="G359" s="164"/>
      <c r="H359" s="164"/>
      <c r="I359" s="162"/>
      <c r="J359" s="144"/>
      <c r="K359" s="144"/>
      <c r="L359" s="144"/>
      <c r="M359" s="145">
        <f t="shared" si="36"/>
        <v>0</v>
      </c>
      <c r="N359" s="145">
        <f t="shared" si="37"/>
        <v>0</v>
      </c>
      <c r="O359" s="146">
        <f t="shared" si="38"/>
        <v>0</v>
      </c>
      <c r="P359" s="146">
        <f>IF(B359="",0,SUMIF('NHAP XUAT'!$G$10:$J$1011,'Ghi So'!B359,'NHAP XUAT'!$J$10:$J$1011))</f>
        <v>0</v>
      </c>
      <c r="Q359" s="146">
        <f t="shared" si="39"/>
        <v>0</v>
      </c>
      <c r="R359" s="169"/>
      <c r="S359" s="169"/>
      <c r="T359" s="146">
        <f t="shared" si="40"/>
        <v>0</v>
      </c>
      <c r="U359" s="121" t="str">
        <f t="shared" si="41"/>
        <v>Close</v>
      </c>
      <c r="V359" s="117"/>
    </row>
    <row r="360" spans="1:22" ht="15" customHeight="1">
      <c r="A360" s="117"/>
      <c r="B360" s="144" t="str">
        <f>IF(D360="","","P"&amp;D360&amp;"MA"&amp;COUNTIF($D$14:D360,D360))</f>
        <v/>
      </c>
      <c r="C360" s="162"/>
      <c r="D360" s="163"/>
      <c r="E360" s="164"/>
      <c r="F360" s="164"/>
      <c r="G360" s="164"/>
      <c r="H360" s="164"/>
      <c r="I360" s="162"/>
      <c r="J360" s="144"/>
      <c r="K360" s="144"/>
      <c r="L360" s="144"/>
      <c r="M360" s="145">
        <f t="shared" si="36"/>
        <v>0</v>
      </c>
      <c r="N360" s="145">
        <f t="shared" si="37"/>
        <v>0</v>
      </c>
      <c r="O360" s="146">
        <f t="shared" si="38"/>
        <v>0</v>
      </c>
      <c r="P360" s="146">
        <f>IF(B360="",0,SUMIF('NHAP XUAT'!$G$10:$J$1011,'Ghi So'!B360,'NHAP XUAT'!$J$10:$J$1011))</f>
        <v>0</v>
      </c>
      <c r="Q360" s="146">
        <f t="shared" si="39"/>
        <v>0</v>
      </c>
      <c r="R360" s="169"/>
      <c r="S360" s="169"/>
      <c r="T360" s="146">
        <f t="shared" si="40"/>
        <v>0</v>
      </c>
      <c r="U360" s="121" t="str">
        <f t="shared" si="41"/>
        <v>Close</v>
      </c>
      <c r="V360" s="117"/>
    </row>
    <row r="361" spans="1:22" ht="15" customHeight="1">
      <c r="A361" s="117"/>
      <c r="B361" s="144" t="str">
        <f>IF(D361="","","P"&amp;D361&amp;"MA"&amp;COUNTIF($D$14:D361,D361))</f>
        <v/>
      </c>
      <c r="C361" s="162"/>
      <c r="D361" s="163"/>
      <c r="E361" s="164"/>
      <c r="F361" s="164"/>
      <c r="G361" s="164"/>
      <c r="H361" s="164"/>
      <c r="I361" s="162"/>
      <c r="J361" s="144"/>
      <c r="K361" s="144"/>
      <c r="L361" s="144"/>
      <c r="M361" s="145">
        <f t="shared" si="36"/>
        <v>0</v>
      </c>
      <c r="N361" s="145">
        <f t="shared" si="37"/>
        <v>0</v>
      </c>
      <c r="O361" s="146">
        <f t="shared" si="38"/>
        <v>0</v>
      </c>
      <c r="P361" s="146">
        <f>IF(B361="",0,SUMIF('NHAP XUAT'!$G$10:$J$1011,'Ghi So'!B361,'NHAP XUAT'!$J$10:$J$1011))</f>
        <v>0</v>
      </c>
      <c r="Q361" s="146">
        <f t="shared" si="39"/>
        <v>0</v>
      </c>
      <c r="R361" s="169"/>
      <c r="S361" s="169"/>
      <c r="T361" s="146">
        <f t="shared" si="40"/>
        <v>0</v>
      </c>
      <c r="U361" s="121" t="str">
        <f t="shared" si="41"/>
        <v>Close</v>
      </c>
      <c r="V361" s="117"/>
    </row>
    <row r="362" spans="1:22" ht="15" customHeight="1">
      <c r="A362" s="117"/>
      <c r="B362" s="144" t="str">
        <f>IF(D362="","","P"&amp;D362&amp;"MA"&amp;COUNTIF($D$14:D362,D362))</f>
        <v/>
      </c>
      <c r="C362" s="162"/>
      <c r="D362" s="163"/>
      <c r="E362" s="164"/>
      <c r="F362" s="164"/>
      <c r="G362" s="164"/>
      <c r="H362" s="164"/>
      <c r="I362" s="162"/>
      <c r="J362" s="144"/>
      <c r="K362" s="144"/>
      <c r="L362" s="144"/>
      <c r="M362" s="145">
        <f t="shared" si="36"/>
        <v>0</v>
      </c>
      <c r="N362" s="145">
        <f t="shared" si="37"/>
        <v>0</v>
      </c>
      <c r="O362" s="146">
        <f t="shared" si="38"/>
        <v>0</v>
      </c>
      <c r="P362" s="146">
        <f>IF(B362="",0,SUMIF('NHAP XUAT'!$G$10:$J$1011,'Ghi So'!B362,'NHAP XUAT'!$J$10:$J$1011))</f>
        <v>0</v>
      </c>
      <c r="Q362" s="146">
        <f t="shared" si="39"/>
        <v>0</v>
      </c>
      <c r="R362" s="169"/>
      <c r="S362" s="169"/>
      <c r="T362" s="146">
        <f t="shared" si="40"/>
        <v>0</v>
      </c>
      <c r="U362" s="121" t="str">
        <f t="shared" si="41"/>
        <v>Close</v>
      </c>
      <c r="V362" s="117"/>
    </row>
    <row r="363" spans="1:22" ht="15" customHeight="1">
      <c r="A363" s="117"/>
      <c r="B363" s="144" t="str">
        <f>IF(D363="","","P"&amp;D363&amp;"MA"&amp;COUNTIF($D$14:D363,D363))</f>
        <v/>
      </c>
      <c r="C363" s="162"/>
      <c r="D363" s="163"/>
      <c r="E363" s="164"/>
      <c r="F363" s="164"/>
      <c r="G363" s="164"/>
      <c r="H363" s="164"/>
      <c r="I363" s="162"/>
      <c r="J363" s="144"/>
      <c r="K363" s="144"/>
      <c r="L363" s="144"/>
      <c r="M363" s="145">
        <f t="shared" si="36"/>
        <v>0</v>
      </c>
      <c r="N363" s="145">
        <f t="shared" si="37"/>
        <v>0</v>
      </c>
      <c r="O363" s="146">
        <f t="shared" si="38"/>
        <v>0</v>
      </c>
      <c r="P363" s="146">
        <f>IF(B363="",0,SUMIF('NHAP XUAT'!$G$10:$J$1011,'Ghi So'!B363,'NHAP XUAT'!$J$10:$J$1011))</f>
        <v>0</v>
      </c>
      <c r="Q363" s="146">
        <f t="shared" si="39"/>
        <v>0</v>
      </c>
      <c r="R363" s="169"/>
      <c r="S363" s="169"/>
      <c r="T363" s="146">
        <f t="shared" si="40"/>
        <v>0</v>
      </c>
      <c r="U363" s="121" t="str">
        <f t="shared" si="41"/>
        <v>Close</v>
      </c>
      <c r="V363" s="117"/>
    </row>
    <row r="364" spans="1:22" ht="15" customHeight="1">
      <c r="A364" s="117"/>
      <c r="B364" s="144" t="str">
        <f>IF(D364="","","P"&amp;D364&amp;"MA"&amp;COUNTIF($D$14:D364,D364))</f>
        <v/>
      </c>
      <c r="C364" s="162"/>
      <c r="D364" s="163"/>
      <c r="E364" s="164"/>
      <c r="F364" s="164"/>
      <c r="G364" s="164"/>
      <c r="H364" s="164"/>
      <c r="I364" s="162"/>
      <c r="J364" s="144"/>
      <c r="K364" s="144"/>
      <c r="L364" s="144"/>
      <c r="M364" s="145">
        <f t="shared" si="36"/>
        <v>0</v>
      </c>
      <c r="N364" s="145">
        <f t="shared" si="37"/>
        <v>0</v>
      </c>
      <c r="O364" s="146">
        <f t="shared" si="38"/>
        <v>0</v>
      </c>
      <c r="P364" s="146">
        <f>IF(B364="",0,SUMIF('NHAP XUAT'!$G$10:$J$1011,'Ghi So'!B364,'NHAP XUAT'!$J$10:$J$1011))</f>
        <v>0</v>
      </c>
      <c r="Q364" s="146">
        <f t="shared" si="39"/>
        <v>0</v>
      </c>
      <c r="R364" s="169"/>
      <c r="S364" s="169"/>
      <c r="T364" s="146">
        <f t="shared" si="40"/>
        <v>0</v>
      </c>
      <c r="U364" s="121" t="str">
        <f t="shared" si="41"/>
        <v>Close</v>
      </c>
      <c r="V364" s="117"/>
    </row>
    <row r="365" spans="1:22" ht="15" customHeight="1">
      <c r="A365" s="117"/>
      <c r="B365" s="144" t="str">
        <f>IF(D365="","","P"&amp;D365&amp;"MA"&amp;COUNTIF($D$14:D365,D365))</f>
        <v/>
      </c>
      <c r="C365" s="162"/>
      <c r="D365" s="163"/>
      <c r="E365" s="164"/>
      <c r="F365" s="164"/>
      <c r="G365" s="164"/>
      <c r="H365" s="164"/>
      <c r="I365" s="162"/>
      <c r="J365" s="144"/>
      <c r="K365" s="144"/>
      <c r="L365" s="144"/>
      <c r="M365" s="145">
        <f t="shared" si="36"/>
        <v>0</v>
      </c>
      <c r="N365" s="145">
        <f t="shared" si="37"/>
        <v>0</v>
      </c>
      <c r="O365" s="146">
        <f t="shared" si="38"/>
        <v>0</v>
      </c>
      <c r="P365" s="146">
        <f>IF(B365="",0,SUMIF('NHAP XUAT'!$G$10:$J$1011,'Ghi So'!B365,'NHAP XUAT'!$J$10:$J$1011))</f>
        <v>0</v>
      </c>
      <c r="Q365" s="146">
        <f t="shared" si="39"/>
        <v>0</v>
      </c>
      <c r="R365" s="169"/>
      <c r="S365" s="169"/>
      <c r="T365" s="146">
        <f t="shared" si="40"/>
        <v>0</v>
      </c>
      <c r="U365" s="121" t="str">
        <f t="shared" si="41"/>
        <v>Close</v>
      </c>
      <c r="V365" s="117"/>
    </row>
    <row r="366" spans="1:22" ht="15" customHeight="1">
      <c r="A366" s="117"/>
      <c r="B366" s="144" t="str">
        <f>IF(D366="","","P"&amp;D366&amp;"MA"&amp;COUNTIF($D$14:D366,D366))</f>
        <v/>
      </c>
      <c r="C366" s="162"/>
      <c r="D366" s="163"/>
      <c r="E366" s="164"/>
      <c r="F366" s="164"/>
      <c r="G366" s="164"/>
      <c r="H366" s="164"/>
      <c r="I366" s="162"/>
      <c r="J366" s="144"/>
      <c r="K366" s="144"/>
      <c r="L366" s="144"/>
      <c r="M366" s="145">
        <f t="shared" si="36"/>
        <v>0</v>
      </c>
      <c r="N366" s="145">
        <f t="shared" si="37"/>
        <v>0</v>
      </c>
      <c r="O366" s="146">
        <f t="shared" si="38"/>
        <v>0</v>
      </c>
      <c r="P366" s="146">
        <f>IF(B366="",0,SUMIF('NHAP XUAT'!$G$10:$J$1011,'Ghi So'!B366,'NHAP XUAT'!$J$10:$J$1011))</f>
        <v>0</v>
      </c>
      <c r="Q366" s="146">
        <f t="shared" si="39"/>
        <v>0</v>
      </c>
      <c r="R366" s="169"/>
      <c r="S366" s="169"/>
      <c r="T366" s="146">
        <f t="shared" si="40"/>
        <v>0</v>
      </c>
      <c r="U366" s="121" t="str">
        <f t="shared" si="41"/>
        <v>Close</v>
      </c>
      <c r="V366" s="117"/>
    </row>
    <row r="367" spans="1:22" ht="15" customHeight="1">
      <c r="A367" s="117"/>
      <c r="B367" s="144" t="str">
        <f>IF(D367="","","P"&amp;D367&amp;"MA"&amp;COUNTIF($D$14:D367,D367))</f>
        <v/>
      </c>
      <c r="C367" s="162"/>
      <c r="D367" s="163"/>
      <c r="E367" s="164"/>
      <c r="F367" s="164"/>
      <c r="G367" s="164"/>
      <c r="H367" s="164"/>
      <c r="I367" s="162"/>
      <c r="J367" s="144"/>
      <c r="K367" s="144"/>
      <c r="L367" s="144"/>
      <c r="M367" s="145">
        <f t="shared" si="36"/>
        <v>0</v>
      </c>
      <c r="N367" s="145">
        <f t="shared" si="37"/>
        <v>0</v>
      </c>
      <c r="O367" s="146">
        <f t="shared" si="38"/>
        <v>0</v>
      </c>
      <c r="P367" s="146">
        <f>IF(B367="",0,SUMIF('NHAP XUAT'!$G$10:$J$1011,'Ghi So'!B367,'NHAP XUAT'!$J$10:$J$1011))</f>
        <v>0</v>
      </c>
      <c r="Q367" s="146">
        <f t="shared" si="39"/>
        <v>0</v>
      </c>
      <c r="R367" s="169"/>
      <c r="S367" s="169"/>
      <c r="T367" s="146">
        <f t="shared" si="40"/>
        <v>0</v>
      </c>
      <c r="U367" s="121" t="str">
        <f t="shared" si="41"/>
        <v>Close</v>
      </c>
      <c r="V367" s="117"/>
    </row>
    <row r="368" spans="1:22" ht="15" customHeight="1">
      <c r="A368" s="117"/>
      <c r="B368" s="144" t="str">
        <f>IF(D368="","","P"&amp;D368&amp;"MA"&amp;COUNTIF($D$14:D368,D368))</f>
        <v/>
      </c>
      <c r="C368" s="162"/>
      <c r="D368" s="163"/>
      <c r="E368" s="164"/>
      <c r="F368" s="164"/>
      <c r="G368" s="164"/>
      <c r="H368" s="164"/>
      <c r="I368" s="162"/>
      <c r="J368" s="144"/>
      <c r="K368" s="144"/>
      <c r="L368" s="144"/>
      <c r="M368" s="145">
        <f t="shared" si="36"/>
        <v>0</v>
      </c>
      <c r="N368" s="145">
        <f t="shared" si="37"/>
        <v>0</v>
      </c>
      <c r="O368" s="146">
        <f t="shared" si="38"/>
        <v>0</v>
      </c>
      <c r="P368" s="146">
        <f>IF(B368="",0,SUMIF('NHAP XUAT'!$G$10:$J$1011,'Ghi So'!B368,'NHAP XUAT'!$J$10:$J$1011))</f>
        <v>0</v>
      </c>
      <c r="Q368" s="146">
        <f t="shared" si="39"/>
        <v>0</v>
      </c>
      <c r="R368" s="169"/>
      <c r="S368" s="169"/>
      <c r="T368" s="146">
        <f t="shared" si="40"/>
        <v>0</v>
      </c>
      <c r="U368" s="121" t="str">
        <f t="shared" si="41"/>
        <v>Close</v>
      </c>
      <c r="V368" s="117"/>
    </row>
    <row r="369" spans="1:22" ht="15" customHeight="1">
      <c r="A369" s="117"/>
      <c r="B369" s="144" t="str">
        <f>IF(D369="","","P"&amp;D369&amp;"MA"&amp;COUNTIF($D$14:D369,D369))</f>
        <v/>
      </c>
      <c r="C369" s="162"/>
      <c r="D369" s="163"/>
      <c r="E369" s="164"/>
      <c r="F369" s="164"/>
      <c r="G369" s="164"/>
      <c r="H369" s="164"/>
      <c r="I369" s="162"/>
      <c r="J369" s="144"/>
      <c r="K369" s="144"/>
      <c r="L369" s="144"/>
      <c r="M369" s="145">
        <f t="shared" si="36"/>
        <v>0</v>
      </c>
      <c r="N369" s="145">
        <f t="shared" si="37"/>
        <v>0</v>
      </c>
      <c r="O369" s="146">
        <f t="shared" si="38"/>
        <v>0</v>
      </c>
      <c r="P369" s="146">
        <f>IF(B369="",0,SUMIF('NHAP XUAT'!$G$10:$J$1011,'Ghi So'!B369,'NHAP XUAT'!$J$10:$J$1011))</f>
        <v>0</v>
      </c>
      <c r="Q369" s="146">
        <f t="shared" si="39"/>
        <v>0</v>
      </c>
      <c r="R369" s="169"/>
      <c r="S369" s="169"/>
      <c r="T369" s="146">
        <f t="shared" si="40"/>
        <v>0</v>
      </c>
      <c r="U369" s="121" t="str">
        <f t="shared" si="41"/>
        <v>Close</v>
      </c>
      <c r="V369" s="117"/>
    </row>
    <row r="370" spans="1:22" ht="15" customHeight="1">
      <c r="A370" s="117"/>
      <c r="B370" s="144" t="str">
        <f>IF(D370="","","P"&amp;D370&amp;"MA"&amp;COUNTIF($D$14:D370,D370))</f>
        <v/>
      </c>
      <c r="C370" s="162"/>
      <c r="D370" s="163"/>
      <c r="E370" s="164"/>
      <c r="F370" s="164"/>
      <c r="G370" s="164"/>
      <c r="H370" s="164"/>
      <c r="I370" s="162"/>
      <c r="J370" s="144"/>
      <c r="K370" s="144"/>
      <c r="L370" s="144"/>
      <c r="M370" s="145">
        <f t="shared" si="36"/>
        <v>0</v>
      </c>
      <c r="N370" s="145">
        <f t="shared" si="37"/>
        <v>0</v>
      </c>
      <c r="O370" s="146">
        <f t="shared" si="38"/>
        <v>0</v>
      </c>
      <c r="P370" s="146">
        <f>IF(B370="",0,SUMIF('NHAP XUAT'!$G$10:$J$1011,'Ghi So'!B370,'NHAP XUAT'!$J$10:$J$1011))</f>
        <v>0</v>
      </c>
      <c r="Q370" s="146">
        <f t="shared" si="39"/>
        <v>0</v>
      </c>
      <c r="R370" s="169"/>
      <c r="S370" s="169"/>
      <c r="T370" s="146">
        <f t="shared" si="40"/>
        <v>0</v>
      </c>
      <c r="U370" s="121" t="str">
        <f t="shared" si="41"/>
        <v>Close</v>
      </c>
      <c r="V370" s="117"/>
    </row>
    <row r="371" spans="1:22" ht="15" customHeight="1">
      <c r="A371" s="117"/>
      <c r="B371" s="144" t="str">
        <f>IF(D371="","","P"&amp;D371&amp;"MA"&amp;COUNTIF($D$14:D371,D371))</f>
        <v/>
      </c>
      <c r="C371" s="162"/>
      <c r="D371" s="163"/>
      <c r="E371" s="164"/>
      <c r="F371" s="164"/>
      <c r="G371" s="164"/>
      <c r="H371" s="164"/>
      <c r="I371" s="162"/>
      <c r="J371" s="144"/>
      <c r="K371" s="144"/>
      <c r="L371" s="144"/>
      <c r="M371" s="145">
        <f t="shared" si="36"/>
        <v>0</v>
      </c>
      <c r="N371" s="145">
        <f t="shared" si="37"/>
        <v>0</v>
      </c>
      <c r="O371" s="146">
        <f t="shared" si="38"/>
        <v>0</v>
      </c>
      <c r="P371" s="146">
        <f>IF(B371="",0,SUMIF('NHAP XUAT'!$G$10:$J$1011,'Ghi So'!B371,'NHAP XUAT'!$J$10:$J$1011))</f>
        <v>0</v>
      </c>
      <c r="Q371" s="146">
        <f t="shared" si="39"/>
        <v>0</v>
      </c>
      <c r="R371" s="169"/>
      <c r="S371" s="169"/>
      <c r="T371" s="146">
        <f t="shared" si="40"/>
        <v>0</v>
      </c>
      <c r="U371" s="121" t="str">
        <f t="shared" si="41"/>
        <v>Close</v>
      </c>
      <c r="V371" s="117"/>
    </row>
    <row r="372" spans="1:22" ht="15" customHeight="1">
      <c r="A372" s="117"/>
      <c r="B372" s="144" t="str">
        <f>IF(D372="","","P"&amp;D372&amp;"MA"&amp;COUNTIF($D$14:D372,D372))</f>
        <v/>
      </c>
      <c r="C372" s="162"/>
      <c r="D372" s="163"/>
      <c r="E372" s="164"/>
      <c r="F372" s="164"/>
      <c r="G372" s="164"/>
      <c r="H372" s="164"/>
      <c r="I372" s="162"/>
      <c r="J372" s="144"/>
      <c r="K372" s="144"/>
      <c r="L372" s="144"/>
      <c r="M372" s="145">
        <f t="shared" si="36"/>
        <v>0</v>
      </c>
      <c r="N372" s="145">
        <f t="shared" si="37"/>
        <v>0</v>
      </c>
      <c r="O372" s="146">
        <f t="shared" si="38"/>
        <v>0</v>
      </c>
      <c r="P372" s="146">
        <f>IF(B372="",0,SUMIF('NHAP XUAT'!$G$10:$J$1011,'Ghi So'!B372,'NHAP XUAT'!$J$10:$J$1011))</f>
        <v>0</v>
      </c>
      <c r="Q372" s="146">
        <f t="shared" si="39"/>
        <v>0</v>
      </c>
      <c r="R372" s="169"/>
      <c r="S372" s="169"/>
      <c r="T372" s="146">
        <f t="shared" si="40"/>
        <v>0</v>
      </c>
      <c r="U372" s="121" t="str">
        <f t="shared" si="41"/>
        <v>Close</v>
      </c>
      <c r="V372" s="117"/>
    </row>
    <row r="373" spans="1:22" ht="15" customHeight="1">
      <c r="A373" s="117"/>
      <c r="B373" s="144" t="str">
        <f>IF(D373="","","P"&amp;D373&amp;"MA"&amp;COUNTIF($D$14:D373,D373))</f>
        <v/>
      </c>
      <c r="C373" s="162"/>
      <c r="D373" s="163"/>
      <c r="E373" s="164"/>
      <c r="F373" s="164"/>
      <c r="G373" s="164"/>
      <c r="H373" s="164"/>
      <c r="I373" s="162"/>
      <c r="J373" s="144"/>
      <c r="K373" s="144"/>
      <c r="L373" s="144"/>
      <c r="M373" s="145">
        <f t="shared" si="36"/>
        <v>0</v>
      </c>
      <c r="N373" s="145">
        <f t="shared" si="37"/>
        <v>0</v>
      </c>
      <c r="O373" s="146">
        <f t="shared" si="38"/>
        <v>0</v>
      </c>
      <c r="P373" s="146">
        <f>IF(B373="",0,SUMIF('NHAP XUAT'!$G$10:$J$1011,'Ghi So'!B373,'NHAP XUAT'!$J$10:$J$1011))</f>
        <v>0</v>
      </c>
      <c r="Q373" s="146">
        <f t="shared" si="39"/>
        <v>0</v>
      </c>
      <c r="R373" s="169"/>
      <c r="S373" s="169"/>
      <c r="T373" s="146">
        <f t="shared" si="40"/>
        <v>0</v>
      </c>
      <c r="U373" s="121" t="str">
        <f t="shared" si="41"/>
        <v>Close</v>
      </c>
      <c r="V373" s="117"/>
    </row>
    <row r="374" spans="1:22" ht="15" customHeight="1">
      <c r="A374" s="117"/>
      <c r="B374" s="144" t="str">
        <f>IF(D374="","","P"&amp;D374&amp;"MA"&amp;COUNTIF($D$14:D374,D374))</f>
        <v/>
      </c>
      <c r="C374" s="162"/>
      <c r="D374" s="163"/>
      <c r="E374" s="164"/>
      <c r="F374" s="164"/>
      <c r="G374" s="164"/>
      <c r="H374" s="164"/>
      <c r="I374" s="162"/>
      <c r="J374" s="144"/>
      <c r="K374" s="144"/>
      <c r="L374" s="144"/>
      <c r="M374" s="145">
        <f t="shared" si="36"/>
        <v>0</v>
      </c>
      <c r="N374" s="145">
        <f t="shared" si="37"/>
        <v>0</v>
      </c>
      <c r="O374" s="146">
        <f t="shared" si="38"/>
        <v>0</v>
      </c>
      <c r="P374" s="146">
        <f>IF(B374="",0,SUMIF('NHAP XUAT'!$G$10:$J$1011,'Ghi So'!B374,'NHAP XUAT'!$J$10:$J$1011))</f>
        <v>0</v>
      </c>
      <c r="Q374" s="146">
        <f t="shared" si="39"/>
        <v>0</v>
      </c>
      <c r="R374" s="169"/>
      <c r="S374" s="169"/>
      <c r="T374" s="146">
        <f t="shared" si="40"/>
        <v>0</v>
      </c>
      <c r="U374" s="121" t="str">
        <f t="shared" si="41"/>
        <v>Close</v>
      </c>
      <c r="V374" s="117"/>
    </row>
    <row r="375" spans="1:22" ht="15" customHeight="1">
      <c r="A375" s="117"/>
      <c r="B375" s="144" t="str">
        <f>IF(D375="","","P"&amp;D375&amp;"MA"&amp;COUNTIF($D$14:D375,D375))</f>
        <v/>
      </c>
      <c r="C375" s="162"/>
      <c r="D375" s="163"/>
      <c r="E375" s="164"/>
      <c r="F375" s="164"/>
      <c r="G375" s="164"/>
      <c r="H375" s="164"/>
      <c r="I375" s="162"/>
      <c r="J375" s="144"/>
      <c r="K375" s="144"/>
      <c r="L375" s="144"/>
      <c r="M375" s="145">
        <f t="shared" si="36"/>
        <v>0</v>
      </c>
      <c r="N375" s="145">
        <f t="shared" si="37"/>
        <v>0</v>
      </c>
      <c r="O375" s="146">
        <f t="shared" si="38"/>
        <v>0</v>
      </c>
      <c r="P375" s="146">
        <f>IF(B375="",0,SUMIF('NHAP XUAT'!$G$10:$J$1011,'Ghi So'!B375,'NHAP XUAT'!$J$10:$J$1011))</f>
        <v>0</v>
      </c>
      <c r="Q375" s="146">
        <f t="shared" si="39"/>
        <v>0</v>
      </c>
      <c r="R375" s="169"/>
      <c r="S375" s="169"/>
      <c r="T375" s="146">
        <f t="shared" si="40"/>
        <v>0</v>
      </c>
      <c r="U375" s="121" t="str">
        <f t="shared" si="41"/>
        <v>Close</v>
      </c>
      <c r="V375" s="117"/>
    </row>
    <row r="376" spans="1:22" ht="15" customHeight="1">
      <c r="A376" s="117"/>
      <c r="B376" s="144" t="str">
        <f>IF(D376="","","P"&amp;D376&amp;"MA"&amp;COUNTIF($D$14:D376,D376))</f>
        <v/>
      </c>
      <c r="C376" s="162"/>
      <c r="D376" s="163"/>
      <c r="E376" s="164"/>
      <c r="F376" s="164"/>
      <c r="G376" s="164"/>
      <c r="H376" s="164"/>
      <c r="I376" s="162"/>
      <c r="J376" s="144"/>
      <c r="K376" s="144"/>
      <c r="L376" s="144"/>
      <c r="M376" s="145">
        <f t="shared" si="36"/>
        <v>0</v>
      </c>
      <c r="N376" s="145">
        <f t="shared" si="37"/>
        <v>0</v>
      </c>
      <c r="O376" s="146">
        <f t="shared" si="38"/>
        <v>0</v>
      </c>
      <c r="P376" s="146">
        <f>IF(B376="",0,SUMIF('NHAP XUAT'!$G$10:$J$1011,'Ghi So'!B376,'NHAP XUAT'!$J$10:$J$1011))</f>
        <v>0</v>
      </c>
      <c r="Q376" s="146">
        <f t="shared" si="39"/>
        <v>0</v>
      </c>
      <c r="R376" s="169"/>
      <c r="S376" s="169"/>
      <c r="T376" s="146">
        <f t="shared" si="40"/>
        <v>0</v>
      </c>
      <c r="U376" s="121" t="str">
        <f t="shared" si="41"/>
        <v>Close</v>
      </c>
      <c r="V376" s="117"/>
    </row>
    <row r="377" spans="1:22" ht="15" customHeight="1">
      <c r="A377" s="117"/>
      <c r="B377" s="144" t="str">
        <f>IF(D377="","","P"&amp;D377&amp;"MA"&amp;COUNTIF($D$14:D377,D377))</f>
        <v/>
      </c>
      <c r="C377" s="162"/>
      <c r="D377" s="163"/>
      <c r="E377" s="164"/>
      <c r="F377" s="164"/>
      <c r="G377" s="164"/>
      <c r="H377" s="164"/>
      <c r="I377" s="162"/>
      <c r="J377" s="144"/>
      <c r="K377" s="144"/>
      <c r="L377" s="144"/>
      <c r="M377" s="145">
        <f t="shared" si="36"/>
        <v>0</v>
      </c>
      <c r="N377" s="145">
        <f t="shared" si="37"/>
        <v>0</v>
      </c>
      <c r="O377" s="146">
        <f t="shared" si="38"/>
        <v>0</v>
      </c>
      <c r="P377" s="146">
        <f>IF(B377="",0,SUMIF('NHAP XUAT'!$G$10:$J$1011,'Ghi So'!B377,'NHAP XUAT'!$J$10:$J$1011))</f>
        <v>0</v>
      </c>
      <c r="Q377" s="146">
        <f t="shared" si="39"/>
        <v>0</v>
      </c>
      <c r="R377" s="169"/>
      <c r="S377" s="169"/>
      <c r="T377" s="146">
        <f t="shared" si="40"/>
        <v>0</v>
      </c>
      <c r="U377" s="121" t="str">
        <f t="shared" si="41"/>
        <v>Close</v>
      </c>
      <c r="V377" s="117"/>
    </row>
    <row r="378" spans="1:22" ht="15" customHeight="1">
      <c r="A378" s="117"/>
      <c r="B378" s="144" t="str">
        <f>IF(D378="","","P"&amp;D378&amp;"MA"&amp;COUNTIF($D$14:D378,D378))</f>
        <v/>
      </c>
      <c r="C378" s="162"/>
      <c r="D378" s="163"/>
      <c r="E378" s="164"/>
      <c r="F378" s="164"/>
      <c r="G378" s="164"/>
      <c r="H378" s="164"/>
      <c r="I378" s="162"/>
      <c r="J378" s="144"/>
      <c r="K378" s="144"/>
      <c r="L378" s="144"/>
      <c r="M378" s="145">
        <f t="shared" si="36"/>
        <v>0</v>
      </c>
      <c r="N378" s="145">
        <f t="shared" si="37"/>
        <v>0</v>
      </c>
      <c r="O378" s="146">
        <f t="shared" si="38"/>
        <v>0</v>
      </c>
      <c r="P378" s="146">
        <f>IF(B378="",0,SUMIF('NHAP XUAT'!$G$10:$J$1011,'Ghi So'!B378,'NHAP XUAT'!$J$10:$J$1011))</f>
        <v>0</v>
      </c>
      <c r="Q378" s="146">
        <f t="shared" si="39"/>
        <v>0</v>
      </c>
      <c r="R378" s="169"/>
      <c r="S378" s="169"/>
      <c r="T378" s="146">
        <f t="shared" si="40"/>
        <v>0</v>
      </c>
      <c r="U378" s="121" t="str">
        <f t="shared" si="41"/>
        <v>Close</v>
      </c>
      <c r="V378" s="117"/>
    </row>
    <row r="379" spans="1:22" ht="15" customHeight="1">
      <c r="A379" s="117"/>
      <c r="B379" s="144" t="str">
        <f>IF(D379="","","P"&amp;D379&amp;"MA"&amp;COUNTIF($D$14:D379,D379))</f>
        <v/>
      </c>
      <c r="C379" s="162"/>
      <c r="D379" s="163"/>
      <c r="E379" s="164"/>
      <c r="F379" s="164"/>
      <c r="G379" s="164"/>
      <c r="H379" s="164"/>
      <c r="I379" s="162"/>
      <c r="J379" s="144"/>
      <c r="K379" s="144"/>
      <c r="L379" s="144"/>
      <c r="M379" s="145">
        <f t="shared" si="36"/>
        <v>0</v>
      </c>
      <c r="N379" s="145">
        <f t="shared" si="37"/>
        <v>0</v>
      </c>
      <c r="O379" s="146">
        <f t="shared" si="38"/>
        <v>0</v>
      </c>
      <c r="P379" s="146">
        <f>IF(B379="",0,SUMIF('NHAP XUAT'!$G$10:$J$1011,'Ghi So'!B379,'NHAP XUAT'!$J$10:$J$1011))</f>
        <v>0</v>
      </c>
      <c r="Q379" s="146">
        <f t="shared" si="39"/>
        <v>0</v>
      </c>
      <c r="R379" s="169"/>
      <c r="S379" s="169"/>
      <c r="T379" s="146">
        <f t="shared" si="40"/>
        <v>0</v>
      </c>
      <c r="U379" s="121" t="str">
        <f t="shared" si="41"/>
        <v>Close</v>
      </c>
      <c r="V379" s="117"/>
    </row>
    <row r="380" spans="1:22" ht="15" customHeight="1">
      <c r="A380" s="117"/>
      <c r="B380" s="144" t="str">
        <f>IF(D380="","","P"&amp;D380&amp;"MA"&amp;COUNTIF($D$14:D380,D380))</f>
        <v/>
      </c>
      <c r="C380" s="162"/>
      <c r="D380" s="163"/>
      <c r="E380" s="164"/>
      <c r="F380" s="164"/>
      <c r="G380" s="164"/>
      <c r="H380" s="164"/>
      <c r="I380" s="162"/>
      <c r="J380" s="144"/>
      <c r="K380" s="144"/>
      <c r="L380" s="144"/>
      <c r="M380" s="145">
        <f t="shared" si="36"/>
        <v>0</v>
      </c>
      <c r="N380" s="145">
        <f t="shared" si="37"/>
        <v>0</v>
      </c>
      <c r="O380" s="146">
        <f t="shared" si="38"/>
        <v>0</v>
      </c>
      <c r="P380" s="146">
        <f>IF(B380="",0,SUMIF('NHAP XUAT'!$G$10:$J$1011,'Ghi So'!B380,'NHAP XUAT'!$J$10:$J$1011))</f>
        <v>0</v>
      </c>
      <c r="Q380" s="146">
        <f t="shared" si="39"/>
        <v>0</v>
      </c>
      <c r="R380" s="169"/>
      <c r="S380" s="169"/>
      <c r="T380" s="146">
        <f t="shared" si="40"/>
        <v>0</v>
      </c>
      <c r="U380" s="121" t="str">
        <f t="shared" si="41"/>
        <v>Close</v>
      </c>
      <c r="V380" s="117"/>
    </row>
    <row r="381" spans="1:22" ht="15" customHeight="1">
      <c r="A381" s="117"/>
      <c r="B381" s="144" t="str">
        <f>IF(D381="","","P"&amp;D381&amp;"MA"&amp;COUNTIF($D$14:D381,D381))</f>
        <v/>
      </c>
      <c r="C381" s="162"/>
      <c r="D381" s="163"/>
      <c r="E381" s="164"/>
      <c r="F381" s="164"/>
      <c r="G381" s="164"/>
      <c r="H381" s="164"/>
      <c r="I381" s="162"/>
      <c r="J381" s="144"/>
      <c r="K381" s="144"/>
      <c r="L381" s="144"/>
      <c r="M381" s="145">
        <f t="shared" si="36"/>
        <v>0</v>
      </c>
      <c r="N381" s="145">
        <f t="shared" si="37"/>
        <v>0</v>
      </c>
      <c r="O381" s="146">
        <f t="shared" si="38"/>
        <v>0</v>
      </c>
      <c r="P381" s="146">
        <f>IF(B381="",0,SUMIF('NHAP XUAT'!$G$10:$J$1011,'Ghi So'!B381,'NHAP XUAT'!$J$10:$J$1011))</f>
        <v>0</v>
      </c>
      <c r="Q381" s="146">
        <f t="shared" si="39"/>
        <v>0</v>
      </c>
      <c r="R381" s="169"/>
      <c r="S381" s="169"/>
      <c r="T381" s="146">
        <f t="shared" si="40"/>
        <v>0</v>
      </c>
      <c r="U381" s="121" t="str">
        <f t="shared" si="41"/>
        <v>Close</v>
      </c>
      <c r="V381" s="117"/>
    </row>
    <row r="382" spans="1:22" ht="15" customHeight="1">
      <c r="A382" s="117"/>
      <c r="B382" s="144" t="str">
        <f>IF(D382="","","P"&amp;D382&amp;"MA"&amp;COUNTIF($D$14:D382,D382))</f>
        <v/>
      </c>
      <c r="C382" s="162"/>
      <c r="D382" s="163"/>
      <c r="E382" s="164"/>
      <c r="F382" s="164"/>
      <c r="G382" s="164"/>
      <c r="H382" s="164"/>
      <c r="I382" s="162"/>
      <c r="J382" s="144"/>
      <c r="K382" s="144"/>
      <c r="L382" s="144"/>
      <c r="M382" s="145">
        <f t="shared" si="36"/>
        <v>0</v>
      </c>
      <c r="N382" s="145">
        <f t="shared" si="37"/>
        <v>0</v>
      </c>
      <c r="O382" s="146">
        <f t="shared" si="38"/>
        <v>0</v>
      </c>
      <c r="P382" s="146">
        <f>IF(B382="",0,SUMIF('NHAP XUAT'!$G$10:$J$1011,'Ghi So'!B382,'NHAP XUAT'!$J$10:$J$1011))</f>
        <v>0</v>
      </c>
      <c r="Q382" s="146">
        <f t="shared" si="39"/>
        <v>0</v>
      </c>
      <c r="R382" s="169"/>
      <c r="S382" s="169"/>
      <c r="T382" s="146">
        <f t="shared" si="40"/>
        <v>0</v>
      </c>
      <c r="U382" s="121" t="str">
        <f t="shared" si="41"/>
        <v>Close</v>
      </c>
      <c r="V382" s="117"/>
    </row>
    <row r="383" spans="1:22" ht="15" customHeight="1">
      <c r="A383" s="117"/>
      <c r="B383" s="144" t="str">
        <f>IF(D383="","","P"&amp;D383&amp;"MA"&amp;COUNTIF($D$14:D383,D383))</f>
        <v/>
      </c>
      <c r="C383" s="162"/>
      <c r="D383" s="163"/>
      <c r="E383" s="164"/>
      <c r="F383" s="164"/>
      <c r="G383" s="164"/>
      <c r="H383" s="164"/>
      <c r="I383" s="162"/>
      <c r="J383" s="144"/>
      <c r="K383" s="144"/>
      <c r="L383" s="144"/>
      <c r="M383" s="145">
        <f t="shared" si="36"/>
        <v>0</v>
      </c>
      <c r="N383" s="145">
        <f t="shared" si="37"/>
        <v>0</v>
      </c>
      <c r="O383" s="146">
        <f t="shared" si="38"/>
        <v>0</v>
      </c>
      <c r="P383" s="146">
        <f>IF(B383="",0,SUMIF('NHAP XUAT'!$G$10:$J$1011,'Ghi So'!B383,'NHAP XUAT'!$J$10:$J$1011))</f>
        <v>0</v>
      </c>
      <c r="Q383" s="146">
        <f t="shared" si="39"/>
        <v>0</v>
      </c>
      <c r="R383" s="169"/>
      <c r="S383" s="169"/>
      <c r="T383" s="146">
        <f t="shared" si="40"/>
        <v>0</v>
      </c>
      <c r="U383" s="121" t="str">
        <f t="shared" si="41"/>
        <v>Close</v>
      </c>
      <c r="V383" s="117"/>
    </row>
    <row r="384" spans="1:22" ht="15" customHeight="1">
      <c r="A384" s="117"/>
      <c r="B384" s="144" t="str">
        <f>IF(D384="","","P"&amp;D384&amp;"MA"&amp;COUNTIF($D$14:D384,D384))</f>
        <v/>
      </c>
      <c r="C384" s="162"/>
      <c r="D384" s="163"/>
      <c r="E384" s="164"/>
      <c r="F384" s="164"/>
      <c r="G384" s="164"/>
      <c r="H384" s="164"/>
      <c r="I384" s="162"/>
      <c r="J384" s="144"/>
      <c r="K384" s="144"/>
      <c r="L384" s="144"/>
      <c r="M384" s="145">
        <f t="shared" si="36"/>
        <v>0</v>
      </c>
      <c r="N384" s="145">
        <f t="shared" si="37"/>
        <v>0</v>
      </c>
      <c r="O384" s="146">
        <f t="shared" si="38"/>
        <v>0</v>
      </c>
      <c r="P384" s="146">
        <f>IF(B384="",0,SUMIF('NHAP XUAT'!$G$10:$J$1011,'Ghi So'!B384,'NHAP XUAT'!$J$10:$J$1011))</f>
        <v>0</v>
      </c>
      <c r="Q384" s="146">
        <f t="shared" si="39"/>
        <v>0</v>
      </c>
      <c r="R384" s="169"/>
      <c r="S384" s="169"/>
      <c r="T384" s="146">
        <f t="shared" si="40"/>
        <v>0</v>
      </c>
      <c r="U384" s="121" t="str">
        <f t="shared" si="41"/>
        <v>Close</v>
      </c>
      <c r="V384" s="117"/>
    </row>
    <row r="385" spans="1:22" ht="15" customHeight="1">
      <c r="A385" s="117"/>
      <c r="B385" s="144" t="str">
        <f>IF(D385="","","P"&amp;D385&amp;"MA"&amp;COUNTIF($D$14:D385,D385))</f>
        <v/>
      </c>
      <c r="C385" s="162"/>
      <c r="D385" s="163"/>
      <c r="E385" s="164"/>
      <c r="F385" s="164"/>
      <c r="G385" s="164"/>
      <c r="H385" s="164"/>
      <c r="I385" s="162"/>
      <c r="J385" s="144"/>
      <c r="K385" s="144"/>
      <c r="L385" s="144"/>
      <c r="M385" s="145">
        <f t="shared" si="36"/>
        <v>0</v>
      </c>
      <c r="N385" s="145">
        <f t="shared" si="37"/>
        <v>0</v>
      </c>
      <c r="O385" s="146">
        <f t="shared" si="38"/>
        <v>0</v>
      </c>
      <c r="P385" s="146">
        <f>IF(B385="",0,SUMIF('NHAP XUAT'!$G$10:$J$1011,'Ghi So'!B385,'NHAP XUAT'!$J$10:$J$1011))</f>
        <v>0</v>
      </c>
      <c r="Q385" s="146">
        <f t="shared" si="39"/>
        <v>0</v>
      </c>
      <c r="R385" s="169"/>
      <c r="S385" s="169"/>
      <c r="T385" s="146">
        <f t="shared" si="40"/>
        <v>0</v>
      </c>
      <c r="U385" s="121" t="str">
        <f t="shared" si="41"/>
        <v>Close</v>
      </c>
      <c r="V385" s="117"/>
    </row>
    <row r="386" spans="1:22" ht="15" customHeight="1">
      <c r="A386" s="117"/>
      <c r="B386" s="144" t="str">
        <f>IF(D386="","","P"&amp;D386&amp;"MA"&amp;COUNTIF($D$14:D386,D386))</f>
        <v/>
      </c>
      <c r="C386" s="162"/>
      <c r="D386" s="163"/>
      <c r="E386" s="164"/>
      <c r="F386" s="164"/>
      <c r="G386" s="164"/>
      <c r="H386" s="164"/>
      <c r="I386" s="162"/>
      <c r="J386" s="144"/>
      <c r="K386" s="144"/>
      <c r="L386" s="144"/>
      <c r="M386" s="145">
        <f t="shared" si="36"/>
        <v>0</v>
      </c>
      <c r="N386" s="145">
        <f t="shared" si="37"/>
        <v>0</v>
      </c>
      <c r="O386" s="146">
        <f t="shared" si="38"/>
        <v>0</v>
      </c>
      <c r="P386" s="146">
        <f>IF(B386="",0,SUMIF('NHAP XUAT'!$G$10:$J$1011,'Ghi So'!B386,'NHAP XUAT'!$J$10:$J$1011))</f>
        <v>0</v>
      </c>
      <c r="Q386" s="146">
        <f t="shared" si="39"/>
        <v>0</v>
      </c>
      <c r="R386" s="169"/>
      <c r="S386" s="169"/>
      <c r="T386" s="146">
        <f t="shared" si="40"/>
        <v>0</v>
      </c>
      <c r="U386" s="121" t="str">
        <f t="shared" si="41"/>
        <v>Close</v>
      </c>
      <c r="V386" s="117"/>
    </row>
    <row r="387" spans="1:22" ht="15" customHeight="1">
      <c r="A387" s="117"/>
      <c r="B387" s="144" t="str">
        <f>IF(D387="","","P"&amp;D387&amp;"MA"&amp;COUNTIF($D$14:D387,D387))</f>
        <v/>
      </c>
      <c r="C387" s="162"/>
      <c r="D387" s="163"/>
      <c r="E387" s="164"/>
      <c r="F387" s="164"/>
      <c r="G387" s="164"/>
      <c r="H387" s="164"/>
      <c r="I387" s="162"/>
      <c r="J387" s="144"/>
      <c r="K387" s="144"/>
      <c r="L387" s="144"/>
      <c r="M387" s="145">
        <f t="shared" si="36"/>
        <v>0</v>
      </c>
      <c r="N387" s="145">
        <f t="shared" si="37"/>
        <v>0</v>
      </c>
      <c r="O387" s="146">
        <f t="shared" si="38"/>
        <v>0</v>
      </c>
      <c r="P387" s="146">
        <f>IF(B387="",0,SUMIF('NHAP XUAT'!$G$10:$J$1011,'Ghi So'!B387,'NHAP XUAT'!$J$10:$J$1011))</f>
        <v>0</v>
      </c>
      <c r="Q387" s="146">
        <f t="shared" si="39"/>
        <v>0</v>
      </c>
      <c r="R387" s="169"/>
      <c r="S387" s="169"/>
      <c r="T387" s="146">
        <f t="shared" si="40"/>
        <v>0</v>
      </c>
      <c r="U387" s="121" t="str">
        <f t="shared" si="41"/>
        <v>Close</v>
      </c>
      <c r="V387" s="117"/>
    </row>
    <row r="388" spans="1:22" ht="15" customHeight="1">
      <c r="A388" s="117"/>
      <c r="B388" s="144" t="str">
        <f>IF(D388="","","P"&amp;D388&amp;"MA"&amp;COUNTIF($D$14:D388,D388))</f>
        <v/>
      </c>
      <c r="C388" s="162"/>
      <c r="D388" s="163"/>
      <c r="E388" s="164"/>
      <c r="F388" s="164"/>
      <c r="G388" s="164"/>
      <c r="H388" s="164"/>
      <c r="I388" s="162"/>
      <c r="J388" s="144"/>
      <c r="K388" s="144"/>
      <c r="L388" s="144"/>
      <c r="M388" s="145">
        <f t="shared" si="36"/>
        <v>0</v>
      </c>
      <c r="N388" s="145">
        <f t="shared" si="37"/>
        <v>0</v>
      </c>
      <c r="O388" s="146">
        <f t="shared" si="38"/>
        <v>0</v>
      </c>
      <c r="P388" s="146">
        <f>IF(B388="",0,SUMIF('NHAP XUAT'!$G$10:$J$1011,'Ghi So'!B388,'NHAP XUAT'!$J$10:$J$1011))</f>
        <v>0</v>
      </c>
      <c r="Q388" s="146">
        <f t="shared" si="39"/>
        <v>0</v>
      </c>
      <c r="R388" s="169"/>
      <c r="S388" s="169"/>
      <c r="T388" s="146">
        <f t="shared" si="40"/>
        <v>0</v>
      </c>
      <c r="U388" s="121" t="str">
        <f t="shared" si="41"/>
        <v>Close</v>
      </c>
      <c r="V388" s="117"/>
    </row>
    <row r="389" spans="1:22" ht="15" customHeight="1">
      <c r="A389" s="117"/>
      <c r="B389" s="144" t="str">
        <f>IF(D389="","","P"&amp;D389&amp;"MA"&amp;COUNTIF($D$14:D389,D389))</f>
        <v/>
      </c>
      <c r="C389" s="162"/>
      <c r="D389" s="163"/>
      <c r="E389" s="164"/>
      <c r="F389" s="164"/>
      <c r="G389" s="164"/>
      <c r="H389" s="164"/>
      <c r="I389" s="162"/>
      <c r="J389" s="144"/>
      <c r="K389" s="144"/>
      <c r="L389" s="144"/>
      <c r="M389" s="145">
        <f t="shared" si="36"/>
        <v>0</v>
      </c>
      <c r="N389" s="145">
        <f t="shared" si="37"/>
        <v>0</v>
      </c>
      <c r="O389" s="146">
        <f t="shared" si="38"/>
        <v>0</v>
      </c>
      <c r="P389" s="146">
        <f>IF(B389="",0,SUMIF('NHAP XUAT'!$G$10:$J$1011,'Ghi So'!B389,'NHAP XUAT'!$J$10:$J$1011))</f>
        <v>0</v>
      </c>
      <c r="Q389" s="146">
        <f t="shared" si="39"/>
        <v>0</v>
      </c>
      <c r="R389" s="169"/>
      <c r="S389" s="169"/>
      <c r="T389" s="146">
        <f t="shared" si="40"/>
        <v>0</v>
      </c>
      <c r="U389" s="121" t="str">
        <f t="shared" si="41"/>
        <v>Close</v>
      </c>
      <c r="V389" s="117"/>
    </row>
    <row r="390" spans="1:22" ht="15" customHeight="1">
      <c r="A390" s="117"/>
      <c r="B390" s="144" t="str">
        <f>IF(D390="","","P"&amp;D390&amp;"MA"&amp;COUNTIF($D$14:D390,D390))</f>
        <v/>
      </c>
      <c r="C390" s="162"/>
      <c r="D390" s="163"/>
      <c r="E390" s="164"/>
      <c r="F390" s="164"/>
      <c r="G390" s="164"/>
      <c r="H390" s="164"/>
      <c r="I390" s="162"/>
      <c r="J390" s="144"/>
      <c r="K390" s="144"/>
      <c r="L390" s="144"/>
      <c r="M390" s="145">
        <f t="shared" si="36"/>
        <v>0</v>
      </c>
      <c r="N390" s="145">
        <f t="shared" si="37"/>
        <v>0</v>
      </c>
      <c r="O390" s="146">
        <f t="shared" si="38"/>
        <v>0</v>
      </c>
      <c r="P390" s="146">
        <f>IF(B390="",0,SUMIF('NHAP XUAT'!$G$10:$J$1011,'Ghi So'!B390,'NHAP XUAT'!$J$10:$J$1011))</f>
        <v>0</v>
      </c>
      <c r="Q390" s="146">
        <f t="shared" si="39"/>
        <v>0</v>
      </c>
      <c r="R390" s="169"/>
      <c r="S390" s="169"/>
      <c r="T390" s="146">
        <f t="shared" si="40"/>
        <v>0</v>
      </c>
      <c r="U390" s="121" t="str">
        <f t="shared" si="41"/>
        <v>Close</v>
      </c>
      <c r="V390" s="117"/>
    </row>
    <row r="391" spans="1:22" ht="15" customHeight="1">
      <c r="A391" s="117"/>
      <c r="B391" s="144" t="str">
        <f>IF(D391="","","P"&amp;D391&amp;"MA"&amp;COUNTIF($D$14:D391,D391))</f>
        <v/>
      </c>
      <c r="C391" s="162"/>
      <c r="D391" s="163"/>
      <c r="E391" s="164"/>
      <c r="F391" s="164"/>
      <c r="G391" s="164"/>
      <c r="H391" s="164"/>
      <c r="I391" s="162"/>
      <c r="J391" s="144"/>
      <c r="K391" s="144"/>
      <c r="L391" s="144"/>
      <c r="M391" s="145">
        <f t="shared" si="36"/>
        <v>0</v>
      </c>
      <c r="N391" s="145">
        <f t="shared" si="37"/>
        <v>0</v>
      </c>
      <c r="O391" s="146">
        <f t="shared" si="38"/>
        <v>0</v>
      </c>
      <c r="P391" s="146">
        <f>IF(B391="",0,SUMIF('NHAP XUAT'!$G$10:$J$1011,'Ghi So'!B391,'NHAP XUAT'!$J$10:$J$1011))</f>
        <v>0</v>
      </c>
      <c r="Q391" s="146">
        <f t="shared" si="39"/>
        <v>0</v>
      </c>
      <c r="R391" s="169"/>
      <c r="S391" s="169"/>
      <c r="T391" s="146">
        <f t="shared" si="40"/>
        <v>0</v>
      </c>
      <c r="U391" s="121" t="str">
        <f t="shared" si="41"/>
        <v>Close</v>
      </c>
      <c r="V391" s="117"/>
    </row>
    <row r="392" spans="1:22" ht="15" customHeight="1">
      <c r="A392" s="117"/>
      <c r="B392" s="144" t="str">
        <f>IF(D392="","","P"&amp;D392&amp;"MA"&amp;COUNTIF($D$14:D392,D392))</f>
        <v/>
      </c>
      <c r="C392" s="162"/>
      <c r="D392" s="163"/>
      <c r="E392" s="164"/>
      <c r="F392" s="164"/>
      <c r="G392" s="164"/>
      <c r="H392" s="164"/>
      <c r="I392" s="162"/>
      <c r="J392" s="144"/>
      <c r="K392" s="144"/>
      <c r="L392" s="144"/>
      <c r="M392" s="145">
        <f t="shared" si="36"/>
        <v>0</v>
      </c>
      <c r="N392" s="145">
        <f t="shared" si="37"/>
        <v>0</v>
      </c>
      <c r="O392" s="146">
        <f t="shared" si="38"/>
        <v>0</v>
      </c>
      <c r="P392" s="146">
        <f>IF(B392="",0,SUMIF('NHAP XUAT'!$G$10:$J$1011,'Ghi So'!B392,'NHAP XUAT'!$J$10:$J$1011))</f>
        <v>0</v>
      </c>
      <c r="Q392" s="146">
        <f t="shared" si="39"/>
        <v>0</v>
      </c>
      <c r="R392" s="169"/>
      <c r="S392" s="169"/>
      <c r="T392" s="146">
        <f t="shared" si="40"/>
        <v>0</v>
      </c>
      <c r="U392" s="121" t="str">
        <f t="shared" si="41"/>
        <v>Close</v>
      </c>
      <c r="V392" s="117"/>
    </row>
    <row r="393" spans="1:22" ht="15" customHeight="1">
      <c r="A393" s="117"/>
      <c r="B393" s="144" t="str">
        <f>IF(D393="","","P"&amp;D393&amp;"MA"&amp;COUNTIF($D$14:D393,D393))</f>
        <v/>
      </c>
      <c r="C393" s="162"/>
      <c r="D393" s="163"/>
      <c r="E393" s="164"/>
      <c r="F393" s="164"/>
      <c r="G393" s="164"/>
      <c r="H393" s="164"/>
      <c r="I393" s="162"/>
      <c r="J393" s="144"/>
      <c r="K393" s="144"/>
      <c r="L393" s="144"/>
      <c r="M393" s="145">
        <f t="shared" si="36"/>
        <v>0</v>
      </c>
      <c r="N393" s="145">
        <f t="shared" si="37"/>
        <v>0</v>
      </c>
      <c r="O393" s="146">
        <f t="shared" si="38"/>
        <v>0</v>
      </c>
      <c r="P393" s="146">
        <f>IF(B393="",0,SUMIF('NHAP XUAT'!$G$10:$J$1011,'Ghi So'!B393,'NHAP XUAT'!$J$10:$J$1011))</f>
        <v>0</v>
      </c>
      <c r="Q393" s="146">
        <f t="shared" si="39"/>
        <v>0</v>
      </c>
      <c r="R393" s="169"/>
      <c r="S393" s="169"/>
      <c r="T393" s="146">
        <f t="shared" si="40"/>
        <v>0</v>
      </c>
      <c r="U393" s="121" t="str">
        <f t="shared" si="41"/>
        <v>Close</v>
      </c>
      <c r="V393" s="117"/>
    </row>
    <row r="394" spans="1:22" ht="15" customHeight="1">
      <c r="A394" s="117"/>
      <c r="B394" s="144" t="str">
        <f>IF(D394="","","P"&amp;D394&amp;"MA"&amp;COUNTIF($D$14:D394,D394))</f>
        <v/>
      </c>
      <c r="C394" s="162"/>
      <c r="D394" s="163"/>
      <c r="E394" s="164"/>
      <c r="F394" s="164"/>
      <c r="G394" s="164"/>
      <c r="H394" s="164"/>
      <c r="I394" s="162"/>
      <c r="J394" s="144"/>
      <c r="K394" s="144"/>
      <c r="L394" s="144"/>
      <c r="M394" s="145">
        <f t="shared" si="36"/>
        <v>0</v>
      </c>
      <c r="N394" s="145">
        <f t="shared" si="37"/>
        <v>0</v>
      </c>
      <c r="O394" s="146">
        <f t="shared" si="38"/>
        <v>0</v>
      </c>
      <c r="P394" s="146">
        <f>IF(B394="",0,SUMIF('NHAP XUAT'!$G$10:$J$1011,'Ghi So'!B394,'NHAP XUAT'!$J$10:$J$1011))</f>
        <v>0</v>
      </c>
      <c r="Q394" s="146">
        <f t="shared" si="39"/>
        <v>0</v>
      </c>
      <c r="R394" s="169"/>
      <c r="S394" s="169"/>
      <c r="T394" s="146">
        <f t="shared" si="40"/>
        <v>0</v>
      </c>
      <c r="U394" s="121" t="str">
        <f t="shared" si="41"/>
        <v>Close</v>
      </c>
      <c r="V394" s="117"/>
    </row>
    <row r="395" spans="1:22" ht="15" customHeight="1">
      <c r="A395" s="117"/>
      <c r="B395" s="144" t="str">
        <f>IF(D395="","","P"&amp;D395&amp;"MA"&amp;COUNTIF($D$14:D395,D395))</f>
        <v/>
      </c>
      <c r="C395" s="162"/>
      <c r="D395" s="163"/>
      <c r="E395" s="164"/>
      <c r="F395" s="164"/>
      <c r="G395" s="164"/>
      <c r="H395" s="164"/>
      <c r="I395" s="162"/>
      <c r="J395" s="144"/>
      <c r="K395" s="144"/>
      <c r="L395" s="144"/>
      <c r="M395" s="145">
        <f t="shared" si="36"/>
        <v>0</v>
      </c>
      <c r="N395" s="145">
        <f t="shared" si="37"/>
        <v>0</v>
      </c>
      <c r="O395" s="146">
        <f t="shared" si="38"/>
        <v>0</v>
      </c>
      <c r="P395" s="146">
        <f>IF(B395="",0,SUMIF('NHAP XUAT'!$G$10:$J$1011,'Ghi So'!B395,'NHAP XUAT'!$J$10:$J$1011))</f>
        <v>0</v>
      </c>
      <c r="Q395" s="146">
        <f t="shared" si="39"/>
        <v>0</v>
      </c>
      <c r="R395" s="169"/>
      <c r="S395" s="169"/>
      <c r="T395" s="146">
        <f t="shared" si="40"/>
        <v>0</v>
      </c>
      <c r="U395" s="121" t="str">
        <f t="shared" si="41"/>
        <v>Close</v>
      </c>
      <c r="V395" s="117"/>
    </row>
    <row r="396" spans="1:22" ht="15" customHeight="1">
      <c r="A396" s="117"/>
      <c r="B396" s="144" t="str">
        <f>IF(D396="","","P"&amp;D396&amp;"MA"&amp;COUNTIF($D$14:D396,D396))</f>
        <v/>
      </c>
      <c r="C396" s="162"/>
      <c r="D396" s="163"/>
      <c r="E396" s="164"/>
      <c r="F396" s="164"/>
      <c r="G396" s="164"/>
      <c r="H396" s="164"/>
      <c r="I396" s="162"/>
      <c r="J396" s="144"/>
      <c r="K396" s="144"/>
      <c r="L396" s="144"/>
      <c r="M396" s="145">
        <f t="shared" si="36"/>
        <v>0</v>
      </c>
      <c r="N396" s="145">
        <f t="shared" si="37"/>
        <v>0</v>
      </c>
      <c r="O396" s="146">
        <f t="shared" si="38"/>
        <v>0</v>
      </c>
      <c r="P396" s="146">
        <f>IF(B396="",0,SUMIF('NHAP XUAT'!$G$10:$J$1011,'Ghi So'!B396,'NHAP XUAT'!$J$10:$J$1011))</f>
        <v>0</v>
      </c>
      <c r="Q396" s="146">
        <f t="shared" si="39"/>
        <v>0</v>
      </c>
      <c r="R396" s="169"/>
      <c r="S396" s="169"/>
      <c r="T396" s="146">
        <f t="shared" si="40"/>
        <v>0</v>
      </c>
      <c r="U396" s="121" t="str">
        <f t="shared" si="41"/>
        <v>Close</v>
      </c>
      <c r="V396" s="117"/>
    </row>
    <row r="397" spans="1:22" ht="15" customHeight="1">
      <c r="A397" s="117"/>
      <c r="B397" s="144" t="str">
        <f>IF(D397="","","P"&amp;D397&amp;"MA"&amp;COUNTIF($D$14:D397,D397))</f>
        <v/>
      </c>
      <c r="C397" s="162"/>
      <c r="D397" s="163"/>
      <c r="E397" s="164"/>
      <c r="F397" s="164"/>
      <c r="G397" s="164"/>
      <c r="H397" s="164"/>
      <c r="I397" s="162"/>
      <c r="J397" s="144"/>
      <c r="K397" s="144"/>
      <c r="L397" s="144"/>
      <c r="M397" s="145">
        <f t="shared" si="36"/>
        <v>0</v>
      </c>
      <c r="N397" s="145">
        <f t="shared" si="37"/>
        <v>0</v>
      </c>
      <c r="O397" s="146">
        <f t="shared" si="38"/>
        <v>0</v>
      </c>
      <c r="P397" s="146">
        <f>IF(B397="",0,SUMIF('NHAP XUAT'!$G$10:$J$1011,'Ghi So'!B397,'NHAP XUAT'!$J$10:$J$1011))</f>
        <v>0</v>
      </c>
      <c r="Q397" s="146">
        <f t="shared" si="39"/>
        <v>0</v>
      </c>
      <c r="R397" s="169"/>
      <c r="S397" s="169"/>
      <c r="T397" s="146">
        <f t="shared" si="40"/>
        <v>0</v>
      </c>
      <c r="U397" s="121" t="str">
        <f t="shared" si="41"/>
        <v>Close</v>
      </c>
      <c r="V397" s="117"/>
    </row>
    <row r="398" spans="1:22" ht="15" customHeight="1">
      <c r="A398" s="117"/>
      <c r="B398" s="144" t="str">
        <f>IF(D398="","","P"&amp;D398&amp;"MA"&amp;COUNTIF($D$14:D398,D398))</f>
        <v/>
      </c>
      <c r="C398" s="162"/>
      <c r="D398" s="163"/>
      <c r="E398" s="164"/>
      <c r="F398" s="164"/>
      <c r="G398" s="164"/>
      <c r="H398" s="164"/>
      <c r="I398" s="162"/>
      <c r="J398" s="144"/>
      <c r="K398" s="144"/>
      <c r="L398" s="144"/>
      <c r="M398" s="145">
        <f t="shared" si="36"/>
        <v>0</v>
      </c>
      <c r="N398" s="145">
        <f t="shared" si="37"/>
        <v>0</v>
      </c>
      <c r="O398" s="146">
        <f t="shared" si="38"/>
        <v>0</v>
      </c>
      <c r="P398" s="146">
        <f>IF(B398="",0,SUMIF('NHAP XUAT'!$G$10:$J$1011,'Ghi So'!B398,'NHAP XUAT'!$J$10:$J$1011))</f>
        <v>0</v>
      </c>
      <c r="Q398" s="146">
        <f t="shared" si="39"/>
        <v>0</v>
      </c>
      <c r="R398" s="169"/>
      <c r="S398" s="169"/>
      <c r="T398" s="146">
        <f t="shared" si="40"/>
        <v>0</v>
      </c>
      <c r="U398" s="121" t="str">
        <f t="shared" si="41"/>
        <v>Close</v>
      </c>
      <c r="V398" s="117"/>
    </row>
    <row r="399" spans="1:22" ht="15" customHeight="1">
      <c r="A399" s="117"/>
      <c r="B399" s="144" t="str">
        <f>IF(D399="","","P"&amp;D399&amp;"MA"&amp;COUNTIF($D$14:D399,D399))</f>
        <v/>
      </c>
      <c r="C399" s="162"/>
      <c r="D399" s="163"/>
      <c r="E399" s="164"/>
      <c r="F399" s="164"/>
      <c r="G399" s="164"/>
      <c r="H399" s="164"/>
      <c r="I399" s="162"/>
      <c r="J399" s="144"/>
      <c r="K399" s="144"/>
      <c r="L399" s="144"/>
      <c r="M399" s="145">
        <f t="shared" si="36"/>
        <v>0</v>
      </c>
      <c r="N399" s="145">
        <f t="shared" si="37"/>
        <v>0</v>
      </c>
      <c r="O399" s="146">
        <f t="shared" si="38"/>
        <v>0</v>
      </c>
      <c r="P399" s="146">
        <f>IF(B399="",0,SUMIF('NHAP XUAT'!$G$10:$J$1011,'Ghi So'!B399,'NHAP XUAT'!$J$10:$J$1011))</f>
        <v>0</v>
      </c>
      <c r="Q399" s="146">
        <f t="shared" si="39"/>
        <v>0</v>
      </c>
      <c r="R399" s="169"/>
      <c r="S399" s="169"/>
      <c r="T399" s="146">
        <f t="shared" si="40"/>
        <v>0</v>
      </c>
      <c r="U399" s="121" t="str">
        <f t="shared" si="41"/>
        <v>Close</v>
      </c>
      <c r="V399" s="117"/>
    </row>
    <row r="400" spans="1:22" ht="15" customHeight="1">
      <c r="A400" s="117"/>
      <c r="B400" s="144" t="str">
        <f>IF(D400="","","P"&amp;D400&amp;"MA"&amp;COUNTIF($D$14:D400,D400))</f>
        <v/>
      </c>
      <c r="C400" s="162"/>
      <c r="D400" s="163"/>
      <c r="E400" s="164"/>
      <c r="F400" s="164"/>
      <c r="G400" s="164"/>
      <c r="H400" s="164"/>
      <c r="I400" s="162"/>
      <c r="J400" s="144"/>
      <c r="K400" s="144"/>
      <c r="L400" s="144"/>
      <c r="M400" s="145">
        <f t="shared" si="36"/>
        <v>0</v>
      </c>
      <c r="N400" s="145">
        <f t="shared" si="37"/>
        <v>0</v>
      </c>
      <c r="O400" s="146">
        <f t="shared" si="38"/>
        <v>0</v>
      </c>
      <c r="P400" s="146">
        <f>IF(B400="",0,SUMIF('NHAP XUAT'!$G$10:$J$1011,'Ghi So'!B400,'NHAP XUAT'!$J$10:$J$1011))</f>
        <v>0</v>
      </c>
      <c r="Q400" s="146">
        <f t="shared" si="39"/>
        <v>0</v>
      </c>
      <c r="R400" s="169"/>
      <c r="S400" s="169"/>
      <c r="T400" s="146">
        <f t="shared" si="40"/>
        <v>0</v>
      </c>
      <c r="U400" s="121" t="str">
        <f t="shared" si="41"/>
        <v>Close</v>
      </c>
      <c r="V400" s="117"/>
    </row>
    <row r="401" spans="1:22" ht="15" customHeight="1">
      <c r="A401" s="117"/>
      <c r="B401" s="144" t="str">
        <f>IF(D401="","","P"&amp;D401&amp;"MA"&amp;COUNTIF($D$14:D401,D401))</f>
        <v/>
      </c>
      <c r="C401" s="162"/>
      <c r="D401" s="163"/>
      <c r="E401" s="164"/>
      <c r="F401" s="164"/>
      <c r="G401" s="164"/>
      <c r="H401" s="164"/>
      <c r="I401" s="162"/>
      <c r="J401" s="144"/>
      <c r="K401" s="144"/>
      <c r="L401" s="144"/>
      <c r="M401" s="145">
        <f t="shared" si="36"/>
        <v>0</v>
      </c>
      <c r="N401" s="145">
        <f t="shared" si="37"/>
        <v>0</v>
      </c>
      <c r="O401" s="146">
        <f t="shared" si="38"/>
        <v>0</v>
      </c>
      <c r="P401" s="146">
        <f>IF(B401="",0,SUMIF('NHAP XUAT'!$G$10:$J$1011,'Ghi So'!B401,'NHAP XUAT'!$J$10:$J$1011))</f>
        <v>0</v>
      </c>
      <c r="Q401" s="146">
        <f t="shared" si="39"/>
        <v>0</v>
      </c>
      <c r="R401" s="169"/>
      <c r="S401" s="169"/>
      <c r="T401" s="146">
        <f t="shared" si="40"/>
        <v>0</v>
      </c>
      <c r="U401" s="121" t="str">
        <f t="shared" si="41"/>
        <v>Close</v>
      </c>
      <c r="V401" s="117"/>
    </row>
    <row r="402" spans="1:22" ht="15" customHeight="1">
      <c r="A402" s="117"/>
      <c r="B402" s="144" t="str">
        <f>IF(D402="","","P"&amp;D402&amp;"MA"&amp;COUNTIF($D$14:D402,D402))</f>
        <v/>
      </c>
      <c r="C402" s="162"/>
      <c r="D402" s="163"/>
      <c r="E402" s="164"/>
      <c r="F402" s="164"/>
      <c r="G402" s="164"/>
      <c r="H402" s="164"/>
      <c r="I402" s="162"/>
      <c r="J402" s="144"/>
      <c r="K402" s="144"/>
      <c r="L402" s="144"/>
      <c r="M402" s="145">
        <f t="shared" si="36"/>
        <v>0</v>
      </c>
      <c r="N402" s="145">
        <f t="shared" si="37"/>
        <v>0</v>
      </c>
      <c r="O402" s="146">
        <f t="shared" si="38"/>
        <v>0</v>
      </c>
      <c r="P402" s="146">
        <f>IF(B402="",0,SUMIF('NHAP XUAT'!$G$10:$J$1011,'Ghi So'!B402,'NHAP XUAT'!$J$10:$J$1011))</f>
        <v>0</v>
      </c>
      <c r="Q402" s="146">
        <f t="shared" si="39"/>
        <v>0</v>
      </c>
      <c r="R402" s="169"/>
      <c r="S402" s="169"/>
      <c r="T402" s="146">
        <f t="shared" si="40"/>
        <v>0</v>
      </c>
      <c r="U402" s="121" t="str">
        <f t="shared" si="41"/>
        <v>Close</v>
      </c>
      <c r="V402" s="117"/>
    </row>
    <row r="403" spans="1:22" ht="15" customHeight="1">
      <c r="A403" s="117"/>
      <c r="B403" s="144" t="str">
        <f>IF(D403="","","P"&amp;D403&amp;"MA"&amp;COUNTIF($D$14:D403,D403))</f>
        <v/>
      </c>
      <c r="C403" s="162"/>
      <c r="D403" s="163"/>
      <c r="E403" s="164"/>
      <c r="F403" s="164"/>
      <c r="G403" s="164"/>
      <c r="H403" s="164"/>
      <c r="I403" s="162"/>
      <c r="J403" s="144"/>
      <c r="K403" s="144"/>
      <c r="L403" s="144"/>
      <c r="M403" s="145">
        <f t="shared" si="36"/>
        <v>0</v>
      </c>
      <c r="N403" s="145">
        <f t="shared" si="37"/>
        <v>0</v>
      </c>
      <c r="O403" s="146">
        <f t="shared" si="38"/>
        <v>0</v>
      </c>
      <c r="P403" s="146">
        <f>IF(B403="",0,SUMIF('NHAP XUAT'!$G$10:$J$1011,'Ghi So'!B403,'NHAP XUAT'!$J$10:$J$1011))</f>
        <v>0</v>
      </c>
      <c r="Q403" s="146">
        <f t="shared" si="39"/>
        <v>0</v>
      </c>
      <c r="R403" s="169"/>
      <c r="S403" s="169"/>
      <c r="T403" s="146">
        <f t="shared" si="40"/>
        <v>0</v>
      </c>
      <c r="U403" s="121" t="str">
        <f t="shared" si="41"/>
        <v>Close</v>
      </c>
      <c r="V403" s="117"/>
    </row>
    <row r="404" spans="1:22" ht="15" customHeight="1">
      <c r="A404" s="117"/>
      <c r="B404" s="144" t="str">
        <f>IF(D404="","","P"&amp;D404&amp;"MA"&amp;COUNTIF($D$14:D404,D404))</f>
        <v/>
      </c>
      <c r="C404" s="162"/>
      <c r="D404" s="163"/>
      <c r="E404" s="164"/>
      <c r="F404" s="164"/>
      <c r="G404" s="164"/>
      <c r="H404" s="164"/>
      <c r="I404" s="162"/>
      <c r="J404" s="144"/>
      <c r="K404" s="144"/>
      <c r="L404" s="144"/>
      <c r="M404" s="145">
        <f t="shared" si="36"/>
        <v>0</v>
      </c>
      <c r="N404" s="145">
        <f t="shared" si="37"/>
        <v>0</v>
      </c>
      <c r="O404" s="146">
        <f t="shared" si="38"/>
        <v>0</v>
      </c>
      <c r="P404" s="146">
        <f>IF(B404="",0,SUMIF('NHAP XUAT'!$G$10:$J$1011,'Ghi So'!B404,'NHAP XUAT'!$J$10:$J$1011))</f>
        <v>0</v>
      </c>
      <c r="Q404" s="146">
        <f t="shared" si="39"/>
        <v>0</v>
      </c>
      <c r="R404" s="169"/>
      <c r="S404" s="169"/>
      <c r="T404" s="146">
        <f t="shared" si="40"/>
        <v>0</v>
      </c>
      <c r="U404" s="121" t="str">
        <f t="shared" si="41"/>
        <v>Close</v>
      </c>
      <c r="V404" s="117"/>
    </row>
    <row r="405" spans="1:22" ht="15" customHeight="1">
      <c r="A405" s="117"/>
      <c r="B405" s="144" t="str">
        <f>IF(D405="","","P"&amp;D405&amp;"MA"&amp;COUNTIF($D$14:D405,D405))</f>
        <v/>
      </c>
      <c r="C405" s="162"/>
      <c r="D405" s="163"/>
      <c r="E405" s="164"/>
      <c r="F405" s="164"/>
      <c r="G405" s="164"/>
      <c r="H405" s="164"/>
      <c r="I405" s="162"/>
      <c r="J405" s="144"/>
      <c r="K405" s="144"/>
      <c r="L405" s="144"/>
      <c r="M405" s="145">
        <f t="shared" si="36"/>
        <v>0</v>
      </c>
      <c r="N405" s="145">
        <f t="shared" si="37"/>
        <v>0</v>
      </c>
      <c r="O405" s="146">
        <f t="shared" si="38"/>
        <v>0</v>
      </c>
      <c r="P405" s="146">
        <f>IF(B405="",0,SUMIF('NHAP XUAT'!$G$10:$J$1011,'Ghi So'!B405,'NHAP XUAT'!$J$10:$J$1011))</f>
        <v>0</v>
      </c>
      <c r="Q405" s="146">
        <f t="shared" si="39"/>
        <v>0</v>
      </c>
      <c r="R405" s="169"/>
      <c r="S405" s="169"/>
      <c r="T405" s="146">
        <f t="shared" si="40"/>
        <v>0</v>
      </c>
      <c r="U405" s="121" t="str">
        <f t="shared" si="41"/>
        <v>Close</v>
      </c>
      <c r="V405" s="117"/>
    </row>
    <row r="406" spans="1:22" ht="15" customHeight="1">
      <c r="A406" s="117"/>
      <c r="B406" s="144" t="str">
        <f>IF(D406="","","P"&amp;D406&amp;"MA"&amp;COUNTIF($D$14:D406,D406))</f>
        <v/>
      </c>
      <c r="C406" s="162"/>
      <c r="D406" s="163"/>
      <c r="E406" s="164"/>
      <c r="F406" s="164"/>
      <c r="G406" s="164"/>
      <c r="H406" s="164"/>
      <c r="I406" s="162"/>
      <c r="J406" s="144"/>
      <c r="K406" s="144"/>
      <c r="L406" s="144"/>
      <c r="M406" s="145">
        <f t="shared" si="36"/>
        <v>0</v>
      </c>
      <c r="N406" s="145">
        <f t="shared" si="37"/>
        <v>0</v>
      </c>
      <c r="O406" s="146">
        <f t="shared" si="38"/>
        <v>0</v>
      </c>
      <c r="P406" s="146">
        <f>IF(B406="",0,SUMIF('NHAP XUAT'!$G$10:$J$1011,'Ghi So'!B406,'NHAP XUAT'!$J$10:$J$1011))</f>
        <v>0</v>
      </c>
      <c r="Q406" s="146">
        <f t="shared" si="39"/>
        <v>0</v>
      </c>
      <c r="R406" s="169"/>
      <c r="S406" s="169"/>
      <c r="T406" s="146">
        <f t="shared" si="40"/>
        <v>0</v>
      </c>
      <c r="U406" s="121" t="str">
        <f t="shared" si="41"/>
        <v>Close</v>
      </c>
      <c r="V406" s="117"/>
    </row>
    <row r="407" spans="1:22" ht="15" customHeight="1">
      <c r="A407" s="117"/>
      <c r="B407" s="144" t="str">
        <f>IF(D407="","","P"&amp;D407&amp;"MA"&amp;COUNTIF($D$14:D407,D407))</f>
        <v/>
      </c>
      <c r="C407" s="162"/>
      <c r="D407" s="163"/>
      <c r="E407" s="164"/>
      <c r="F407" s="164"/>
      <c r="G407" s="164"/>
      <c r="H407" s="164"/>
      <c r="I407" s="162"/>
      <c r="J407" s="144"/>
      <c r="K407" s="144"/>
      <c r="L407" s="144"/>
      <c r="M407" s="145">
        <f t="shared" si="36"/>
        <v>0</v>
      </c>
      <c r="N407" s="145">
        <f t="shared" si="37"/>
        <v>0</v>
      </c>
      <c r="O407" s="146">
        <f t="shared" si="38"/>
        <v>0</v>
      </c>
      <c r="P407" s="146">
        <f>IF(B407="",0,SUMIF('NHAP XUAT'!$G$10:$J$1011,'Ghi So'!B407,'NHAP XUAT'!$J$10:$J$1011))</f>
        <v>0</v>
      </c>
      <c r="Q407" s="146">
        <f t="shared" si="39"/>
        <v>0</v>
      </c>
      <c r="R407" s="169"/>
      <c r="S407" s="169"/>
      <c r="T407" s="146">
        <f t="shared" si="40"/>
        <v>0</v>
      </c>
      <c r="U407" s="121" t="str">
        <f t="shared" si="41"/>
        <v>Close</v>
      </c>
      <c r="V407" s="117"/>
    </row>
    <row r="408" spans="1:22" ht="15" customHeight="1">
      <c r="A408" s="117"/>
      <c r="B408" s="144" t="str">
        <f>IF(D408="","","P"&amp;D408&amp;"MA"&amp;COUNTIF($D$14:D408,D408))</f>
        <v/>
      </c>
      <c r="C408" s="162"/>
      <c r="D408" s="163"/>
      <c r="E408" s="164"/>
      <c r="F408" s="164"/>
      <c r="G408" s="164"/>
      <c r="H408" s="164"/>
      <c r="I408" s="162"/>
      <c r="J408" s="144"/>
      <c r="K408" s="144"/>
      <c r="L408" s="144"/>
      <c r="M408" s="145">
        <f t="shared" si="36"/>
        <v>0</v>
      </c>
      <c r="N408" s="145">
        <f t="shared" si="37"/>
        <v>0</v>
      </c>
      <c r="O408" s="146">
        <f t="shared" si="38"/>
        <v>0</v>
      </c>
      <c r="P408" s="146">
        <f>IF(B408="",0,SUMIF('NHAP XUAT'!$G$10:$J$1011,'Ghi So'!B408,'NHAP XUAT'!$J$10:$J$1011))</f>
        <v>0</v>
      </c>
      <c r="Q408" s="146">
        <f t="shared" si="39"/>
        <v>0</v>
      </c>
      <c r="R408" s="169"/>
      <c r="S408" s="169"/>
      <c r="T408" s="146">
        <f t="shared" si="40"/>
        <v>0</v>
      </c>
      <c r="U408" s="121" t="str">
        <f t="shared" si="41"/>
        <v>Close</v>
      </c>
      <c r="V408" s="117"/>
    </row>
    <row r="409" spans="1:22" ht="15" customHeight="1">
      <c r="A409" s="117"/>
      <c r="B409" s="144" t="str">
        <f>IF(D409="","","P"&amp;D409&amp;"MA"&amp;COUNTIF($D$14:D409,D409))</f>
        <v/>
      </c>
      <c r="C409" s="162"/>
      <c r="D409" s="163"/>
      <c r="E409" s="164"/>
      <c r="F409" s="164"/>
      <c r="G409" s="164"/>
      <c r="H409" s="164"/>
      <c r="I409" s="162"/>
      <c r="J409" s="144"/>
      <c r="K409" s="144"/>
      <c r="L409" s="144"/>
      <c r="M409" s="145">
        <f t="shared" si="36"/>
        <v>0</v>
      </c>
      <c r="N409" s="145">
        <f t="shared" si="37"/>
        <v>0</v>
      </c>
      <c r="O409" s="146">
        <f t="shared" si="38"/>
        <v>0</v>
      </c>
      <c r="P409" s="146">
        <f>IF(B409="",0,SUMIF('NHAP XUAT'!$G$10:$J$1011,'Ghi So'!B409,'NHAP XUAT'!$J$10:$J$1011))</f>
        <v>0</v>
      </c>
      <c r="Q409" s="146">
        <f t="shared" si="39"/>
        <v>0</v>
      </c>
      <c r="R409" s="169"/>
      <c r="S409" s="169"/>
      <c r="T409" s="146">
        <f t="shared" si="40"/>
        <v>0</v>
      </c>
      <c r="U409" s="121" t="str">
        <f t="shared" si="41"/>
        <v>Close</v>
      </c>
      <c r="V409" s="117"/>
    </row>
    <row r="410" spans="1:22" ht="15" customHeight="1">
      <c r="A410" s="117"/>
      <c r="B410" s="144" t="str">
        <f>IF(D410="","","P"&amp;D410&amp;"MA"&amp;COUNTIF($D$14:D410,D410))</f>
        <v/>
      </c>
      <c r="C410" s="162"/>
      <c r="D410" s="163"/>
      <c r="E410" s="164"/>
      <c r="F410" s="164"/>
      <c r="G410" s="164"/>
      <c r="H410" s="164"/>
      <c r="I410" s="162"/>
      <c r="J410" s="144"/>
      <c r="K410" s="144"/>
      <c r="L410" s="144"/>
      <c r="M410" s="145">
        <f t="shared" si="36"/>
        <v>0</v>
      </c>
      <c r="N410" s="145">
        <f t="shared" si="37"/>
        <v>0</v>
      </c>
      <c r="O410" s="146">
        <f t="shared" si="38"/>
        <v>0</v>
      </c>
      <c r="P410" s="146">
        <f>IF(B410="",0,SUMIF('NHAP XUAT'!$G$10:$J$1011,'Ghi So'!B410,'NHAP XUAT'!$J$10:$J$1011))</f>
        <v>0</v>
      </c>
      <c r="Q410" s="146">
        <f t="shared" si="39"/>
        <v>0</v>
      </c>
      <c r="R410" s="169"/>
      <c r="S410" s="169"/>
      <c r="T410" s="146">
        <f t="shared" si="40"/>
        <v>0</v>
      </c>
      <c r="U410" s="121" t="str">
        <f t="shared" si="41"/>
        <v>Close</v>
      </c>
      <c r="V410" s="117"/>
    </row>
    <row r="411" spans="1:22" ht="15" customHeight="1">
      <c r="A411" s="117"/>
      <c r="B411" s="144" t="str">
        <f>IF(D411="","","P"&amp;D411&amp;"MA"&amp;COUNTIF($D$14:D411,D411))</f>
        <v/>
      </c>
      <c r="C411" s="162"/>
      <c r="D411" s="163"/>
      <c r="E411" s="164"/>
      <c r="F411" s="164"/>
      <c r="G411" s="164"/>
      <c r="H411" s="164"/>
      <c r="I411" s="162"/>
      <c r="J411" s="144"/>
      <c r="K411" s="144"/>
      <c r="L411" s="144"/>
      <c r="M411" s="145">
        <f t="shared" si="36"/>
        <v>0</v>
      </c>
      <c r="N411" s="145">
        <f t="shared" si="37"/>
        <v>0</v>
      </c>
      <c r="O411" s="146">
        <f t="shared" si="38"/>
        <v>0</v>
      </c>
      <c r="P411" s="146">
        <f>IF(B411="",0,SUMIF('NHAP XUAT'!$G$10:$J$1011,'Ghi So'!B411,'NHAP XUAT'!$J$10:$J$1011))</f>
        <v>0</v>
      </c>
      <c r="Q411" s="146">
        <f t="shared" si="39"/>
        <v>0</v>
      </c>
      <c r="R411" s="169"/>
      <c r="S411" s="169"/>
      <c r="T411" s="146">
        <f t="shared" si="40"/>
        <v>0</v>
      </c>
      <c r="U411" s="121" t="str">
        <f t="shared" si="41"/>
        <v>Close</v>
      </c>
      <c r="V411" s="117"/>
    </row>
    <row r="412" spans="1:22" ht="15" customHeight="1">
      <c r="A412" s="117"/>
      <c r="B412" s="144" t="str">
        <f>IF(D412="","","P"&amp;D412&amp;"MA"&amp;COUNTIF($D$14:D412,D412))</f>
        <v/>
      </c>
      <c r="C412" s="162"/>
      <c r="D412" s="163"/>
      <c r="E412" s="164"/>
      <c r="F412" s="164"/>
      <c r="G412" s="164"/>
      <c r="H412" s="164"/>
      <c r="I412" s="162"/>
      <c r="J412" s="144"/>
      <c r="K412" s="144"/>
      <c r="L412" s="144"/>
      <c r="M412" s="145">
        <f t="shared" si="36"/>
        <v>0</v>
      </c>
      <c r="N412" s="145">
        <f t="shared" si="37"/>
        <v>0</v>
      </c>
      <c r="O412" s="146">
        <f t="shared" si="38"/>
        <v>0</v>
      </c>
      <c r="P412" s="146">
        <f>IF(B412="",0,SUMIF('NHAP XUAT'!$G$10:$J$1011,'Ghi So'!B412,'NHAP XUAT'!$J$10:$J$1011))</f>
        <v>0</v>
      </c>
      <c r="Q412" s="146">
        <f t="shared" si="39"/>
        <v>0</v>
      </c>
      <c r="R412" s="169"/>
      <c r="S412" s="169"/>
      <c r="T412" s="146">
        <f t="shared" si="40"/>
        <v>0</v>
      </c>
      <c r="U412" s="121" t="str">
        <f t="shared" si="41"/>
        <v>Close</v>
      </c>
      <c r="V412" s="117"/>
    </row>
    <row r="413" spans="1:22" ht="15" customHeight="1">
      <c r="A413" s="117"/>
      <c r="B413" s="144" t="str">
        <f>IF(D413="","","P"&amp;D413&amp;"MA"&amp;COUNTIF($D$14:D413,D413))</f>
        <v/>
      </c>
      <c r="C413" s="162"/>
      <c r="D413" s="163"/>
      <c r="E413" s="164"/>
      <c r="F413" s="164"/>
      <c r="G413" s="164"/>
      <c r="H413" s="164"/>
      <c r="I413" s="162"/>
      <c r="J413" s="144"/>
      <c r="K413" s="144"/>
      <c r="L413" s="144"/>
      <c r="M413" s="145">
        <f t="shared" ref="M413:M476" si="42">(IF(I413&lt;&gt;"",(I413-C413)*24*60,0)+G413*60+H413-E413*60-F413)/60</f>
        <v>0</v>
      </c>
      <c r="N413" s="145">
        <f t="shared" ref="N413:N476" si="43">INT(M413)+IF(MOD(M413,2)&gt;0.25,1,0)</f>
        <v>0</v>
      </c>
      <c r="O413" s="146">
        <f t="shared" ref="O413:O476" si="44">IF(J413&lt;&gt;"",DG_nghigio+DG_themgio*(N413-1),IF(K413&lt;&gt;"",DG_quadem+DG_themgio*(N413-12),DG_ngay*L413))</f>
        <v>0</v>
      </c>
      <c r="P413" s="146">
        <f>IF(B413="",0,SUMIF('NHAP XUAT'!$G$10:$J$1011,'Ghi So'!B413,'NHAP XUAT'!$J$10:$J$1011))</f>
        <v>0</v>
      </c>
      <c r="Q413" s="146">
        <f t="shared" ref="Q413:Q476" si="45">O413+P413</f>
        <v>0</v>
      </c>
      <c r="R413" s="169"/>
      <c r="S413" s="169"/>
      <c r="T413" s="146">
        <f t="shared" ref="T413:T476" si="46">R413*S413</f>
        <v>0</v>
      </c>
      <c r="U413" s="121" t="str">
        <f t="shared" ref="U413:U476" si="47">D413&amp;IF(AND(G413="",H413="",I413=""),"Close","Open")</f>
        <v>Close</v>
      </c>
      <c r="V413" s="117"/>
    </row>
    <row r="414" spans="1:22" ht="15" customHeight="1">
      <c r="A414" s="117"/>
      <c r="B414" s="144" t="str">
        <f>IF(D414="","","P"&amp;D414&amp;"MA"&amp;COUNTIF($D$14:D414,D414))</f>
        <v/>
      </c>
      <c r="C414" s="162"/>
      <c r="D414" s="163"/>
      <c r="E414" s="164"/>
      <c r="F414" s="164"/>
      <c r="G414" s="164"/>
      <c r="H414" s="164"/>
      <c r="I414" s="162"/>
      <c r="J414" s="144"/>
      <c r="K414" s="144"/>
      <c r="L414" s="144"/>
      <c r="M414" s="145">
        <f t="shared" si="42"/>
        <v>0</v>
      </c>
      <c r="N414" s="145">
        <f t="shared" si="43"/>
        <v>0</v>
      </c>
      <c r="O414" s="146">
        <f t="shared" si="44"/>
        <v>0</v>
      </c>
      <c r="P414" s="146">
        <f>IF(B414="",0,SUMIF('NHAP XUAT'!$G$10:$J$1011,'Ghi So'!B414,'NHAP XUAT'!$J$10:$J$1011))</f>
        <v>0</v>
      </c>
      <c r="Q414" s="146">
        <f t="shared" si="45"/>
        <v>0</v>
      </c>
      <c r="R414" s="169"/>
      <c r="S414" s="169"/>
      <c r="T414" s="146">
        <f t="shared" si="46"/>
        <v>0</v>
      </c>
      <c r="U414" s="121" t="str">
        <f t="shared" si="47"/>
        <v>Close</v>
      </c>
      <c r="V414" s="117"/>
    </row>
    <row r="415" spans="1:22" ht="15" customHeight="1">
      <c r="A415" s="117"/>
      <c r="B415" s="144" t="str">
        <f>IF(D415="","","P"&amp;D415&amp;"MA"&amp;COUNTIF($D$14:D415,D415))</f>
        <v/>
      </c>
      <c r="C415" s="162"/>
      <c r="D415" s="163"/>
      <c r="E415" s="164"/>
      <c r="F415" s="164"/>
      <c r="G415" s="164"/>
      <c r="H415" s="164"/>
      <c r="I415" s="162"/>
      <c r="J415" s="144"/>
      <c r="K415" s="144"/>
      <c r="L415" s="144"/>
      <c r="M415" s="145">
        <f t="shared" si="42"/>
        <v>0</v>
      </c>
      <c r="N415" s="145">
        <f t="shared" si="43"/>
        <v>0</v>
      </c>
      <c r="O415" s="146">
        <f t="shared" si="44"/>
        <v>0</v>
      </c>
      <c r="P415" s="146">
        <f>IF(B415="",0,SUMIF('NHAP XUAT'!$G$10:$J$1011,'Ghi So'!B415,'NHAP XUAT'!$J$10:$J$1011))</f>
        <v>0</v>
      </c>
      <c r="Q415" s="146">
        <f t="shared" si="45"/>
        <v>0</v>
      </c>
      <c r="R415" s="169"/>
      <c r="S415" s="169"/>
      <c r="T415" s="146">
        <f t="shared" si="46"/>
        <v>0</v>
      </c>
      <c r="U415" s="121" t="str">
        <f t="shared" si="47"/>
        <v>Close</v>
      </c>
      <c r="V415" s="117"/>
    </row>
    <row r="416" spans="1:22" ht="15" customHeight="1">
      <c r="A416" s="117"/>
      <c r="B416" s="144" t="str">
        <f>IF(D416="","","P"&amp;D416&amp;"MA"&amp;COUNTIF($D$14:D416,D416))</f>
        <v/>
      </c>
      <c r="C416" s="162"/>
      <c r="D416" s="163"/>
      <c r="E416" s="164"/>
      <c r="F416" s="164"/>
      <c r="G416" s="164"/>
      <c r="H416" s="164"/>
      <c r="I416" s="162"/>
      <c r="J416" s="144"/>
      <c r="K416" s="144"/>
      <c r="L416" s="144"/>
      <c r="M416" s="145">
        <f t="shared" si="42"/>
        <v>0</v>
      </c>
      <c r="N416" s="145">
        <f t="shared" si="43"/>
        <v>0</v>
      </c>
      <c r="O416" s="146">
        <f t="shared" si="44"/>
        <v>0</v>
      </c>
      <c r="P416" s="146">
        <f>IF(B416="",0,SUMIF('NHAP XUAT'!$G$10:$J$1011,'Ghi So'!B416,'NHAP XUAT'!$J$10:$J$1011))</f>
        <v>0</v>
      </c>
      <c r="Q416" s="146">
        <f t="shared" si="45"/>
        <v>0</v>
      </c>
      <c r="R416" s="169"/>
      <c r="S416" s="169"/>
      <c r="T416" s="146">
        <f t="shared" si="46"/>
        <v>0</v>
      </c>
      <c r="U416" s="121" t="str">
        <f t="shared" si="47"/>
        <v>Close</v>
      </c>
      <c r="V416" s="117"/>
    </row>
    <row r="417" spans="1:22" ht="15" customHeight="1">
      <c r="A417" s="117"/>
      <c r="B417" s="144" t="str">
        <f>IF(D417="","","P"&amp;D417&amp;"MA"&amp;COUNTIF($D$14:D417,D417))</f>
        <v/>
      </c>
      <c r="C417" s="162"/>
      <c r="D417" s="163"/>
      <c r="E417" s="164"/>
      <c r="F417" s="164"/>
      <c r="G417" s="164"/>
      <c r="H417" s="164"/>
      <c r="I417" s="162"/>
      <c r="J417" s="144"/>
      <c r="K417" s="144"/>
      <c r="L417" s="144"/>
      <c r="M417" s="145">
        <f t="shared" si="42"/>
        <v>0</v>
      </c>
      <c r="N417" s="145">
        <f t="shared" si="43"/>
        <v>0</v>
      </c>
      <c r="O417" s="146">
        <f t="shared" si="44"/>
        <v>0</v>
      </c>
      <c r="P417" s="146">
        <f>IF(B417="",0,SUMIF('NHAP XUAT'!$G$10:$J$1011,'Ghi So'!B417,'NHAP XUAT'!$J$10:$J$1011))</f>
        <v>0</v>
      </c>
      <c r="Q417" s="146">
        <f t="shared" si="45"/>
        <v>0</v>
      </c>
      <c r="R417" s="169"/>
      <c r="S417" s="169"/>
      <c r="T417" s="146">
        <f t="shared" si="46"/>
        <v>0</v>
      </c>
      <c r="U417" s="121" t="str">
        <f t="shared" si="47"/>
        <v>Close</v>
      </c>
      <c r="V417" s="117"/>
    </row>
    <row r="418" spans="1:22" ht="15" customHeight="1">
      <c r="A418" s="117"/>
      <c r="B418" s="144" t="str">
        <f>IF(D418="","","P"&amp;D418&amp;"MA"&amp;COUNTIF($D$14:D418,D418))</f>
        <v/>
      </c>
      <c r="C418" s="162"/>
      <c r="D418" s="163"/>
      <c r="E418" s="164"/>
      <c r="F418" s="164"/>
      <c r="G418" s="164"/>
      <c r="H418" s="164"/>
      <c r="I418" s="162"/>
      <c r="J418" s="144"/>
      <c r="K418" s="144"/>
      <c r="L418" s="144"/>
      <c r="M418" s="145">
        <f t="shared" si="42"/>
        <v>0</v>
      </c>
      <c r="N418" s="145">
        <f t="shared" si="43"/>
        <v>0</v>
      </c>
      <c r="O418" s="146">
        <f t="shared" si="44"/>
        <v>0</v>
      </c>
      <c r="P418" s="146">
        <f>IF(B418="",0,SUMIF('NHAP XUAT'!$G$10:$J$1011,'Ghi So'!B418,'NHAP XUAT'!$J$10:$J$1011))</f>
        <v>0</v>
      </c>
      <c r="Q418" s="146">
        <f t="shared" si="45"/>
        <v>0</v>
      </c>
      <c r="R418" s="169"/>
      <c r="S418" s="169"/>
      <c r="T418" s="146">
        <f t="shared" si="46"/>
        <v>0</v>
      </c>
      <c r="U418" s="121" t="str">
        <f t="shared" si="47"/>
        <v>Close</v>
      </c>
      <c r="V418" s="117"/>
    </row>
    <row r="419" spans="1:22" ht="15" customHeight="1">
      <c r="A419" s="117"/>
      <c r="B419" s="144" t="str">
        <f>IF(D419="","","P"&amp;D419&amp;"MA"&amp;COUNTIF($D$14:D419,D419))</f>
        <v/>
      </c>
      <c r="C419" s="162"/>
      <c r="D419" s="163"/>
      <c r="E419" s="164"/>
      <c r="F419" s="164"/>
      <c r="G419" s="164"/>
      <c r="H419" s="164"/>
      <c r="I419" s="162"/>
      <c r="J419" s="144"/>
      <c r="K419" s="144"/>
      <c r="L419" s="144"/>
      <c r="M419" s="145">
        <f t="shared" si="42"/>
        <v>0</v>
      </c>
      <c r="N419" s="145">
        <f t="shared" si="43"/>
        <v>0</v>
      </c>
      <c r="O419" s="146">
        <f t="shared" si="44"/>
        <v>0</v>
      </c>
      <c r="P419" s="146">
        <f>IF(B419="",0,SUMIF('NHAP XUAT'!$G$10:$J$1011,'Ghi So'!B419,'NHAP XUAT'!$J$10:$J$1011))</f>
        <v>0</v>
      </c>
      <c r="Q419" s="146">
        <f t="shared" si="45"/>
        <v>0</v>
      </c>
      <c r="R419" s="169"/>
      <c r="S419" s="169"/>
      <c r="T419" s="146">
        <f t="shared" si="46"/>
        <v>0</v>
      </c>
      <c r="U419" s="121" t="str">
        <f t="shared" si="47"/>
        <v>Close</v>
      </c>
      <c r="V419" s="117"/>
    </row>
    <row r="420" spans="1:22" ht="15" customHeight="1">
      <c r="A420" s="117"/>
      <c r="B420" s="144" t="str">
        <f>IF(D420="","","P"&amp;D420&amp;"MA"&amp;COUNTIF($D$14:D420,D420))</f>
        <v/>
      </c>
      <c r="C420" s="162"/>
      <c r="D420" s="163"/>
      <c r="E420" s="164"/>
      <c r="F420" s="164"/>
      <c r="G420" s="164"/>
      <c r="H420" s="164"/>
      <c r="I420" s="162"/>
      <c r="J420" s="144"/>
      <c r="K420" s="144"/>
      <c r="L420" s="144"/>
      <c r="M420" s="145">
        <f t="shared" si="42"/>
        <v>0</v>
      </c>
      <c r="N420" s="145">
        <f t="shared" si="43"/>
        <v>0</v>
      </c>
      <c r="O420" s="146">
        <f t="shared" si="44"/>
        <v>0</v>
      </c>
      <c r="P420" s="146">
        <f>IF(B420="",0,SUMIF('NHAP XUAT'!$G$10:$J$1011,'Ghi So'!B420,'NHAP XUAT'!$J$10:$J$1011))</f>
        <v>0</v>
      </c>
      <c r="Q420" s="146">
        <f t="shared" si="45"/>
        <v>0</v>
      </c>
      <c r="R420" s="169"/>
      <c r="S420" s="169"/>
      <c r="T420" s="146">
        <f t="shared" si="46"/>
        <v>0</v>
      </c>
      <c r="U420" s="121" t="str">
        <f t="shared" si="47"/>
        <v>Close</v>
      </c>
      <c r="V420" s="117"/>
    </row>
    <row r="421" spans="1:22" ht="15" customHeight="1">
      <c r="A421" s="117"/>
      <c r="B421" s="144" t="str">
        <f>IF(D421="","","P"&amp;D421&amp;"MA"&amp;COUNTIF($D$14:D421,D421))</f>
        <v/>
      </c>
      <c r="C421" s="162"/>
      <c r="D421" s="163"/>
      <c r="E421" s="164"/>
      <c r="F421" s="164"/>
      <c r="G421" s="164"/>
      <c r="H421" s="164"/>
      <c r="I421" s="162"/>
      <c r="J421" s="144"/>
      <c r="K421" s="144"/>
      <c r="L421" s="144"/>
      <c r="M421" s="145">
        <f t="shared" si="42"/>
        <v>0</v>
      </c>
      <c r="N421" s="145">
        <f t="shared" si="43"/>
        <v>0</v>
      </c>
      <c r="O421" s="146">
        <f t="shared" si="44"/>
        <v>0</v>
      </c>
      <c r="P421" s="146">
        <f>IF(B421="",0,SUMIF('NHAP XUAT'!$G$10:$J$1011,'Ghi So'!B421,'NHAP XUAT'!$J$10:$J$1011))</f>
        <v>0</v>
      </c>
      <c r="Q421" s="146">
        <f t="shared" si="45"/>
        <v>0</v>
      </c>
      <c r="R421" s="169"/>
      <c r="S421" s="169"/>
      <c r="T421" s="146">
        <f t="shared" si="46"/>
        <v>0</v>
      </c>
      <c r="U421" s="121" t="str">
        <f t="shared" si="47"/>
        <v>Close</v>
      </c>
      <c r="V421" s="117"/>
    </row>
    <row r="422" spans="1:22" ht="15" customHeight="1">
      <c r="A422" s="117"/>
      <c r="B422" s="144" t="str">
        <f>IF(D422="","","P"&amp;D422&amp;"MA"&amp;COUNTIF($D$14:D422,D422))</f>
        <v/>
      </c>
      <c r="C422" s="162"/>
      <c r="D422" s="163"/>
      <c r="E422" s="164"/>
      <c r="F422" s="164"/>
      <c r="G422" s="164"/>
      <c r="H422" s="164"/>
      <c r="I422" s="162"/>
      <c r="J422" s="144"/>
      <c r="K422" s="144"/>
      <c r="L422" s="144"/>
      <c r="M422" s="145">
        <f t="shared" si="42"/>
        <v>0</v>
      </c>
      <c r="N422" s="145">
        <f t="shared" si="43"/>
        <v>0</v>
      </c>
      <c r="O422" s="146">
        <f t="shared" si="44"/>
        <v>0</v>
      </c>
      <c r="P422" s="146">
        <f>IF(B422="",0,SUMIF('NHAP XUAT'!$G$10:$J$1011,'Ghi So'!B422,'NHAP XUAT'!$J$10:$J$1011))</f>
        <v>0</v>
      </c>
      <c r="Q422" s="146">
        <f t="shared" si="45"/>
        <v>0</v>
      </c>
      <c r="R422" s="169"/>
      <c r="S422" s="169"/>
      <c r="T422" s="146">
        <f t="shared" si="46"/>
        <v>0</v>
      </c>
      <c r="U422" s="121" t="str">
        <f t="shared" si="47"/>
        <v>Close</v>
      </c>
      <c r="V422" s="117"/>
    </row>
    <row r="423" spans="1:22" ht="15" customHeight="1">
      <c r="A423" s="117"/>
      <c r="B423" s="144" t="str">
        <f>IF(D423="","","P"&amp;D423&amp;"MA"&amp;COUNTIF($D$14:D423,D423))</f>
        <v/>
      </c>
      <c r="C423" s="162"/>
      <c r="D423" s="163"/>
      <c r="E423" s="164"/>
      <c r="F423" s="164"/>
      <c r="G423" s="164"/>
      <c r="H423" s="164"/>
      <c r="I423" s="162"/>
      <c r="J423" s="144"/>
      <c r="K423" s="144"/>
      <c r="L423" s="144"/>
      <c r="M423" s="145">
        <f t="shared" si="42"/>
        <v>0</v>
      </c>
      <c r="N423" s="145">
        <f t="shared" si="43"/>
        <v>0</v>
      </c>
      <c r="O423" s="146">
        <f t="shared" si="44"/>
        <v>0</v>
      </c>
      <c r="P423" s="146">
        <f>IF(B423="",0,SUMIF('NHAP XUAT'!$G$10:$J$1011,'Ghi So'!B423,'NHAP XUAT'!$J$10:$J$1011))</f>
        <v>0</v>
      </c>
      <c r="Q423" s="146">
        <f t="shared" si="45"/>
        <v>0</v>
      </c>
      <c r="R423" s="169"/>
      <c r="S423" s="169"/>
      <c r="T423" s="146">
        <f t="shared" si="46"/>
        <v>0</v>
      </c>
      <c r="U423" s="121" t="str">
        <f t="shared" si="47"/>
        <v>Close</v>
      </c>
      <c r="V423" s="117"/>
    </row>
    <row r="424" spans="1:22" ht="15" customHeight="1">
      <c r="A424" s="117"/>
      <c r="B424" s="144" t="str">
        <f>IF(D424="","","P"&amp;D424&amp;"MA"&amp;COUNTIF($D$14:D424,D424))</f>
        <v/>
      </c>
      <c r="C424" s="162"/>
      <c r="D424" s="163"/>
      <c r="E424" s="164"/>
      <c r="F424" s="164"/>
      <c r="G424" s="164"/>
      <c r="H424" s="164"/>
      <c r="I424" s="162"/>
      <c r="J424" s="144"/>
      <c r="K424" s="144"/>
      <c r="L424" s="144"/>
      <c r="M424" s="145">
        <f t="shared" si="42"/>
        <v>0</v>
      </c>
      <c r="N424" s="145">
        <f t="shared" si="43"/>
        <v>0</v>
      </c>
      <c r="O424" s="146">
        <f t="shared" si="44"/>
        <v>0</v>
      </c>
      <c r="P424" s="146">
        <f>IF(B424="",0,SUMIF('NHAP XUAT'!$G$10:$J$1011,'Ghi So'!B424,'NHAP XUAT'!$J$10:$J$1011))</f>
        <v>0</v>
      </c>
      <c r="Q424" s="146">
        <f t="shared" si="45"/>
        <v>0</v>
      </c>
      <c r="R424" s="169"/>
      <c r="S424" s="169"/>
      <c r="T424" s="146">
        <f t="shared" si="46"/>
        <v>0</v>
      </c>
      <c r="U424" s="121" t="str">
        <f t="shared" si="47"/>
        <v>Close</v>
      </c>
      <c r="V424" s="117"/>
    </row>
    <row r="425" spans="1:22" ht="15" customHeight="1">
      <c r="A425" s="117"/>
      <c r="B425" s="144" t="str">
        <f>IF(D425="","","P"&amp;D425&amp;"MA"&amp;COUNTIF($D$14:D425,D425))</f>
        <v/>
      </c>
      <c r="C425" s="162"/>
      <c r="D425" s="163"/>
      <c r="E425" s="164"/>
      <c r="F425" s="164"/>
      <c r="G425" s="164"/>
      <c r="H425" s="164"/>
      <c r="I425" s="162"/>
      <c r="J425" s="144"/>
      <c r="K425" s="144"/>
      <c r="L425" s="144"/>
      <c r="M425" s="145">
        <f t="shared" si="42"/>
        <v>0</v>
      </c>
      <c r="N425" s="145">
        <f t="shared" si="43"/>
        <v>0</v>
      </c>
      <c r="O425" s="146">
        <f t="shared" si="44"/>
        <v>0</v>
      </c>
      <c r="P425" s="146">
        <f>IF(B425="",0,SUMIF('NHAP XUAT'!$G$10:$J$1011,'Ghi So'!B425,'NHAP XUAT'!$J$10:$J$1011))</f>
        <v>0</v>
      </c>
      <c r="Q425" s="146">
        <f t="shared" si="45"/>
        <v>0</v>
      </c>
      <c r="R425" s="169"/>
      <c r="S425" s="169"/>
      <c r="T425" s="146">
        <f t="shared" si="46"/>
        <v>0</v>
      </c>
      <c r="U425" s="121" t="str">
        <f t="shared" si="47"/>
        <v>Close</v>
      </c>
      <c r="V425" s="117"/>
    </row>
    <row r="426" spans="1:22" ht="15" customHeight="1">
      <c r="A426" s="117"/>
      <c r="B426" s="144" t="str">
        <f>IF(D426="","","P"&amp;D426&amp;"MA"&amp;COUNTIF($D$14:D426,D426))</f>
        <v/>
      </c>
      <c r="C426" s="162"/>
      <c r="D426" s="163"/>
      <c r="E426" s="164"/>
      <c r="F426" s="164"/>
      <c r="G426" s="164"/>
      <c r="H426" s="164"/>
      <c r="I426" s="162"/>
      <c r="J426" s="144"/>
      <c r="K426" s="144"/>
      <c r="L426" s="144"/>
      <c r="M426" s="145">
        <f t="shared" si="42"/>
        <v>0</v>
      </c>
      <c r="N426" s="145">
        <f t="shared" si="43"/>
        <v>0</v>
      </c>
      <c r="O426" s="146">
        <f t="shared" si="44"/>
        <v>0</v>
      </c>
      <c r="P426" s="146">
        <f>IF(B426="",0,SUMIF('NHAP XUAT'!$G$10:$J$1011,'Ghi So'!B426,'NHAP XUAT'!$J$10:$J$1011))</f>
        <v>0</v>
      </c>
      <c r="Q426" s="146">
        <f t="shared" si="45"/>
        <v>0</v>
      </c>
      <c r="R426" s="169"/>
      <c r="S426" s="169"/>
      <c r="T426" s="146">
        <f t="shared" si="46"/>
        <v>0</v>
      </c>
      <c r="U426" s="121" t="str">
        <f t="shared" si="47"/>
        <v>Close</v>
      </c>
      <c r="V426" s="117"/>
    </row>
    <row r="427" spans="1:22" ht="15" customHeight="1">
      <c r="A427" s="117"/>
      <c r="B427" s="144" t="str">
        <f>IF(D427="","","P"&amp;D427&amp;"MA"&amp;COUNTIF($D$14:D427,D427))</f>
        <v/>
      </c>
      <c r="C427" s="162"/>
      <c r="D427" s="163"/>
      <c r="E427" s="164"/>
      <c r="F427" s="164"/>
      <c r="G427" s="164"/>
      <c r="H427" s="164"/>
      <c r="I427" s="162"/>
      <c r="J427" s="144"/>
      <c r="K427" s="144"/>
      <c r="L427" s="144"/>
      <c r="M427" s="145">
        <f t="shared" si="42"/>
        <v>0</v>
      </c>
      <c r="N427" s="145">
        <f t="shared" si="43"/>
        <v>0</v>
      </c>
      <c r="O427" s="146">
        <f t="shared" si="44"/>
        <v>0</v>
      </c>
      <c r="P427" s="146">
        <f>IF(B427="",0,SUMIF('NHAP XUAT'!$G$10:$J$1011,'Ghi So'!B427,'NHAP XUAT'!$J$10:$J$1011))</f>
        <v>0</v>
      </c>
      <c r="Q427" s="146">
        <f t="shared" si="45"/>
        <v>0</v>
      </c>
      <c r="R427" s="169"/>
      <c r="S427" s="169"/>
      <c r="T427" s="146">
        <f t="shared" si="46"/>
        <v>0</v>
      </c>
      <c r="U427" s="121" t="str">
        <f t="shared" si="47"/>
        <v>Close</v>
      </c>
      <c r="V427" s="117"/>
    </row>
    <row r="428" spans="1:22" ht="15" customHeight="1">
      <c r="A428" s="117"/>
      <c r="B428" s="144" t="str">
        <f>IF(D428="","","P"&amp;D428&amp;"MA"&amp;COUNTIF($D$14:D428,D428))</f>
        <v/>
      </c>
      <c r="C428" s="162"/>
      <c r="D428" s="163"/>
      <c r="E428" s="164"/>
      <c r="F428" s="164"/>
      <c r="G428" s="164"/>
      <c r="H428" s="164"/>
      <c r="I428" s="162"/>
      <c r="J428" s="144"/>
      <c r="K428" s="144"/>
      <c r="L428" s="144"/>
      <c r="M428" s="145">
        <f t="shared" si="42"/>
        <v>0</v>
      </c>
      <c r="N428" s="145">
        <f t="shared" si="43"/>
        <v>0</v>
      </c>
      <c r="O428" s="146">
        <f t="shared" si="44"/>
        <v>0</v>
      </c>
      <c r="P428" s="146">
        <f>IF(B428="",0,SUMIF('NHAP XUAT'!$G$10:$J$1011,'Ghi So'!B428,'NHAP XUAT'!$J$10:$J$1011))</f>
        <v>0</v>
      </c>
      <c r="Q428" s="146">
        <f t="shared" si="45"/>
        <v>0</v>
      </c>
      <c r="R428" s="169"/>
      <c r="S428" s="169"/>
      <c r="T428" s="146">
        <f t="shared" si="46"/>
        <v>0</v>
      </c>
      <c r="U428" s="121" t="str">
        <f t="shared" si="47"/>
        <v>Close</v>
      </c>
      <c r="V428" s="117"/>
    </row>
    <row r="429" spans="1:22" ht="15" customHeight="1">
      <c r="A429" s="117"/>
      <c r="B429" s="144" t="str">
        <f>IF(D429="","","P"&amp;D429&amp;"MA"&amp;COUNTIF($D$14:D429,D429))</f>
        <v/>
      </c>
      <c r="C429" s="162"/>
      <c r="D429" s="163"/>
      <c r="E429" s="164"/>
      <c r="F429" s="164"/>
      <c r="G429" s="164"/>
      <c r="H429" s="164"/>
      <c r="I429" s="162"/>
      <c r="J429" s="144"/>
      <c r="K429" s="144"/>
      <c r="L429" s="144"/>
      <c r="M429" s="145">
        <f t="shared" si="42"/>
        <v>0</v>
      </c>
      <c r="N429" s="145">
        <f t="shared" si="43"/>
        <v>0</v>
      </c>
      <c r="O429" s="146">
        <f t="shared" si="44"/>
        <v>0</v>
      </c>
      <c r="P429" s="146">
        <f>IF(B429="",0,SUMIF('NHAP XUAT'!$G$10:$J$1011,'Ghi So'!B429,'NHAP XUAT'!$J$10:$J$1011))</f>
        <v>0</v>
      </c>
      <c r="Q429" s="146">
        <f t="shared" si="45"/>
        <v>0</v>
      </c>
      <c r="R429" s="169"/>
      <c r="S429" s="169"/>
      <c r="T429" s="146">
        <f t="shared" si="46"/>
        <v>0</v>
      </c>
      <c r="U429" s="121" t="str">
        <f t="shared" si="47"/>
        <v>Close</v>
      </c>
      <c r="V429" s="117"/>
    </row>
    <row r="430" spans="1:22" ht="15" customHeight="1">
      <c r="A430" s="117"/>
      <c r="B430" s="144" t="str">
        <f>IF(D430="","","P"&amp;D430&amp;"MA"&amp;COUNTIF($D$14:D430,D430))</f>
        <v/>
      </c>
      <c r="C430" s="162"/>
      <c r="D430" s="163"/>
      <c r="E430" s="164"/>
      <c r="F430" s="164"/>
      <c r="G430" s="164"/>
      <c r="H430" s="164"/>
      <c r="I430" s="162"/>
      <c r="J430" s="144"/>
      <c r="K430" s="144"/>
      <c r="L430" s="144"/>
      <c r="M430" s="145">
        <f t="shared" si="42"/>
        <v>0</v>
      </c>
      <c r="N430" s="145">
        <f t="shared" si="43"/>
        <v>0</v>
      </c>
      <c r="O430" s="146">
        <f t="shared" si="44"/>
        <v>0</v>
      </c>
      <c r="P430" s="146">
        <f>IF(B430="",0,SUMIF('NHAP XUAT'!$G$10:$J$1011,'Ghi So'!B430,'NHAP XUAT'!$J$10:$J$1011))</f>
        <v>0</v>
      </c>
      <c r="Q430" s="146">
        <f t="shared" si="45"/>
        <v>0</v>
      </c>
      <c r="R430" s="169"/>
      <c r="S430" s="169"/>
      <c r="T430" s="146">
        <f t="shared" si="46"/>
        <v>0</v>
      </c>
      <c r="U430" s="121" t="str">
        <f t="shared" si="47"/>
        <v>Close</v>
      </c>
      <c r="V430" s="117"/>
    </row>
    <row r="431" spans="1:22" ht="15" customHeight="1">
      <c r="A431" s="117"/>
      <c r="B431" s="144" t="str">
        <f>IF(D431="","","P"&amp;D431&amp;"MA"&amp;COUNTIF($D$14:D431,D431))</f>
        <v/>
      </c>
      <c r="C431" s="162"/>
      <c r="D431" s="163"/>
      <c r="E431" s="164"/>
      <c r="F431" s="164"/>
      <c r="G431" s="164"/>
      <c r="H431" s="164"/>
      <c r="I431" s="162"/>
      <c r="J431" s="144"/>
      <c r="K431" s="144"/>
      <c r="L431" s="144"/>
      <c r="M431" s="145">
        <f t="shared" si="42"/>
        <v>0</v>
      </c>
      <c r="N431" s="145">
        <f t="shared" si="43"/>
        <v>0</v>
      </c>
      <c r="O431" s="146">
        <f t="shared" si="44"/>
        <v>0</v>
      </c>
      <c r="P431" s="146">
        <f>IF(B431="",0,SUMIF('NHAP XUAT'!$G$10:$J$1011,'Ghi So'!B431,'NHAP XUAT'!$J$10:$J$1011))</f>
        <v>0</v>
      </c>
      <c r="Q431" s="146">
        <f t="shared" si="45"/>
        <v>0</v>
      </c>
      <c r="R431" s="169"/>
      <c r="S431" s="169"/>
      <c r="T431" s="146">
        <f t="shared" si="46"/>
        <v>0</v>
      </c>
      <c r="U431" s="121" t="str">
        <f t="shared" si="47"/>
        <v>Close</v>
      </c>
      <c r="V431" s="117"/>
    </row>
    <row r="432" spans="1:22" ht="15" customHeight="1">
      <c r="A432" s="117"/>
      <c r="B432" s="144" t="str">
        <f>IF(D432="","","P"&amp;D432&amp;"MA"&amp;COUNTIF($D$14:D432,D432))</f>
        <v/>
      </c>
      <c r="C432" s="162"/>
      <c r="D432" s="163"/>
      <c r="E432" s="164"/>
      <c r="F432" s="164"/>
      <c r="G432" s="164"/>
      <c r="H432" s="164"/>
      <c r="I432" s="162"/>
      <c r="J432" s="144"/>
      <c r="K432" s="144"/>
      <c r="L432" s="144"/>
      <c r="M432" s="145">
        <f t="shared" si="42"/>
        <v>0</v>
      </c>
      <c r="N432" s="145">
        <f t="shared" si="43"/>
        <v>0</v>
      </c>
      <c r="O432" s="146">
        <f t="shared" si="44"/>
        <v>0</v>
      </c>
      <c r="P432" s="146">
        <f>IF(B432="",0,SUMIF('NHAP XUAT'!$G$10:$J$1011,'Ghi So'!B432,'NHAP XUAT'!$J$10:$J$1011))</f>
        <v>0</v>
      </c>
      <c r="Q432" s="146">
        <f t="shared" si="45"/>
        <v>0</v>
      </c>
      <c r="R432" s="169"/>
      <c r="S432" s="169"/>
      <c r="T432" s="146">
        <f t="shared" si="46"/>
        <v>0</v>
      </c>
      <c r="U432" s="121" t="str">
        <f t="shared" si="47"/>
        <v>Close</v>
      </c>
      <c r="V432" s="117"/>
    </row>
    <row r="433" spans="1:22" ht="15" customHeight="1">
      <c r="A433" s="117"/>
      <c r="B433" s="144" t="str">
        <f>IF(D433="","","P"&amp;D433&amp;"MA"&amp;COUNTIF($D$14:D433,D433))</f>
        <v/>
      </c>
      <c r="C433" s="162"/>
      <c r="D433" s="163"/>
      <c r="E433" s="164"/>
      <c r="F433" s="164"/>
      <c r="G433" s="164"/>
      <c r="H433" s="164"/>
      <c r="I433" s="162"/>
      <c r="J433" s="144"/>
      <c r="K433" s="144"/>
      <c r="L433" s="144"/>
      <c r="M433" s="145">
        <f t="shared" si="42"/>
        <v>0</v>
      </c>
      <c r="N433" s="145">
        <f t="shared" si="43"/>
        <v>0</v>
      </c>
      <c r="O433" s="146">
        <f t="shared" si="44"/>
        <v>0</v>
      </c>
      <c r="P433" s="146">
        <f>IF(B433="",0,SUMIF('NHAP XUAT'!$G$10:$J$1011,'Ghi So'!B433,'NHAP XUAT'!$J$10:$J$1011))</f>
        <v>0</v>
      </c>
      <c r="Q433" s="146">
        <f t="shared" si="45"/>
        <v>0</v>
      </c>
      <c r="R433" s="169"/>
      <c r="S433" s="169"/>
      <c r="T433" s="146">
        <f t="shared" si="46"/>
        <v>0</v>
      </c>
      <c r="U433" s="121" t="str">
        <f t="shared" si="47"/>
        <v>Close</v>
      </c>
      <c r="V433" s="117"/>
    </row>
    <row r="434" spans="1:22" ht="15" customHeight="1">
      <c r="A434" s="117"/>
      <c r="B434" s="144" t="str">
        <f>IF(D434="","","P"&amp;D434&amp;"MA"&amp;COUNTIF($D$14:D434,D434))</f>
        <v/>
      </c>
      <c r="C434" s="162"/>
      <c r="D434" s="163"/>
      <c r="E434" s="164"/>
      <c r="F434" s="164"/>
      <c r="G434" s="164"/>
      <c r="H434" s="164"/>
      <c r="I434" s="162"/>
      <c r="J434" s="144"/>
      <c r="K434" s="144"/>
      <c r="L434" s="144"/>
      <c r="M434" s="145">
        <f t="shared" si="42"/>
        <v>0</v>
      </c>
      <c r="N434" s="145">
        <f t="shared" si="43"/>
        <v>0</v>
      </c>
      <c r="O434" s="146">
        <f t="shared" si="44"/>
        <v>0</v>
      </c>
      <c r="P434" s="146">
        <f>IF(B434="",0,SUMIF('NHAP XUAT'!$G$10:$J$1011,'Ghi So'!B434,'NHAP XUAT'!$J$10:$J$1011))</f>
        <v>0</v>
      </c>
      <c r="Q434" s="146">
        <f t="shared" si="45"/>
        <v>0</v>
      </c>
      <c r="R434" s="169"/>
      <c r="S434" s="169"/>
      <c r="T434" s="146">
        <f t="shared" si="46"/>
        <v>0</v>
      </c>
      <c r="U434" s="121" t="str">
        <f t="shared" si="47"/>
        <v>Close</v>
      </c>
      <c r="V434" s="117"/>
    </row>
    <row r="435" spans="1:22" ht="15" customHeight="1">
      <c r="A435" s="117"/>
      <c r="B435" s="144" t="str">
        <f>IF(D435="","","P"&amp;D435&amp;"MA"&amp;COUNTIF($D$14:D435,D435))</f>
        <v/>
      </c>
      <c r="C435" s="162"/>
      <c r="D435" s="163"/>
      <c r="E435" s="164"/>
      <c r="F435" s="164"/>
      <c r="G435" s="164"/>
      <c r="H435" s="164"/>
      <c r="I435" s="162"/>
      <c r="J435" s="144"/>
      <c r="K435" s="144"/>
      <c r="L435" s="144"/>
      <c r="M435" s="145">
        <f t="shared" si="42"/>
        <v>0</v>
      </c>
      <c r="N435" s="145">
        <f t="shared" si="43"/>
        <v>0</v>
      </c>
      <c r="O435" s="146">
        <f t="shared" si="44"/>
        <v>0</v>
      </c>
      <c r="P435" s="146">
        <f>IF(B435="",0,SUMIF('NHAP XUAT'!$G$10:$J$1011,'Ghi So'!B435,'NHAP XUAT'!$J$10:$J$1011))</f>
        <v>0</v>
      </c>
      <c r="Q435" s="146">
        <f t="shared" si="45"/>
        <v>0</v>
      </c>
      <c r="R435" s="169"/>
      <c r="S435" s="169"/>
      <c r="T435" s="146">
        <f t="shared" si="46"/>
        <v>0</v>
      </c>
      <c r="U435" s="121" t="str">
        <f t="shared" si="47"/>
        <v>Close</v>
      </c>
      <c r="V435" s="117"/>
    </row>
    <row r="436" spans="1:22" ht="15" customHeight="1">
      <c r="A436" s="117"/>
      <c r="B436" s="144" t="str">
        <f>IF(D436="","","P"&amp;D436&amp;"MA"&amp;COUNTIF($D$14:D436,D436))</f>
        <v/>
      </c>
      <c r="C436" s="162"/>
      <c r="D436" s="163"/>
      <c r="E436" s="164"/>
      <c r="F436" s="164"/>
      <c r="G436" s="164"/>
      <c r="H436" s="164"/>
      <c r="I436" s="162"/>
      <c r="J436" s="144"/>
      <c r="K436" s="144"/>
      <c r="L436" s="144"/>
      <c r="M436" s="145">
        <f t="shared" si="42"/>
        <v>0</v>
      </c>
      <c r="N436" s="145">
        <f t="shared" si="43"/>
        <v>0</v>
      </c>
      <c r="O436" s="146">
        <f t="shared" si="44"/>
        <v>0</v>
      </c>
      <c r="P436" s="146">
        <f>IF(B436="",0,SUMIF('NHAP XUAT'!$G$10:$J$1011,'Ghi So'!B436,'NHAP XUAT'!$J$10:$J$1011))</f>
        <v>0</v>
      </c>
      <c r="Q436" s="146">
        <f t="shared" si="45"/>
        <v>0</v>
      </c>
      <c r="R436" s="169"/>
      <c r="S436" s="169"/>
      <c r="T436" s="146">
        <f t="shared" si="46"/>
        <v>0</v>
      </c>
      <c r="U436" s="121" t="str">
        <f t="shared" si="47"/>
        <v>Close</v>
      </c>
      <c r="V436" s="117"/>
    </row>
    <row r="437" spans="1:22" ht="15" customHeight="1">
      <c r="A437" s="117"/>
      <c r="B437" s="144" t="str">
        <f>IF(D437="","","P"&amp;D437&amp;"MA"&amp;COUNTIF($D$14:D437,D437))</f>
        <v/>
      </c>
      <c r="C437" s="162"/>
      <c r="D437" s="163"/>
      <c r="E437" s="164"/>
      <c r="F437" s="164"/>
      <c r="G437" s="164"/>
      <c r="H437" s="164"/>
      <c r="I437" s="162"/>
      <c r="J437" s="144"/>
      <c r="K437" s="144"/>
      <c r="L437" s="144"/>
      <c r="M437" s="145">
        <f t="shared" si="42"/>
        <v>0</v>
      </c>
      <c r="N437" s="145">
        <f t="shared" si="43"/>
        <v>0</v>
      </c>
      <c r="O437" s="146">
        <f t="shared" si="44"/>
        <v>0</v>
      </c>
      <c r="P437" s="146">
        <f>IF(B437="",0,SUMIF('NHAP XUAT'!$G$10:$J$1011,'Ghi So'!B437,'NHAP XUAT'!$J$10:$J$1011))</f>
        <v>0</v>
      </c>
      <c r="Q437" s="146">
        <f t="shared" si="45"/>
        <v>0</v>
      </c>
      <c r="R437" s="169"/>
      <c r="S437" s="169"/>
      <c r="T437" s="146">
        <f t="shared" si="46"/>
        <v>0</v>
      </c>
      <c r="U437" s="121" t="str">
        <f t="shared" si="47"/>
        <v>Close</v>
      </c>
      <c r="V437" s="117"/>
    </row>
    <row r="438" spans="1:22" ht="15" customHeight="1">
      <c r="A438" s="117"/>
      <c r="B438" s="144" t="str">
        <f>IF(D438="","","P"&amp;D438&amp;"MA"&amp;COUNTIF($D$14:D438,D438))</f>
        <v/>
      </c>
      <c r="C438" s="162"/>
      <c r="D438" s="163"/>
      <c r="E438" s="164"/>
      <c r="F438" s="164"/>
      <c r="G438" s="164"/>
      <c r="H438" s="164"/>
      <c r="I438" s="162"/>
      <c r="J438" s="144"/>
      <c r="K438" s="144"/>
      <c r="L438" s="144"/>
      <c r="M438" s="145">
        <f t="shared" si="42"/>
        <v>0</v>
      </c>
      <c r="N438" s="145">
        <f t="shared" si="43"/>
        <v>0</v>
      </c>
      <c r="O438" s="146">
        <f t="shared" si="44"/>
        <v>0</v>
      </c>
      <c r="P438" s="146">
        <f>IF(B438="",0,SUMIF('NHAP XUAT'!$G$10:$J$1011,'Ghi So'!B438,'NHAP XUAT'!$J$10:$J$1011))</f>
        <v>0</v>
      </c>
      <c r="Q438" s="146">
        <f t="shared" si="45"/>
        <v>0</v>
      </c>
      <c r="R438" s="169"/>
      <c r="S438" s="169"/>
      <c r="T438" s="146">
        <f t="shared" si="46"/>
        <v>0</v>
      </c>
      <c r="U438" s="121" t="str">
        <f t="shared" si="47"/>
        <v>Close</v>
      </c>
      <c r="V438" s="117"/>
    </row>
    <row r="439" spans="1:22" ht="15" customHeight="1">
      <c r="A439" s="117"/>
      <c r="B439" s="144" t="str">
        <f>IF(D439="","","P"&amp;D439&amp;"MA"&amp;COUNTIF($D$14:D439,D439))</f>
        <v/>
      </c>
      <c r="C439" s="162"/>
      <c r="D439" s="163"/>
      <c r="E439" s="164"/>
      <c r="F439" s="164"/>
      <c r="G439" s="164"/>
      <c r="H439" s="164"/>
      <c r="I439" s="162"/>
      <c r="J439" s="144"/>
      <c r="K439" s="144"/>
      <c r="L439" s="144"/>
      <c r="M439" s="145">
        <f t="shared" si="42"/>
        <v>0</v>
      </c>
      <c r="N439" s="145">
        <f t="shared" si="43"/>
        <v>0</v>
      </c>
      <c r="O439" s="146">
        <f t="shared" si="44"/>
        <v>0</v>
      </c>
      <c r="P439" s="146">
        <f>IF(B439="",0,SUMIF('NHAP XUAT'!$G$10:$J$1011,'Ghi So'!B439,'NHAP XUAT'!$J$10:$J$1011))</f>
        <v>0</v>
      </c>
      <c r="Q439" s="146">
        <f t="shared" si="45"/>
        <v>0</v>
      </c>
      <c r="R439" s="169"/>
      <c r="S439" s="169"/>
      <c r="T439" s="146">
        <f t="shared" si="46"/>
        <v>0</v>
      </c>
      <c r="U439" s="121" t="str">
        <f t="shared" si="47"/>
        <v>Close</v>
      </c>
      <c r="V439" s="117"/>
    </row>
    <row r="440" spans="1:22" ht="15" customHeight="1">
      <c r="A440" s="117"/>
      <c r="B440" s="144" t="str">
        <f>IF(D440="","","P"&amp;D440&amp;"MA"&amp;COUNTIF($D$14:D440,D440))</f>
        <v/>
      </c>
      <c r="C440" s="162"/>
      <c r="D440" s="163"/>
      <c r="E440" s="164"/>
      <c r="F440" s="164"/>
      <c r="G440" s="164"/>
      <c r="H440" s="164"/>
      <c r="I440" s="162"/>
      <c r="J440" s="144"/>
      <c r="K440" s="144"/>
      <c r="L440" s="144"/>
      <c r="M440" s="145">
        <f t="shared" si="42"/>
        <v>0</v>
      </c>
      <c r="N440" s="145">
        <f t="shared" si="43"/>
        <v>0</v>
      </c>
      <c r="O440" s="146">
        <f t="shared" si="44"/>
        <v>0</v>
      </c>
      <c r="P440" s="146">
        <f>IF(B440="",0,SUMIF('NHAP XUAT'!$G$10:$J$1011,'Ghi So'!B440,'NHAP XUAT'!$J$10:$J$1011))</f>
        <v>0</v>
      </c>
      <c r="Q440" s="146">
        <f t="shared" si="45"/>
        <v>0</v>
      </c>
      <c r="R440" s="169"/>
      <c r="S440" s="169"/>
      <c r="T440" s="146">
        <f t="shared" si="46"/>
        <v>0</v>
      </c>
      <c r="U440" s="121" t="str">
        <f t="shared" si="47"/>
        <v>Close</v>
      </c>
      <c r="V440" s="117"/>
    </row>
    <row r="441" spans="1:22" ht="15" customHeight="1">
      <c r="A441" s="117"/>
      <c r="B441" s="144" t="str">
        <f>IF(D441="","","P"&amp;D441&amp;"MA"&amp;COUNTIF($D$14:D441,D441))</f>
        <v/>
      </c>
      <c r="C441" s="162"/>
      <c r="D441" s="163"/>
      <c r="E441" s="164"/>
      <c r="F441" s="164"/>
      <c r="G441" s="164"/>
      <c r="H441" s="164"/>
      <c r="I441" s="162"/>
      <c r="J441" s="144"/>
      <c r="K441" s="144"/>
      <c r="L441" s="144"/>
      <c r="M441" s="145">
        <f t="shared" si="42"/>
        <v>0</v>
      </c>
      <c r="N441" s="145">
        <f t="shared" si="43"/>
        <v>0</v>
      </c>
      <c r="O441" s="146">
        <f t="shared" si="44"/>
        <v>0</v>
      </c>
      <c r="P441" s="146">
        <f>IF(B441="",0,SUMIF('NHAP XUAT'!$G$10:$J$1011,'Ghi So'!B441,'NHAP XUAT'!$J$10:$J$1011))</f>
        <v>0</v>
      </c>
      <c r="Q441" s="146">
        <f t="shared" si="45"/>
        <v>0</v>
      </c>
      <c r="R441" s="169"/>
      <c r="S441" s="169"/>
      <c r="T441" s="146">
        <f t="shared" si="46"/>
        <v>0</v>
      </c>
      <c r="U441" s="121" t="str">
        <f t="shared" si="47"/>
        <v>Close</v>
      </c>
      <c r="V441" s="117"/>
    </row>
    <row r="442" spans="1:22" ht="15" customHeight="1">
      <c r="A442" s="117"/>
      <c r="B442" s="144" t="str">
        <f>IF(D442="","","P"&amp;D442&amp;"MA"&amp;COUNTIF($D$14:D442,D442))</f>
        <v/>
      </c>
      <c r="C442" s="162"/>
      <c r="D442" s="163"/>
      <c r="E442" s="164"/>
      <c r="F442" s="164"/>
      <c r="G442" s="164"/>
      <c r="H442" s="164"/>
      <c r="I442" s="162"/>
      <c r="J442" s="144"/>
      <c r="K442" s="144"/>
      <c r="L442" s="144"/>
      <c r="M442" s="145">
        <f t="shared" si="42"/>
        <v>0</v>
      </c>
      <c r="N442" s="145">
        <f t="shared" si="43"/>
        <v>0</v>
      </c>
      <c r="O442" s="146">
        <f t="shared" si="44"/>
        <v>0</v>
      </c>
      <c r="P442" s="146">
        <f>IF(B442="",0,SUMIF('NHAP XUAT'!$G$10:$J$1011,'Ghi So'!B442,'NHAP XUAT'!$J$10:$J$1011))</f>
        <v>0</v>
      </c>
      <c r="Q442" s="146">
        <f t="shared" si="45"/>
        <v>0</v>
      </c>
      <c r="R442" s="169"/>
      <c r="S442" s="169"/>
      <c r="T442" s="146">
        <f t="shared" si="46"/>
        <v>0</v>
      </c>
      <c r="U442" s="121" t="str">
        <f t="shared" si="47"/>
        <v>Close</v>
      </c>
      <c r="V442" s="117"/>
    </row>
    <row r="443" spans="1:22" ht="15" customHeight="1">
      <c r="A443" s="117"/>
      <c r="B443" s="144" t="str">
        <f>IF(D443="","","P"&amp;D443&amp;"MA"&amp;COUNTIF($D$14:D443,D443))</f>
        <v/>
      </c>
      <c r="C443" s="162"/>
      <c r="D443" s="163"/>
      <c r="E443" s="164"/>
      <c r="F443" s="164"/>
      <c r="G443" s="164"/>
      <c r="H443" s="164"/>
      <c r="I443" s="162"/>
      <c r="J443" s="144"/>
      <c r="K443" s="144"/>
      <c r="L443" s="144"/>
      <c r="M443" s="145">
        <f t="shared" si="42"/>
        <v>0</v>
      </c>
      <c r="N443" s="145">
        <f t="shared" si="43"/>
        <v>0</v>
      </c>
      <c r="O443" s="146">
        <f t="shared" si="44"/>
        <v>0</v>
      </c>
      <c r="P443" s="146">
        <f>IF(B443="",0,SUMIF('NHAP XUAT'!$G$10:$J$1011,'Ghi So'!B443,'NHAP XUAT'!$J$10:$J$1011))</f>
        <v>0</v>
      </c>
      <c r="Q443" s="146">
        <f t="shared" si="45"/>
        <v>0</v>
      </c>
      <c r="R443" s="169"/>
      <c r="S443" s="169"/>
      <c r="T443" s="146">
        <f t="shared" si="46"/>
        <v>0</v>
      </c>
      <c r="U443" s="121" t="str">
        <f t="shared" si="47"/>
        <v>Close</v>
      </c>
      <c r="V443" s="117"/>
    </row>
    <row r="444" spans="1:22" ht="15" customHeight="1">
      <c r="A444" s="117"/>
      <c r="B444" s="144" t="str">
        <f>IF(D444="","","P"&amp;D444&amp;"MA"&amp;COUNTIF($D$14:D444,D444))</f>
        <v/>
      </c>
      <c r="C444" s="162"/>
      <c r="D444" s="163"/>
      <c r="E444" s="164"/>
      <c r="F444" s="164"/>
      <c r="G444" s="164"/>
      <c r="H444" s="164"/>
      <c r="I444" s="162"/>
      <c r="J444" s="144"/>
      <c r="K444" s="144"/>
      <c r="L444" s="144"/>
      <c r="M444" s="145">
        <f t="shared" si="42"/>
        <v>0</v>
      </c>
      <c r="N444" s="145">
        <f t="shared" si="43"/>
        <v>0</v>
      </c>
      <c r="O444" s="146">
        <f t="shared" si="44"/>
        <v>0</v>
      </c>
      <c r="P444" s="146">
        <f>IF(B444="",0,SUMIF('NHAP XUAT'!$G$10:$J$1011,'Ghi So'!B444,'NHAP XUAT'!$J$10:$J$1011))</f>
        <v>0</v>
      </c>
      <c r="Q444" s="146">
        <f t="shared" si="45"/>
        <v>0</v>
      </c>
      <c r="R444" s="169"/>
      <c r="S444" s="169"/>
      <c r="T444" s="146">
        <f t="shared" si="46"/>
        <v>0</v>
      </c>
      <c r="U444" s="121" t="str">
        <f t="shared" si="47"/>
        <v>Close</v>
      </c>
      <c r="V444" s="117"/>
    </row>
    <row r="445" spans="1:22" ht="15" customHeight="1">
      <c r="A445" s="117"/>
      <c r="B445" s="144" t="str">
        <f>IF(D445="","","P"&amp;D445&amp;"MA"&amp;COUNTIF($D$14:D445,D445))</f>
        <v/>
      </c>
      <c r="C445" s="162"/>
      <c r="D445" s="163"/>
      <c r="E445" s="164"/>
      <c r="F445" s="164"/>
      <c r="G445" s="164"/>
      <c r="H445" s="164"/>
      <c r="I445" s="162"/>
      <c r="J445" s="144"/>
      <c r="K445" s="144"/>
      <c r="L445" s="144"/>
      <c r="M445" s="145">
        <f t="shared" si="42"/>
        <v>0</v>
      </c>
      <c r="N445" s="145">
        <f t="shared" si="43"/>
        <v>0</v>
      </c>
      <c r="O445" s="146">
        <f t="shared" si="44"/>
        <v>0</v>
      </c>
      <c r="P445" s="146">
        <f>IF(B445="",0,SUMIF('NHAP XUAT'!$G$10:$J$1011,'Ghi So'!B445,'NHAP XUAT'!$J$10:$J$1011))</f>
        <v>0</v>
      </c>
      <c r="Q445" s="146">
        <f t="shared" si="45"/>
        <v>0</v>
      </c>
      <c r="R445" s="169"/>
      <c r="S445" s="169"/>
      <c r="T445" s="146">
        <f t="shared" si="46"/>
        <v>0</v>
      </c>
      <c r="U445" s="121" t="str">
        <f t="shared" si="47"/>
        <v>Close</v>
      </c>
      <c r="V445" s="117"/>
    </row>
    <row r="446" spans="1:22" ht="15" customHeight="1">
      <c r="A446" s="117"/>
      <c r="B446" s="144" t="str">
        <f>IF(D446="","","P"&amp;D446&amp;"MA"&amp;COUNTIF($D$14:D446,D446))</f>
        <v/>
      </c>
      <c r="C446" s="162"/>
      <c r="D446" s="163"/>
      <c r="E446" s="164"/>
      <c r="F446" s="164"/>
      <c r="G446" s="164"/>
      <c r="H446" s="164"/>
      <c r="I446" s="162"/>
      <c r="J446" s="144"/>
      <c r="K446" s="144"/>
      <c r="L446" s="144"/>
      <c r="M446" s="145">
        <f t="shared" si="42"/>
        <v>0</v>
      </c>
      <c r="N446" s="145">
        <f t="shared" si="43"/>
        <v>0</v>
      </c>
      <c r="O446" s="146">
        <f t="shared" si="44"/>
        <v>0</v>
      </c>
      <c r="P446" s="146">
        <f>IF(B446="",0,SUMIF('NHAP XUAT'!$G$10:$J$1011,'Ghi So'!B446,'NHAP XUAT'!$J$10:$J$1011))</f>
        <v>0</v>
      </c>
      <c r="Q446" s="146">
        <f t="shared" si="45"/>
        <v>0</v>
      </c>
      <c r="R446" s="169"/>
      <c r="S446" s="169"/>
      <c r="T446" s="146">
        <f t="shared" si="46"/>
        <v>0</v>
      </c>
      <c r="U446" s="121" t="str">
        <f t="shared" si="47"/>
        <v>Close</v>
      </c>
      <c r="V446" s="117"/>
    </row>
    <row r="447" spans="1:22" ht="15" customHeight="1">
      <c r="A447" s="117"/>
      <c r="B447" s="144" t="str">
        <f>IF(D447="","","P"&amp;D447&amp;"MA"&amp;COUNTIF($D$14:D447,D447))</f>
        <v/>
      </c>
      <c r="C447" s="162"/>
      <c r="D447" s="163"/>
      <c r="E447" s="164"/>
      <c r="F447" s="164"/>
      <c r="G447" s="164"/>
      <c r="H447" s="164"/>
      <c r="I447" s="162"/>
      <c r="J447" s="144"/>
      <c r="K447" s="144"/>
      <c r="L447" s="144"/>
      <c r="M447" s="145">
        <f t="shared" si="42"/>
        <v>0</v>
      </c>
      <c r="N447" s="145">
        <f t="shared" si="43"/>
        <v>0</v>
      </c>
      <c r="O447" s="146">
        <f t="shared" si="44"/>
        <v>0</v>
      </c>
      <c r="P447" s="146">
        <f>IF(B447="",0,SUMIF('NHAP XUAT'!$G$10:$J$1011,'Ghi So'!B447,'NHAP XUAT'!$J$10:$J$1011))</f>
        <v>0</v>
      </c>
      <c r="Q447" s="146">
        <f t="shared" si="45"/>
        <v>0</v>
      </c>
      <c r="R447" s="169"/>
      <c r="S447" s="169"/>
      <c r="T447" s="146">
        <f t="shared" si="46"/>
        <v>0</v>
      </c>
      <c r="U447" s="121" t="str">
        <f t="shared" si="47"/>
        <v>Close</v>
      </c>
      <c r="V447" s="117"/>
    </row>
    <row r="448" spans="1:22" ht="15" customHeight="1">
      <c r="A448" s="117"/>
      <c r="B448" s="144" t="str">
        <f>IF(D448="","","P"&amp;D448&amp;"MA"&amp;COUNTIF($D$14:D448,D448))</f>
        <v/>
      </c>
      <c r="C448" s="162"/>
      <c r="D448" s="163"/>
      <c r="E448" s="164"/>
      <c r="F448" s="164"/>
      <c r="G448" s="164"/>
      <c r="H448" s="164"/>
      <c r="I448" s="162"/>
      <c r="J448" s="144"/>
      <c r="K448" s="144"/>
      <c r="L448" s="144"/>
      <c r="M448" s="145">
        <f t="shared" si="42"/>
        <v>0</v>
      </c>
      <c r="N448" s="145">
        <f t="shared" si="43"/>
        <v>0</v>
      </c>
      <c r="O448" s="146">
        <f t="shared" si="44"/>
        <v>0</v>
      </c>
      <c r="P448" s="146">
        <f>IF(B448="",0,SUMIF('NHAP XUAT'!$G$10:$J$1011,'Ghi So'!B448,'NHAP XUAT'!$J$10:$J$1011))</f>
        <v>0</v>
      </c>
      <c r="Q448" s="146">
        <f t="shared" si="45"/>
        <v>0</v>
      </c>
      <c r="R448" s="169"/>
      <c r="S448" s="169"/>
      <c r="T448" s="146">
        <f t="shared" si="46"/>
        <v>0</v>
      </c>
      <c r="U448" s="121" t="str">
        <f t="shared" si="47"/>
        <v>Close</v>
      </c>
      <c r="V448" s="117"/>
    </row>
    <row r="449" spans="1:22" ht="15" customHeight="1">
      <c r="A449" s="117"/>
      <c r="B449" s="144" t="str">
        <f>IF(D449="","","P"&amp;D449&amp;"MA"&amp;COUNTIF($D$14:D449,D449))</f>
        <v/>
      </c>
      <c r="C449" s="162"/>
      <c r="D449" s="163"/>
      <c r="E449" s="164"/>
      <c r="F449" s="164"/>
      <c r="G449" s="164"/>
      <c r="H449" s="164"/>
      <c r="I449" s="162"/>
      <c r="J449" s="144"/>
      <c r="K449" s="144"/>
      <c r="L449" s="144"/>
      <c r="M449" s="145">
        <f t="shared" si="42"/>
        <v>0</v>
      </c>
      <c r="N449" s="145">
        <f t="shared" si="43"/>
        <v>0</v>
      </c>
      <c r="O449" s="146">
        <f t="shared" si="44"/>
        <v>0</v>
      </c>
      <c r="P449" s="146">
        <f>IF(B449="",0,SUMIF('NHAP XUAT'!$G$10:$J$1011,'Ghi So'!B449,'NHAP XUAT'!$J$10:$J$1011))</f>
        <v>0</v>
      </c>
      <c r="Q449" s="146">
        <f t="shared" si="45"/>
        <v>0</v>
      </c>
      <c r="R449" s="169"/>
      <c r="S449" s="169"/>
      <c r="T449" s="146">
        <f t="shared" si="46"/>
        <v>0</v>
      </c>
      <c r="U449" s="121" t="str">
        <f t="shared" si="47"/>
        <v>Close</v>
      </c>
      <c r="V449" s="117"/>
    </row>
    <row r="450" spans="1:22" ht="15" customHeight="1">
      <c r="A450" s="117"/>
      <c r="B450" s="144" t="str">
        <f>IF(D450="","","P"&amp;D450&amp;"MA"&amp;COUNTIF($D$14:D450,D450))</f>
        <v/>
      </c>
      <c r="C450" s="162"/>
      <c r="D450" s="163"/>
      <c r="E450" s="164"/>
      <c r="F450" s="164"/>
      <c r="G450" s="164"/>
      <c r="H450" s="164"/>
      <c r="I450" s="162"/>
      <c r="J450" s="144"/>
      <c r="K450" s="144"/>
      <c r="L450" s="144"/>
      <c r="M450" s="145">
        <f t="shared" si="42"/>
        <v>0</v>
      </c>
      <c r="N450" s="145">
        <f t="shared" si="43"/>
        <v>0</v>
      </c>
      <c r="O450" s="146">
        <f t="shared" si="44"/>
        <v>0</v>
      </c>
      <c r="P450" s="146">
        <f>IF(B450="",0,SUMIF('NHAP XUAT'!$G$10:$J$1011,'Ghi So'!B450,'NHAP XUAT'!$J$10:$J$1011))</f>
        <v>0</v>
      </c>
      <c r="Q450" s="146">
        <f t="shared" si="45"/>
        <v>0</v>
      </c>
      <c r="R450" s="169"/>
      <c r="S450" s="169"/>
      <c r="T450" s="146">
        <f t="shared" si="46"/>
        <v>0</v>
      </c>
      <c r="U450" s="121" t="str">
        <f t="shared" si="47"/>
        <v>Close</v>
      </c>
      <c r="V450" s="117"/>
    </row>
    <row r="451" spans="1:22" ht="15" customHeight="1">
      <c r="A451" s="117"/>
      <c r="B451" s="144" t="str">
        <f>IF(D451="","","P"&amp;D451&amp;"MA"&amp;COUNTIF($D$14:D451,D451))</f>
        <v/>
      </c>
      <c r="C451" s="162"/>
      <c r="D451" s="163"/>
      <c r="E451" s="164"/>
      <c r="F451" s="164"/>
      <c r="G451" s="164"/>
      <c r="H451" s="164"/>
      <c r="I451" s="162"/>
      <c r="J451" s="144"/>
      <c r="K451" s="144"/>
      <c r="L451" s="144"/>
      <c r="M451" s="145">
        <f t="shared" si="42"/>
        <v>0</v>
      </c>
      <c r="N451" s="145">
        <f t="shared" si="43"/>
        <v>0</v>
      </c>
      <c r="O451" s="146">
        <f t="shared" si="44"/>
        <v>0</v>
      </c>
      <c r="P451" s="146">
        <f>IF(B451="",0,SUMIF('NHAP XUAT'!$G$10:$J$1011,'Ghi So'!B451,'NHAP XUAT'!$J$10:$J$1011))</f>
        <v>0</v>
      </c>
      <c r="Q451" s="146">
        <f t="shared" si="45"/>
        <v>0</v>
      </c>
      <c r="R451" s="169"/>
      <c r="S451" s="169"/>
      <c r="T451" s="146">
        <f t="shared" si="46"/>
        <v>0</v>
      </c>
      <c r="U451" s="121" t="str">
        <f t="shared" si="47"/>
        <v>Close</v>
      </c>
      <c r="V451" s="117"/>
    </row>
    <row r="452" spans="1:22" ht="15" customHeight="1">
      <c r="A452" s="117"/>
      <c r="B452" s="144" t="str">
        <f>IF(D452="","","P"&amp;D452&amp;"MA"&amp;COUNTIF($D$14:D452,D452))</f>
        <v/>
      </c>
      <c r="C452" s="162"/>
      <c r="D452" s="163"/>
      <c r="E452" s="164"/>
      <c r="F452" s="164"/>
      <c r="G452" s="164"/>
      <c r="H452" s="164"/>
      <c r="I452" s="162"/>
      <c r="J452" s="144"/>
      <c r="K452" s="144"/>
      <c r="L452" s="144"/>
      <c r="M452" s="145">
        <f t="shared" si="42"/>
        <v>0</v>
      </c>
      <c r="N452" s="145">
        <f t="shared" si="43"/>
        <v>0</v>
      </c>
      <c r="O452" s="146">
        <f t="shared" si="44"/>
        <v>0</v>
      </c>
      <c r="P452" s="146">
        <f>IF(B452="",0,SUMIF('NHAP XUAT'!$G$10:$J$1011,'Ghi So'!B452,'NHAP XUAT'!$J$10:$J$1011))</f>
        <v>0</v>
      </c>
      <c r="Q452" s="146">
        <f t="shared" si="45"/>
        <v>0</v>
      </c>
      <c r="R452" s="169"/>
      <c r="S452" s="169"/>
      <c r="T452" s="146">
        <f t="shared" si="46"/>
        <v>0</v>
      </c>
      <c r="U452" s="121" t="str">
        <f t="shared" si="47"/>
        <v>Close</v>
      </c>
      <c r="V452" s="117"/>
    </row>
    <row r="453" spans="1:22" ht="15" customHeight="1">
      <c r="A453" s="117"/>
      <c r="B453" s="144" t="str">
        <f>IF(D453="","","P"&amp;D453&amp;"MA"&amp;COUNTIF($D$14:D453,D453))</f>
        <v/>
      </c>
      <c r="C453" s="162"/>
      <c r="D453" s="163"/>
      <c r="E453" s="164"/>
      <c r="F453" s="164"/>
      <c r="G453" s="164"/>
      <c r="H453" s="164"/>
      <c r="I453" s="162"/>
      <c r="J453" s="144"/>
      <c r="K453" s="144"/>
      <c r="L453" s="144"/>
      <c r="M453" s="145">
        <f t="shared" si="42"/>
        <v>0</v>
      </c>
      <c r="N453" s="145">
        <f t="shared" si="43"/>
        <v>0</v>
      </c>
      <c r="O453" s="146">
        <f t="shared" si="44"/>
        <v>0</v>
      </c>
      <c r="P453" s="146">
        <f>IF(B453="",0,SUMIF('NHAP XUAT'!$G$10:$J$1011,'Ghi So'!B453,'NHAP XUAT'!$J$10:$J$1011))</f>
        <v>0</v>
      </c>
      <c r="Q453" s="146">
        <f t="shared" si="45"/>
        <v>0</v>
      </c>
      <c r="R453" s="169"/>
      <c r="S453" s="169"/>
      <c r="T453" s="146">
        <f t="shared" si="46"/>
        <v>0</v>
      </c>
      <c r="U453" s="121" t="str">
        <f t="shared" si="47"/>
        <v>Close</v>
      </c>
      <c r="V453" s="117"/>
    </row>
    <row r="454" spans="1:22" ht="15" customHeight="1">
      <c r="A454" s="117"/>
      <c r="B454" s="144" t="str">
        <f>IF(D454="","","P"&amp;D454&amp;"MA"&amp;COUNTIF($D$14:D454,D454))</f>
        <v/>
      </c>
      <c r="C454" s="162"/>
      <c r="D454" s="163"/>
      <c r="E454" s="164"/>
      <c r="F454" s="164"/>
      <c r="G454" s="164"/>
      <c r="H454" s="164"/>
      <c r="I454" s="162"/>
      <c r="J454" s="144"/>
      <c r="K454" s="144"/>
      <c r="L454" s="144"/>
      <c r="M454" s="145">
        <f t="shared" si="42"/>
        <v>0</v>
      </c>
      <c r="N454" s="145">
        <f t="shared" si="43"/>
        <v>0</v>
      </c>
      <c r="O454" s="146">
        <f t="shared" si="44"/>
        <v>0</v>
      </c>
      <c r="P454" s="146">
        <f>IF(B454="",0,SUMIF('NHAP XUAT'!$G$10:$J$1011,'Ghi So'!B454,'NHAP XUAT'!$J$10:$J$1011))</f>
        <v>0</v>
      </c>
      <c r="Q454" s="146">
        <f t="shared" si="45"/>
        <v>0</v>
      </c>
      <c r="R454" s="169"/>
      <c r="S454" s="169"/>
      <c r="T454" s="146">
        <f t="shared" si="46"/>
        <v>0</v>
      </c>
      <c r="U454" s="121" t="str">
        <f t="shared" si="47"/>
        <v>Close</v>
      </c>
      <c r="V454" s="117"/>
    </row>
    <row r="455" spans="1:22" ht="15" customHeight="1">
      <c r="A455" s="117"/>
      <c r="B455" s="144" t="str">
        <f>IF(D455="","","P"&amp;D455&amp;"MA"&amp;COUNTIF($D$14:D455,D455))</f>
        <v/>
      </c>
      <c r="C455" s="162"/>
      <c r="D455" s="163"/>
      <c r="E455" s="164"/>
      <c r="F455" s="164"/>
      <c r="G455" s="164"/>
      <c r="H455" s="164"/>
      <c r="I455" s="162"/>
      <c r="J455" s="144"/>
      <c r="K455" s="144"/>
      <c r="L455" s="144"/>
      <c r="M455" s="145">
        <f t="shared" si="42"/>
        <v>0</v>
      </c>
      <c r="N455" s="145">
        <f t="shared" si="43"/>
        <v>0</v>
      </c>
      <c r="O455" s="146">
        <f t="shared" si="44"/>
        <v>0</v>
      </c>
      <c r="P455" s="146">
        <f>IF(B455="",0,SUMIF('NHAP XUAT'!$G$10:$J$1011,'Ghi So'!B455,'NHAP XUAT'!$J$10:$J$1011))</f>
        <v>0</v>
      </c>
      <c r="Q455" s="146">
        <f t="shared" si="45"/>
        <v>0</v>
      </c>
      <c r="R455" s="169"/>
      <c r="S455" s="169"/>
      <c r="T455" s="146">
        <f t="shared" si="46"/>
        <v>0</v>
      </c>
      <c r="U455" s="121" t="str">
        <f t="shared" si="47"/>
        <v>Close</v>
      </c>
      <c r="V455" s="117"/>
    </row>
    <row r="456" spans="1:22" ht="15" customHeight="1">
      <c r="A456" s="117"/>
      <c r="B456" s="144" t="str">
        <f>IF(D456="","","P"&amp;D456&amp;"MA"&amp;COUNTIF($D$14:D456,D456))</f>
        <v/>
      </c>
      <c r="C456" s="162"/>
      <c r="D456" s="163"/>
      <c r="E456" s="164"/>
      <c r="F456" s="164"/>
      <c r="G456" s="164"/>
      <c r="H456" s="164"/>
      <c r="I456" s="162"/>
      <c r="J456" s="144"/>
      <c r="K456" s="144"/>
      <c r="L456" s="144"/>
      <c r="M456" s="145">
        <f t="shared" si="42"/>
        <v>0</v>
      </c>
      <c r="N456" s="145">
        <f t="shared" si="43"/>
        <v>0</v>
      </c>
      <c r="O456" s="146">
        <f t="shared" si="44"/>
        <v>0</v>
      </c>
      <c r="P456" s="146">
        <f>IF(B456="",0,SUMIF('NHAP XUAT'!$G$10:$J$1011,'Ghi So'!B456,'NHAP XUAT'!$J$10:$J$1011))</f>
        <v>0</v>
      </c>
      <c r="Q456" s="146">
        <f t="shared" si="45"/>
        <v>0</v>
      </c>
      <c r="R456" s="169"/>
      <c r="S456" s="169"/>
      <c r="T456" s="146">
        <f t="shared" si="46"/>
        <v>0</v>
      </c>
      <c r="U456" s="121" t="str">
        <f t="shared" si="47"/>
        <v>Close</v>
      </c>
      <c r="V456" s="117"/>
    </row>
    <row r="457" spans="1:22" ht="15" customHeight="1">
      <c r="A457" s="117"/>
      <c r="B457" s="144" t="str">
        <f>IF(D457="","","P"&amp;D457&amp;"MA"&amp;COUNTIF($D$14:D457,D457))</f>
        <v/>
      </c>
      <c r="C457" s="162"/>
      <c r="D457" s="163"/>
      <c r="E457" s="164"/>
      <c r="F457" s="164"/>
      <c r="G457" s="164"/>
      <c r="H457" s="164"/>
      <c r="I457" s="162"/>
      <c r="J457" s="144"/>
      <c r="K457" s="144"/>
      <c r="L457" s="144"/>
      <c r="M457" s="145">
        <f t="shared" si="42"/>
        <v>0</v>
      </c>
      <c r="N457" s="145">
        <f t="shared" si="43"/>
        <v>0</v>
      </c>
      <c r="O457" s="146">
        <f t="shared" si="44"/>
        <v>0</v>
      </c>
      <c r="P457" s="146">
        <f>IF(B457="",0,SUMIF('NHAP XUAT'!$G$10:$J$1011,'Ghi So'!B457,'NHAP XUAT'!$J$10:$J$1011))</f>
        <v>0</v>
      </c>
      <c r="Q457" s="146">
        <f t="shared" si="45"/>
        <v>0</v>
      </c>
      <c r="R457" s="169"/>
      <c r="S457" s="169"/>
      <c r="T457" s="146">
        <f t="shared" si="46"/>
        <v>0</v>
      </c>
      <c r="U457" s="121" t="str">
        <f t="shared" si="47"/>
        <v>Close</v>
      </c>
      <c r="V457" s="117"/>
    </row>
    <row r="458" spans="1:22" ht="15" customHeight="1">
      <c r="A458" s="117"/>
      <c r="B458" s="144" t="str">
        <f>IF(D458="","","P"&amp;D458&amp;"MA"&amp;COUNTIF($D$14:D458,D458))</f>
        <v/>
      </c>
      <c r="C458" s="162"/>
      <c r="D458" s="163"/>
      <c r="E458" s="164"/>
      <c r="F458" s="164"/>
      <c r="G458" s="164"/>
      <c r="H458" s="164"/>
      <c r="I458" s="162"/>
      <c r="J458" s="144"/>
      <c r="K458" s="144"/>
      <c r="L458" s="144"/>
      <c r="M458" s="145">
        <f t="shared" si="42"/>
        <v>0</v>
      </c>
      <c r="N458" s="145">
        <f t="shared" si="43"/>
        <v>0</v>
      </c>
      <c r="O458" s="146">
        <f t="shared" si="44"/>
        <v>0</v>
      </c>
      <c r="P458" s="146">
        <f>IF(B458="",0,SUMIF('NHAP XUAT'!$G$10:$J$1011,'Ghi So'!B458,'NHAP XUAT'!$J$10:$J$1011))</f>
        <v>0</v>
      </c>
      <c r="Q458" s="146">
        <f t="shared" si="45"/>
        <v>0</v>
      </c>
      <c r="R458" s="169"/>
      <c r="S458" s="169"/>
      <c r="T458" s="146">
        <f t="shared" si="46"/>
        <v>0</v>
      </c>
      <c r="U458" s="121" t="str">
        <f t="shared" si="47"/>
        <v>Close</v>
      </c>
      <c r="V458" s="117"/>
    </row>
    <row r="459" spans="1:22" ht="15" customHeight="1">
      <c r="A459" s="117"/>
      <c r="B459" s="144" t="str">
        <f>IF(D459="","","P"&amp;D459&amp;"MA"&amp;COUNTIF($D$14:D459,D459))</f>
        <v/>
      </c>
      <c r="C459" s="162"/>
      <c r="D459" s="163"/>
      <c r="E459" s="164"/>
      <c r="F459" s="164"/>
      <c r="G459" s="164"/>
      <c r="H459" s="164"/>
      <c r="I459" s="162"/>
      <c r="J459" s="144"/>
      <c r="K459" s="144"/>
      <c r="L459" s="144"/>
      <c r="M459" s="145">
        <f t="shared" si="42"/>
        <v>0</v>
      </c>
      <c r="N459" s="145">
        <f t="shared" si="43"/>
        <v>0</v>
      </c>
      <c r="O459" s="146">
        <f t="shared" si="44"/>
        <v>0</v>
      </c>
      <c r="P459" s="146">
        <f>IF(B459="",0,SUMIF('NHAP XUAT'!$G$10:$J$1011,'Ghi So'!B459,'NHAP XUAT'!$J$10:$J$1011))</f>
        <v>0</v>
      </c>
      <c r="Q459" s="146">
        <f t="shared" si="45"/>
        <v>0</v>
      </c>
      <c r="R459" s="169"/>
      <c r="S459" s="169"/>
      <c r="T459" s="146">
        <f t="shared" si="46"/>
        <v>0</v>
      </c>
      <c r="U459" s="121" t="str">
        <f t="shared" si="47"/>
        <v>Close</v>
      </c>
      <c r="V459" s="117"/>
    </row>
    <row r="460" spans="1:22" ht="15" customHeight="1">
      <c r="A460" s="117"/>
      <c r="B460" s="144" t="str">
        <f>IF(D460="","","P"&amp;D460&amp;"MA"&amp;COUNTIF($D$14:D460,D460))</f>
        <v/>
      </c>
      <c r="C460" s="162"/>
      <c r="D460" s="163"/>
      <c r="E460" s="164"/>
      <c r="F460" s="164"/>
      <c r="G460" s="164"/>
      <c r="H460" s="164"/>
      <c r="I460" s="162"/>
      <c r="J460" s="144"/>
      <c r="K460" s="144"/>
      <c r="L460" s="144"/>
      <c r="M460" s="145">
        <f t="shared" si="42"/>
        <v>0</v>
      </c>
      <c r="N460" s="145">
        <f t="shared" si="43"/>
        <v>0</v>
      </c>
      <c r="O460" s="146">
        <f t="shared" si="44"/>
        <v>0</v>
      </c>
      <c r="P460" s="146">
        <f>IF(B460="",0,SUMIF('NHAP XUAT'!$G$10:$J$1011,'Ghi So'!B460,'NHAP XUAT'!$J$10:$J$1011))</f>
        <v>0</v>
      </c>
      <c r="Q460" s="146">
        <f t="shared" si="45"/>
        <v>0</v>
      </c>
      <c r="R460" s="169"/>
      <c r="S460" s="169"/>
      <c r="T460" s="146">
        <f t="shared" si="46"/>
        <v>0</v>
      </c>
      <c r="U460" s="121" t="str">
        <f t="shared" si="47"/>
        <v>Close</v>
      </c>
      <c r="V460" s="117"/>
    </row>
    <row r="461" spans="1:22" ht="15" customHeight="1">
      <c r="A461" s="117"/>
      <c r="B461" s="144" t="str">
        <f>IF(D461="","","P"&amp;D461&amp;"MA"&amp;COUNTIF($D$14:D461,D461))</f>
        <v/>
      </c>
      <c r="C461" s="162"/>
      <c r="D461" s="163"/>
      <c r="E461" s="164"/>
      <c r="F461" s="164"/>
      <c r="G461" s="164"/>
      <c r="H461" s="164"/>
      <c r="I461" s="162"/>
      <c r="J461" s="144"/>
      <c r="K461" s="144"/>
      <c r="L461" s="144"/>
      <c r="M461" s="145">
        <f t="shared" si="42"/>
        <v>0</v>
      </c>
      <c r="N461" s="145">
        <f t="shared" si="43"/>
        <v>0</v>
      </c>
      <c r="O461" s="146">
        <f t="shared" si="44"/>
        <v>0</v>
      </c>
      <c r="P461" s="146">
        <f>IF(B461="",0,SUMIF('NHAP XUAT'!$G$10:$J$1011,'Ghi So'!B461,'NHAP XUAT'!$J$10:$J$1011))</f>
        <v>0</v>
      </c>
      <c r="Q461" s="146">
        <f t="shared" si="45"/>
        <v>0</v>
      </c>
      <c r="R461" s="169"/>
      <c r="S461" s="169"/>
      <c r="T461" s="146">
        <f t="shared" si="46"/>
        <v>0</v>
      </c>
      <c r="U461" s="121" t="str">
        <f t="shared" si="47"/>
        <v>Close</v>
      </c>
      <c r="V461" s="117"/>
    </row>
    <row r="462" spans="1:22" ht="15" customHeight="1">
      <c r="A462" s="117"/>
      <c r="B462" s="144" t="str">
        <f>IF(D462="","","P"&amp;D462&amp;"MA"&amp;COUNTIF($D$14:D462,D462))</f>
        <v/>
      </c>
      <c r="C462" s="162"/>
      <c r="D462" s="163"/>
      <c r="E462" s="164"/>
      <c r="F462" s="164"/>
      <c r="G462" s="164"/>
      <c r="H462" s="164"/>
      <c r="I462" s="162"/>
      <c r="J462" s="144"/>
      <c r="K462" s="144"/>
      <c r="L462" s="144"/>
      <c r="M462" s="145">
        <f t="shared" si="42"/>
        <v>0</v>
      </c>
      <c r="N462" s="145">
        <f t="shared" si="43"/>
        <v>0</v>
      </c>
      <c r="O462" s="146">
        <f t="shared" si="44"/>
        <v>0</v>
      </c>
      <c r="P462" s="146">
        <f>IF(B462="",0,SUMIF('NHAP XUAT'!$G$10:$J$1011,'Ghi So'!B462,'NHAP XUAT'!$J$10:$J$1011))</f>
        <v>0</v>
      </c>
      <c r="Q462" s="146">
        <f t="shared" si="45"/>
        <v>0</v>
      </c>
      <c r="R462" s="169"/>
      <c r="S462" s="169"/>
      <c r="T462" s="146">
        <f t="shared" si="46"/>
        <v>0</v>
      </c>
      <c r="U462" s="121" t="str">
        <f t="shared" si="47"/>
        <v>Close</v>
      </c>
      <c r="V462" s="117"/>
    </row>
    <row r="463" spans="1:22" ht="15" customHeight="1">
      <c r="A463" s="117"/>
      <c r="B463" s="144" t="str">
        <f>IF(D463="","","P"&amp;D463&amp;"MA"&amp;COUNTIF($D$14:D463,D463))</f>
        <v/>
      </c>
      <c r="C463" s="162"/>
      <c r="D463" s="163"/>
      <c r="E463" s="164"/>
      <c r="F463" s="164"/>
      <c r="G463" s="164"/>
      <c r="H463" s="164"/>
      <c r="I463" s="162"/>
      <c r="J463" s="144"/>
      <c r="K463" s="144"/>
      <c r="L463" s="144"/>
      <c r="M463" s="145">
        <f t="shared" si="42"/>
        <v>0</v>
      </c>
      <c r="N463" s="145">
        <f t="shared" si="43"/>
        <v>0</v>
      </c>
      <c r="O463" s="146">
        <f t="shared" si="44"/>
        <v>0</v>
      </c>
      <c r="P463" s="146">
        <f>IF(B463="",0,SUMIF('NHAP XUAT'!$G$10:$J$1011,'Ghi So'!B463,'NHAP XUAT'!$J$10:$J$1011))</f>
        <v>0</v>
      </c>
      <c r="Q463" s="146">
        <f t="shared" si="45"/>
        <v>0</v>
      </c>
      <c r="R463" s="169"/>
      <c r="S463" s="169"/>
      <c r="T463" s="146">
        <f t="shared" si="46"/>
        <v>0</v>
      </c>
      <c r="U463" s="121" t="str">
        <f t="shared" si="47"/>
        <v>Close</v>
      </c>
      <c r="V463" s="117"/>
    </row>
    <row r="464" spans="1:22" ht="15" customHeight="1">
      <c r="A464" s="117"/>
      <c r="B464" s="144" t="str">
        <f>IF(D464="","","P"&amp;D464&amp;"MA"&amp;COUNTIF($D$14:D464,D464))</f>
        <v/>
      </c>
      <c r="C464" s="162"/>
      <c r="D464" s="163"/>
      <c r="E464" s="164"/>
      <c r="F464" s="164"/>
      <c r="G464" s="164"/>
      <c r="H464" s="164"/>
      <c r="I464" s="162"/>
      <c r="J464" s="144"/>
      <c r="K464" s="144"/>
      <c r="L464" s="144"/>
      <c r="M464" s="145">
        <f t="shared" si="42"/>
        <v>0</v>
      </c>
      <c r="N464" s="145">
        <f t="shared" si="43"/>
        <v>0</v>
      </c>
      <c r="O464" s="146">
        <f t="shared" si="44"/>
        <v>0</v>
      </c>
      <c r="P464" s="146">
        <f>IF(B464="",0,SUMIF('NHAP XUAT'!$G$10:$J$1011,'Ghi So'!B464,'NHAP XUAT'!$J$10:$J$1011))</f>
        <v>0</v>
      </c>
      <c r="Q464" s="146">
        <f t="shared" si="45"/>
        <v>0</v>
      </c>
      <c r="R464" s="169"/>
      <c r="S464" s="169"/>
      <c r="T464" s="146">
        <f t="shared" si="46"/>
        <v>0</v>
      </c>
      <c r="U464" s="121" t="str">
        <f t="shared" si="47"/>
        <v>Close</v>
      </c>
      <c r="V464" s="117"/>
    </row>
    <row r="465" spans="1:22" ht="15" customHeight="1">
      <c r="A465" s="117"/>
      <c r="B465" s="144" t="str">
        <f>IF(D465="","","P"&amp;D465&amp;"MA"&amp;COUNTIF($D$14:D465,D465))</f>
        <v/>
      </c>
      <c r="C465" s="162"/>
      <c r="D465" s="163"/>
      <c r="E465" s="164"/>
      <c r="F465" s="164"/>
      <c r="G465" s="164"/>
      <c r="H465" s="164"/>
      <c r="I465" s="162"/>
      <c r="J465" s="144"/>
      <c r="K465" s="144"/>
      <c r="L465" s="144"/>
      <c r="M465" s="145">
        <f t="shared" si="42"/>
        <v>0</v>
      </c>
      <c r="N465" s="145">
        <f t="shared" si="43"/>
        <v>0</v>
      </c>
      <c r="O465" s="146">
        <f t="shared" si="44"/>
        <v>0</v>
      </c>
      <c r="P465" s="146">
        <f>IF(B465="",0,SUMIF('NHAP XUAT'!$G$10:$J$1011,'Ghi So'!B465,'NHAP XUAT'!$J$10:$J$1011))</f>
        <v>0</v>
      </c>
      <c r="Q465" s="146">
        <f t="shared" si="45"/>
        <v>0</v>
      </c>
      <c r="R465" s="169"/>
      <c r="S465" s="169"/>
      <c r="T465" s="146">
        <f t="shared" si="46"/>
        <v>0</v>
      </c>
      <c r="U465" s="121" t="str">
        <f t="shared" si="47"/>
        <v>Close</v>
      </c>
      <c r="V465" s="117"/>
    </row>
    <row r="466" spans="1:22" ht="15" customHeight="1">
      <c r="A466" s="117"/>
      <c r="B466" s="144" t="str">
        <f>IF(D466="","","P"&amp;D466&amp;"MA"&amp;COUNTIF($D$14:D466,D466))</f>
        <v/>
      </c>
      <c r="C466" s="162"/>
      <c r="D466" s="163"/>
      <c r="E466" s="164"/>
      <c r="F466" s="164"/>
      <c r="G466" s="164"/>
      <c r="H466" s="164"/>
      <c r="I466" s="162"/>
      <c r="J466" s="144"/>
      <c r="K466" s="144"/>
      <c r="L466" s="144"/>
      <c r="M466" s="145">
        <f t="shared" si="42"/>
        <v>0</v>
      </c>
      <c r="N466" s="145">
        <f t="shared" si="43"/>
        <v>0</v>
      </c>
      <c r="O466" s="146">
        <f t="shared" si="44"/>
        <v>0</v>
      </c>
      <c r="P466" s="146">
        <f>IF(B466="",0,SUMIF('NHAP XUAT'!$G$10:$J$1011,'Ghi So'!B466,'NHAP XUAT'!$J$10:$J$1011))</f>
        <v>0</v>
      </c>
      <c r="Q466" s="146">
        <f t="shared" si="45"/>
        <v>0</v>
      </c>
      <c r="R466" s="169"/>
      <c r="S466" s="169"/>
      <c r="T466" s="146">
        <f t="shared" si="46"/>
        <v>0</v>
      </c>
      <c r="U466" s="121" t="str">
        <f t="shared" si="47"/>
        <v>Close</v>
      </c>
      <c r="V466" s="117"/>
    </row>
    <row r="467" spans="1:22" ht="15" customHeight="1">
      <c r="A467" s="117"/>
      <c r="B467" s="144" t="str">
        <f>IF(D467="","","P"&amp;D467&amp;"MA"&amp;COUNTIF($D$14:D467,D467))</f>
        <v/>
      </c>
      <c r="C467" s="162"/>
      <c r="D467" s="163"/>
      <c r="E467" s="164"/>
      <c r="F467" s="164"/>
      <c r="G467" s="164"/>
      <c r="H467" s="164"/>
      <c r="I467" s="162"/>
      <c r="J467" s="144"/>
      <c r="K467" s="144"/>
      <c r="L467" s="144"/>
      <c r="M467" s="145">
        <f t="shared" si="42"/>
        <v>0</v>
      </c>
      <c r="N467" s="145">
        <f t="shared" si="43"/>
        <v>0</v>
      </c>
      <c r="O467" s="146">
        <f t="shared" si="44"/>
        <v>0</v>
      </c>
      <c r="P467" s="146">
        <f>IF(B467="",0,SUMIF('NHAP XUAT'!$G$10:$J$1011,'Ghi So'!B467,'NHAP XUAT'!$J$10:$J$1011))</f>
        <v>0</v>
      </c>
      <c r="Q467" s="146">
        <f t="shared" si="45"/>
        <v>0</v>
      </c>
      <c r="R467" s="169"/>
      <c r="S467" s="169"/>
      <c r="T467" s="146">
        <f t="shared" si="46"/>
        <v>0</v>
      </c>
      <c r="U467" s="121" t="str">
        <f t="shared" si="47"/>
        <v>Close</v>
      </c>
      <c r="V467" s="117"/>
    </row>
    <row r="468" spans="1:22" ht="15" customHeight="1">
      <c r="A468" s="117"/>
      <c r="B468" s="144" t="str">
        <f>IF(D468="","","P"&amp;D468&amp;"MA"&amp;COUNTIF($D$14:D468,D468))</f>
        <v/>
      </c>
      <c r="C468" s="162"/>
      <c r="D468" s="163"/>
      <c r="E468" s="164"/>
      <c r="F468" s="164"/>
      <c r="G468" s="164"/>
      <c r="H468" s="164"/>
      <c r="I468" s="162"/>
      <c r="J468" s="144"/>
      <c r="K468" s="144"/>
      <c r="L468" s="144"/>
      <c r="M468" s="145">
        <f t="shared" si="42"/>
        <v>0</v>
      </c>
      <c r="N468" s="145">
        <f t="shared" si="43"/>
        <v>0</v>
      </c>
      <c r="O468" s="146">
        <f t="shared" si="44"/>
        <v>0</v>
      </c>
      <c r="P468" s="146">
        <f>IF(B468="",0,SUMIF('NHAP XUAT'!$G$10:$J$1011,'Ghi So'!B468,'NHAP XUAT'!$J$10:$J$1011))</f>
        <v>0</v>
      </c>
      <c r="Q468" s="146">
        <f t="shared" si="45"/>
        <v>0</v>
      </c>
      <c r="R468" s="169"/>
      <c r="S468" s="169"/>
      <c r="T468" s="146">
        <f t="shared" si="46"/>
        <v>0</v>
      </c>
      <c r="U468" s="121" t="str">
        <f t="shared" si="47"/>
        <v>Close</v>
      </c>
      <c r="V468" s="117"/>
    </row>
    <row r="469" spans="1:22" ht="15" customHeight="1">
      <c r="A469" s="117"/>
      <c r="B469" s="144" t="str">
        <f>IF(D469="","","P"&amp;D469&amp;"MA"&amp;COUNTIF($D$14:D469,D469))</f>
        <v/>
      </c>
      <c r="C469" s="162"/>
      <c r="D469" s="163"/>
      <c r="E469" s="164"/>
      <c r="F469" s="164"/>
      <c r="G469" s="164"/>
      <c r="H469" s="164"/>
      <c r="I469" s="162"/>
      <c r="J469" s="144"/>
      <c r="K469" s="144"/>
      <c r="L469" s="144"/>
      <c r="M469" s="145">
        <f t="shared" si="42"/>
        <v>0</v>
      </c>
      <c r="N469" s="145">
        <f t="shared" si="43"/>
        <v>0</v>
      </c>
      <c r="O469" s="146">
        <f t="shared" si="44"/>
        <v>0</v>
      </c>
      <c r="P469" s="146">
        <f>IF(B469="",0,SUMIF('NHAP XUAT'!$G$10:$J$1011,'Ghi So'!B469,'NHAP XUAT'!$J$10:$J$1011))</f>
        <v>0</v>
      </c>
      <c r="Q469" s="146">
        <f t="shared" si="45"/>
        <v>0</v>
      </c>
      <c r="R469" s="169"/>
      <c r="S469" s="169"/>
      <c r="T469" s="146">
        <f t="shared" si="46"/>
        <v>0</v>
      </c>
      <c r="U469" s="121" t="str">
        <f t="shared" si="47"/>
        <v>Close</v>
      </c>
      <c r="V469" s="117"/>
    </row>
    <row r="470" spans="1:22" ht="15" customHeight="1">
      <c r="A470" s="117"/>
      <c r="B470" s="144" t="str">
        <f>IF(D470="","","P"&amp;D470&amp;"MA"&amp;COUNTIF($D$14:D470,D470))</f>
        <v/>
      </c>
      <c r="C470" s="162"/>
      <c r="D470" s="163"/>
      <c r="E470" s="164"/>
      <c r="F470" s="164"/>
      <c r="G470" s="164"/>
      <c r="H470" s="164"/>
      <c r="I470" s="162"/>
      <c r="J470" s="144"/>
      <c r="K470" s="144"/>
      <c r="L470" s="144"/>
      <c r="M470" s="145">
        <f t="shared" si="42"/>
        <v>0</v>
      </c>
      <c r="N470" s="145">
        <f t="shared" si="43"/>
        <v>0</v>
      </c>
      <c r="O470" s="146">
        <f t="shared" si="44"/>
        <v>0</v>
      </c>
      <c r="P470" s="146">
        <f>IF(B470="",0,SUMIF('NHAP XUAT'!$G$10:$J$1011,'Ghi So'!B470,'NHAP XUAT'!$J$10:$J$1011))</f>
        <v>0</v>
      </c>
      <c r="Q470" s="146">
        <f t="shared" si="45"/>
        <v>0</v>
      </c>
      <c r="R470" s="169"/>
      <c r="S470" s="169"/>
      <c r="T470" s="146">
        <f t="shared" si="46"/>
        <v>0</v>
      </c>
      <c r="U470" s="121" t="str">
        <f t="shared" si="47"/>
        <v>Close</v>
      </c>
      <c r="V470" s="117"/>
    </row>
    <row r="471" spans="1:22" ht="15" customHeight="1">
      <c r="A471" s="117"/>
      <c r="B471" s="144" t="str">
        <f>IF(D471="","","P"&amp;D471&amp;"MA"&amp;COUNTIF($D$14:D471,D471))</f>
        <v/>
      </c>
      <c r="C471" s="162"/>
      <c r="D471" s="163"/>
      <c r="E471" s="164"/>
      <c r="F471" s="164"/>
      <c r="G471" s="164"/>
      <c r="H471" s="164"/>
      <c r="I471" s="162"/>
      <c r="J471" s="144"/>
      <c r="K471" s="144"/>
      <c r="L471" s="144"/>
      <c r="M471" s="145">
        <f t="shared" si="42"/>
        <v>0</v>
      </c>
      <c r="N471" s="145">
        <f t="shared" si="43"/>
        <v>0</v>
      </c>
      <c r="O471" s="146">
        <f t="shared" si="44"/>
        <v>0</v>
      </c>
      <c r="P471" s="146">
        <f>IF(B471="",0,SUMIF('NHAP XUAT'!$G$10:$J$1011,'Ghi So'!B471,'NHAP XUAT'!$J$10:$J$1011))</f>
        <v>0</v>
      </c>
      <c r="Q471" s="146">
        <f t="shared" si="45"/>
        <v>0</v>
      </c>
      <c r="R471" s="169"/>
      <c r="S471" s="169"/>
      <c r="T471" s="146">
        <f t="shared" si="46"/>
        <v>0</v>
      </c>
      <c r="U471" s="121" t="str">
        <f t="shared" si="47"/>
        <v>Close</v>
      </c>
      <c r="V471" s="117"/>
    </row>
    <row r="472" spans="1:22" ht="15" customHeight="1">
      <c r="A472" s="117"/>
      <c r="B472" s="144" t="str">
        <f>IF(D472="","","P"&amp;D472&amp;"MA"&amp;COUNTIF($D$14:D472,D472))</f>
        <v/>
      </c>
      <c r="C472" s="162"/>
      <c r="D472" s="163"/>
      <c r="E472" s="164"/>
      <c r="F472" s="164"/>
      <c r="G472" s="164"/>
      <c r="H472" s="164"/>
      <c r="I472" s="162"/>
      <c r="J472" s="144"/>
      <c r="K472" s="144"/>
      <c r="L472" s="144"/>
      <c r="M472" s="145">
        <f t="shared" si="42"/>
        <v>0</v>
      </c>
      <c r="N472" s="145">
        <f t="shared" si="43"/>
        <v>0</v>
      </c>
      <c r="O472" s="146">
        <f t="shared" si="44"/>
        <v>0</v>
      </c>
      <c r="P472" s="146">
        <f>IF(B472="",0,SUMIF('NHAP XUAT'!$G$10:$J$1011,'Ghi So'!B472,'NHAP XUAT'!$J$10:$J$1011))</f>
        <v>0</v>
      </c>
      <c r="Q472" s="146">
        <f t="shared" si="45"/>
        <v>0</v>
      </c>
      <c r="R472" s="169"/>
      <c r="S472" s="169"/>
      <c r="T472" s="146">
        <f t="shared" si="46"/>
        <v>0</v>
      </c>
      <c r="U472" s="121" t="str">
        <f t="shared" si="47"/>
        <v>Close</v>
      </c>
      <c r="V472" s="117"/>
    </row>
    <row r="473" spans="1:22" ht="15" customHeight="1">
      <c r="A473" s="117"/>
      <c r="B473" s="144" t="str">
        <f>IF(D473="","","P"&amp;D473&amp;"MA"&amp;COUNTIF($D$14:D473,D473))</f>
        <v/>
      </c>
      <c r="C473" s="162"/>
      <c r="D473" s="163"/>
      <c r="E473" s="164"/>
      <c r="F473" s="164"/>
      <c r="G473" s="164"/>
      <c r="H473" s="164"/>
      <c r="I473" s="162"/>
      <c r="J473" s="144"/>
      <c r="K473" s="144"/>
      <c r="L473" s="144"/>
      <c r="M473" s="145">
        <f t="shared" si="42"/>
        <v>0</v>
      </c>
      <c r="N473" s="145">
        <f t="shared" si="43"/>
        <v>0</v>
      </c>
      <c r="O473" s="146">
        <f t="shared" si="44"/>
        <v>0</v>
      </c>
      <c r="P473" s="146">
        <f>IF(B473="",0,SUMIF('NHAP XUAT'!$G$10:$J$1011,'Ghi So'!B473,'NHAP XUAT'!$J$10:$J$1011))</f>
        <v>0</v>
      </c>
      <c r="Q473" s="146">
        <f t="shared" si="45"/>
        <v>0</v>
      </c>
      <c r="R473" s="169"/>
      <c r="S473" s="169"/>
      <c r="T473" s="146">
        <f t="shared" si="46"/>
        <v>0</v>
      </c>
      <c r="U473" s="121" t="str">
        <f t="shared" si="47"/>
        <v>Close</v>
      </c>
      <c r="V473" s="117"/>
    </row>
    <row r="474" spans="1:22" ht="15" customHeight="1">
      <c r="A474" s="117"/>
      <c r="B474" s="144" t="str">
        <f>IF(D474="","","P"&amp;D474&amp;"MA"&amp;COUNTIF($D$14:D474,D474))</f>
        <v/>
      </c>
      <c r="C474" s="162"/>
      <c r="D474" s="163"/>
      <c r="E474" s="164"/>
      <c r="F474" s="164"/>
      <c r="G474" s="164"/>
      <c r="H474" s="164"/>
      <c r="I474" s="162"/>
      <c r="J474" s="144"/>
      <c r="K474" s="144"/>
      <c r="L474" s="144"/>
      <c r="M474" s="145">
        <f t="shared" si="42"/>
        <v>0</v>
      </c>
      <c r="N474" s="145">
        <f t="shared" si="43"/>
        <v>0</v>
      </c>
      <c r="O474" s="146">
        <f t="shared" si="44"/>
        <v>0</v>
      </c>
      <c r="P474" s="146">
        <f>IF(B474="",0,SUMIF('NHAP XUAT'!$G$10:$J$1011,'Ghi So'!B474,'NHAP XUAT'!$J$10:$J$1011))</f>
        <v>0</v>
      </c>
      <c r="Q474" s="146">
        <f t="shared" si="45"/>
        <v>0</v>
      </c>
      <c r="R474" s="169"/>
      <c r="S474" s="169"/>
      <c r="T474" s="146">
        <f t="shared" si="46"/>
        <v>0</v>
      </c>
      <c r="U474" s="121" t="str">
        <f t="shared" si="47"/>
        <v>Close</v>
      </c>
      <c r="V474" s="117"/>
    </row>
    <row r="475" spans="1:22" ht="15" customHeight="1">
      <c r="A475" s="117"/>
      <c r="B475" s="144" t="str">
        <f>IF(D475="","","P"&amp;D475&amp;"MA"&amp;COUNTIF($D$14:D475,D475))</f>
        <v/>
      </c>
      <c r="C475" s="162"/>
      <c r="D475" s="163"/>
      <c r="E475" s="164"/>
      <c r="F475" s="164"/>
      <c r="G475" s="164"/>
      <c r="H475" s="164"/>
      <c r="I475" s="162"/>
      <c r="J475" s="144"/>
      <c r="K475" s="144"/>
      <c r="L475" s="144"/>
      <c r="M475" s="145">
        <f t="shared" si="42"/>
        <v>0</v>
      </c>
      <c r="N475" s="145">
        <f t="shared" si="43"/>
        <v>0</v>
      </c>
      <c r="O475" s="146">
        <f t="shared" si="44"/>
        <v>0</v>
      </c>
      <c r="P475" s="146">
        <f>IF(B475="",0,SUMIF('NHAP XUAT'!$G$10:$J$1011,'Ghi So'!B475,'NHAP XUAT'!$J$10:$J$1011))</f>
        <v>0</v>
      </c>
      <c r="Q475" s="146">
        <f t="shared" si="45"/>
        <v>0</v>
      </c>
      <c r="R475" s="169"/>
      <c r="S475" s="169"/>
      <c r="T475" s="146">
        <f t="shared" si="46"/>
        <v>0</v>
      </c>
      <c r="U475" s="121" t="str">
        <f t="shared" si="47"/>
        <v>Close</v>
      </c>
      <c r="V475" s="117"/>
    </row>
    <row r="476" spans="1:22" ht="15" customHeight="1">
      <c r="A476" s="117"/>
      <c r="B476" s="144" t="str">
        <f>IF(D476="","","P"&amp;D476&amp;"MA"&amp;COUNTIF($D$14:D476,D476))</f>
        <v/>
      </c>
      <c r="C476" s="162"/>
      <c r="D476" s="163"/>
      <c r="E476" s="164"/>
      <c r="F476" s="164"/>
      <c r="G476" s="164"/>
      <c r="H476" s="164"/>
      <c r="I476" s="162"/>
      <c r="J476" s="144"/>
      <c r="K476" s="144"/>
      <c r="L476" s="144"/>
      <c r="M476" s="145">
        <f t="shared" si="42"/>
        <v>0</v>
      </c>
      <c r="N476" s="145">
        <f t="shared" si="43"/>
        <v>0</v>
      </c>
      <c r="O476" s="146">
        <f t="shared" si="44"/>
        <v>0</v>
      </c>
      <c r="P476" s="146">
        <f>IF(B476="",0,SUMIF('NHAP XUAT'!$G$10:$J$1011,'Ghi So'!B476,'NHAP XUAT'!$J$10:$J$1011))</f>
        <v>0</v>
      </c>
      <c r="Q476" s="146">
        <f t="shared" si="45"/>
        <v>0</v>
      </c>
      <c r="R476" s="169"/>
      <c r="S476" s="169"/>
      <c r="T476" s="146">
        <f t="shared" si="46"/>
        <v>0</v>
      </c>
      <c r="U476" s="121" t="str">
        <f t="shared" si="47"/>
        <v>Close</v>
      </c>
      <c r="V476" s="117"/>
    </row>
    <row r="477" spans="1:22" ht="15" customHeight="1">
      <c r="A477" s="117"/>
      <c r="B477" s="144" t="str">
        <f>IF(D477="","","P"&amp;D477&amp;"MA"&amp;COUNTIF($D$14:D477,D477))</f>
        <v/>
      </c>
      <c r="C477" s="162"/>
      <c r="D477" s="163"/>
      <c r="E477" s="164"/>
      <c r="F477" s="164"/>
      <c r="G477" s="164"/>
      <c r="H477" s="164"/>
      <c r="I477" s="162"/>
      <c r="J477" s="144"/>
      <c r="K477" s="144"/>
      <c r="L477" s="144"/>
      <c r="M477" s="145">
        <f t="shared" ref="M477:M540" si="48">(IF(I477&lt;&gt;"",(I477-C477)*24*60,0)+G477*60+H477-E477*60-F477)/60</f>
        <v>0</v>
      </c>
      <c r="N477" s="145">
        <f t="shared" ref="N477:N540" si="49">INT(M477)+IF(MOD(M477,2)&gt;0.25,1,0)</f>
        <v>0</v>
      </c>
      <c r="O477" s="146">
        <f t="shared" ref="O477:O540" si="50">IF(J477&lt;&gt;"",DG_nghigio+DG_themgio*(N477-1),IF(K477&lt;&gt;"",DG_quadem+DG_themgio*(N477-12),DG_ngay*L477))</f>
        <v>0</v>
      </c>
      <c r="P477" s="146">
        <f>IF(B477="",0,SUMIF('NHAP XUAT'!$G$10:$J$1011,'Ghi So'!B477,'NHAP XUAT'!$J$10:$J$1011))</f>
        <v>0</v>
      </c>
      <c r="Q477" s="146">
        <f t="shared" ref="Q477:Q540" si="51">O477+P477</f>
        <v>0</v>
      </c>
      <c r="R477" s="169"/>
      <c r="S477" s="169"/>
      <c r="T477" s="146">
        <f t="shared" ref="T477:T540" si="52">R477*S477</f>
        <v>0</v>
      </c>
      <c r="U477" s="121" t="str">
        <f t="shared" ref="U477:U540" si="53">D477&amp;IF(AND(G477="",H477="",I477=""),"Close","Open")</f>
        <v>Close</v>
      </c>
      <c r="V477" s="117"/>
    </row>
    <row r="478" spans="1:22" ht="15" customHeight="1">
      <c r="A478" s="117"/>
      <c r="B478" s="144" t="str">
        <f>IF(D478="","","P"&amp;D478&amp;"MA"&amp;COUNTIF($D$14:D478,D478))</f>
        <v/>
      </c>
      <c r="C478" s="162"/>
      <c r="D478" s="163"/>
      <c r="E478" s="164"/>
      <c r="F478" s="164"/>
      <c r="G478" s="164"/>
      <c r="H478" s="164"/>
      <c r="I478" s="162"/>
      <c r="J478" s="144"/>
      <c r="K478" s="144"/>
      <c r="L478" s="144"/>
      <c r="M478" s="145">
        <f t="shared" si="48"/>
        <v>0</v>
      </c>
      <c r="N478" s="145">
        <f t="shared" si="49"/>
        <v>0</v>
      </c>
      <c r="O478" s="146">
        <f t="shared" si="50"/>
        <v>0</v>
      </c>
      <c r="P478" s="146">
        <f>IF(B478="",0,SUMIF('NHAP XUAT'!$G$10:$J$1011,'Ghi So'!B478,'NHAP XUAT'!$J$10:$J$1011))</f>
        <v>0</v>
      </c>
      <c r="Q478" s="146">
        <f t="shared" si="51"/>
        <v>0</v>
      </c>
      <c r="R478" s="169"/>
      <c r="S478" s="169"/>
      <c r="T478" s="146">
        <f t="shared" si="52"/>
        <v>0</v>
      </c>
      <c r="U478" s="121" t="str">
        <f t="shared" si="53"/>
        <v>Close</v>
      </c>
      <c r="V478" s="117"/>
    </row>
    <row r="479" spans="1:22" ht="15" customHeight="1">
      <c r="A479" s="117"/>
      <c r="B479" s="144" t="str">
        <f>IF(D479="","","P"&amp;D479&amp;"MA"&amp;COUNTIF($D$14:D479,D479))</f>
        <v/>
      </c>
      <c r="C479" s="162"/>
      <c r="D479" s="163"/>
      <c r="E479" s="164"/>
      <c r="F479" s="164"/>
      <c r="G479" s="164"/>
      <c r="H479" s="164"/>
      <c r="I479" s="162"/>
      <c r="J479" s="144"/>
      <c r="K479" s="144"/>
      <c r="L479" s="144"/>
      <c r="M479" s="145">
        <f t="shared" si="48"/>
        <v>0</v>
      </c>
      <c r="N479" s="145">
        <f t="shared" si="49"/>
        <v>0</v>
      </c>
      <c r="O479" s="146">
        <f t="shared" si="50"/>
        <v>0</v>
      </c>
      <c r="P479" s="146">
        <f>IF(B479="",0,SUMIF('NHAP XUAT'!$G$10:$J$1011,'Ghi So'!B479,'NHAP XUAT'!$J$10:$J$1011))</f>
        <v>0</v>
      </c>
      <c r="Q479" s="146">
        <f t="shared" si="51"/>
        <v>0</v>
      </c>
      <c r="R479" s="169"/>
      <c r="S479" s="169"/>
      <c r="T479" s="146">
        <f t="shared" si="52"/>
        <v>0</v>
      </c>
      <c r="U479" s="121" t="str">
        <f t="shared" si="53"/>
        <v>Close</v>
      </c>
      <c r="V479" s="117"/>
    </row>
    <row r="480" spans="1:22" ht="15" customHeight="1">
      <c r="A480" s="117"/>
      <c r="B480" s="144" t="str">
        <f>IF(D480="","","P"&amp;D480&amp;"MA"&amp;COUNTIF($D$14:D480,D480))</f>
        <v/>
      </c>
      <c r="C480" s="162"/>
      <c r="D480" s="163"/>
      <c r="E480" s="164"/>
      <c r="F480" s="164"/>
      <c r="G480" s="164"/>
      <c r="H480" s="164"/>
      <c r="I480" s="162"/>
      <c r="J480" s="144"/>
      <c r="K480" s="144"/>
      <c r="L480" s="144"/>
      <c r="M480" s="145">
        <f t="shared" si="48"/>
        <v>0</v>
      </c>
      <c r="N480" s="145">
        <f t="shared" si="49"/>
        <v>0</v>
      </c>
      <c r="O480" s="146">
        <f t="shared" si="50"/>
        <v>0</v>
      </c>
      <c r="P480" s="146">
        <f>IF(B480="",0,SUMIF('NHAP XUAT'!$G$10:$J$1011,'Ghi So'!B480,'NHAP XUAT'!$J$10:$J$1011))</f>
        <v>0</v>
      </c>
      <c r="Q480" s="146">
        <f t="shared" si="51"/>
        <v>0</v>
      </c>
      <c r="R480" s="169"/>
      <c r="S480" s="169"/>
      <c r="T480" s="146">
        <f t="shared" si="52"/>
        <v>0</v>
      </c>
      <c r="U480" s="121" t="str">
        <f t="shared" si="53"/>
        <v>Close</v>
      </c>
      <c r="V480" s="117"/>
    </row>
    <row r="481" spans="1:22" ht="15" customHeight="1">
      <c r="A481" s="117"/>
      <c r="B481" s="144" t="str">
        <f>IF(D481="","","P"&amp;D481&amp;"MA"&amp;COUNTIF($D$14:D481,D481))</f>
        <v/>
      </c>
      <c r="C481" s="162"/>
      <c r="D481" s="163"/>
      <c r="E481" s="164"/>
      <c r="F481" s="164"/>
      <c r="G481" s="164"/>
      <c r="H481" s="164"/>
      <c r="I481" s="162"/>
      <c r="J481" s="144"/>
      <c r="K481" s="144"/>
      <c r="L481" s="144"/>
      <c r="M481" s="145">
        <f t="shared" si="48"/>
        <v>0</v>
      </c>
      <c r="N481" s="145">
        <f t="shared" si="49"/>
        <v>0</v>
      </c>
      <c r="O481" s="146">
        <f t="shared" si="50"/>
        <v>0</v>
      </c>
      <c r="P481" s="146">
        <f>IF(B481="",0,SUMIF('NHAP XUAT'!$G$10:$J$1011,'Ghi So'!B481,'NHAP XUAT'!$J$10:$J$1011))</f>
        <v>0</v>
      </c>
      <c r="Q481" s="146">
        <f t="shared" si="51"/>
        <v>0</v>
      </c>
      <c r="R481" s="169"/>
      <c r="S481" s="169"/>
      <c r="T481" s="146">
        <f t="shared" si="52"/>
        <v>0</v>
      </c>
      <c r="U481" s="121" t="str">
        <f t="shared" si="53"/>
        <v>Close</v>
      </c>
      <c r="V481" s="117"/>
    </row>
    <row r="482" spans="1:22" ht="15" customHeight="1">
      <c r="A482" s="117"/>
      <c r="B482" s="144" t="str">
        <f>IF(D482="","","P"&amp;D482&amp;"MA"&amp;COUNTIF($D$14:D482,D482))</f>
        <v/>
      </c>
      <c r="C482" s="162"/>
      <c r="D482" s="163"/>
      <c r="E482" s="164"/>
      <c r="F482" s="164"/>
      <c r="G482" s="164"/>
      <c r="H482" s="164"/>
      <c r="I482" s="162"/>
      <c r="J482" s="144"/>
      <c r="K482" s="144"/>
      <c r="L482" s="144"/>
      <c r="M482" s="145">
        <f t="shared" si="48"/>
        <v>0</v>
      </c>
      <c r="N482" s="145">
        <f t="shared" si="49"/>
        <v>0</v>
      </c>
      <c r="O482" s="146">
        <f t="shared" si="50"/>
        <v>0</v>
      </c>
      <c r="P482" s="146">
        <f>IF(B482="",0,SUMIF('NHAP XUAT'!$G$10:$J$1011,'Ghi So'!B482,'NHAP XUAT'!$J$10:$J$1011))</f>
        <v>0</v>
      </c>
      <c r="Q482" s="146">
        <f t="shared" si="51"/>
        <v>0</v>
      </c>
      <c r="R482" s="169"/>
      <c r="S482" s="169"/>
      <c r="T482" s="146">
        <f t="shared" si="52"/>
        <v>0</v>
      </c>
      <c r="U482" s="121" t="str">
        <f t="shared" si="53"/>
        <v>Close</v>
      </c>
      <c r="V482" s="117"/>
    </row>
    <row r="483" spans="1:22" ht="15" customHeight="1">
      <c r="A483" s="117"/>
      <c r="B483" s="144" t="str">
        <f>IF(D483="","","P"&amp;D483&amp;"MA"&amp;COUNTIF($D$14:D483,D483))</f>
        <v/>
      </c>
      <c r="C483" s="162"/>
      <c r="D483" s="163"/>
      <c r="E483" s="164"/>
      <c r="F483" s="164"/>
      <c r="G483" s="164"/>
      <c r="H483" s="164"/>
      <c r="I483" s="162"/>
      <c r="J483" s="144"/>
      <c r="K483" s="144"/>
      <c r="L483" s="144"/>
      <c r="M483" s="145">
        <f t="shared" si="48"/>
        <v>0</v>
      </c>
      <c r="N483" s="145">
        <f t="shared" si="49"/>
        <v>0</v>
      </c>
      <c r="O483" s="146">
        <f t="shared" si="50"/>
        <v>0</v>
      </c>
      <c r="P483" s="146">
        <f>IF(B483="",0,SUMIF('NHAP XUAT'!$G$10:$J$1011,'Ghi So'!B483,'NHAP XUAT'!$J$10:$J$1011))</f>
        <v>0</v>
      </c>
      <c r="Q483" s="146">
        <f t="shared" si="51"/>
        <v>0</v>
      </c>
      <c r="R483" s="169"/>
      <c r="S483" s="169"/>
      <c r="T483" s="146">
        <f t="shared" si="52"/>
        <v>0</v>
      </c>
      <c r="U483" s="121" t="str">
        <f t="shared" si="53"/>
        <v>Close</v>
      </c>
      <c r="V483" s="117"/>
    </row>
    <row r="484" spans="1:22" ht="15" customHeight="1">
      <c r="A484" s="117"/>
      <c r="B484" s="144" t="str">
        <f>IF(D484="","","P"&amp;D484&amp;"MA"&amp;COUNTIF($D$14:D484,D484))</f>
        <v/>
      </c>
      <c r="C484" s="162"/>
      <c r="D484" s="163"/>
      <c r="E484" s="164"/>
      <c r="F484" s="164"/>
      <c r="G484" s="164"/>
      <c r="H484" s="164"/>
      <c r="I484" s="162"/>
      <c r="J484" s="144"/>
      <c r="K484" s="144"/>
      <c r="L484" s="144"/>
      <c r="M484" s="145">
        <f t="shared" si="48"/>
        <v>0</v>
      </c>
      <c r="N484" s="145">
        <f t="shared" si="49"/>
        <v>0</v>
      </c>
      <c r="O484" s="146">
        <f t="shared" si="50"/>
        <v>0</v>
      </c>
      <c r="P484" s="146">
        <f>IF(B484="",0,SUMIF('NHAP XUAT'!$G$10:$J$1011,'Ghi So'!B484,'NHAP XUAT'!$J$10:$J$1011))</f>
        <v>0</v>
      </c>
      <c r="Q484" s="146">
        <f t="shared" si="51"/>
        <v>0</v>
      </c>
      <c r="R484" s="169"/>
      <c r="S484" s="169"/>
      <c r="T484" s="146">
        <f t="shared" si="52"/>
        <v>0</v>
      </c>
      <c r="U484" s="121" t="str">
        <f t="shared" si="53"/>
        <v>Close</v>
      </c>
      <c r="V484" s="117"/>
    </row>
    <row r="485" spans="1:22" ht="15" customHeight="1">
      <c r="A485" s="117"/>
      <c r="B485" s="144" t="str">
        <f>IF(D485="","","P"&amp;D485&amp;"MA"&amp;COUNTIF($D$14:D485,D485))</f>
        <v/>
      </c>
      <c r="C485" s="162"/>
      <c r="D485" s="163"/>
      <c r="E485" s="164"/>
      <c r="F485" s="164"/>
      <c r="G485" s="164"/>
      <c r="H485" s="164"/>
      <c r="I485" s="162"/>
      <c r="J485" s="144"/>
      <c r="K485" s="144"/>
      <c r="L485" s="144"/>
      <c r="M485" s="145">
        <f t="shared" si="48"/>
        <v>0</v>
      </c>
      <c r="N485" s="145">
        <f t="shared" si="49"/>
        <v>0</v>
      </c>
      <c r="O485" s="146">
        <f t="shared" si="50"/>
        <v>0</v>
      </c>
      <c r="P485" s="146">
        <f>IF(B485="",0,SUMIF('NHAP XUAT'!$G$10:$J$1011,'Ghi So'!B485,'NHAP XUAT'!$J$10:$J$1011))</f>
        <v>0</v>
      </c>
      <c r="Q485" s="146">
        <f t="shared" si="51"/>
        <v>0</v>
      </c>
      <c r="R485" s="169"/>
      <c r="S485" s="169"/>
      <c r="T485" s="146">
        <f t="shared" si="52"/>
        <v>0</v>
      </c>
      <c r="U485" s="121" t="str">
        <f t="shared" si="53"/>
        <v>Close</v>
      </c>
      <c r="V485" s="117"/>
    </row>
    <row r="486" spans="1:22" ht="15" customHeight="1">
      <c r="A486" s="117"/>
      <c r="B486" s="144" t="str">
        <f>IF(D486="","","P"&amp;D486&amp;"MA"&amp;COUNTIF($D$14:D486,D486))</f>
        <v/>
      </c>
      <c r="C486" s="162"/>
      <c r="D486" s="163"/>
      <c r="E486" s="164"/>
      <c r="F486" s="164"/>
      <c r="G486" s="164"/>
      <c r="H486" s="164"/>
      <c r="I486" s="162"/>
      <c r="J486" s="144"/>
      <c r="K486" s="144"/>
      <c r="L486" s="144"/>
      <c r="M486" s="145">
        <f t="shared" si="48"/>
        <v>0</v>
      </c>
      <c r="N486" s="145">
        <f t="shared" si="49"/>
        <v>0</v>
      </c>
      <c r="O486" s="146">
        <f t="shared" si="50"/>
        <v>0</v>
      </c>
      <c r="P486" s="146">
        <f>IF(B486="",0,SUMIF('NHAP XUAT'!$G$10:$J$1011,'Ghi So'!B486,'NHAP XUAT'!$J$10:$J$1011))</f>
        <v>0</v>
      </c>
      <c r="Q486" s="146">
        <f t="shared" si="51"/>
        <v>0</v>
      </c>
      <c r="R486" s="169"/>
      <c r="S486" s="169"/>
      <c r="T486" s="146">
        <f t="shared" si="52"/>
        <v>0</v>
      </c>
      <c r="U486" s="121" t="str">
        <f t="shared" si="53"/>
        <v>Close</v>
      </c>
      <c r="V486" s="117"/>
    </row>
    <row r="487" spans="1:22" ht="15" customHeight="1">
      <c r="A487" s="117"/>
      <c r="B487" s="144" t="str">
        <f>IF(D487="","","P"&amp;D487&amp;"MA"&amp;COUNTIF($D$14:D487,D487))</f>
        <v/>
      </c>
      <c r="C487" s="162"/>
      <c r="D487" s="163"/>
      <c r="E487" s="164"/>
      <c r="F487" s="164"/>
      <c r="G487" s="164"/>
      <c r="H487" s="164"/>
      <c r="I487" s="162"/>
      <c r="J487" s="144"/>
      <c r="K487" s="144"/>
      <c r="L487" s="144"/>
      <c r="M487" s="145">
        <f t="shared" si="48"/>
        <v>0</v>
      </c>
      <c r="N487" s="145">
        <f t="shared" si="49"/>
        <v>0</v>
      </c>
      <c r="O487" s="146">
        <f t="shared" si="50"/>
        <v>0</v>
      </c>
      <c r="P487" s="146">
        <f>IF(B487="",0,SUMIF('NHAP XUAT'!$G$10:$J$1011,'Ghi So'!B487,'NHAP XUAT'!$J$10:$J$1011))</f>
        <v>0</v>
      </c>
      <c r="Q487" s="146">
        <f t="shared" si="51"/>
        <v>0</v>
      </c>
      <c r="R487" s="169"/>
      <c r="S487" s="169"/>
      <c r="T487" s="146">
        <f t="shared" si="52"/>
        <v>0</v>
      </c>
      <c r="U487" s="121" t="str">
        <f t="shared" si="53"/>
        <v>Close</v>
      </c>
      <c r="V487" s="117"/>
    </row>
    <row r="488" spans="1:22" ht="15" customHeight="1">
      <c r="A488" s="117"/>
      <c r="B488" s="144" t="str">
        <f>IF(D488="","","P"&amp;D488&amp;"MA"&amp;COUNTIF($D$14:D488,D488))</f>
        <v/>
      </c>
      <c r="C488" s="162"/>
      <c r="D488" s="163"/>
      <c r="E488" s="164"/>
      <c r="F488" s="164"/>
      <c r="G488" s="164"/>
      <c r="H488" s="164"/>
      <c r="I488" s="162"/>
      <c r="J488" s="144"/>
      <c r="K488" s="144"/>
      <c r="L488" s="144"/>
      <c r="M488" s="145">
        <f t="shared" si="48"/>
        <v>0</v>
      </c>
      <c r="N488" s="145">
        <f t="shared" si="49"/>
        <v>0</v>
      </c>
      <c r="O488" s="146">
        <f t="shared" si="50"/>
        <v>0</v>
      </c>
      <c r="P488" s="146">
        <f>IF(B488="",0,SUMIF('NHAP XUAT'!$G$10:$J$1011,'Ghi So'!B488,'NHAP XUAT'!$J$10:$J$1011))</f>
        <v>0</v>
      </c>
      <c r="Q488" s="146">
        <f t="shared" si="51"/>
        <v>0</v>
      </c>
      <c r="R488" s="169"/>
      <c r="S488" s="169"/>
      <c r="T488" s="146">
        <f t="shared" si="52"/>
        <v>0</v>
      </c>
      <c r="U488" s="121" t="str">
        <f t="shared" si="53"/>
        <v>Close</v>
      </c>
      <c r="V488" s="117"/>
    </row>
    <row r="489" spans="1:22" ht="15" customHeight="1">
      <c r="A489" s="117"/>
      <c r="B489" s="144" t="str">
        <f>IF(D489="","","P"&amp;D489&amp;"MA"&amp;COUNTIF($D$14:D489,D489))</f>
        <v/>
      </c>
      <c r="C489" s="162"/>
      <c r="D489" s="163"/>
      <c r="E489" s="164"/>
      <c r="F489" s="164"/>
      <c r="G489" s="164"/>
      <c r="H489" s="164"/>
      <c r="I489" s="162"/>
      <c r="J489" s="144"/>
      <c r="K489" s="144"/>
      <c r="L489" s="144"/>
      <c r="M489" s="145">
        <f t="shared" si="48"/>
        <v>0</v>
      </c>
      <c r="N489" s="145">
        <f t="shared" si="49"/>
        <v>0</v>
      </c>
      <c r="O489" s="146">
        <f t="shared" si="50"/>
        <v>0</v>
      </c>
      <c r="P489" s="146">
        <f>IF(B489="",0,SUMIF('NHAP XUAT'!$G$10:$J$1011,'Ghi So'!B489,'NHAP XUAT'!$J$10:$J$1011))</f>
        <v>0</v>
      </c>
      <c r="Q489" s="146">
        <f t="shared" si="51"/>
        <v>0</v>
      </c>
      <c r="R489" s="169"/>
      <c r="S489" s="169"/>
      <c r="T489" s="146">
        <f t="shared" si="52"/>
        <v>0</v>
      </c>
      <c r="U489" s="121" t="str">
        <f t="shared" si="53"/>
        <v>Close</v>
      </c>
      <c r="V489" s="117"/>
    </row>
    <row r="490" spans="1:22" ht="15" customHeight="1">
      <c r="A490" s="117"/>
      <c r="B490" s="144" t="str">
        <f>IF(D490="","","P"&amp;D490&amp;"MA"&amp;COUNTIF($D$14:D490,D490))</f>
        <v/>
      </c>
      <c r="C490" s="162"/>
      <c r="D490" s="163"/>
      <c r="E490" s="164"/>
      <c r="F490" s="164"/>
      <c r="G490" s="164"/>
      <c r="H490" s="164"/>
      <c r="I490" s="162"/>
      <c r="J490" s="144"/>
      <c r="K490" s="144"/>
      <c r="L490" s="144"/>
      <c r="M490" s="145">
        <f t="shared" si="48"/>
        <v>0</v>
      </c>
      <c r="N490" s="145">
        <f t="shared" si="49"/>
        <v>0</v>
      </c>
      <c r="O490" s="146">
        <f t="shared" si="50"/>
        <v>0</v>
      </c>
      <c r="P490" s="146">
        <f>IF(B490="",0,SUMIF('NHAP XUAT'!$G$10:$J$1011,'Ghi So'!B490,'NHAP XUAT'!$J$10:$J$1011))</f>
        <v>0</v>
      </c>
      <c r="Q490" s="146">
        <f t="shared" si="51"/>
        <v>0</v>
      </c>
      <c r="R490" s="169"/>
      <c r="S490" s="169"/>
      <c r="T490" s="146">
        <f t="shared" si="52"/>
        <v>0</v>
      </c>
      <c r="U490" s="121" t="str">
        <f t="shared" si="53"/>
        <v>Close</v>
      </c>
      <c r="V490" s="117"/>
    </row>
    <row r="491" spans="1:22" ht="15" customHeight="1">
      <c r="A491" s="117"/>
      <c r="B491" s="144" t="str">
        <f>IF(D491="","","P"&amp;D491&amp;"MA"&amp;COUNTIF($D$14:D491,D491))</f>
        <v/>
      </c>
      <c r="C491" s="162"/>
      <c r="D491" s="163"/>
      <c r="E491" s="164"/>
      <c r="F491" s="164"/>
      <c r="G491" s="164"/>
      <c r="H491" s="164"/>
      <c r="I491" s="162"/>
      <c r="J491" s="144"/>
      <c r="K491" s="144"/>
      <c r="L491" s="144"/>
      <c r="M491" s="145">
        <f t="shared" si="48"/>
        <v>0</v>
      </c>
      <c r="N491" s="145">
        <f t="shared" si="49"/>
        <v>0</v>
      </c>
      <c r="O491" s="146">
        <f t="shared" si="50"/>
        <v>0</v>
      </c>
      <c r="P491" s="146">
        <f>IF(B491="",0,SUMIF('NHAP XUAT'!$G$10:$J$1011,'Ghi So'!B491,'NHAP XUAT'!$J$10:$J$1011))</f>
        <v>0</v>
      </c>
      <c r="Q491" s="146">
        <f t="shared" si="51"/>
        <v>0</v>
      </c>
      <c r="R491" s="169"/>
      <c r="S491" s="169"/>
      <c r="T491" s="146">
        <f t="shared" si="52"/>
        <v>0</v>
      </c>
      <c r="U491" s="121" t="str">
        <f t="shared" si="53"/>
        <v>Close</v>
      </c>
      <c r="V491" s="117"/>
    </row>
    <row r="492" spans="1:22" ht="15" customHeight="1">
      <c r="A492" s="117"/>
      <c r="B492" s="144" t="str">
        <f>IF(D492="","","P"&amp;D492&amp;"MA"&amp;COUNTIF($D$14:D492,D492))</f>
        <v/>
      </c>
      <c r="C492" s="162"/>
      <c r="D492" s="163"/>
      <c r="E492" s="164"/>
      <c r="F492" s="164"/>
      <c r="G492" s="164"/>
      <c r="H492" s="164"/>
      <c r="I492" s="162"/>
      <c r="J492" s="144"/>
      <c r="K492" s="144"/>
      <c r="L492" s="144"/>
      <c r="M492" s="145">
        <f t="shared" si="48"/>
        <v>0</v>
      </c>
      <c r="N492" s="145">
        <f t="shared" si="49"/>
        <v>0</v>
      </c>
      <c r="O492" s="146">
        <f t="shared" si="50"/>
        <v>0</v>
      </c>
      <c r="P492" s="146">
        <f>IF(B492="",0,SUMIF('NHAP XUAT'!$G$10:$J$1011,'Ghi So'!B492,'NHAP XUAT'!$J$10:$J$1011))</f>
        <v>0</v>
      </c>
      <c r="Q492" s="146">
        <f t="shared" si="51"/>
        <v>0</v>
      </c>
      <c r="R492" s="169"/>
      <c r="S492" s="169"/>
      <c r="T492" s="146">
        <f t="shared" si="52"/>
        <v>0</v>
      </c>
      <c r="U492" s="121" t="str">
        <f t="shared" si="53"/>
        <v>Close</v>
      </c>
      <c r="V492" s="117"/>
    </row>
    <row r="493" spans="1:22" ht="15" customHeight="1">
      <c r="A493" s="117"/>
      <c r="B493" s="144" t="str">
        <f>IF(D493="","","P"&amp;D493&amp;"MA"&amp;COUNTIF($D$14:D493,D493))</f>
        <v/>
      </c>
      <c r="C493" s="162"/>
      <c r="D493" s="163"/>
      <c r="E493" s="164"/>
      <c r="F493" s="164"/>
      <c r="G493" s="164"/>
      <c r="H493" s="164"/>
      <c r="I493" s="162"/>
      <c r="J493" s="144"/>
      <c r="K493" s="144"/>
      <c r="L493" s="144"/>
      <c r="M493" s="145">
        <f t="shared" si="48"/>
        <v>0</v>
      </c>
      <c r="N493" s="145">
        <f t="shared" si="49"/>
        <v>0</v>
      </c>
      <c r="O493" s="146">
        <f t="shared" si="50"/>
        <v>0</v>
      </c>
      <c r="P493" s="146">
        <f>IF(B493="",0,SUMIF('NHAP XUAT'!$G$10:$J$1011,'Ghi So'!B493,'NHAP XUAT'!$J$10:$J$1011))</f>
        <v>0</v>
      </c>
      <c r="Q493" s="146">
        <f t="shared" si="51"/>
        <v>0</v>
      </c>
      <c r="R493" s="169"/>
      <c r="S493" s="169"/>
      <c r="T493" s="146">
        <f t="shared" si="52"/>
        <v>0</v>
      </c>
      <c r="U493" s="121" t="str">
        <f t="shared" si="53"/>
        <v>Close</v>
      </c>
      <c r="V493" s="117"/>
    </row>
    <row r="494" spans="1:22" ht="15" customHeight="1">
      <c r="A494" s="117"/>
      <c r="B494" s="144" t="str">
        <f>IF(D494="","","P"&amp;D494&amp;"MA"&amp;COUNTIF($D$14:D494,D494))</f>
        <v/>
      </c>
      <c r="C494" s="162"/>
      <c r="D494" s="163"/>
      <c r="E494" s="164"/>
      <c r="F494" s="164"/>
      <c r="G494" s="164"/>
      <c r="H494" s="164"/>
      <c r="I494" s="162"/>
      <c r="J494" s="144"/>
      <c r="K494" s="144"/>
      <c r="L494" s="144"/>
      <c r="M494" s="145">
        <f t="shared" si="48"/>
        <v>0</v>
      </c>
      <c r="N494" s="145">
        <f t="shared" si="49"/>
        <v>0</v>
      </c>
      <c r="O494" s="146">
        <f t="shared" si="50"/>
        <v>0</v>
      </c>
      <c r="P494" s="146">
        <f>IF(B494="",0,SUMIF('NHAP XUAT'!$G$10:$J$1011,'Ghi So'!B494,'NHAP XUAT'!$J$10:$J$1011))</f>
        <v>0</v>
      </c>
      <c r="Q494" s="146">
        <f t="shared" si="51"/>
        <v>0</v>
      </c>
      <c r="R494" s="169"/>
      <c r="S494" s="169"/>
      <c r="T494" s="146">
        <f t="shared" si="52"/>
        <v>0</v>
      </c>
      <c r="U494" s="121" t="str">
        <f t="shared" si="53"/>
        <v>Close</v>
      </c>
      <c r="V494" s="117"/>
    </row>
    <row r="495" spans="1:22" ht="15" customHeight="1">
      <c r="A495" s="117"/>
      <c r="B495" s="144" t="str">
        <f>IF(D495="","","P"&amp;D495&amp;"MA"&amp;COUNTIF($D$14:D495,D495))</f>
        <v/>
      </c>
      <c r="C495" s="162"/>
      <c r="D495" s="163"/>
      <c r="E495" s="164"/>
      <c r="F495" s="164"/>
      <c r="G495" s="164"/>
      <c r="H495" s="164"/>
      <c r="I495" s="162"/>
      <c r="J495" s="144"/>
      <c r="K495" s="144"/>
      <c r="L495" s="144"/>
      <c r="M495" s="145">
        <f t="shared" si="48"/>
        <v>0</v>
      </c>
      <c r="N495" s="145">
        <f t="shared" si="49"/>
        <v>0</v>
      </c>
      <c r="O495" s="146">
        <f t="shared" si="50"/>
        <v>0</v>
      </c>
      <c r="P495" s="146">
        <f>IF(B495="",0,SUMIF('NHAP XUAT'!$G$10:$J$1011,'Ghi So'!B495,'NHAP XUAT'!$J$10:$J$1011))</f>
        <v>0</v>
      </c>
      <c r="Q495" s="146">
        <f t="shared" si="51"/>
        <v>0</v>
      </c>
      <c r="R495" s="169"/>
      <c r="S495" s="169"/>
      <c r="T495" s="146">
        <f t="shared" si="52"/>
        <v>0</v>
      </c>
      <c r="U495" s="121" t="str">
        <f t="shared" si="53"/>
        <v>Close</v>
      </c>
      <c r="V495" s="117"/>
    </row>
    <row r="496" spans="1:22" ht="15" customHeight="1">
      <c r="A496" s="117"/>
      <c r="B496" s="144" t="str">
        <f>IF(D496="","","P"&amp;D496&amp;"MA"&amp;COUNTIF($D$14:D496,D496))</f>
        <v/>
      </c>
      <c r="C496" s="162"/>
      <c r="D496" s="163"/>
      <c r="E496" s="164"/>
      <c r="F496" s="164"/>
      <c r="G496" s="164"/>
      <c r="H496" s="164"/>
      <c r="I496" s="162"/>
      <c r="J496" s="144"/>
      <c r="K496" s="144"/>
      <c r="L496" s="144"/>
      <c r="M496" s="145">
        <f t="shared" si="48"/>
        <v>0</v>
      </c>
      <c r="N496" s="145">
        <f t="shared" si="49"/>
        <v>0</v>
      </c>
      <c r="O496" s="146">
        <f t="shared" si="50"/>
        <v>0</v>
      </c>
      <c r="P496" s="146">
        <f>IF(B496="",0,SUMIF('NHAP XUAT'!$G$10:$J$1011,'Ghi So'!B496,'NHAP XUAT'!$J$10:$J$1011))</f>
        <v>0</v>
      </c>
      <c r="Q496" s="146">
        <f t="shared" si="51"/>
        <v>0</v>
      </c>
      <c r="R496" s="169"/>
      <c r="S496" s="169"/>
      <c r="T496" s="146">
        <f t="shared" si="52"/>
        <v>0</v>
      </c>
      <c r="U496" s="121" t="str">
        <f t="shared" si="53"/>
        <v>Close</v>
      </c>
      <c r="V496" s="117"/>
    </row>
    <row r="497" spans="1:22" ht="15" customHeight="1">
      <c r="A497" s="117"/>
      <c r="B497" s="144" t="str">
        <f>IF(D497="","","P"&amp;D497&amp;"MA"&amp;COUNTIF($D$14:D497,D497))</f>
        <v/>
      </c>
      <c r="C497" s="162"/>
      <c r="D497" s="163"/>
      <c r="E497" s="164"/>
      <c r="F497" s="164"/>
      <c r="G497" s="164"/>
      <c r="H497" s="164"/>
      <c r="I497" s="162"/>
      <c r="J497" s="144"/>
      <c r="K497" s="144"/>
      <c r="L497" s="144"/>
      <c r="M497" s="145">
        <f t="shared" si="48"/>
        <v>0</v>
      </c>
      <c r="N497" s="145">
        <f t="shared" si="49"/>
        <v>0</v>
      </c>
      <c r="O497" s="146">
        <f t="shared" si="50"/>
        <v>0</v>
      </c>
      <c r="P497" s="146">
        <f>IF(B497="",0,SUMIF('NHAP XUAT'!$G$10:$J$1011,'Ghi So'!B497,'NHAP XUAT'!$J$10:$J$1011))</f>
        <v>0</v>
      </c>
      <c r="Q497" s="146">
        <f t="shared" si="51"/>
        <v>0</v>
      </c>
      <c r="R497" s="169"/>
      <c r="S497" s="169"/>
      <c r="T497" s="146">
        <f t="shared" si="52"/>
        <v>0</v>
      </c>
      <c r="U497" s="121" t="str">
        <f t="shared" si="53"/>
        <v>Close</v>
      </c>
      <c r="V497" s="117"/>
    </row>
    <row r="498" spans="1:22" ht="15" customHeight="1">
      <c r="A498" s="117"/>
      <c r="B498" s="144" t="str">
        <f>IF(D498="","","P"&amp;D498&amp;"MA"&amp;COUNTIF($D$14:D498,D498))</f>
        <v/>
      </c>
      <c r="C498" s="162"/>
      <c r="D498" s="163"/>
      <c r="E498" s="164"/>
      <c r="F498" s="164"/>
      <c r="G498" s="164"/>
      <c r="H498" s="164"/>
      <c r="I498" s="162"/>
      <c r="J498" s="144"/>
      <c r="K498" s="144"/>
      <c r="L498" s="144"/>
      <c r="M498" s="145">
        <f t="shared" si="48"/>
        <v>0</v>
      </c>
      <c r="N498" s="145">
        <f t="shared" si="49"/>
        <v>0</v>
      </c>
      <c r="O498" s="146">
        <f t="shared" si="50"/>
        <v>0</v>
      </c>
      <c r="P498" s="146">
        <f>IF(B498="",0,SUMIF('NHAP XUAT'!$G$10:$J$1011,'Ghi So'!B498,'NHAP XUAT'!$J$10:$J$1011))</f>
        <v>0</v>
      </c>
      <c r="Q498" s="146">
        <f t="shared" si="51"/>
        <v>0</v>
      </c>
      <c r="R498" s="169"/>
      <c r="S498" s="169"/>
      <c r="T498" s="146">
        <f t="shared" si="52"/>
        <v>0</v>
      </c>
      <c r="U498" s="121" t="str">
        <f t="shared" si="53"/>
        <v>Close</v>
      </c>
      <c r="V498" s="117"/>
    </row>
    <row r="499" spans="1:22" ht="15" customHeight="1">
      <c r="A499" s="117"/>
      <c r="B499" s="144" t="str">
        <f>IF(D499="","","P"&amp;D499&amp;"MA"&amp;COUNTIF($D$14:D499,D499))</f>
        <v/>
      </c>
      <c r="C499" s="162"/>
      <c r="D499" s="163"/>
      <c r="E499" s="164"/>
      <c r="F499" s="164"/>
      <c r="G499" s="164"/>
      <c r="H499" s="164"/>
      <c r="I499" s="162"/>
      <c r="J499" s="144"/>
      <c r="K499" s="144"/>
      <c r="L499" s="144"/>
      <c r="M499" s="145">
        <f t="shared" si="48"/>
        <v>0</v>
      </c>
      <c r="N499" s="145">
        <f t="shared" si="49"/>
        <v>0</v>
      </c>
      <c r="O499" s="146">
        <f t="shared" si="50"/>
        <v>0</v>
      </c>
      <c r="P499" s="146">
        <f>IF(B499="",0,SUMIF('NHAP XUAT'!$G$10:$J$1011,'Ghi So'!B499,'NHAP XUAT'!$J$10:$J$1011))</f>
        <v>0</v>
      </c>
      <c r="Q499" s="146">
        <f t="shared" si="51"/>
        <v>0</v>
      </c>
      <c r="R499" s="169"/>
      <c r="S499" s="169"/>
      <c r="T499" s="146">
        <f t="shared" si="52"/>
        <v>0</v>
      </c>
      <c r="U499" s="121" t="str">
        <f t="shared" si="53"/>
        <v>Close</v>
      </c>
      <c r="V499" s="117"/>
    </row>
    <row r="500" spans="1:22" ht="15" customHeight="1">
      <c r="A500" s="117"/>
      <c r="B500" s="144" t="str">
        <f>IF(D500="","","P"&amp;D500&amp;"MA"&amp;COUNTIF($D$14:D500,D500))</f>
        <v/>
      </c>
      <c r="C500" s="162"/>
      <c r="D500" s="163"/>
      <c r="E500" s="164"/>
      <c r="F500" s="164"/>
      <c r="G500" s="164"/>
      <c r="H500" s="164"/>
      <c r="I500" s="162"/>
      <c r="J500" s="144"/>
      <c r="K500" s="144"/>
      <c r="L500" s="144"/>
      <c r="M500" s="145">
        <f t="shared" si="48"/>
        <v>0</v>
      </c>
      <c r="N500" s="145">
        <f t="shared" si="49"/>
        <v>0</v>
      </c>
      <c r="O500" s="146">
        <f t="shared" si="50"/>
        <v>0</v>
      </c>
      <c r="P500" s="146">
        <f>IF(B500="",0,SUMIF('NHAP XUAT'!$G$10:$J$1011,'Ghi So'!B500,'NHAP XUAT'!$J$10:$J$1011))</f>
        <v>0</v>
      </c>
      <c r="Q500" s="146">
        <f t="shared" si="51"/>
        <v>0</v>
      </c>
      <c r="R500" s="169"/>
      <c r="S500" s="169"/>
      <c r="T500" s="146">
        <f t="shared" si="52"/>
        <v>0</v>
      </c>
      <c r="U500" s="121" t="str">
        <f t="shared" si="53"/>
        <v>Close</v>
      </c>
      <c r="V500" s="117"/>
    </row>
    <row r="501" spans="1:22" ht="15" customHeight="1">
      <c r="A501" s="117"/>
      <c r="B501" s="144" t="str">
        <f>IF(D501="","","P"&amp;D501&amp;"MA"&amp;COUNTIF($D$14:D501,D501))</f>
        <v/>
      </c>
      <c r="C501" s="162"/>
      <c r="D501" s="163"/>
      <c r="E501" s="164"/>
      <c r="F501" s="164"/>
      <c r="G501" s="164"/>
      <c r="H501" s="164"/>
      <c r="I501" s="162"/>
      <c r="J501" s="144"/>
      <c r="K501" s="144"/>
      <c r="L501" s="144"/>
      <c r="M501" s="145">
        <f t="shared" si="48"/>
        <v>0</v>
      </c>
      <c r="N501" s="145">
        <f t="shared" si="49"/>
        <v>0</v>
      </c>
      <c r="O501" s="146">
        <f t="shared" si="50"/>
        <v>0</v>
      </c>
      <c r="P501" s="146">
        <f>IF(B501="",0,SUMIF('NHAP XUAT'!$G$10:$J$1011,'Ghi So'!B501,'NHAP XUAT'!$J$10:$J$1011))</f>
        <v>0</v>
      </c>
      <c r="Q501" s="146">
        <f t="shared" si="51"/>
        <v>0</v>
      </c>
      <c r="R501" s="169"/>
      <c r="S501" s="169"/>
      <c r="T501" s="146">
        <f t="shared" si="52"/>
        <v>0</v>
      </c>
      <c r="U501" s="121" t="str">
        <f t="shared" si="53"/>
        <v>Close</v>
      </c>
      <c r="V501" s="117"/>
    </row>
    <row r="502" spans="1:22" ht="15" customHeight="1">
      <c r="A502" s="117"/>
      <c r="B502" s="144" t="str">
        <f>IF(D502="","","P"&amp;D502&amp;"MA"&amp;COUNTIF($D$14:D502,D502))</f>
        <v/>
      </c>
      <c r="C502" s="162"/>
      <c r="D502" s="163"/>
      <c r="E502" s="164"/>
      <c r="F502" s="164"/>
      <c r="G502" s="164"/>
      <c r="H502" s="164"/>
      <c r="I502" s="162"/>
      <c r="J502" s="144"/>
      <c r="K502" s="144"/>
      <c r="L502" s="144"/>
      <c r="M502" s="145">
        <f t="shared" si="48"/>
        <v>0</v>
      </c>
      <c r="N502" s="145">
        <f t="shared" si="49"/>
        <v>0</v>
      </c>
      <c r="O502" s="146">
        <f t="shared" si="50"/>
        <v>0</v>
      </c>
      <c r="P502" s="146">
        <f>IF(B502="",0,SUMIF('NHAP XUAT'!$G$10:$J$1011,'Ghi So'!B502,'NHAP XUAT'!$J$10:$J$1011))</f>
        <v>0</v>
      </c>
      <c r="Q502" s="146">
        <f t="shared" si="51"/>
        <v>0</v>
      </c>
      <c r="R502" s="169"/>
      <c r="S502" s="169"/>
      <c r="T502" s="146">
        <f t="shared" si="52"/>
        <v>0</v>
      </c>
      <c r="U502" s="121" t="str">
        <f t="shared" si="53"/>
        <v>Close</v>
      </c>
      <c r="V502" s="117"/>
    </row>
    <row r="503" spans="1:22" ht="15" customHeight="1">
      <c r="A503" s="117"/>
      <c r="B503" s="144" t="str">
        <f>IF(D503="","","P"&amp;D503&amp;"MA"&amp;COUNTIF($D$14:D503,D503))</f>
        <v/>
      </c>
      <c r="C503" s="162"/>
      <c r="D503" s="163"/>
      <c r="E503" s="164"/>
      <c r="F503" s="164"/>
      <c r="G503" s="164"/>
      <c r="H503" s="164"/>
      <c r="I503" s="162"/>
      <c r="J503" s="144"/>
      <c r="K503" s="144"/>
      <c r="L503" s="144"/>
      <c r="M503" s="145">
        <f t="shared" si="48"/>
        <v>0</v>
      </c>
      <c r="N503" s="145">
        <f t="shared" si="49"/>
        <v>0</v>
      </c>
      <c r="O503" s="146">
        <f t="shared" si="50"/>
        <v>0</v>
      </c>
      <c r="P503" s="146">
        <f>IF(B503="",0,SUMIF('NHAP XUAT'!$G$10:$J$1011,'Ghi So'!B503,'NHAP XUAT'!$J$10:$J$1011))</f>
        <v>0</v>
      </c>
      <c r="Q503" s="146">
        <f t="shared" si="51"/>
        <v>0</v>
      </c>
      <c r="R503" s="169"/>
      <c r="S503" s="169"/>
      <c r="T503" s="146">
        <f t="shared" si="52"/>
        <v>0</v>
      </c>
      <c r="U503" s="121" t="str">
        <f t="shared" si="53"/>
        <v>Close</v>
      </c>
      <c r="V503" s="117"/>
    </row>
    <row r="504" spans="1:22" ht="15" customHeight="1">
      <c r="A504" s="117"/>
      <c r="B504" s="144" t="str">
        <f>IF(D504="","","P"&amp;D504&amp;"MA"&amp;COUNTIF($D$14:D504,D504))</f>
        <v/>
      </c>
      <c r="C504" s="162"/>
      <c r="D504" s="163"/>
      <c r="E504" s="164"/>
      <c r="F504" s="164"/>
      <c r="G504" s="164"/>
      <c r="H504" s="164"/>
      <c r="I504" s="162"/>
      <c r="J504" s="144"/>
      <c r="K504" s="144"/>
      <c r="L504" s="144"/>
      <c r="M504" s="145">
        <f t="shared" si="48"/>
        <v>0</v>
      </c>
      <c r="N504" s="145">
        <f t="shared" si="49"/>
        <v>0</v>
      </c>
      <c r="O504" s="146">
        <f t="shared" si="50"/>
        <v>0</v>
      </c>
      <c r="P504" s="146">
        <f>IF(B504="",0,SUMIF('NHAP XUAT'!$G$10:$J$1011,'Ghi So'!B504,'NHAP XUAT'!$J$10:$J$1011))</f>
        <v>0</v>
      </c>
      <c r="Q504" s="146">
        <f t="shared" si="51"/>
        <v>0</v>
      </c>
      <c r="R504" s="169"/>
      <c r="S504" s="169"/>
      <c r="T504" s="146">
        <f t="shared" si="52"/>
        <v>0</v>
      </c>
      <c r="U504" s="121" t="str">
        <f t="shared" si="53"/>
        <v>Close</v>
      </c>
      <c r="V504" s="117"/>
    </row>
    <row r="505" spans="1:22" ht="15" customHeight="1">
      <c r="A505" s="117"/>
      <c r="B505" s="144" t="str">
        <f>IF(D505="","","P"&amp;D505&amp;"MA"&amp;COUNTIF($D$14:D505,D505))</f>
        <v/>
      </c>
      <c r="C505" s="162"/>
      <c r="D505" s="163"/>
      <c r="E505" s="164"/>
      <c r="F505" s="164"/>
      <c r="G505" s="164"/>
      <c r="H505" s="164"/>
      <c r="I505" s="162"/>
      <c r="J505" s="144"/>
      <c r="K505" s="144"/>
      <c r="L505" s="144"/>
      <c r="M505" s="145">
        <f t="shared" si="48"/>
        <v>0</v>
      </c>
      <c r="N505" s="145">
        <f t="shared" si="49"/>
        <v>0</v>
      </c>
      <c r="O505" s="146">
        <f t="shared" si="50"/>
        <v>0</v>
      </c>
      <c r="P505" s="146">
        <f>IF(B505="",0,SUMIF('NHAP XUAT'!$G$10:$J$1011,'Ghi So'!B505,'NHAP XUAT'!$J$10:$J$1011))</f>
        <v>0</v>
      </c>
      <c r="Q505" s="146">
        <f t="shared" si="51"/>
        <v>0</v>
      </c>
      <c r="R505" s="169"/>
      <c r="S505" s="169"/>
      <c r="T505" s="146">
        <f t="shared" si="52"/>
        <v>0</v>
      </c>
      <c r="U505" s="121" t="str">
        <f t="shared" si="53"/>
        <v>Close</v>
      </c>
      <c r="V505" s="117"/>
    </row>
    <row r="506" spans="1:22" ht="15" customHeight="1">
      <c r="A506" s="117"/>
      <c r="B506" s="144" t="str">
        <f>IF(D506="","","P"&amp;D506&amp;"MA"&amp;COUNTIF($D$14:D506,D506))</f>
        <v/>
      </c>
      <c r="C506" s="162"/>
      <c r="D506" s="163"/>
      <c r="E506" s="164"/>
      <c r="F506" s="164"/>
      <c r="G506" s="164"/>
      <c r="H506" s="164"/>
      <c r="I506" s="162"/>
      <c r="J506" s="144"/>
      <c r="K506" s="144"/>
      <c r="L506" s="144"/>
      <c r="M506" s="145">
        <f t="shared" si="48"/>
        <v>0</v>
      </c>
      <c r="N506" s="145">
        <f t="shared" si="49"/>
        <v>0</v>
      </c>
      <c r="O506" s="146">
        <f t="shared" si="50"/>
        <v>0</v>
      </c>
      <c r="P506" s="146">
        <f>IF(B506="",0,SUMIF('NHAP XUAT'!$G$10:$J$1011,'Ghi So'!B506,'NHAP XUAT'!$J$10:$J$1011))</f>
        <v>0</v>
      </c>
      <c r="Q506" s="146">
        <f t="shared" si="51"/>
        <v>0</v>
      </c>
      <c r="R506" s="169"/>
      <c r="S506" s="169"/>
      <c r="T506" s="146">
        <f t="shared" si="52"/>
        <v>0</v>
      </c>
      <c r="U506" s="121" t="str">
        <f t="shared" si="53"/>
        <v>Close</v>
      </c>
      <c r="V506" s="117"/>
    </row>
    <row r="507" spans="1:22" ht="15" customHeight="1">
      <c r="A507" s="117"/>
      <c r="B507" s="144" t="str">
        <f>IF(D507="","","P"&amp;D507&amp;"MA"&amp;COUNTIF($D$14:D507,D507))</f>
        <v/>
      </c>
      <c r="C507" s="162"/>
      <c r="D507" s="163"/>
      <c r="E507" s="164"/>
      <c r="F507" s="164"/>
      <c r="G507" s="164"/>
      <c r="H507" s="164"/>
      <c r="I507" s="162"/>
      <c r="J507" s="144"/>
      <c r="K507" s="144"/>
      <c r="L507" s="144"/>
      <c r="M507" s="145">
        <f t="shared" si="48"/>
        <v>0</v>
      </c>
      <c r="N507" s="145">
        <f t="shared" si="49"/>
        <v>0</v>
      </c>
      <c r="O507" s="146">
        <f t="shared" si="50"/>
        <v>0</v>
      </c>
      <c r="P507" s="146">
        <f>IF(B507="",0,SUMIF('NHAP XUAT'!$G$10:$J$1011,'Ghi So'!B507,'NHAP XUAT'!$J$10:$J$1011))</f>
        <v>0</v>
      </c>
      <c r="Q507" s="146">
        <f t="shared" si="51"/>
        <v>0</v>
      </c>
      <c r="R507" s="169"/>
      <c r="S507" s="169"/>
      <c r="T507" s="146">
        <f t="shared" si="52"/>
        <v>0</v>
      </c>
      <c r="U507" s="121" t="str">
        <f t="shared" si="53"/>
        <v>Close</v>
      </c>
      <c r="V507" s="117"/>
    </row>
    <row r="508" spans="1:22" ht="15" customHeight="1">
      <c r="A508" s="117"/>
      <c r="B508" s="144" t="str">
        <f>IF(D508="","","P"&amp;D508&amp;"MA"&amp;COUNTIF($D$14:D508,D508))</f>
        <v/>
      </c>
      <c r="C508" s="162"/>
      <c r="D508" s="163"/>
      <c r="E508" s="164"/>
      <c r="F508" s="164"/>
      <c r="G508" s="164"/>
      <c r="H508" s="164"/>
      <c r="I508" s="162"/>
      <c r="J508" s="144"/>
      <c r="K508" s="144"/>
      <c r="L508" s="144"/>
      <c r="M508" s="145">
        <f t="shared" si="48"/>
        <v>0</v>
      </c>
      <c r="N508" s="145">
        <f t="shared" si="49"/>
        <v>0</v>
      </c>
      <c r="O508" s="146">
        <f t="shared" si="50"/>
        <v>0</v>
      </c>
      <c r="P508" s="146">
        <f>IF(B508="",0,SUMIF('NHAP XUAT'!$G$10:$J$1011,'Ghi So'!B508,'NHAP XUAT'!$J$10:$J$1011))</f>
        <v>0</v>
      </c>
      <c r="Q508" s="146">
        <f t="shared" si="51"/>
        <v>0</v>
      </c>
      <c r="R508" s="169"/>
      <c r="S508" s="169"/>
      <c r="T508" s="146">
        <f t="shared" si="52"/>
        <v>0</v>
      </c>
      <c r="U508" s="121" t="str">
        <f t="shared" si="53"/>
        <v>Close</v>
      </c>
      <c r="V508" s="117"/>
    </row>
    <row r="509" spans="1:22" ht="15" customHeight="1">
      <c r="A509" s="117"/>
      <c r="B509" s="144" t="str">
        <f>IF(D509="","","P"&amp;D509&amp;"MA"&amp;COUNTIF($D$14:D509,D509))</f>
        <v/>
      </c>
      <c r="C509" s="162"/>
      <c r="D509" s="163"/>
      <c r="E509" s="164"/>
      <c r="F509" s="164"/>
      <c r="G509" s="164"/>
      <c r="H509" s="164"/>
      <c r="I509" s="162"/>
      <c r="J509" s="144"/>
      <c r="K509" s="144"/>
      <c r="L509" s="144"/>
      <c r="M509" s="145">
        <f t="shared" si="48"/>
        <v>0</v>
      </c>
      <c r="N509" s="145">
        <f t="shared" si="49"/>
        <v>0</v>
      </c>
      <c r="O509" s="146">
        <f t="shared" si="50"/>
        <v>0</v>
      </c>
      <c r="P509" s="146">
        <f>IF(B509="",0,SUMIF('NHAP XUAT'!$G$10:$J$1011,'Ghi So'!B509,'NHAP XUAT'!$J$10:$J$1011))</f>
        <v>0</v>
      </c>
      <c r="Q509" s="146">
        <f t="shared" si="51"/>
        <v>0</v>
      </c>
      <c r="R509" s="169"/>
      <c r="S509" s="169"/>
      <c r="T509" s="146">
        <f t="shared" si="52"/>
        <v>0</v>
      </c>
      <c r="U509" s="121" t="str">
        <f t="shared" si="53"/>
        <v>Close</v>
      </c>
      <c r="V509" s="117"/>
    </row>
    <row r="510" spans="1:22" ht="15" customHeight="1">
      <c r="A510" s="117"/>
      <c r="B510" s="144" t="str">
        <f>IF(D510="","","P"&amp;D510&amp;"MA"&amp;COUNTIF($D$14:D510,D510))</f>
        <v/>
      </c>
      <c r="C510" s="162"/>
      <c r="D510" s="163"/>
      <c r="E510" s="164"/>
      <c r="F510" s="164"/>
      <c r="G510" s="164"/>
      <c r="H510" s="164"/>
      <c r="I510" s="162"/>
      <c r="J510" s="144"/>
      <c r="K510" s="144"/>
      <c r="L510" s="144"/>
      <c r="M510" s="145">
        <f t="shared" si="48"/>
        <v>0</v>
      </c>
      <c r="N510" s="145">
        <f t="shared" si="49"/>
        <v>0</v>
      </c>
      <c r="O510" s="146">
        <f t="shared" si="50"/>
        <v>0</v>
      </c>
      <c r="P510" s="146">
        <f>IF(B510="",0,SUMIF('NHAP XUAT'!$G$10:$J$1011,'Ghi So'!B510,'NHAP XUAT'!$J$10:$J$1011))</f>
        <v>0</v>
      </c>
      <c r="Q510" s="146">
        <f t="shared" si="51"/>
        <v>0</v>
      </c>
      <c r="R510" s="169"/>
      <c r="S510" s="169"/>
      <c r="T510" s="146">
        <f t="shared" si="52"/>
        <v>0</v>
      </c>
      <c r="U510" s="121" t="str">
        <f t="shared" si="53"/>
        <v>Close</v>
      </c>
      <c r="V510" s="117"/>
    </row>
    <row r="511" spans="1:22" ht="15" customHeight="1">
      <c r="A511" s="117"/>
      <c r="B511" s="144" t="str">
        <f>IF(D511="","","P"&amp;D511&amp;"MA"&amp;COUNTIF($D$14:D511,D511))</f>
        <v/>
      </c>
      <c r="C511" s="162"/>
      <c r="D511" s="163"/>
      <c r="E511" s="164"/>
      <c r="F511" s="164"/>
      <c r="G511" s="164"/>
      <c r="H511" s="164"/>
      <c r="I511" s="162"/>
      <c r="J511" s="144"/>
      <c r="K511" s="144"/>
      <c r="L511" s="144"/>
      <c r="M511" s="145">
        <f t="shared" si="48"/>
        <v>0</v>
      </c>
      <c r="N511" s="145">
        <f t="shared" si="49"/>
        <v>0</v>
      </c>
      <c r="O511" s="146">
        <f t="shared" si="50"/>
        <v>0</v>
      </c>
      <c r="P511" s="146">
        <f>IF(B511="",0,SUMIF('NHAP XUAT'!$G$10:$J$1011,'Ghi So'!B511,'NHAP XUAT'!$J$10:$J$1011))</f>
        <v>0</v>
      </c>
      <c r="Q511" s="146">
        <f t="shared" si="51"/>
        <v>0</v>
      </c>
      <c r="R511" s="169"/>
      <c r="S511" s="169"/>
      <c r="T511" s="146">
        <f t="shared" si="52"/>
        <v>0</v>
      </c>
      <c r="U511" s="121" t="str">
        <f t="shared" si="53"/>
        <v>Close</v>
      </c>
      <c r="V511" s="117"/>
    </row>
    <row r="512" spans="1:22" ht="15" customHeight="1">
      <c r="A512" s="117"/>
      <c r="B512" s="144" t="str">
        <f>IF(D512="","","P"&amp;D512&amp;"MA"&amp;COUNTIF($D$14:D512,D512))</f>
        <v/>
      </c>
      <c r="C512" s="162"/>
      <c r="D512" s="163"/>
      <c r="E512" s="164"/>
      <c r="F512" s="164"/>
      <c r="G512" s="164"/>
      <c r="H512" s="164"/>
      <c r="I512" s="162"/>
      <c r="J512" s="144"/>
      <c r="K512" s="144"/>
      <c r="L512" s="144"/>
      <c r="M512" s="145">
        <f t="shared" si="48"/>
        <v>0</v>
      </c>
      <c r="N512" s="145">
        <f t="shared" si="49"/>
        <v>0</v>
      </c>
      <c r="O512" s="146">
        <f t="shared" si="50"/>
        <v>0</v>
      </c>
      <c r="P512" s="146">
        <f>IF(B512="",0,SUMIF('NHAP XUAT'!$G$10:$J$1011,'Ghi So'!B512,'NHAP XUAT'!$J$10:$J$1011))</f>
        <v>0</v>
      </c>
      <c r="Q512" s="146">
        <f t="shared" si="51"/>
        <v>0</v>
      </c>
      <c r="R512" s="169"/>
      <c r="S512" s="169"/>
      <c r="T512" s="146">
        <f t="shared" si="52"/>
        <v>0</v>
      </c>
      <c r="U512" s="121" t="str">
        <f t="shared" si="53"/>
        <v>Close</v>
      </c>
      <c r="V512" s="117"/>
    </row>
    <row r="513" spans="1:22" ht="15" customHeight="1">
      <c r="A513" s="117"/>
      <c r="B513" s="144" t="str">
        <f>IF(D513="","","P"&amp;D513&amp;"MA"&amp;COUNTIF($D$14:D513,D513))</f>
        <v/>
      </c>
      <c r="C513" s="162"/>
      <c r="D513" s="163"/>
      <c r="E513" s="164"/>
      <c r="F513" s="164"/>
      <c r="G513" s="164"/>
      <c r="H513" s="164"/>
      <c r="I513" s="162"/>
      <c r="J513" s="144"/>
      <c r="K513" s="144"/>
      <c r="L513" s="144"/>
      <c r="M513" s="145">
        <f t="shared" si="48"/>
        <v>0</v>
      </c>
      <c r="N513" s="145">
        <f t="shared" si="49"/>
        <v>0</v>
      </c>
      <c r="O513" s="146">
        <f t="shared" si="50"/>
        <v>0</v>
      </c>
      <c r="P513" s="146">
        <f>IF(B513="",0,SUMIF('NHAP XUAT'!$G$10:$J$1011,'Ghi So'!B513,'NHAP XUAT'!$J$10:$J$1011))</f>
        <v>0</v>
      </c>
      <c r="Q513" s="146">
        <f t="shared" si="51"/>
        <v>0</v>
      </c>
      <c r="R513" s="169"/>
      <c r="S513" s="169"/>
      <c r="T513" s="146">
        <f t="shared" si="52"/>
        <v>0</v>
      </c>
      <c r="U513" s="121" t="str">
        <f t="shared" si="53"/>
        <v>Close</v>
      </c>
      <c r="V513" s="117"/>
    </row>
    <row r="514" spans="1:22" ht="15" customHeight="1">
      <c r="A514" s="117"/>
      <c r="B514" s="144" t="str">
        <f>IF(D514="","","P"&amp;D514&amp;"MA"&amp;COUNTIF($D$14:D514,D514))</f>
        <v/>
      </c>
      <c r="C514" s="162"/>
      <c r="D514" s="163"/>
      <c r="E514" s="164"/>
      <c r="F514" s="164"/>
      <c r="G514" s="164"/>
      <c r="H514" s="164"/>
      <c r="I514" s="162"/>
      <c r="J514" s="144"/>
      <c r="K514" s="144"/>
      <c r="L514" s="144"/>
      <c r="M514" s="145">
        <f t="shared" si="48"/>
        <v>0</v>
      </c>
      <c r="N514" s="145">
        <f t="shared" si="49"/>
        <v>0</v>
      </c>
      <c r="O514" s="146">
        <f t="shared" si="50"/>
        <v>0</v>
      </c>
      <c r="P514" s="146">
        <f>IF(B514="",0,SUMIF('NHAP XUAT'!$G$10:$J$1011,'Ghi So'!B514,'NHAP XUAT'!$J$10:$J$1011))</f>
        <v>0</v>
      </c>
      <c r="Q514" s="146">
        <f t="shared" si="51"/>
        <v>0</v>
      </c>
      <c r="R514" s="169"/>
      <c r="S514" s="169"/>
      <c r="T514" s="146">
        <f t="shared" si="52"/>
        <v>0</v>
      </c>
      <c r="U514" s="121" t="str">
        <f t="shared" si="53"/>
        <v>Close</v>
      </c>
      <c r="V514" s="117"/>
    </row>
    <row r="515" spans="1:22" ht="15" customHeight="1">
      <c r="A515" s="117"/>
      <c r="B515" s="144" t="str">
        <f>IF(D515="","","P"&amp;D515&amp;"MA"&amp;COUNTIF($D$14:D515,D515))</f>
        <v/>
      </c>
      <c r="C515" s="162"/>
      <c r="D515" s="163"/>
      <c r="E515" s="164"/>
      <c r="F515" s="164"/>
      <c r="G515" s="164"/>
      <c r="H515" s="164"/>
      <c r="I515" s="162"/>
      <c r="J515" s="144"/>
      <c r="K515" s="144"/>
      <c r="L515" s="144"/>
      <c r="M515" s="145">
        <f t="shared" si="48"/>
        <v>0</v>
      </c>
      <c r="N515" s="145">
        <f t="shared" si="49"/>
        <v>0</v>
      </c>
      <c r="O515" s="146">
        <f t="shared" si="50"/>
        <v>0</v>
      </c>
      <c r="P515" s="146">
        <f>IF(B515="",0,SUMIF('NHAP XUAT'!$G$10:$J$1011,'Ghi So'!B515,'NHAP XUAT'!$J$10:$J$1011))</f>
        <v>0</v>
      </c>
      <c r="Q515" s="146">
        <f t="shared" si="51"/>
        <v>0</v>
      </c>
      <c r="R515" s="169"/>
      <c r="S515" s="169"/>
      <c r="T515" s="146">
        <f t="shared" si="52"/>
        <v>0</v>
      </c>
      <c r="U515" s="121" t="str">
        <f t="shared" si="53"/>
        <v>Close</v>
      </c>
      <c r="V515" s="117"/>
    </row>
    <row r="516" spans="1:22" ht="15" customHeight="1">
      <c r="A516" s="117"/>
      <c r="B516" s="144" t="str">
        <f>IF(D516="","","P"&amp;D516&amp;"MA"&amp;COUNTIF($D$14:D516,D516))</f>
        <v/>
      </c>
      <c r="C516" s="162"/>
      <c r="D516" s="163"/>
      <c r="E516" s="164"/>
      <c r="F516" s="164"/>
      <c r="G516" s="164"/>
      <c r="H516" s="164"/>
      <c r="I516" s="162"/>
      <c r="J516" s="144"/>
      <c r="K516" s="144"/>
      <c r="L516" s="144"/>
      <c r="M516" s="145">
        <f t="shared" si="48"/>
        <v>0</v>
      </c>
      <c r="N516" s="145">
        <f t="shared" si="49"/>
        <v>0</v>
      </c>
      <c r="O516" s="146">
        <f t="shared" si="50"/>
        <v>0</v>
      </c>
      <c r="P516" s="146">
        <f>IF(B516="",0,SUMIF('NHAP XUAT'!$G$10:$J$1011,'Ghi So'!B516,'NHAP XUAT'!$J$10:$J$1011))</f>
        <v>0</v>
      </c>
      <c r="Q516" s="146">
        <f t="shared" si="51"/>
        <v>0</v>
      </c>
      <c r="R516" s="169"/>
      <c r="S516" s="169"/>
      <c r="T516" s="146">
        <f t="shared" si="52"/>
        <v>0</v>
      </c>
      <c r="U516" s="121" t="str">
        <f t="shared" si="53"/>
        <v>Close</v>
      </c>
      <c r="V516" s="117"/>
    </row>
    <row r="517" spans="1:22" ht="15" customHeight="1">
      <c r="A517" s="117"/>
      <c r="B517" s="144" t="str">
        <f>IF(D517="","","P"&amp;D517&amp;"MA"&amp;COUNTIF($D$14:D517,D517))</f>
        <v/>
      </c>
      <c r="C517" s="162"/>
      <c r="D517" s="163"/>
      <c r="E517" s="164"/>
      <c r="F517" s="164"/>
      <c r="G517" s="164"/>
      <c r="H517" s="164"/>
      <c r="I517" s="162"/>
      <c r="J517" s="144"/>
      <c r="K517" s="144"/>
      <c r="L517" s="144"/>
      <c r="M517" s="145">
        <f t="shared" si="48"/>
        <v>0</v>
      </c>
      <c r="N517" s="145">
        <f t="shared" si="49"/>
        <v>0</v>
      </c>
      <c r="O517" s="146">
        <f t="shared" si="50"/>
        <v>0</v>
      </c>
      <c r="P517" s="146">
        <f>IF(B517="",0,SUMIF('NHAP XUAT'!$G$10:$J$1011,'Ghi So'!B517,'NHAP XUAT'!$J$10:$J$1011))</f>
        <v>0</v>
      </c>
      <c r="Q517" s="146">
        <f t="shared" si="51"/>
        <v>0</v>
      </c>
      <c r="R517" s="169"/>
      <c r="S517" s="169"/>
      <c r="T517" s="146">
        <f t="shared" si="52"/>
        <v>0</v>
      </c>
      <c r="U517" s="121" t="str">
        <f t="shared" si="53"/>
        <v>Close</v>
      </c>
      <c r="V517" s="117"/>
    </row>
    <row r="518" spans="1:22" ht="15" customHeight="1">
      <c r="A518" s="117"/>
      <c r="B518" s="144" t="str">
        <f>IF(D518="","","P"&amp;D518&amp;"MA"&amp;COUNTIF($D$14:D518,D518))</f>
        <v/>
      </c>
      <c r="C518" s="162"/>
      <c r="D518" s="163"/>
      <c r="E518" s="164"/>
      <c r="F518" s="164"/>
      <c r="G518" s="164"/>
      <c r="H518" s="164"/>
      <c r="I518" s="162"/>
      <c r="J518" s="144"/>
      <c r="K518" s="144"/>
      <c r="L518" s="144"/>
      <c r="M518" s="145">
        <f t="shared" si="48"/>
        <v>0</v>
      </c>
      <c r="N518" s="145">
        <f t="shared" si="49"/>
        <v>0</v>
      </c>
      <c r="O518" s="146">
        <f t="shared" si="50"/>
        <v>0</v>
      </c>
      <c r="P518" s="146">
        <f>IF(B518="",0,SUMIF('NHAP XUAT'!$G$10:$J$1011,'Ghi So'!B518,'NHAP XUAT'!$J$10:$J$1011))</f>
        <v>0</v>
      </c>
      <c r="Q518" s="146">
        <f t="shared" si="51"/>
        <v>0</v>
      </c>
      <c r="R518" s="169"/>
      <c r="S518" s="169"/>
      <c r="T518" s="146">
        <f t="shared" si="52"/>
        <v>0</v>
      </c>
      <c r="U518" s="121" t="str">
        <f t="shared" si="53"/>
        <v>Close</v>
      </c>
      <c r="V518" s="117"/>
    </row>
    <row r="519" spans="1:22" ht="15" customHeight="1">
      <c r="A519" s="117"/>
      <c r="B519" s="144" t="str">
        <f>IF(D519="","","P"&amp;D519&amp;"MA"&amp;COUNTIF($D$14:D519,D519))</f>
        <v/>
      </c>
      <c r="C519" s="162"/>
      <c r="D519" s="163"/>
      <c r="E519" s="164"/>
      <c r="F519" s="164"/>
      <c r="G519" s="164"/>
      <c r="H519" s="164"/>
      <c r="I519" s="162"/>
      <c r="J519" s="144"/>
      <c r="K519" s="144"/>
      <c r="L519" s="144"/>
      <c r="M519" s="145">
        <f t="shared" si="48"/>
        <v>0</v>
      </c>
      <c r="N519" s="145">
        <f t="shared" si="49"/>
        <v>0</v>
      </c>
      <c r="O519" s="146">
        <f t="shared" si="50"/>
        <v>0</v>
      </c>
      <c r="P519" s="146">
        <f>IF(B519="",0,SUMIF('NHAP XUAT'!$G$10:$J$1011,'Ghi So'!B519,'NHAP XUAT'!$J$10:$J$1011))</f>
        <v>0</v>
      </c>
      <c r="Q519" s="146">
        <f t="shared" si="51"/>
        <v>0</v>
      </c>
      <c r="R519" s="169"/>
      <c r="S519" s="169"/>
      <c r="T519" s="146">
        <f t="shared" si="52"/>
        <v>0</v>
      </c>
      <c r="U519" s="121" t="str">
        <f t="shared" si="53"/>
        <v>Close</v>
      </c>
      <c r="V519" s="117"/>
    </row>
    <row r="520" spans="1:22" ht="15" customHeight="1">
      <c r="A520" s="117"/>
      <c r="B520" s="144" t="str">
        <f>IF(D520="","","P"&amp;D520&amp;"MA"&amp;COUNTIF($D$14:D520,D520))</f>
        <v/>
      </c>
      <c r="C520" s="162"/>
      <c r="D520" s="163"/>
      <c r="E520" s="164"/>
      <c r="F520" s="164"/>
      <c r="G520" s="164"/>
      <c r="H520" s="164"/>
      <c r="I520" s="162"/>
      <c r="J520" s="144"/>
      <c r="K520" s="144"/>
      <c r="L520" s="144"/>
      <c r="M520" s="145">
        <f t="shared" si="48"/>
        <v>0</v>
      </c>
      <c r="N520" s="145">
        <f t="shared" si="49"/>
        <v>0</v>
      </c>
      <c r="O520" s="146">
        <f t="shared" si="50"/>
        <v>0</v>
      </c>
      <c r="P520" s="146">
        <f>IF(B520="",0,SUMIF('NHAP XUAT'!$G$10:$J$1011,'Ghi So'!B520,'NHAP XUAT'!$J$10:$J$1011))</f>
        <v>0</v>
      </c>
      <c r="Q520" s="146">
        <f t="shared" si="51"/>
        <v>0</v>
      </c>
      <c r="R520" s="169"/>
      <c r="S520" s="169"/>
      <c r="T520" s="146">
        <f t="shared" si="52"/>
        <v>0</v>
      </c>
      <c r="U520" s="121" t="str">
        <f t="shared" si="53"/>
        <v>Close</v>
      </c>
      <c r="V520" s="117"/>
    </row>
    <row r="521" spans="1:22" ht="15" customHeight="1">
      <c r="A521" s="117"/>
      <c r="B521" s="144" t="str">
        <f>IF(D521="","","P"&amp;D521&amp;"MA"&amp;COUNTIF($D$14:D521,D521))</f>
        <v/>
      </c>
      <c r="C521" s="162"/>
      <c r="D521" s="163"/>
      <c r="E521" s="164"/>
      <c r="F521" s="164"/>
      <c r="G521" s="164"/>
      <c r="H521" s="164"/>
      <c r="I521" s="162"/>
      <c r="J521" s="144"/>
      <c r="K521" s="144"/>
      <c r="L521" s="144"/>
      <c r="M521" s="145">
        <f t="shared" si="48"/>
        <v>0</v>
      </c>
      <c r="N521" s="145">
        <f t="shared" si="49"/>
        <v>0</v>
      </c>
      <c r="O521" s="146">
        <f t="shared" si="50"/>
        <v>0</v>
      </c>
      <c r="P521" s="146">
        <f>IF(B521="",0,SUMIF('NHAP XUAT'!$G$10:$J$1011,'Ghi So'!B521,'NHAP XUAT'!$J$10:$J$1011))</f>
        <v>0</v>
      </c>
      <c r="Q521" s="146">
        <f t="shared" si="51"/>
        <v>0</v>
      </c>
      <c r="R521" s="169"/>
      <c r="S521" s="169"/>
      <c r="T521" s="146">
        <f t="shared" si="52"/>
        <v>0</v>
      </c>
      <c r="U521" s="121" t="str">
        <f t="shared" si="53"/>
        <v>Close</v>
      </c>
      <c r="V521" s="117"/>
    </row>
    <row r="522" spans="1:22" ht="15" customHeight="1">
      <c r="A522" s="117"/>
      <c r="B522" s="144" t="str">
        <f>IF(D522="","","P"&amp;D522&amp;"MA"&amp;COUNTIF($D$14:D522,D522))</f>
        <v/>
      </c>
      <c r="C522" s="162"/>
      <c r="D522" s="163"/>
      <c r="E522" s="164"/>
      <c r="F522" s="164"/>
      <c r="G522" s="164"/>
      <c r="H522" s="164"/>
      <c r="I522" s="162"/>
      <c r="J522" s="144"/>
      <c r="K522" s="144"/>
      <c r="L522" s="144"/>
      <c r="M522" s="145">
        <f t="shared" si="48"/>
        <v>0</v>
      </c>
      <c r="N522" s="145">
        <f t="shared" si="49"/>
        <v>0</v>
      </c>
      <c r="O522" s="146">
        <f t="shared" si="50"/>
        <v>0</v>
      </c>
      <c r="P522" s="146">
        <f>IF(B522="",0,SUMIF('NHAP XUAT'!$G$10:$J$1011,'Ghi So'!B522,'NHAP XUAT'!$J$10:$J$1011))</f>
        <v>0</v>
      </c>
      <c r="Q522" s="146">
        <f t="shared" si="51"/>
        <v>0</v>
      </c>
      <c r="R522" s="169"/>
      <c r="S522" s="169"/>
      <c r="T522" s="146">
        <f t="shared" si="52"/>
        <v>0</v>
      </c>
      <c r="U522" s="121" t="str">
        <f t="shared" si="53"/>
        <v>Close</v>
      </c>
      <c r="V522" s="117"/>
    </row>
    <row r="523" spans="1:22" ht="15" customHeight="1">
      <c r="A523" s="117"/>
      <c r="B523" s="144" t="str">
        <f>IF(D523="","","P"&amp;D523&amp;"MA"&amp;COUNTIF($D$14:D523,D523))</f>
        <v/>
      </c>
      <c r="C523" s="162"/>
      <c r="D523" s="163"/>
      <c r="E523" s="164"/>
      <c r="F523" s="164"/>
      <c r="G523" s="164"/>
      <c r="H523" s="164"/>
      <c r="I523" s="162"/>
      <c r="J523" s="144"/>
      <c r="K523" s="144"/>
      <c r="L523" s="144"/>
      <c r="M523" s="145">
        <f t="shared" si="48"/>
        <v>0</v>
      </c>
      <c r="N523" s="145">
        <f t="shared" si="49"/>
        <v>0</v>
      </c>
      <c r="O523" s="146">
        <f t="shared" si="50"/>
        <v>0</v>
      </c>
      <c r="P523" s="146">
        <f>IF(B523="",0,SUMIF('NHAP XUAT'!$G$10:$J$1011,'Ghi So'!B523,'NHAP XUAT'!$J$10:$J$1011))</f>
        <v>0</v>
      </c>
      <c r="Q523" s="146">
        <f t="shared" si="51"/>
        <v>0</v>
      </c>
      <c r="R523" s="169"/>
      <c r="S523" s="169"/>
      <c r="T523" s="146">
        <f t="shared" si="52"/>
        <v>0</v>
      </c>
      <c r="U523" s="121" t="str">
        <f t="shared" si="53"/>
        <v>Close</v>
      </c>
      <c r="V523" s="117"/>
    </row>
    <row r="524" spans="1:22" ht="15" customHeight="1">
      <c r="A524" s="117"/>
      <c r="B524" s="144" t="str">
        <f>IF(D524="","","P"&amp;D524&amp;"MA"&amp;COUNTIF($D$14:D524,D524))</f>
        <v/>
      </c>
      <c r="C524" s="162"/>
      <c r="D524" s="163"/>
      <c r="E524" s="164"/>
      <c r="F524" s="164"/>
      <c r="G524" s="164"/>
      <c r="H524" s="164"/>
      <c r="I524" s="162"/>
      <c r="J524" s="144"/>
      <c r="K524" s="144"/>
      <c r="L524" s="144"/>
      <c r="M524" s="145">
        <f t="shared" si="48"/>
        <v>0</v>
      </c>
      <c r="N524" s="145">
        <f t="shared" si="49"/>
        <v>0</v>
      </c>
      <c r="O524" s="146">
        <f t="shared" si="50"/>
        <v>0</v>
      </c>
      <c r="P524" s="146">
        <f>IF(B524="",0,SUMIF('NHAP XUAT'!$G$10:$J$1011,'Ghi So'!B524,'NHAP XUAT'!$J$10:$J$1011))</f>
        <v>0</v>
      </c>
      <c r="Q524" s="146">
        <f t="shared" si="51"/>
        <v>0</v>
      </c>
      <c r="R524" s="169"/>
      <c r="S524" s="169"/>
      <c r="T524" s="146">
        <f t="shared" si="52"/>
        <v>0</v>
      </c>
      <c r="U524" s="121" t="str">
        <f t="shared" si="53"/>
        <v>Close</v>
      </c>
      <c r="V524" s="117"/>
    </row>
    <row r="525" spans="1:22" ht="15" customHeight="1">
      <c r="A525" s="117"/>
      <c r="B525" s="144" t="str">
        <f>IF(D525="","","P"&amp;D525&amp;"MA"&amp;COUNTIF($D$14:D525,D525))</f>
        <v/>
      </c>
      <c r="C525" s="162"/>
      <c r="D525" s="163"/>
      <c r="E525" s="164"/>
      <c r="F525" s="164"/>
      <c r="G525" s="164"/>
      <c r="H525" s="164"/>
      <c r="I525" s="162"/>
      <c r="J525" s="144"/>
      <c r="K525" s="144"/>
      <c r="L525" s="144"/>
      <c r="M525" s="145">
        <f t="shared" si="48"/>
        <v>0</v>
      </c>
      <c r="N525" s="145">
        <f t="shared" si="49"/>
        <v>0</v>
      </c>
      <c r="O525" s="146">
        <f t="shared" si="50"/>
        <v>0</v>
      </c>
      <c r="P525" s="146">
        <f>IF(B525="",0,SUMIF('NHAP XUAT'!$G$10:$J$1011,'Ghi So'!B525,'NHAP XUAT'!$J$10:$J$1011))</f>
        <v>0</v>
      </c>
      <c r="Q525" s="146">
        <f t="shared" si="51"/>
        <v>0</v>
      </c>
      <c r="R525" s="169"/>
      <c r="S525" s="169"/>
      <c r="T525" s="146">
        <f t="shared" si="52"/>
        <v>0</v>
      </c>
      <c r="U525" s="121" t="str">
        <f t="shared" si="53"/>
        <v>Close</v>
      </c>
      <c r="V525" s="117"/>
    </row>
    <row r="526" spans="1:22" ht="15" customHeight="1">
      <c r="A526" s="117"/>
      <c r="B526" s="144" t="str">
        <f>IF(D526="","","P"&amp;D526&amp;"MA"&amp;COUNTIF($D$14:D526,D526))</f>
        <v/>
      </c>
      <c r="C526" s="162"/>
      <c r="D526" s="163"/>
      <c r="E526" s="164"/>
      <c r="F526" s="164"/>
      <c r="G526" s="164"/>
      <c r="H526" s="164"/>
      <c r="I526" s="162"/>
      <c r="J526" s="144"/>
      <c r="K526" s="144"/>
      <c r="L526" s="144"/>
      <c r="M526" s="145">
        <f t="shared" si="48"/>
        <v>0</v>
      </c>
      <c r="N526" s="145">
        <f t="shared" si="49"/>
        <v>0</v>
      </c>
      <c r="O526" s="146">
        <f t="shared" si="50"/>
        <v>0</v>
      </c>
      <c r="P526" s="146">
        <f>IF(B526="",0,SUMIF('NHAP XUAT'!$G$10:$J$1011,'Ghi So'!B526,'NHAP XUAT'!$J$10:$J$1011))</f>
        <v>0</v>
      </c>
      <c r="Q526" s="146">
        <f t="shared" si="51"/>
        <v>0</v>
      </c>
      <c r="R526" s="169"/>
      <c r="S526" s="169"/>
      <c r="T526" s="146">
        <f t="shared" si="52"/>
        <v>0</v>
      </c>
      <c r="U526" s="121" t="str">
        <f t="shared" si="53"/>
        <v>Close</v>
      </c>
      <c r="V526" s="117"/>
    </row>
    <row r="527" spans="1:22" ht="15" customHeight="1">
      <c r="A527" s="117"/>
      <c r="B527" s="144" t="str">
        <f>IF(D527="","","P"&amp;D527&amp;"MA"&amp;COUNTIF($D$14:D527,D527))</f>
        <v/>
      </c>
      <c r="C527" s="162"/>
      <c r="D527" s="163"/>
      <c r="E527" s="164"/>
      <c r="F527" s="164"/>
      <c r="G527" s="164"/>
      <c r="H527" s="164"/>
      <c r="I527" s="162"/>
      <c r="J527" s="144"/>
      <c r="K527" s="144"/>
      <c r="L527" s="144"/>
      <c r="M527" s="145">
        <f t="shared" si="48"/>
        <v>0</v>
      </c>
      <c r="N527" s="145">
        <f t="shared" si="49"/>
        <v>0</v>
      </c>
      <c r="O527" s="146">
        <f t="shared" si="50"/>
        <v>0</v>
      </c>
      <c r="P527" s="146">
        <f>IF(B527="",0,SUMIF('NHAP XUAT'!$G$10:$J$1011,'Ghi So'!B527,'NHAP XUAT'!$J$10:$J$1011))</f>
        <v>0</v>
      </c>
      <c r="Q527" s="146">
        <f t="shared" si="51"/>
        <v>0</v>
      </c>
      <c r="R527" s="169"/>
      <c r="S527" s="169"/>
      <c r="T527" s="146">
        <f t="shared" si="52"/>
        <v>0</v>
      </c>
      <c r="U527" s="121" t="str">
        <f t="shared" si="53"/>
        <v>Close</v>
      </c>
      <c r="V527" s="117"/>
    </row>
    <row r="528" spans="1:22" ht="15" customHeight="1">
      <c r="A528" s="117"/>
      <c r="B528" s="144" t="str">
        <f>IF(D528="","","P"&amp;D528&amp;"MA"&amp;COUNTIF($D$14:D528,D528))</f>
        <v/>
      </c>
      <c r="C528" s="162"/>
      <c r="D528" s="163"/>
      <c r="E528" s="164"/>
      <c r="F528" s="164"/>
      <c r="G528" s="164"/>
      <c r="H528" s="164"/>
      <c r="I528" s="162"/>
      <c r="J528" s="144"/>
      <c r="K528" s="144"/>
      <c r="L528" s="144"/>
      <c r="M528" s="145">
        <f t="shared" si="48"/>
        <v>0</v>
      </c>
      <c r="N528" s="145">
        <f t="shared" si="49"/>
        <v>0</v>
      </c>
      <c r="O528" s="146">
        <f t="shared" si="50"/>
        <v>0</v>
      </c>
      <c r="P528" s="146">
        <f>IF(B528="",0,SUMIF('NHAP XUAT'!$G$10:$J$1011,'Ghi So'!B528,'NHAP XUAT'!$J$10:$J$1011))</f>
        <v>0</v>
      </c>
      <c r="Q528" s="146">
        <f t="shared" si="51"/>
        <v>0</v>
      </c>
      <c r="R528" s="169"/>
      <c r="S528" s="169"/>
      <c r="T528" s="146">
        <f t="shared" si="52"/>
        <v>0</v>
      </c>
      <c r="U528" s="121" t="str">
        <f t="shared" si="53"/>
        <v>Close</v>
      </c>
      <c r="V528" s="117"/>
    </row>
    <row r="529" spans="1:22" ht="15" customHeight="1">
      <c r="A529" s="117"/>
      <c r="B529" s="144" t="str">
        <f>IF(D529="","","P"&amp;D529&amp;"MA"&amp;COUNTIF($D$14:D529,D529))</f>
        <v/>
      </c>
      <c r="C529" s="162"/>
      <c r="D529" s="163"/>
      <c r="E529" s="164"/>
      <c r="F529" s="164"/>
      <c r="G529" s="164"/>
      <c r="H529" s="164"/>
      <c r="I529" s="162"/>
      <c r="J529" s="144"/>
      <c r="K529" s="144"/>
      <c r="L529" s="144"/>
      <c r="M529" s="145">
        <f t="shared" si="48"/>
        <v>0</v>
      </c>
      <c r="N529" s="145">
        <f t="shared" si="49"/>
        <v>0</v>
      </c>
      <c r="O529" s="146">
        <f t="shared" si="50"/>
        <v>0</v>
      </c>
      <c r="P529" s="146">
        <f>IF(B529="",0,SUMIF('NHAP XUAT'!$G$10:$J$1011,'Ghi So'!B529,'NHAP XUAT'!$J$10:$J$1011))</f>
        <v>0</v>
      </c>
      <c r="Q529" s="146">
        <f t="shared" si="51"/>
        <v>0</v>
      </c>
      <c r="R529" s="169"/>
      <c r="S529" s="169"/>
      <c r="T529" s="146">
        <f t="shared" si="52"/>
        <v>0</v>
      </c>
      <c r="U529" s="121" t="str">
        <f t="shared" si="53"/>
        <v>Close</v>
      </c>
      <c r="V529" s="117"/>
    </row>
    <row r="530" spans="1:22" ht="15" customHeight="1">
      <c r="A530" s="117"/>
      <c r="B530" s="144" t="str">
        <f>IF(D530="","","P"&amp;D530&amp;"MA"&amp;COUNTIF($D$14:D530,D530))</f>
        <v/>
      </c>
      <c r="C530" s="162"/>
      <c r="D530" s="163"/>
      <c r="E530" s="164"/>
      <c r="F530" s="164"/>
      <c r="G530" s="164"/>
      <c r="H530" s="164"/>
      <c r="I530" s="162"/>
      <c r="J530" s="144"/>
      <c r="K530" s="144"/>
      <c r="L530" s="144"/>
      <c r="M530" s="145">
        <f t="shared" si="48"/>
        <v>0</v>
      </c>
      <c r="N530" s="145">
        <f t="shared" si="49"/>
        <v>0</v>
      </c>
      <c r="O530" s="146">
        <f t="shared" si="50"/>
        <v>0</v>
      </c>
      <c r="P530" s="146">
        <f>IF(B530="",0,SUMIF('NHAP XUAT'!$G$10:$J$1011,'Ghi So'!B530,'NHAP XUAT'!$J$10:$J$1011))</f>
        <v>0</v>
      </c>
      <c r="Q530" s="146">
        <f t="shared" si="51"/>
        <v>0</v>
      </c>
      <c r="R530" s="169"/>
      <c r="S530" s="169"/>
      <c r="T530" s="146">
        <f t="shared" si="52"/>
        <v>0</v>
      </c>
      <c r="U530" s="121" t="str">
        <f t="shared" si="53"/>
        <v>Close</v>
      </c>
      <c r="V530" s="117"/>
    </row>
    <row r="531" spans="1:22" ht="15" customHeight="1">
      <c r="A531" s="117"/>
      <c r="B531" s="144" t="str">
        <f>IF(D531="","","P"&amp;D531&amp;"MA"&amp;COUNTIF($D$14:D531,D531))</f>
        <v/>
      </c>
      <c r="C531" s="162"/>
      <c r="D531" s="163"/>
      <c r="E531" s="164"/>
      <c r="F531" s="164"/>
      <c r="G531" s="164"/>
      <c r="H531" s="164"/>
      <c r="I531" s="162"/>
      <c r="J531" s="144"/>
      <c r="K531" s="144"/>
      <c r="L531" s="144"/>
      <c r="M531" s="145">
        <f t="shared" si="48"/>
        <v>0</v>
      </c>
      <c r="N531" s="145">
        <f t="shared" si="49"/>
        <v>0</v>
      </c>
      <c r="O531" s="146">
        <f t="shared" si="50"/>
        <v>0</v>
      </c>
      <c r="P531" s="146">
        <f>IF(B531="",0,SUMIF('NHAP XUAT'!$G$10:$J$1011,'Ghi So'!B531,'NHAP XUAT'!$J$10:$J$1011))</f>
        <v>0</v>
      </c>
      <c r="Q531" s="146">
        <f t="shared" si="51"/>
        <v>0</v>
      </c>
      <c r="R531" s="169"/>
      <c r="S531" s="169"/>
      <c r="T531" s="146">
        <f t="shared" si="52"/>
        <v>0</v>
      </c>
      <c r="U531" s="121" t="str">
        <f t="shared" si="53"/>
        <v>Close</v>
      </c>
      <c r="V531" s="117"/>
    </row>
    <row r="532" spans="1:22" ht="15" customHeight="1">
      <c r="A532" s="117"/>
      <c r="B532" s="144" t="str">
        <f>IF(D532="","","P"&amp;D532&amp;"MA"&amp;COUNTIF($D$14:D532,D532))</f>
        <v/>
      </c>
      <c r="C532" s="162"/>
      <c r="D532" s="163"/>
      <c r="E532" s="164"/>
      <c r="F532" s="164"/>
      <c r="G532" s="164"/>
      <c r="H532" s="164"/>
      <c r="I532" s="162"/>
      <c r="J532" s="144"/>
      <c r="K532" s="144"/>
      <c r="L532" s="144"/>
      <c r="M532" s="145">
        <f t="shared" si="48"/>
        <v>0</v>
      </c>
      <c r="N532" s="145">
        <f t="shared" si="49"/>
        <v>0</v>
      </c>
      <c r="O532" s="146">
        <f t="shared" si="50"/>
        <v>0</v>
      </c>
      <c r="P532" s="146">
        <f>IF(B532="",0,SUMIF('NHAP XUAT'!$G$10:$J$1011,'Ghi So'!B532,'NHAP XUAT'!$J$10:$J$1011))</f>
        <v>0</v>
      </c>
      <c r="Q532" s="146">
        <f t="shared" si="51"/>
        <v>0</v>
      </c>
      <c r="R532" s="169"/>
      <c r="S532" s="169"/>
      <c r="T532" s="146">
        <f t="shared" si="52"/>
        <v>0</v>
      </c>
      <c r="U532" s="121" t="str">
        <f t="shared" si="53"/>
        <v>Close</v>
      </c>
      <c r="V532" s="117"/>
    </row>
    <row r="533" spans="1:22" ht="15" customHeight="1">
      <c r="A533" s="117"/>
      <c r="B533" s="144" t="str">
        <f>IF(D533="","","P"&amp;D533&amp;"MA"&amp;COUNTIF($D$14:D533,D533))</f>
        <v/>
      </c>
      <c r="C533" s="162"/>
      <c r="D533" s="163"/>
      <c r="E533" s="164"/>
      <c r="F533" s="164"/>
      <c r="G533" s="164"/>
      <c r="H533" s="164"/>
      <c r="I533" s="162"/>
      <c r="J533" s="144"/>
      <c r="K533" s="144"/>
      <c r="L533" s="144"/>
      <c r="M533" s="145">
        <f t="shared" si="48"/>
        <v>0</v>
      </c>
      <c r="N533" s="145">
        <f t="shared" si="49"/>
        <v>0</v>
      </c>
      <c r="O533" s="146">
        <f t="shared" si="50"/>
        <v>0</v>
      </c>
      <c r="P533" s="146">
        <f>IF(B533="",0,SUMIF('NHAP XUAT'!$G$10:$J$1011,'Ghi So'!B533,'NHAP XUAT'!$J$10:$J$1011))</f>
        <v>0</v>
      </c>
      <c r="Q533" s="146">
        <f t="shared" si="51"/>
        <v>0</v>
      </c>
      <c r="R533" s="169"/>
      <c r="S533" s="169"/>
      <c r="T533" s="146">
        <f t="shared" si="52"/>
        <v>0</v>
      </c>
      <c r="U533" s="121" t="str">
        <f t="shared" si="53"/>
        <v>Close</v>
      </c>
      <c r="V533" s="117"/>
    </row>
    <row r="534" spans="1:22" ht="15" customHeight="1">
      <c r="A534" s="117"/>
      <c r="B534" s="144" t="str">
        <f>IF(D534="","","P"&amp;D534&amp;"MA"&amp;COUNTIF($D$14:D534,D534))</f>
        <v/>
      </c>
      <c r="C534" s="162"/>
      <c r="D534" s="163"/>
      <c r="E534" s="164"/>
      <c r="F534" s="164"/>
      <c r="G534" s="164"/>
      <c r="H534" s="164"/>
      <c r="I534" s="162"/>
      <c r="J534" s="144"/>
      <c r="K534" s="144"/>
      <c r="L534" s="144"/>
      <c r="M534" s="145">
        <f t="shared" si="48"/>
        <v>0</v>
      </c>
      <c r="N534" s="145">
        <f t="shared" si="49"/>
        <v>0</v>
      </c>
      <c r="O534" s="146">
        <f t="shared" si="50"/>
        <v>0</v>
      </c>
      <c r="P534" s="146">
        <f>IF(B534="",0,SUMIF('NHAP XUAT'!$G$10:$J$1011,'Ghi So'!B534,'NHAP XUAT'!$J$10:$J$1011))</f>
        <v>0</v>
      </c>
      <c r="Q534" s="146">
        <f t="shared" si="51"/>
        <v>0</v>
      </c>
      <c r="R534" s="169"/>
      <c r="S534" s="169"/>
      <c r="T534" s="146">
        <f t="shared" si="52"/>
        <v>0</v>
      </c>
      <c r="U534" s="121" t="str">
        <f t="shared" si="53"/>
        <v>Close</v>
      </c>
      <c r="V534" s="117"/>
    </row>
    <row r="535" spans="1:22" ht="15" customHeight="1">
      <c r="A535" s="117"/>
      <c r="B535" s="144" t="str">
        <f>IF(D535="","","P"&amp;D535&amp;"MA"&amp;COUNTIF($D$14:D535,D535))</f>
        <v/>
      </c>
      <c r="C535" s="162"/>
      <c r="D535" s="163"/>
      <c r="E535" s="164"/>
      <c r="F535" s="164"/>
      <c r="G535" s="164"/>
      <c r="H535" s="164"/>
      <c r="I535" s="162"/>
      <c r="J535" s="144"/>
      <c r="K535" s="144"/>
      <c r="L535" s="144"/>
      <c r="M535" s="145">
        <f t="shared" si="48"/>
        <v>0</v>
      </c>
      <c r="N535" s="145">
        <f t="shared" si="49"/>
        <v>0</v>
      </c>
      <c r="O535" s="146">
        <f t="shared" si="50"/>
        <v>0</v>
      </c>
      <c r="P535" s="146">
        <f>IF(B535="",0,SUMIF('NHAP XUAT'!$G$10:$J$1011,'Ghi So'!B535,'NHAP XUAT'!$J$10:$J$1011))</f>
        <v>0</v>
      </c>
      <c r="Q535" s="146">
        <f t="shared" si="51"/>
        <v>0</v>
      </c>
      <c r="R535" s="169"/>
      <c r="S535" s="169"/>
      <c r="T535" s="146">
        <f t="shared" si="52"/>
        <v>0</v>
      </c>
      <c r="U535" s="121" t="str">
        <f t="shared" si="53"/>
        <v>Close</v>
      </c>
      <c r="V535" s="117"/>
    </row>
    <row r="536" spans="1:22" ht="15" customHeight="1">
      <c r="A536" s="117"/>
      <c r="B536" s="144" t="str">
        <f>IF(D536="","","P"&amp;D536&amp;"MA"&amp;COUNTIF($D$14:D536,D536))</f>
        <v/>
      </c>
      <c r="C536" s="162"/>
      <c r="D536" s="163"/>
      <c r="E536" s="164"/>
      <c r="F536" s="164"/>
      <c r="G536" s="164"/>
      <c r="H536" s="164"/>
      <c r="I536" s="162"/>
      <c r="J536" s="144"/>
      <c r="K536" s="144"/>
      <c r="L536" s="144"/>
      <c r="M536" s="145">
        <f t="shared" si="48"/>
        <v>0</v>
      </c>
      <c r="N536" s="145">
        <f t="shared" si="49"/>
        <v>0</v>
      </c>
      <c r="O536" s="146">
        <f t="shared" si="50"/>
        <v>0</v>
      </c>
      <c r="P536" s="146">
        <f>IF(B536="",0,SUMIF('NHAP XUAT'!$G$10:$J$1011,'Ghi So'!B536,'NHAP XUAT'!$J$10:$J$1011))</f>
        <v>0</v>
      </c>
      <c r="Q536" s="146">
        <f t="shared" si="51"/>
        <v>0</v>
      </c>
      <c r="R536" s="169"/>
      <c r="S536" s="169"/>
      <c r="T536" s="146">
        <f t="shared" si="52"/>
        <v>0</v>
      </c>
      <c r="U536" s="121" t="str">
        <f t="shared" si="53"/>
        <v>Close</v>
      </c>
      <c r="V536" s="117"/>
    </row>
    <row r="537" spans="1:22" ht="15" customHeight="1">
      <c r="A537" s="117"/>
      <c r="B537" s="144" t="str">
        <f>IF(D537="","","P"&amp;D537&amp;"MA"&amp;COUNTIF($D$14:D537,D537))</f>
        <v/>
      </c>
      <c r="C537" s="162"/>
      <c r="D537" s="163"/>
      <c r="E537" s="164"/>
      <c r="F537" s="164"/>
      <c r="G537" s="164"/>
      <c r="H537" s="164"/>
      <c r="I537" s="162"/>
      <c r="J537" s="144"/>
      <c r="K537" s="144"/>
      <c r="L537" s="144"/>
      <c r="M537" s="145">
        <f t="shared" si="48"/>
        <v>0</v>
      </c>
      <c r="N537" s="145">
        <f t="shared" si="49"/>
        <v>0</v>
      </c>
      <c r="O537" s="146">
        <f t="shared" si="50"/>
        <v>0</v>
      </c>
      <c r="P537" s="146">
        <f>IF(B537="",0,SUMIF('NHAP XUAT'!$G$10:$J$1011,'Ghi So'!B537,'NHAP XUAT'!$J$10:$J$1011))</f>
        <v>0</v>
      </c>
      <c r="Q537" s="146">
        <f t="shared" si="51"/>
        <v>0</v>
      </c>
      <c r="R537" s="169"/>
      <c r="S537" s="169"/>
      <c r="T537" s="146">
        <f t="shared" si="52"/>
        <v>0</v>
      </c>
      <c r="U537" s="121" t="str">
        <f t="shared" si="53"/>
        <v>Close</v>
      </c>
      <c r="V537" s="117"/>
    </row>
    <row r="538" spans="1:22" ht="15" customHeight="1">
      <c r="A538" s="117"/>
      <c r="B538" s="144" t="str">
        <f>IF(D538="","","P"&amp;D538&amp;"MA"&amp;COUNTIF($D$14:D538,D538))</f>
        <v/>
      </c>
      <c r="C538" s="162"/>
      <c r="D538" s="163"/>
      <c r="E538" s="164"/>
      <c r="F538" s="164"/>
      <c r="G538" s="164"/>
      <c r="H538" s="164"/>
      <c r="I538" s="162"/>
      <c r="J538" s="144"/>
      <c r="K538" s="144"/>
      <c r="L538" s="144"/>
      <c r="M538" s="145">
        <f t="shared" si="48"/>
        <v>0</v>
      </c>
      <c r="N538" s="145">
        <f t="shared" si="49"/>
        <v>0</v>
      </c>
      <c r="O538" s="146">
        <f t="shared" si="50"/>
        <v>0</v>
      </c>
      <c r="P538" s="146">
        <f>IF(B538="",0,SUMIF('NHAP XUAT'!$G$10:$J$1011,'Ghi So'!B538,'NHAP XUAT'!$J$10:$J$1011))</f>
        <v>0</v>
      </c>
      <c r="Q538" s="146">
        <f t="shared" si="51"/>
        <v>0</v>
      </c>
      <c r="R538" s="169"/>
      <c r="S538" s="169"/>
      <c r="T538" s="146">
        <f t="shared" si="52"/>
        <v>0</v>
      </c>
      <c r="U538" s="121" t="str">
        <f t="shared" si="53"/>
        <v>Close</v>
      </c>
      <c r="V538" s="117"/>
    </row>
    <row r="539" spans="1:22" ht="15" customHeight="1">
      <c r="A539" s="117"/>
      <c r="B539" s="144" t="str">
        <f>IF(D539="","","P"&amp;D539&amp;"MA"&amp;COUNTIF($D$14:D539,D539))</f>
        <v/>
      </c>
      <c r="C539" s="162"/>
      <c r="D539" s="163"/>
      <c r="E539" s="164"/>
      <c r="F539" s="164"/>
      <c r="G539" s="164"/>
      <c r="H539" s="164"/>
      <c r="I539" s="162"/>
      <c r="J539" s="144"/>
      <c r="K539" s="144"/>
      <c r="L539" s="144"/>
      <c r="M539" s="145">
        <f t="shared" si="48"/>
        <v>0</v>
      </c>
      <c r="N539" s="145">
        <f t="shared" si="49"/>
        <v>0</v>
      </c>
      <c r="O539" s="146">
        <f t="shared" si="50"/>
        <v>0</v>
      </c>
      <c r="P539" s="146">
        <f>IF(B539="",0,SUMIF('NHAP XUAT'!$G$10:$J$1011,'Ghi So'!B539,'NHAP XUAT'!$J$10:$J$1011))</f>
        <v>0</v>
      </c>
      <c r="Q539" s="146">
        <f t="shared" si="51"/>
        <v>0</v>
      </c>
      <c r="R539" s="169"/>
      <c r="S539" s="169"/>
      <c r="T539" s="146">
        <f t="shared" si="52"/>
        <v>0</v>
      </c>
      <c r="U539" s="121" t="str">
        <f t="shared" si="53"/>
        <v>Close</v>
      </c>
      <c r="V539" s="117"/>
    </row>
    <row r="540" spans="1:22" ht="15" customHeight="1">
      <c r="A540" s="117"/>
      <c r="B540" s="144" t="str">
        <f>IF(D540="","","P"&amp;D540&amp;"MA"&amp;COUNTIF($D$14:D540,D540))</f>
        <v/>
      </c>
      <c r="C540" s="162"/>
      <c r="D540" s="163"/>
      <c r="E540" s="164"/>
      <c r="F540" s="164"/>
      <c r="G540" s="164"/>
      <c r="H540" s="164"/>
      <c r="I540" s="162"/>
      <c r="J540" s="144"/>
      <c r="K540" s="144"/>
      <c r="L540" s="144"/>
      <c r="M540" s="145">
        <f t="shared" si="48"/>
        <v>0</v>
      </c>
      <c r="N540" s="145">
        <f t="shared" si="49"/>
        <v>0</v>
      </c>
      <c r="O540" s="146">
        <f t="shared" si="50"/>
        <v>0</v>
      </c>
      <c r="P540" s="146">
        <f>IF(B540="",0,SUMIF('NHAP XUAT'!$G$10:$J$1011,'Ghi So'!B540,'NHAP XUAT'!$J$10:$J$1011))</f>
        <v>0</v>
      </c>
      <c r="Q540" s="146">
        <f t="shared" si="51"/>
        <v>0</v>
      </c>
      <c r="R540" s="169"/>
      <c r="S540" s="169"/>
      <c r="T540" s="146">
        <f t="shared" si="52"/>
        <v>0</v>
      </c>
      <c r="U540" s="121" t="str">
        <f t="shared" si="53"/>
        <v>Close</v>
      </c>
      <c r="V540" s="117"/>
    </row>
    <row r="541" spans="1:22" ht="15" customHeight="1">
      <c r="A541" s="117"/>
      <c r="B541" s="144" t="str">
        <f>IF(D541="","","P"&amp;D541&amp;"MA"&amp;COUNTIF($D$14:D541,D541))</f>
        <v/>
      </c>
      <c r="C541" s="162"/>
      <c r="D541" s="163"/>
      <c r="E541" s="164"/>
      <c r="F541" s="164"/>
      <c r="G541" s="164"/>
      <c r="H541" s="164"/>
      <c r="I541" s="162"/>
      <c r="J541" s="144"/>
      <c r="K541" s="144"/>
      <c r="L541" s="144"/>
      <c r="M541" s="145">
        <f t="shared" ref="M541:M604" si="54">(IF(I541&lt;&gt;"",(I541-C541)*24*60,0)+G541*60+H541-E541*60-F541)/60</f>
        <v>0</v>
      </c>
      <c r="N541" s="145">
        <f t="shared" ref="N541:N604" si="55">INT(M541)+IF(MOD(M541,2)&gt;0.25,1,0)</f>
        <v>0</v>
      </c>
      <c r="O541" s="146">
        <f t="shared" ref="O541:O604" si="56">IF(J541&lt;&gt;"",DG_nghigio+DG_themgio*(N541-1),IF(K541&lt;&gt;"",DG_quadem+DG_themgio*(N541-12),DG_ngay*L541))</f>
        <v>0</v>
      </c>
      <c r="P541" s="146">
        <f>IF(B541="",0,SUMIF('NHAP XUAT'!$G$10:$J$1011,'Ghi So'!B541,'NHAP XUAT'!$J$10:$J$1011))</f>
        <v>0</v>
      </c>
      <c r="Q541" s="146">
        <f t="shared" ref="Q541:Q604" si="57">O541+P541</f>
        <v>0</v>
      </c>
      <c r="R541" s="169"/>
      <c r="S541" s="169"/>
      <c r="T541" s="146">
        <f t="shared" ref="T541:T604" si="58">R541*S541</f>
        <v>0</v>
      </c>
      <c r="U541" s="121" t="str">
        <f t="shared" ref="U541:U604" si="59">D541&amp;IF(AND(G541="",H541="",I541=""),"Close","Open")</f>
        <v>Close</v>
      </c>
      <c r="V541" s="117"/>
    </row>
    <row r="542" spans="1:22" ht="15" customHeight="1">
      <c r="A542" s="117"/>
      <c r="B542" s="144" t="str">
        <f>IF(D542="","","P"&amp;D542&amp;"MA"&amp;COUNTIF($D$14:D542,D542))</f>
        <v/>
      </c>
      <c r="C542" s="162"/>
      <c r="D542" s="163"/>
      <c r="E542" s="164"/>
      <c r="F542" s="164"/>
      <c r="G542" s="164"/>
      <c r="H542" s="164"/>
      <c r="I542" s="162"/>
      <c r="J542" s="144"/>
      <c r="K542" s="144"/>
      <c r="L542" s="144"/>
      <c r="M542" s="145">
        <f t="shared" si="54"/>
        <v>0</v>
      </c>
      <c r="N542" s="145">
        <f t="shared" si="55"/>
        <v>0</v>
      </c>
      <c r="O542" s="146">
        <f t="shared" si="56"/>
        <v>0</v>
      </c>
      <c r="P542" s="146">
        <f>IF(B542="",0,SUMIF('NHAP XUAT'!$G$10:$J$1011,'Ghi So'!B542,'NHAP XUAT'!$J$10:$J$1011))</f>
        <v>0</v>
      </c>
      <c r="Q542" s="146">
        <f t="shared" si="57"/>
        <v>0</v>
      </c>
      <c r="R542" s="169"/>
      <c r="S542" s="169"/>
      <c r="T542" s="146">
        <f t="shared" si="58"/>
        <v>0</v>
      </c>
      <c r="U542" s="121" t="str">
        <f t="shared" si="59"/>
        <v>Close</v>
      </c>
      <c r="V542" s="117"/>
    </row>
    <row r="543" spans="1:22" ht="15" customHeight="1">
      <c r="A543" s="117"/>
      <c r="B543" s="144" t="str">
        <f>IF(D543="","","P"&amp;D543&amp;"MA"&amp;COUNTIF($D$14:D543,D543))</f>
        <v/>
      </c>
      <c r="C543" s="162"/>
      <c r="D543" s="163"/>
      <c r="E543" s="164"/>
      <c r="F543" s="164"/>
      <c r="G543" s="164"/>
      <c r="H543" s="164"/>
      <c r="I543" s="162"/>
      <c r="J543" s="144"/>
      <c r="K543" s="144"/>
      <c r="L543" s="144"/>
      <c r="M543" s="145">
        <f t="shared" si="54"/>
        <v>0</v>
      </c>
      <c r="N543" s="145">
        <f t="shared" si="55"/>
        <v>0</v>
      </c>
      <c r="O543" s="146">
        <f t="shared" si="56"/>
        <v>0</v>
      </c>
      <c r="P543" s="146">
        <f>IF(B543="",0,SUMIF('NHAP XUAT'!$G$10:$J$1011,'Ghi So'!B543,'NHAP XUAT'!$J$10:$J$1011))</f>
        <v>0</v>
      </c>
      <c r="Q543" s="146">
        <f t="shared" si="57"/>
        <v>0</v>
      </c>
      <c r="R543" s="169"/>
      <c r="S543" s="169"/>
      <c r="T543" s="146">
        <f t="shared" si="58"/>
        <v>0</v>
      </c>
      <c r="U543" s="121" t="str">
        <f t="shared" si="59"/>
        <v>Close</v>
      </c>
      <c r="V543" s="117"/>
    </row>
    <row r="544" spans="1:22" ht="15" customHeight="1">
      <c r="A544" s="117"/>
      <c r="B544" s="144" t="str">
        <f>IF(D544="","","P"&amp;D544&amp;"MA"&amp;COUNTIF($D$14:D544,D544))</f>
        <v/>
      </c>
      <c r="C544" s="162"/>
      <c r="D544" s="163"/>
      <c r="E544" s="164"/>
      <c r="F544" s="164"/>
      <c r="G544" s="164"/>
      <c r="H544" s="164"/>
      <c r="I544" s="162"/>
      <c r="J544" s="144"/>
      <c r="K544" s="144"/>
      <c r="L544" s="144"/>
      <c r="M544" s="145">
        <f t="shared" si="54"/>
        <v>0</v>
      </c>
      <c r="N544" s="145">
        <f t="shared" si="55"/>
        <v>0</v>
      </c>
      <c r="O544" s="146">
        <f t="shared" si="56"/>
        <v>0</v>
      </c>
      <c r="P544" s="146">
        <f>IF(B544="",0,SUMIF('NHAP XUAT'!$G$10:$J$1011,'Ghi So'!B544,'NHAP XUAT'!$J$10:$J$1011))</f>
        <v>0</v>
      </c>
      <c r="Q544" s="146">
        <f t="shared" si="57"/>
        <v>0</v>
      </c>
      <c r="R544" s="169"/>
      <c r="S544" s="169"/>
      <c r="T544" s="146">
        <f t="shared" si="58"/>
        <v>0</v>
      </c>
      <c r="U544" s="121" t="str">
        <f t="shared" si="59"/>
        <v>Close</v>
      </c>
      <c r="V544" s="117"/>
    </row>
    <row r="545" spans="1:22" ht="15" customHeight="1">
      <c r="A545" s="117"/>
      <c r="B545" s="144" t="str">
        <f>IF(D545="","","P"&amp;D545&amp;"MA"&amp;COUNTIF($D$14:D545,D545))</f>
        <v/>
      </c>
      <c r="C545" s="162"/>
      <c r="D545" s="163"/>
      <c r="E545" s="164"/>
      <c r="F545" s="164"/>
      <c r="G545" s="164"/>
      <c r="H545" s="164"/>
      <c r="I545" s="162"/>
      <c r="J545" s="144"/>
      <c r="K545" s="144"/>
      <c r="L545" s="144"/>
      <c r="M545" s="145">
        <f t="shared" si="54"/>
        <v>0</v>
      </c>
      <c r="N545" s="145">
        <f t="shared" si="55"/>
        <v>0</v>
      </c>
      <c r="O545" s="146">
        <f t="shared" si="56"/>
        <v>0</v>
      </c>
      <c r="P545" s="146">
        <f>IF(B545="",0,SUMIF('NHAP XUAT'!$G$10:$J$1011,'Ghi So'!B545,'NHAP XUAT'!$J$10:$J$1011))</f>
        <v>0</v>
      </c>
      <c r="Q545" s="146">
        <f t="shared" si="57"/>
        <v>0</v>
      </c>
      <c r="R545" s="169"/>
      <c r="S545" s="169"/>
      <c r="T545" s="146">
        <f t="shared" si="58"/>
        <v>0</v>
      </c>
      <c r="U545" s="121" t="str">
        <f t="shared" si="59"/>
        <v>Close</v>
      </c>
      <c r="V545" s="117"/>
    </row>
    <row r="546" spans="1:22" ht="15" customHeight="1">
      <c r="A546" s="117"/>
      <c r="B546" s="144" t="str">
        <f>IF(D546="","","P"&amp;D546&amp;"MA"&amp;COUNTIF($D$14:D546,D546))</f>
        <v/>
      </c>
      <c r="C546" s="162"/>
      <c r="D546" s="163"/>
      <c r="E546" s="164"/>
      <c r="F546" s="164"/>
      <c r="G546" s="164"/>
      <c r="H546" s="164"/>
      <c r="I546" s="162"/>
      <c r="J546" s="144"/>
      <c r="K546" s="144"/>
      <c r="L546" s="144"/>
      <c r="M546" s="145">
        <f t="shared" si="54"/>
        <v>0</v>
      </c>
      <c r="N546" s="145">
        <f t="shared" si="55"/>
        <v>0</v>
      </c>
      <c r="O546" s="146">
        <f t="shared" si="56"/>
        <v>0</v>
      </c>
      <c r="P546" s="146">
        <f>IF(B546="",0,SUMIF('NHAP XUAT'!$G$10:$J$1011,'Ghi So'!B546,'NHAP XUAT'!$J$10:$J$1011))</f>
        <v>0</v>
      </c>
      <c r="Q546" s="146">
        <f t="shared" si="57"/>
        <v>0</v>
      </c>
      <c r="R546" s="169"/>
      <c r="S546" s="169"/>
      <c r="T546" s="146">
        <f t="shared" si="58"/>
        <v>0</v>
      </c>
      <c r="U546" s="121" t="str">
        <f t="shared" si="59"/>
        <v>Close</v>
      </c>
      <c r="V546" s="117"/>
    </row>
    <row r="547" spans="1:22" ht="15" customHeight="1">
      <c r="A547" s="117"/>
      <c r="B547" s="144" t="str">
        <f>IF(D547="","","P"&amp;D547&amp;"MA"&amp;COUNTIF($D$14:D547,D547))</f>
        <v/>
      </c>
      <c r="C547" s="162"/>
      <c r="D547" s="163"/>
      <c r="E547" s="164"/>
      <c r="F547" s="164"/>
      <c r="G547" s="164"/>
      <c r="H547" s="164"/>
      <c r="I547" s="162"/>
      <c r="J547" s="144"/>
      <c r="K547" s="144"/>
      <c r="L547" s="144"/>
      <c r="M547" s="145">
        <f t="shared" si="54"/>
        <v>0</v>
      </c>
      <c r="N547" s="145">
        <f t="shared" si="55"/>
        <v>0</v>
      </c>
      <c r="O547" s="146">
        <f t="shared" si="56"/>
        <v>0</v>
      </c>
      <c r="P547" s="146">
        <f>IF(B547="",0,SUMIF('NHAP XUAT'!$G$10:$J$1011,'Ghi So'!B547,'NHAP XUAT'!$J$10:$J$1011))</f>
        <v>0</v>
      </c>
      <c r="Q547" s="146">
        <f t="shared" si="57"/>
        <v>0</v>
      </c>
      <c r="R547" s="169"/>
      <c r="S547" s="169"/>
      <c r="T547" s="146">
        <f t="shared" si="58"/>
        <v>0</v>
      </c>
      <c r="U547" s="121" t="str">
        <f t="shared" si="59"/>
        <v>Close</v>
      </c>
      <c r="V547" s="117"/>
    </row>
    <row r="548" spans="1:22" ht="15" customHeight="1">
      <c r="A548" s="117"/>
      <c r="B548" s="144" t="str">
        <f>IF(D548="","","P"&amp;D548&amp;"MA"&amp;COUNTIF($D$14:D548,D548))</f>
        <v/>
      </c>
      <c r="C548" s="162"/>
      <c r="D548" s="163"/>
      <c r="E548" s="164"/>
      <c r="F548" s="164"/>
      <c r="G548" s="164"/>
      <c r="H548" s="164"/>
      <c r="I548" s="162"/>
      <c r="J548" s="144"/>
      <c r="K548" s="144"/>
      <c r="L548" s="144"/>
      <c r="M548" s="145">
        <f t="shared" si="54"/>
        <v>0</v>
      </c>
      <c r="N548" s="145">
        <f t="shared" si="55"/>
        <v>0</v>
      </c>
      <c r="O548" s="146">
        <f t="shared" si="56"/>
        <v>0</v>
      </c>
      <c r="P548" s="146">
        <f>IF(B548="",0,SUMIF('NHAP XUAT'!$G$10:$J$1011,'Ghi So'!B548,'NHAP XUAT'!$J$10:$J$1011))</f>
        <v>0</v>
      </c>
      <c r="Q548" s="146">
        <f t="shared" si="57"/>
        <v>0</v>
      </c>
      <c r="R548" s="169"/>
      <c r="S548" s="169"/>
      <c r="T548" s="146">
        <f t="shared" si="58"/>
        <v>0</v>
      </c>
      <c r="U548" s="121" t="str">
        <f t="shared" si="59"/>
        <v>Close</v>
      </c>
      <c r="V548" s="117"/>
    </row>
    <row r="549" spans="1:22" ht="15" customHeight="1">
      <c r="A549" s="117"/>
      <c r="B549" s="144" t="str">
        <f>IF(D549="","","P"&amp;D549&amp;"MA"&amp;COUNTIF($D$14:D549,D549))</f>
        <v/>
      </c>
      <c r="C549" s="162"/>
      <c r="D549" s="163"/>
      <c r="E549" s="164"/>
      <c r="F549" s="164"/>
      <c r="G549" s="164"/>
      <c r="H549" s="164"/>
      <c r="I549" s="162"/>
      <c r="J549" s="144"/>
      <c r="K549" s="144"/>
      <c r="L549" s="144"/>
      <c r="M549" s="145">
        <f t="shared" si="54"/>
        <v>0</v>
      </c>
      <c r="N549" s="145">
        <f t="shared" si="55"/>
        <v>0</v>
      </c>
      <c r="O549" s="146">
        <f t="shared" si="56"/>
        <v>0</v>
      </c>
      <c r="P549" s="146">
        <f>IF(B549="",0,SUMIF('NHAP XUAT'!$G$10:$J$1011,'Ghi So'!B549,'NHAP XUAT'!$J$10:$J$1011))</f>
        <v>0</v>
      </c>
      <c r="Q549" s="146">
        <f t="shared" si="57"/>
        <v>0</v>
      </c>
      <c r="R549" s="169"/>
      <c r="S549" s="169"/>
      <c r="T549" s="146">
        <f t="shared" si="58"/>
        <v>0</v>
      </c>
      <c r="U549" s="121" t="str">
        <f t="shared" si="59"/>
        <v>Close</v>
      </c>
      <c r="V549" s="117"/>
    </row>
    <row r="550" spans="1:22" ht="15" customHeight="1">
      <c r="A550" s="117"/>
      <c r="B550" s="144" t="str">
        <f>IF(D550="","","P"&amp;D550&amp;"MA"&amp;COUNTIF($D$14:D550,D550))</f>
        <v/>
      </c>
      <c r="C550" s="162"/>
      <c r="D550" s="163"/>
      <c r="E550" s="164"/>
      <c r="F550" s="164"/>
      <c r="G550" s="164"/>
      <c r="H550" s="164"/>
      <c r="I550" s="162"/>
      <c r="J550" s="144"/>
      <c r="K550" s="144"/>
      <c r="L550" s="144"/>
      <c r="M550" s="145">
        <f t="shared" si="54"/>
        <v>0</v>
      </c>
      <c r="N550" s="145">
        <f t="shared" si="55"/>
        <v>0</v>
      </c>
      <c r="O550" s="146">
        <f t="shared" si="56"/>
        <v>0</v>
      </c>
      <c r="P550" s="146">
        <f>IF(B550="",0,SUMIF('NHAP XUAT'!$G$10:$J$1011,'Ghi So'!B550,'NHAP XUAT'!$J$10:$J$1011))</f>
        <v>0</v>
      </c>
      <c r="Q550" s="146">
        <f t="shared" si="57"/>
        <v>0</v>
      </c>
      <c r="R550" s="169"/>
      <c r="S550" s="169"/>
      <c r="T550" s="146">
        <f t="shared" si="58"/>
        <v>0</v>
      </c>
      <c r="U550" s="121" t="str">
        <f t="shared" si="59"/>
        <v>Close</v>
      </c>
      <c r="V550" s="117"/>
    </row>
    <row r="551" spans="1:22" ht="15" customHeight="1">
      <c r="A551" s="117"/>
      <c r="B551" s="144" t="str">
        <f>IF(D551="","","P"&amp;D551&amp;"MA"&amp;COUNTIF($D$14:D551,D551))</f>
        <v/>
      </c>
      <c r="C551" s="162"/>
      <c r="D551" s="163"/>
      <c r="E551" s="164"/>
      <c r="F551" s="164"/>
      <c r="G551" s="164"/>
      <c r="H551" s="164"/>
      <c r="I551" s="162"/>
      <c r="J551" s="144"/>
      <c r="K551" s="144"/>
      <c r="L551" s="144"/>
      <c r="M551" s="145">
        <f t="shared" si="54"/>
        <v>0</v>
      </c>
      <c r="N551" s="145">
        <f t="shared" si="55"/>
        <v>0</v>
      </c>
      <c r="O551" s="146">
        <f t="shared" si="56"/>
        <v>0</v>
      </c>
      <c r="P551" s="146">
        <f>IF(B551="",0,SUMIF('NHAP XUAT'!$G$10:$J$1011,'Ghi So'!B551,'NHAP XUAT'!$J$10:$J$1011))</f>
        <v>0</v>
      </c>
      <c r="Q551" s="146">
        <f t="shared" si="57"/>
        <v>0</v>
      </c>
      <c r="R551" s="169"/>
      <c r="S551" s="169"/>
      <c r="T551" s="146">
        <f t="shared" si="58"/>
        <v>0</v>
      </c>
      <c r="U551" s="121" t="str">
        <f t="shared" si="59"/>
        <v>Close</v>
      </c>
      <c r="V551" s="117"/>
    </row>
    <row r="552" spans="1:22" ht="15" customHeight="1">
      <c r="A552" s="117"/>
      <c r="B552" s="144" t="str">
        <f>IF(D552="","","P"&amp;D552&amp;"MA"&amp;COUNTIF($D$14:D552,D552))</f>
        <v/>
      </c>
      <c r="C552" s="162"/>
      <c r="D552" s="163"/>
      <c r="E552" s="164"/>
      <c r="F552" s="164"/>
      <c r="G552" s="164"/>
      <c r="H552" s="164"/>
      <c r="I552" s="162"/>
      <c r="J552" s="144"/>
      <c r="K552" s="144"/>
      <c r="L552" s="144"/>
      <c r="M552" s="145">
        <f t="shared" si="54"/>
        <v>0</v>
      </c>
      <c r="N552" s="145">
        <f t="shared" si="55"/>
        <v>0</v>
      </c>
      <c r="O552" s="146">
        <f t="shared" si="56"/>
        <v>0</v>
      </c>
      <c r="P552" s="146">
        <f>IF(B552="",0,SUMIF('NHAP XUAT'!$G$10:$J$1011,'Ghi So'!B552,'NHAP XUAT'!$J$10:$J$1011))</f>
        <v>0</v>
      </c>
      <c r="Q552" s="146">
        <f t="shared" si="57"/>
        <v>0</v>
      </c>
      <c r="R552" s="169"/>
      <c r="S552" s="169"/>
      <c r="T552" s="146">
        <f t="shared" si="58"/>
        <v>0</v>
      </c>
      <c r="U552" s="121" t="str">
        <f t="shared" si="59"/>
        <v>Close</v>
      </c>
      <c r="V552" s="117"/>
    </row>
    <row r="553" spans="1:22" ht="15" customHeight="1">
      <c r="A553" s="117"/>
      <c r="B553" s="144" t="str">
        <f>IF(D553="","","P"&amp;D553&amp;"MA"&amp;COUNTIF($D$14:D553,D553))</f>
        <v/>
      </c>
      <c r="C553" s="162"/>
      <c r="D553" s="163"/>
      <c r="E553" s="164"/>
      <c r="F553" s="164"/>
      <c r="G553" s="164"/>
      <c r="H553" s="164"/>
      <c r="I553" s="162"/>
      <c r="J553" s="144"/>
      <c r="K553" s="144"/>
      <c r="L553" s="144"/>
      <c r="M553" s="145">
        <f t="shared" si="54"/>
        <v>0</v>
      </c>
      <c r="N553" s="145">
        <f t="shared" si="55"/>
        <v>0</v>
      </c>
      <c r="O553" s="146">
        <f t="shared" si="56"/>
        <v>0</v>
      </c>
      <c r="P553" s="146">
        <f>IF(B553="",0,SUMIF('NHAP XUAT'!$G$10:$J$1011,'Ghi So'!B553,'NHAP XUAT'!$J$10:$J$1011))</f>
        <v>0</v>
      </c>
      <c r="Q553" s="146">
        <f t="shared" si="57"/>
        <v>0</v>
      </c>
      <c r="R553" s="169"/>
      <c r="S553" s="169"/>
      <c r="T553" s="146">
        <f t="shared" si="58"/>
        <v>0</v>
      </c>
      <c r="U553" s="121" t="str">
        <f t="shared" si="59"/>
        <v>Close</v>
      </c>
      <c r="V553" s="117"/>
    </row>
    <row r="554" spans="1:22" ht="15" customHeight="1">
      <c r="A554" s="117"/>
      <c r="B554" s="144" t="str">
        <f>IF(D554="","","P"&amp;D554&amp;"MA"&amp;COUNTIF($D$14:D554,D554))</f>
        <v/>
      </c>
      <c r="C554" s="162"/>
      <c r="D554" s="163"/>
      <c r="E554" s="164"/>
      <c r="F554" s="164"/>
      <c r="G554" s="164"/>
      <c r="H554" s="164"/>
      <c r="I554" s="162"/>
      <c r="J554" s="144"/>
      <c r="K554" s="144"/>
      <c r="L554" s="144"/>
      <c r="M554" s="145">
        <f t="shared" si="54"/>
        <v>0</v>
      </c>
      <c r="N554" s="145">
        <f t="shared" si="55"/>
        <v>0</v>
      </c>
      <c r="O554" s="146">
        <f t="shared" si="56"/>
        <v>0</v>
      </c>
      <c r="P554" s="146">
        <f>IF(B554="",0,SUMIF('NHAP XUAT'!$G$10:$J$1011,'Ghi So'!B554,'NHAP XUAT'!$J$10:$J$1011))</f>
        <v>0</v>
      </c>
      <c r="Q554" s="146">
        <f t="shared" si="57"/>
        <v>0</v>
      </c>
      <c r="R554" s="169"/>
      <c r="S554" s="169"/>
      <c r="T554" s="146">
        <f t="shared" si="58"/>
        <v>0</v>
      </c>
      <c r="U554" s="121" t="str">
        <f t="shared" si="59"/>
        <v>Close</v>
      </c>
      <c r="V554" s="117"/>
    </row>
    <row r="555" spans="1:22" ht="15" customHeight="1">
      <c r="A555" s="117"/>
      <c r="B555" s="144" t="str">
        <f>IF(D555="","","P"&amp;D555&amp;"MA"&amp;COUNTIF($D$14:D555,D555))</f>
        <v/>
      </c>
      <c r="C555" s="162"/>
      <c r="D555" s="163"/>
      <c r="E555" s="164"/>
      <c r="F555" s="164"/>
      <c r="G555" s="164"/>
      <c r="H555" s="164"/>
      <c r="I555" s="162"/>
      <c r="J555" s="144"/>
      <c r="K555" s="144"/>
      <c r="L555" s="144"/>
      <c r="M555" s="145">
        <f t="shared" si="54"/>
        <v>0</v>
      </c>
      <c r="N555" s="145">
        <f t="shared" si="55"/>
        <v>0</v>
      </c>
      <c r="O555" s="146">
        <f t="shared" si="56"/>
        <v>0</v>
      </c>
      <c r="P555" s="146">
        <f>IF(B555="",0,SUMIF('NHAP XUAT'!$G$10:$J$1011,'Ghi So'!B555,'NHAP XUAT'!$J$10:$J$1011))</f>
        <v>0</v>
      </c>
      <c r="Q555" s="146">
        <f t="shared" si="57"/>
        <v>0</v>
      </c>
      <c r="R555" s="169"/>
      <c r="S555" s="169"/>
      <c r="T555" s="146">
        <f t="shared" si="58"/>
        <v>0</v>
      </c>
      <c r="U555" s="121" t="str">
        <f t="shared" si="59"/>
        <v>Close</v>
      </c>
      <c r="V555" s="117"/>
    </row>
    <row r="556" spans="1:22" ht="15" customHeight="1">
      <c r="A556" s="117"/>
      <c r="B556" s="144" t="str">
        <f>IF(D556="","","P"&amp;D556&amp;"MA"&amp;COUNTIF($D$14:D556,D556))</f>
        <v/>
      </c>
      <c r="C556" s="162"/>
      <c r="D556" s="163"/>
      <c r="E556" s="164"/>
      <c r="F556" s="164"/>
      <c r="G556" s="164"/>
      <c r="H556" s="164"/>
      <c r="I556" s="162"/>
      <c r="J556" s="144"/>
      <c r="K556" s="144"/>
      <c r="L556" s="144"/>
      <c r="M556" s="145">
        <f t="shared" si="54"/>
        <v>0</v>
      </c>
      <c r="N556" s="145">
        <f t="shared" si="55"/>
        <v>0</v>
      </c>
      <c r="O556" s="146">
        <f t="shared" si="56"/>
        <v>0</v>
      </c>
      <c r="P556" s="146">
        <f>IF(B556="",0,SUMIF('NHAP XUAT'!$G$10:$J$1011,'Ghi So'!B556,'NHAP XUAT'!$J$10:$J$1011))</f>
        <v>0</v>
      </c>
      <c r="Q556" s="146">
        <f t="shared" si="57"/>
        <v>0</v>
      </c>
      <c r="R556" s="169"/>
      <c r="S556" s="169"/>
      <c r="T556" s="146">
        <f t="shared" si="58"/>
        <v>0</v>
      </c>
      <c r="U556" s="121" t="str">
        <f t="shared" si="59"/>
        <v>Close</v>
      </c>
      <c r="V556" s="117"/>
    </row>
    <row r="557" spans="1:22" ht="15" customHeight="1">
      <c r="A557" s="117"/>
      <c r="B557" s="144" t="str">
        <f>IF(D557="","","P"&amp;D557&amp;"MA"&amp;COUNTIF($D$14:D557,D557))</f>
        <v/>
      </c>
      <c r="C557" s="162"/>
      <c r="D557" s="163"/>
      <c r="E557" s="164"/>
      <c r="F557" s="164"/>
      <c r="G557" s="164"/>
      <c r="H557" s="164"/>
      <c r="I557" s="162"/>
      <c r="J557" s="144"/>
      <c r="K557" s="144"/>
      <c r="L557" s="144"/>
      <c r="M557" s="145">
        <f t="shared" si="54"/>
        <v>0</v>
      </c>
      <c r="N557" s="145">
        <f t="shared" si="55"/>
        <v>0</v>
      </c>
      <c r="O557" s="146">
        <f t="shared" si="56"/>
        <v>0</v>
      </c>
      <c r="P557" s="146">
        <f>IF(B557="",0,SUMIF('NHAP XUAT'!$G$10:$J$1011,'Ghi So'!B557,'NHAP XUAT'!$J$10:$J$1011))</f>
        <v>0</v>
      </c>
      <c r="Q557" s="146">
        <f t="shared" si="57"/>
        <v>0</v>
      </c>
      <c r="R557" s="169"/>
      <c r="S557" s="169"/>
      <c r="T557" s="146">
        <f t="shared" si="58"/>
        <v>0</v>
      </c>
      <c r="U557" s="121" t="str">
        <f t="shared" si="59"/>
        <v>Close</v>
      </c>
      <c r="V557" s="117"/>
    </row>
    <row r="558" spans="1:22" ht="15" customHeight="1">
      <c r="A558" s="117"/>
      <c r="B558" s="144" t="str">
        <f>IF(D558="","","P"&amp;D558&amp;"MA"&amp;COUNTIF($D$14:D558,D558))</f>
        <v/>
      </c>
      <c r="C558" s="162"/>
      <c r="D558" s="163"/>
      <c r="E558" s="164"/>
      <c r="F558" s="164"/>
      <c r="G558" s="164"/>
      <c r="H558" s="164"/>
      <c r="I558" s="162"/>
      <c r="J558" s="144"/>
      <c r="K558" s="144"/>
      <c r="L558" s="144"/>
      <c r="M558" s="145">
        <f t="shared" si="54"/>
        <v>0</v>
      </c>
      <c r="N558" s="145">
        <f t="shared" si="55"/>
        <v>0</v>
      </c>
      <c r="O558" s="146">
        <f t="shared" si="56"/>
        <v>0</v>
      </c>
      <c r="P558" s="146">
        <f>IF(B558="",0,SUMIF('NHAP XUAT'!$G$10:$J$1011,'Ghi So'!B558,'NHAP XUAT'!$J$10:$J$1011))</f>
        <v>0</v>
      </c>
      <c r="Q558" s="146">
        <f t="shared" si="57"/>
        <v>0</v>
      </c>
      <c r="R558" s="169"/>
      <c r="S558" s="169"/>
      <c r="T558" s="146">
        <f t="shared" si="58"/>
        <v>0</v>
      </c>
      <c r="U558" s="121" t="str">
        <f t="shared" si="59"/>
        <v>Close</v>
      </c>
      <c r="V558" s="117"/>
    </row>
    <row r="559" spans="1:22" ht="15" customHeight="1">
      <c r="A559" s="117"/>
      <c r="B559" s="144" t="str">
        <f>IF(D559="","","P"&amp;D559&amp;"MA"&amp;COUNTIF($D$14:D559,D559))</f>
        <v/>
      </c>
      <c r="C559" s="162"/>
      <c r="D559" s="163"/>
      <c r="E559" s="164"/>
      <c r="F559" s="164"/>
      <c r="G559" s="164"/>
      <c r="H559" s="164"/>
      <c r="I559" s="162"/>
      <c r="J559" s="144"/>
      <c r="K559" s="144"/>
      <c r="L559" s="144"/>
      <c r="M559" s="145">
        <f t="shared" si="54"/>
        <v>0</v>
      </c>
      <c r="N559" s="145">
        <f t="shared" si="55"/>
        <v>0</v>
      </c>
      <c r="O559" s="146">
        <f t="shared" si="56"/>
        <v>0</v>
      </c>
      <c r="P559" s="146">
        <f>IF(B559="",0,SUMIF('NHAP XUAT'!$G$10:$J$1011,'Ghi So'!B559,'NHAP XUAT'!$J$10:$J$1011))</f>
        <v>0</v>
      </c>
      <c r="Q559" s="146">
        <f t="shared" si="57"/>
        <v>0</v>
      </c>
      <c r="R559" s="169"/>
      <c r="S559" s="169"/>
      <c r="T559" s="146">
        <f t="shared" si="58"/>
        <v>0</v>
      </c>
      <c r="U559" s="121" t="str">
        <f t="shared" si="59"/>
        <v>Close</v>
      </c>
      <c r="V559" s="117"/>
    </row>
    <row r="560" spans="1:22" ht="15" customHeight="1">
      <c r="A560" s="117"/>
      <c r="B560" s="144" t="str">
        <f>IF(D560="","","P"&amp;D560&amp;"MA"&amp;COUNTIF($D$14:D560,D560))</f>
        <v/>
      </c>
      <c r="C560" s="162"/>
      <c r="D560" s="163"/>
      <c r="E560" s="164"/>
      <c r="F560" s="164"/>
      <c r="G560" s="164"/>
      <c r="H560" s="164"/>
      <c r="I560" s="162"/>
      <c r="J560" s="144"/>
      <c r="K560" s="144"/>
      <c r="L560" s="144"/>
      <c r="M560" s="145">
        <f t="shared" si="54"/>
        <v>0</v>
      </c>
      <c r="N560" s="145">
        <f t="shared" si="55"/>
        <v>0</v>
      </c>
      <c r="O560" s="146">
        <f t="shared" si="56"/>
        <v>0</v>
      </c>
      <c r="P560" s="146">
        <f>IF(B560="",0,SUMIF('NHAP XUAT'!$G$10:$J$1011,'Ghi So'!B560,'NHAP XUAT'!$J$10:$J$1011))</f>
        <v>0</v>
      </c>
      <c r="Q560" s="146">
        <f t="shared" si="57"/>
        <v>0</v>
      </c>
      <c r="R560" s="169"/>
      <c r="S560" s="169"/>
      <c r="T560" s="146">
        <f t="shared" si="58"/>
        <v>0</v>
      </c>
      <c r="U560" s="121" t="str">
        <f t="shared" si="59"/>
        <v>Close</v>
      </c>
      <c r="V560" s="117"/>
    </row>
    <row r="561" spans="1:22" ht="15" customHeight="1">
      <c r="A561" s="117"/>
      <c r="B561" s="144" t="str">
        <f>IF(D561="","","P"&amp;D561&amp;"MA"&amp;COUNTIF($D$14:D561,D561))</f>
        <v/>
      </c>
      <c r="C561" s="162"/>
      <c r="D561" s="163"/>
      <c r="E561" s="164"/>
      <c r="F561" s="164"/>
      <c r="G561" s="164"/>
      <c r="H561" s="164"/>
      <c r="I561" s="162"/>
      <c r="J561" s="144"/>
      <c r="K561" s="144"/>
      <c r="L561" s="144"/>
      <c r="M561" s="145">
        <f t="shared" si="54"/>
        <v>0</v>
      </c>
      <c r="N561" s="145">
        <f t="shared" si="55"/>
        <v>0</v>
      </c>
      <c r="O561" s="146">
        <f t="shared" si="56"/>
        <v>0</v>
      </c>
      <c r="P561" s="146">
        <f>IF(B561="",0,SUMIF('NHAP XUAT'!$G$10:$J$1011,'Ghi So'!B561,'NHAP XUAT'!$J$10:$J$1011))</f>
        <v>0</v>
      </c>
      <c r="Q561" s="146">
        <f t="shared" si="57"/>
        <v>0</v>
      </c>
      <c r="R561" s="169"/>
      <c r="S561" s="169"/>
      <c r="T561" s="146">
        <f t="shared" si="58"/>
        <v>0</v>
      </c>
      <c r="U561" s="121" t="str">
        <f t="shared" si="59"/>
        <v>Close</v>
      </c>
      <c r="V561" s="117"/>
    </row>
    <row r="562" spans="1:22" ht="15" customHeight="1">
      <c r="A562" s="117"/>
      <c r="B562" s="144" t="str">
        <f>IF(D562="","","P"&amp;D562&amp;"MA"&amp;COUNTIF($D$14:D562,D562))</f>
        <v/>
      </c>
      <c r="C562" s="162"/>
      <c r="D562" s="163"/>
      <c r="E562" s="164"/>
      <c r="F562" s="164"/>
      <c r="G562" s="164"/>
      <c r="H562" s="164"/>
      <c r="I562" s="162"/>
      <c r="J562" s="144"/>
      <c r="K562" s="144"/>
      <c r="L562" s="144"/>
      <c r="M562" s="145">
        <f t="shared" si="54"/>
        <v>0</v>
      </c>
      <c r="N562" s="145">
        <f t="shared" si="55"/>
        <v>0</v>
      </c>
      <c r="O562" s="146">
        <f t="shared" si="56"/>
        <v>0</v>
      </c>
      <c r="P562" s="146">
        <f>IF(B562="",0,SUMIF('NHAP XUAT'!$G$10:$J$1011,'Ghi So'!B562,'NHAP XUAT'!$J$10:$J$1011))</f>
        <v>0</v>
      </c>
      <c r="Q562" s="146">
        <f t="shared" si="57"/>
        <v>0</v>
      </c>
      <c r="R562" s="169"/>
      <c r="S562" s="169"/>
      <c r="T562" s="146">
        <f t="shared" si="58"/>
        <v>0</v>
      </c>
      <c r="U562" s="121" t="str">
        <f t="shared" si="59"/>
        <v>Close</v>
      </c>
      <c r="V562" s="117"/>
    </row>
    <row r="563" spans="1:22" ht="15" customHeight="1">
      <c r="A563" s="117"/>
      <c r="B563" s="144" t="str">
        <f>IF(D563="","","P"&amp;D563&amp;"MA"&amp;COUNTIF($D$14:D563,D563))</f>
        <v/>
      </c>
      <c r="C563" s="162"/>
      <c r="D563" s="163"/>
      <c r="E563" s="164"/>
      <c r="F563" s="164"/>
      <c r="G563" s="164"/>
      <c r="H563" s="164"/>
      <c r="I563" s="162"/>
      <c r="J563" s="144"/>
      <c r="K563" s="144"/>
      <c r="L563" s="144"/>
      <c r="M563" s="145">
        <f t="shared" si="54"/>
        <v>0</v>
      </c>
      <c r="N563" s="145">
        <f t="shared" si="55"/>
        <v>0</v>
      </c>
      <c r="O563" s="146">
        <f t="shared" si="56"/>
        <v>0</v>
      </c>
      <c r="P563" s="146">
        <f>IF(B563="",0,SUMIF('NHAP XUAT'!$G$10:$J$1011,'Ghi So'!B563,'NHAP XUAT'!$J$10:$J$1011))</f>
        <v>0</v>
      </c>
      <c r="Q563" s="146">
        <f t="shared" si="57"/>
        <v>0</v>
      </c>
      <c r="R563" s="169"/>
      <c r="S563" s="169"/>
      <c r="T563" s="146">
        <f t="shared" si="58"/>
        <v>0</v>
      </c>
      <c r="U563" s="121" t="str">
        <f t="shared" si="59"/>
        <v>Close</v>
      </c>
      <c r="V563" s="117"/>
    </row>
    <row r="564" spans="1:22" ht="15" customHeight="1">
      <c r="A564" s="117"/>
      <c r="B564" s="144" t="str">
        <f>IF(D564="","","P"&amp;D564&amp;"MA"&amp;COUNTIF($D$14:D564,D564))</f>
        <v/>
      </c>
      <c r="C564" s="162"/>
      <c r="D564" s="163"/>
      <c r="E564" s="164"/>
      <c r="F564" s="164"/>
      <c r="G564" s="164"/>
      <c r="H564" s="164"/>
      <c r="I564" s="162"/>
      <c r="J564" s="144"/>
      <c r="K564" s="144"/>
      <c r="L564" s="144"/>
      <c r="M564" s="145">
        <f t="shared" si="54"/>
        <v>0</v>
      </c>
      <c r="N564" s="145">
        <f t="shared" si="55"/>
        <v>0</v>
      </c>
      <c r="O564" s="146">
        <f t="shared" si="56"/>
        <v>0</v>
      </c>
      <c r="P564" s="146">
        <f>IF(B564="",0,SUMIF('NHAP XUAT'!$G$10:$J$1011,'Ghi So'!B564,'NHAP XUAT'!$J$10:$J$1011))</f>
        <v>0</v>
      </c>
      <c r="Q564" s="146">
        <f t="shared" si="57"/>
        <v>0</v>
      </c>
      <c r="R564" s="169"/>
      <c r="S564" s="169"/>
      <c r="T564" s="146">
        <f t="shared" si="58"/>
        <v>0</v>
      </c>
      <c r="U564" s="121" t="str">
        <f t="shared" si="59"/>
        <v>Close</v>
      </c>
      <c r="V564" s="117"/>
    </row>
    <row r="565" spans="1:22" ht="15" customHeight="1">
      <c r="A565" s="117"/>
      <c r="B565" s="144" t="str">
        <f>IF(D565="","","P"&amp;D565&amp;"MA"&amp;COUNTIF($D$14:D565,D565))</f>
        <v/>
      </c>
      <c r="C565" s="162"/>
      <c r="D565" s="163"/>
      <c r="E565" s="164"/>
      <c r="F565" s="164"/>
      <c r="G565" s="164"/>
      <c r="H565" s="164"/>
      <c r="I565" s="162"/>
      <c r="J565" s="144"/>
      <c r="K565" s="144"/>
      <c r="L565" s="144"/>
      <c r="M565" s="145">
        <f t="shared" si="54"/>
        <v>0</v>
      </c>
      <c r="N565" s="145">
        <f t="shared" si="55"/>
        <v>0</v>
      </c>
      <c r="O565" s="146">
        <f t="shared" si="56"/>
        <v>0</v>
      </c>
      <c r="P565" s="146">
        <f>IF(B565="",0,SUMIF('NHAP XUAT'!$G$10:$J$1011,'Ghi So'!B565,'NHAP XUAT'!$J$10:$J$1011))</f>
        <v>0</v>
      </c>
      <c r="Q565" s="146">
        <f t="shared" si="57"/>
        <v>0</v>
      </c>
      <c r="R565" s="169"/>
      <c r="S565" s="169"/>
      <c r="T565" s="146">
        <f t="shared" si="58"/>
        <v>0</v>
      </c>
      <c r="U565" s="121" t="str">
        <f t="shared" si="59"/>
        <v>Close</v>
      </c>
      <c r="V565" s="117"/>
    </row>
    <row r="566" spans="1:22" ht="15" customHeight="1">
      <c r="A566" s="117"/>
      <c r="B566" s="144" t="str">
        <f>IF(D566="","","P"&amp;D566&amp;"MA"&amp;COUNTIF($D$14:D566,D566))</f>
        <v/>
      </c>
      <c r="C566" s="162"/>
      <c r="D566" s="163"/>
      <c r="E566" s="164"/>
      <c r="F566" s="164"/>
      <c r="G566" s="164"/>
      <c r="H566" s="164"/>
      <c r="I566" s="162"/>
      <c r="J566" s="144"/>
      <c r="K566" s="144"/>
      <c r="L566" s="144"/>
      <c r="M566" s="145">
        <f t="shared" si="54"/>
        <v>0</v>
      </c>
      <c r="N566" s="145">
        <f t="shared" si="55"/>
        <v>0</v>
      </c>
      <c r="O566" s="146">
        <f t="shared" si="56"/>
        <v>0</v>
      </c>
      <c r="P566" s="146">
        <f>IF(B566="",0,SUMIF('NHAP XUAT'!$G$10:$J$1011,'Ghi So'!B566,'NHAP XUAT'!$J$10:$J$1011))</f>
        <v>0</v>
      </c>
      <c r="Q566" s="146">
        <f t="shared" si="57"/>
        <v>0</v>
      </c>
      <c r="R566" s="169"/>
      <c r="S566" s="169"/>
      <c r="T566" s="146">
        <f t="shared" si="58"/>
        <v>0</v>
      </c>
      <c r="U566" s="121" t="str">
        <f t="shared" si="59"/>
        <v>Close</v>
      </c>
      <c r="V566" s="117"/>
    </row>
    <row r="567" spans="1:22" ht="15" customHeight="1">
      <c r="A567" s="117"/>
      <c r="B567" s="144" t="str">
        <f>IF(D567="","","P"&amp;D567&amp;"MA"&amp;COUNTIF($D$14:D567,D567))</f>
        <v/>
      </c>
      <c r="C567" s="162"/>
      <c r="D567" s="163"/>
      <c r="E567" s="164"/>
      <c r="F567" s="164"/>
      <c r="G567" s="164"/>
      <c r="H567" s="164"/>
      <c r="I567" s="162"/>
      <c r="J567" s="144"/>
      <c r="K567" s="144"/>
      <c r="L567" s="144"/>
      <c r="M567" s="145">
        <f t="shared" si="54"/>
        <v>0</v>
      </c>
      <c r="N567" s="145">
        <f t="shared" si="55"/>
        <v>0</v>
      </c>
      <c r="O567" s="146">
        <f t="shared" si="56"/>
        <v>0</v>
      </c>
      <c r="P567" s="146">
        <f>IF(B567="",0,SUMIF('NHAP XUAT'!$G$10:$J$1011,'Ghi So'!B567,'NHAP XUAT'!$J$10:$J$1011))</f>
        <v>0</v>
      </c>
      <c r="Q567" s="146">
        <f t="shared" si="57"/>
        <v>0</v>
      </c>
      <c r="R567" s="169"/>
      <c r="S567" s="169"/>
      <c r="T567" s="146">
        <f t="shared" si="58"/>
        <v>0</v>
      </c>
      <c r="U567" s="121" t="str">
        <f t="shared" si="59"/>
        <v>Close</v>
      </c>
      <c r="V567" s="117"/>
    </row>
    <row r="568" spans="1:22" ht="15" customHeight="1">
      <c r="A568" s="117"/>
      <c r="B568" s="144" t="str">
        <f>IF(D568="","","P"&amp;D568&amp;"MA"&amp;COUNTIF($D$14:D568,D568))</f>
        <v/>
      </c>
      <c r="C568" s="162"/>
      <c r="D568" s="163"/>
      <c r="E568" s="164"/>
      <c r="F568" s="164"/>
      <c r="G568" s="164"/>
      <c r="H568" s="164"/>
      <c r="I568" s="162"/>
      <c r="J568" s="144"/>
      <c r="K568" s="144"/>
      <c r="L568" s="144"/>
      <c r="M568" s="145">
        <f t="shared" si="54"/>
        <v>0</v>
      </c>
      <c r="N568" s="145">
        <f t="shared" si="55"/>
        <v>0</v>
      </c>
      <c r="O568" s="146">
        <f t="shared" si="56"/>
        <v>0</v>
      </c>
      <c r="P568" s="146">
        <f>IF(B568="",0,SUMIF('NHAP XUAT'!$G$10:$J$1011,'Ghi So'!B568,'NHAP XUAT'!$J$10:$J$1011))</f>
        <v>0</v>
      </c>
      <c r="Q568" s="146">
        <f t="shared" si="57"/>
        <v>0</v>
      </c>
      <c r="R568" s="169"/>
      <c r="S568" s="169"/>
      <c r="T568" s="146">
        <f t="shared" si="58"/>
        <v>0</v>
      </c>
      <c r="U568" s="121" t="str">
        <f t="shared" si="59"/>
        <v>Close</v>
      </c>
      <c r="V568" s="117"/>
    </row>
    <row r="569" spans="1:22" ht="15" customHeight="1">
      <c r="A569" s="117"/>
      <c r="B569" s="144" t="str">
        <f>IF(D569="","","P"&amp;D569&amp;"MA"&amp;COUNTIF($D$14:D569,D569))</f>
        <v/>
      </c>
      <c r="C569" s="162"/>
      <c r="D569" s="163"/>
      <c r="E569" s="164"/>
      <c r="F569" s="164"/>
      <c r="G569" s="164"/>
      <c r="H569" s="164"/>
      <c r="I569" s="162"/>
      <c r="J569" s="144"/>
      <c r="K569" s="144"/>
      <c r="L569" s="144"/>
      <c r="M569" s="145">
        <f t="shared" si="54"/>
        <v>0</v>
      </c>
      <c r="N569" s="145">
        <f t="shared" si="55"/>
        <v>0</v>
      </c>
      <c r="O569" s="146">
        <f t="shared" si="56"/>
        <v>0</v>
      </c>
      <c r="P569" s="146">
        <f>IF(B569="",0,SUMIF('NHAP XUAT'!$G$10:$J$1011,'Ghi So'!B569,'NHAP XUAT'!$J$10:$J$1011))</f>
        <v>0</v>
      </c>
      <c r="Q569" s="146">
        <f t="shared" si="57"/>
        <v>0</v>
      </c>
      <c r="R569" s="169"/>
      <c r="S569" s="169"/>
      <c r="T569" s="146">
        <f t="shared" si="58"/>
        <v>0</v>
      </c>
      <c r="U569" s="121" t="str">
        <f t="shared" si="59"/>
        <v>Close</v>
      </c>
      <c r="V569" s="117"/>
    </row>
    <row r="570" spans="1:22" ht="15" customHeight="1">
      <c r="A570" s="117"/>
      <c r="B570" s="144" t="str">
        <f>IF(D570="","","P"&amp;D570&amp;"MA"&amp;COUNTIF($D$14:D570,D570))</f>
        <v/>
      </c>
      <c r="C570" s="162"/>
      <c r="D570" s="163"/>
      <c r="E570" s="164"/>
      <c r="F570" s="164"/>
      <c r="G570" s="164"/>
      <c r="H570" s="164"/>
      <c r="I570" s="162"/>
      <c r="J570" s="144"/>
      <c r="K570" s="144"/>
      <c r="L570" s="144"/>
      <c r="M570" s="145">
        <f t="shared" si="54"/>
        <v>0</v>
      </c>
      <c r="N570" s="145">
        <f t="shared" si="55"/>
        <v>0</v>
      </c>
      <c r="O570" s="146">
        <f t="shared" si="56"/>
        <v>0</v>
      </c>
      <c r="P570" s="146">
        <f>IF(B570="",0,SUMIF('NHAP XUAT'!$G$10:$J$1011,'Ghi So'!B570,'NHAP XUAT'!$J$10:$J$1011))</f>
        <v>0</v>
      </c>
      <c r="Q570" s="146">
        <f t="shared" si="57"/>
        <v>0</v>
      </c>
      <c r="R570" s="169"/>
      <c r="S570" s="169"/>
      <c r="T570" s="146">
        <f t="shared" si="58"/>
        <v>0</v>
      </c>
      <c r="U570" s="121" t="str">
        <f t="shared" si="59"/>
        <v>Close</v>
      </c>
      <c r="V570" s="117"/>
    </row>
    <row r="571" spans="1:22" ht="15" customHeight="1">
      <c r="A571" s="117"/>
      <c r="B571" s="144" t="str">
        <f>IF(D571="","","P"&amp;D571&amp;"MA"&amp;COUNTIF($D$14:D571,D571))</f>
        <v/>
      </c>
      <c r="C571" s="162"/>
      <c r="D571" s="163"/>
      <c r="E571" s="164"/>
      <c r="F571" s="164"/>
      <c r="G571" s="164"/>
      <c r="H571" s="164"/>
      <c r="I571" s="162"/>
      <c r="J571" s="144"/>
      <c r="K571" s="144"/>
      <c r="L571" s="144"/>
      <c r="M571" s="145">
        <f t="shared" si="54"/>
        <v>0</v>
      </c>
      <c r="N571" s="145">
        <f t="shared" si="55"/>
        <v>0</v>
      </c>
      <c r="O571" s="146">
        <f t="shared" si="56"/>
        <v>0</v>
      </c>
      <c r="P571" s="146">
        <f>IF(B571="",0,SUMIF('NHAP XUAT'!$G$10:$J$1011,'Ghi So'!B571,'NHAP XUAT'!$J$10:$J$1011))</f>
        <v>0</v>
      </c>
      <c r="Q571" s="146">
        <f t="shared" si="57"/>
        <v>0</v>
      </c>
      <c r="R571" s="169"/>
      <c r="S571" s="169"/>
      <c r="T571" s="146">
        <f t="shared" si="58"/>
        <v>0</v>
      </c>
      <c r="U571" s="121" t="str">
        <f t="shared" si="59"/>
        <v>Close</v>
      </c>
      <c r="V571" s="117"/>
    </row>
    <row r="572" spans="1:22" ht="15" customHeight="1">
      <c r="A572" s="117"/>
      <c r="B572" s="144" t="str">
        <f>IF(D572="","","P"&amp;D572&amp;"MA"&amp;COUNTIF($D$14:D572,D572))</f>
        <v/>
      </c>
      <c r="C572" s="162"/>
      <c r="D572" s="163"/>
      <c r="E572" s="164"/>
      <c r="F572" s="164"/>
      <c r="G572" s="164"/>
      <c r="H572" s="164"/>
      <c r="I572" s="162"/>
      <c r="J572" s="144"/>
      <c r="K572" s="144"/>
      <c r="L572" s="144"/>
      <c r="M572" s="145">
        <f t="shared" si="54"/>
        <v>0</v>
      </c>
      <c r="N572" s="145">
        <f t="shared" si="55"/>
        <v>0</v>
      </c>
      <c r="O572" s="146">
        <f t="shared" si="56"/>
        <v>0</v>
      </c>
      <c r="P572" s="146">
        <f>IF(B572="",0,SUMIF('NHAP XUAT'!$G$10:$J$1011,'Ghi So'!B572,'NHAP XUAT'!$J$10:$J$1011))</f>
        <v>0</v>
      </c>
      <c r="Q572" s="146">
        <f t="shared" si="57"/>
        <v>0</v>
      </c>
      <c r="R572" s="169"/>
      <c r="S572" s="169"/>
      <c r="T572" s="146">
        <f t="shared" si="58"/>
        <v>0</v>
      </c>
      <c r="U572" s="121" t="str">
        <f t="shared" si="59"/>
        <v>Close</v>
      </c>
      <c r="V572" s="117"/>
    </row>
    <row r="573" spans="1:22" ht="15" customHeight="1">
      <c r="A573" s="117"/>
      <c r="B573" s="144" t="str">
        <f>IF(D573="","","P"&amp;D573&amp;"MA"&amp;COUNTIF($D$14:D573,D573))</f>
        <v/>
      </c>
      <c r="C573" s="162"/>
      <c r="D573" s="163"/>
      <c r="E573" s="164"/>
      <c r="F573" s="164"/>
      <c r="G573" s="164"/>
      <c r="H573" s="164"/>
      <c r="I573" s="162"/>
      <c r="J573" s="144"/>
      <c r="K573" s="144"/>
      <c r="L573" s="144"/>
      <c r="M573" s="145">
        <f t="shared" si="54"/>
        <v>0</v>
      </c>
      <c r="N573" s="145">
        <f t="shared" si="55"/>
        <v>0</v>
      </c>
      <c r="O573" s="146">
        <f t="shared" si="56"/>
        <v>0</v>
      </c>
      <c r="P573" s="146">
        <f>IF(B573="",0,SUMIF('NHAP XUAT'!$G$10:$J$1011,'Ghi So'!B573,'NHAP XUAT'!$J$10:$J$1011))</f>
        <v>0</v>
      </c>
      <c r="Q573" s="146">
        <f t="shared" si="57"/>
        <v>0</v>
      </c>
      <c r="R573" s="169"/>
      <c r="S573" s="169"/>
      <c r="T573" s="146">
        <f t="shared" si="58"/>
        <v>0</v>
      </c>
      <c r="U573" s="121" t="str">
        <f t="shared" si="59"/>
        <v>Close</v>
      </c>
      <c r="V573" s="117"/>
    </row>
    <row r="574" spans="1:22" ht="15" customHeight="1">
      <c r="A574" s="117"/>
      <c r="B574" s="144" t="str">
        <f>IF(D574="","","P"&amp;D574&amp;"MA"&amp;COUNTIF($D$14:D574,D574))</f>
        <v/>
      </c>
      <c r="C574" s="162"/>
      <c r="D574" s="163"/>
      <c r="E574" s="164"/>
      <c r="F574" s="164"/>
      <c r="G574" s="164"/>
      <c r="H574" s="164"/>
      <c r="I574" s="162"/>
      <c r="J574" s="144"/>
      <c r="K574" s="144"/>
      <c r="L574" s="144"/>
      <c r="M574" s="145">
        <f t="shared" si="54"/>
        <v>0</v>
      </c>
      <c r="N574" s="145">
        <f t="shared" si="55"/>
        <v>0</v>
      </c>
      <c r="O574" s="146">
        <f t="shared" si="56"/>
        <v>0</v>
      </c>
      <c r="P574" s="146">
        <f>IF(B574="",0,SUMIF('NHAP XUAT'!$G$10:$J$1011,'Ghi So'!B574,'NHAP XUAT'!$J$10:$J$1011))</f>
        <v>0</v>
      </c>
      <c r="Q574" s="146">
        <f t="shared" si="57"/>
        <v>0</v>
      </c>
      <c r="R574" s="169"/>
      <c r="S574" s="169"/>
      <c r="T574" s="146">
        <f t="shared" si="58"/>
        <v>0</v>
      </c>
      <c r="U574" s="121" t="str">
        <f t="shared" si="59"/>
        <v>Close</v>
      </c>
      <c r="V574" s="117"/>
    </row>
    <row r="575" spans="1:22" ht="15" customHeight="1">
      <c r="A575" s="117"/>
      <c r="B575" s="144" t="str">
        <f>IF(D575="","","P"&amp;D575&amp;"MA"&amp;COUNTIF($D$14:D575,D575))</f>
        <v/>
      </c>
      <c r="C575" s="162"/>
      <c r="D575" s="163"/>
      <c r="E575" s="164"/>
      <c r="F575" s="164"/>
      <c r="G575" s="164"/>
      <c r="H575" s="164"/>
      <c r="I575" s="162"/>
      <c r="J575" s="144"/>
      <c r="K575" s="144"/>
      <c r="L575" s="144"/>
      <c r="M575" s="145">
        <f t="shared" si="54"/>
        <v>0</v>
      </c>
      <c r="N575" s="145">
        <f t="shared" si="55"/>
        <v>0</v>
      </c>
      <c r="O575" s="146">
        <f t="shared" si="56"/>
        <v>0</v>
      </c>
      <c r="P575" s="146">
        <f>IF(B575="",0,SUMIF('NHAP XUAT'!$G$10:$J$1011,'Ghi So'!B575,'NHAP XUAT'!$J$10:$J$1011))</f>
        <v>0</v>
      </c>
      <c r="Q575" s="146">
        <f t="shared" si="57"/>
        <v>0</v>
      </c>
      <c r="R575" s="169"/>
      <c r="S575" s="169"/>
      <c r="T575" s="146">
        <f t="shared" si="58"/>
        <v>0</v>
      </c>
      <c r="U575" s="121" t="str">
        <f t="shared" si="59"/>
        <v>Close</v>
      </c>
      <c r="V575" s="117"/>
    </row>
    <row r="576" spans="1:22" ht="15" customHeight="1">
      <c r="A576" s="117"/>
      <c r="B576" s="144" t="str">
        <f>IF(D576="","","P"&amp;D576&amp;"MA"&amp;COUNTIF($D$14:D576,D576))</f>
        <v/>
      </c>
      <c r="C576" s="162"/>
      <c r="D576" s="163"/>
      <c r="E576" s="164"/>
      <c r="F576" s="164"/>
      <c r="G576" s="164"/>
      <c r="H576" s="164"/>
      <c r="I576" s="162"/>
      <c r="J576" s="144"/>
      <c r="K576" s="144"/>
      <c r="L576" s="144"/>
      <c r="M576" s="145">
        <f t="shared" si="54"/>
        <v>0</v>
      </c>
      <c r="N576" s="145">
        <f t="shared" si="55"/>
        <v>0</v>
      </c>
      <c r="O576" s="146">
        <f t="shared" si="56"/>
        <v>0</v>
      </c>
      <c r="P576" s="146">
        <f>IF(B576="",0,SUMIF('NHAP XUAT'!$G$10:$J$1011,'Ghi So'!B576,'NHAP XUAT'!$J$10:$J$1011))</f>
        <v>0</v>
      </c>
      <c r="Q576" s="146">
        <f t="shared" si="57"/>
        <v>0</v>
      </c>
      <c r="R576" s="169"/>
      <c r="S576" s="169"/>
      <c r="T576" s="146">
        <f t="shared" si="58"/>
        <v>0</v>
      </c>
      <c r="U576" s="121" t="str">
        <f t="shared" si="59"/>
        <v>Close</v>
      </c>
      <c r="V576" s="117"/>
    </row>
    <row r="577" spans="1:22" ht="15" customHeight="1">
      <c r="A577" s="117"/>
      <c r="B577" s="144" t="str">
        <f>IF(D577="","","P"&amp;D577&amp;"MA"&amp;COUNTIF($D$14:D577,D577))</f>
        <v/>
      </c>
      <c r="C577" s="162"/>
      <c r="D577" s="163"/>
      <c r="E577" s="164"/>
      <c r="F577" s="164"/>
      <c r="G577" s="164"/>
      <c r="H577" s="164"/>
      <c r="I577" s="162"/>
      <c r="J577" s="144"/>
      <c r="K577" s="144"/>
      <c r="L577" s="144"/>
      <c r="M577" s="145">
        <f t="shared" si="54"/>
        <v>0</v>
      </c>
      <c r="N577" s="145">
        <f t="shared" si="55"/>
        <v>0</v>
      </c>
      <c r="O577" s="146">
        <f t="shared" si="56"/>
        <v>0</v>
      </c>
      <c r="P577" s="146">
        <f>IF(B577="",0,SUMIF('NHAP XUAT'!$G$10:$J$1011,'Ghi So'!B577,'NHAP XUAT'!$J$10:$J$1011))</f>
        <v>0</v>
      </c>
      <c r="Q577" s="146">
        <f t="shared" si="57"/>
        <v>0</v>
      </c>
      <c r="R577" s="169"/>
      <c r="S577" s="169"/>
      <c r="T577" s="146">
        <f t="shared" si="58"/>
        <v>0</v>
      </c>
      <c r="U577" s="121" t="str">
        <f t="shared" si="59"/>
        <v>Close</v>
      </c>
      <c r="V577" s="117"/>
    </row>
    <row r="578" spans="1:22" ht="15" customHeight="1">
      <c r="A578" s="117"/>
      <c r="B578" s="144" t="str">
        <f>IF(D578="","","P"&amp;D578&amp;"MA"&amp;COUNTIF($D$14:D578,D578))</f>
        <v/>
      </c>
      <c r="C578" s="162"/>
      <c r="D578" s="163"/>
      <c r="E578" s="164"/>
      <c r="F578" s="164"/>
      <c r="G578" s="164"/>
      <c r="H578" s="164"/>
      <c r="I578" s="162"/>
      <c r="J578" s="144"/>
      <c r="K578" s="144"/>
      <c r="L578" s="144"/>
      <c r="M578" s="145">
        <f t="shared" si="54"/>
        <v>0</v>
      </c>
      <c r="N578" s="145">
        <f t="shared" si="55"/>
        <v>0</v>
      </c>
      <c r="O578" s="146">
        <f t="shared" si="56"/>
        <v>0</v>
      </c>
      <c r="P578" s="146">
        <f>IF(B578="",0,SUMIF('NHAP XUAT'!$G$10:$J$1011,'Ghi So'!B578,'NHAP XUAT'!$J$10:$J$1011))</f>
        <v>0</v>
      </c>
      <c r="Q578" s="146">
        <f t="shared" si="57"/>
        <v>0</v>
      </c>
      <c r="R578" s="169"/>
      <c r="S578" s="169"/>
      <c r="T578" s="146">
        <f t="shared" si="58"/>
        <v>0</v>
      </c>
      <c r="U578" s="121" t="str">
        <f t="shared" si="59"/>
        <v>Close</v>
      </c>
      <c r="V578" s="117"/>
    </row>
    <row r="579" spans="1:22" ht="15" customHeight="1">
      <c r="A579" s="117"/>
      <c r="B579" s="144" t="str">
        <f>IF(D579="","","P"&amp;D579&amp;"MA"&amp;COUNTIF($D$14:D579,D579))</f>
        <v/>
      </c>
      <c r="C579" s="162"/>
      <c r="D579" s="163"/>
      <c r="E579" s="164"/>
      <c r="F579" s="164"/>
      <c r="G579" s="164"/>
      <c r="H579" s="164"/>
      <c r="I579" s="162"/>
      <c r="J579" s="144"/>
      <c r="K579" s="144"/>
      <c r="L579" s="144"/>
      <c r="M579" s="145">
        <f t="shared" si="54"/>
        <v>0</v>
      </c>
      <c r="N579" s="145">
        <f t="shared" si="55"/>
        <v>0</v>
      </c>
      <c r="O579" s="146">
        <f t="shared" si="56"/>
        <v>0</v>
      </c>
      <c r="P579" s="146">
        <f>IF(B579="",0,SUMIF('NHAP XUAT'!$G$10:$J$1011,'Ghi So'!B579,'NHAP XUAT'!$J$10:$J$1011))</f>
        <v>0</v>
      </c>
      <c r="Q579" s="146">
        <f t="shared" si="57"/>
        <v>0</v>
      </c>
      <c r="R579" s="169"/>
      <c r="S579" s="169"/>
      <c r="T579" s="146">
        <f t="shared" si="58"/>
        <v>0</v>
      </c>
      <c r="U579" s="121" t="str">
        <f t="shared" si="59"/>
        <v>Close</v>
      </c>
      <c r="V579" s="117"/>
    </row>
    <row r="580" spans="1:22" ht="15" customHeight="1">
      <c r="A580" s="117"/>
      <c r="B580" s="144" t="str">
        <f>IF(D580="","","P"&amp;D580&amp;"MA"&amp;COUNTIF($D$14:D580,D580))</f>
        <v/>
      </c>
      <c r="C580" s="162"/>
      <c r="D580" s="163"/>
      <c r="E580" s="164"/>
      <c r="F580" s="164"/>
      <c r="G580" s="164"/>
      <c r="H580" s="164"/>
      <c r="I580" s="162"/>
      <c r="J580" s="144"/>
      <c r="K580" s="144"/>
      <c r="L580" s="144"/>
      <c r="M580" s="145">
        <f t="shared" si="54"/>
        <v>0</v>
      </c>
      <c r="N580" s="145">
        <f t="shared" si="55"/>
        <v>0</v>
      </c>
      <c r="O580" s="146">
        <f t="shared" si="56"/>
        <v>0</v>
      </c>
      <c r="P580" s="146">
        <f>IF(B580="",0,SUMIF('NHAP XUAT'!$G$10:$J$1011,'Ghi So'!B580,'NHAP XUAT'!$J$10:$J$1011))</f>
        <v>0</v>
      </c>
      <c r="Q580" s="146">
        <f t="shared" si="57"/>
        <v>0</v>
      </c>
      <c r="R580" s="169"/>
      <c r="S580" s="169"/>
      <c r="T580" s="146">
        <f t="shared" si="58"/>
        <v>0</v>
      </c>
      <c r="U580" s="121" t="str">
        <f t="shared" si="59"/>
        <v>Close</v>
      </c>
      <c r="V580" s="117"/>
    </row>
    <row r="581" spans="1:22" ht="15" customHeight="1">
      <c r="A581" s="117"/>
      <c r="B581" s="144" t="str">
        <f>IF(D581="","","P"&amp;D581&amp;"MA"&amp;COUNTIF($D$14:D581,D581))</f>
        <v/>
      </c>
      <c r="C581" s="162"/>
      <c r="D581" s="163"/>
      <c r="E581" s="164"/>
      <c r="F581" s="164"/>
      <c r="G581" s="164"/>
      <c r="H581" s="164"/>
      <c r="I581" s="162"/>
      <c r="J581" s="144"/>
      <c r="K581" s="144"/>
      <c r="L581" s="144"/>
      <c r="M581" s="145">
        <f t="shared" si="54"/>
        <v>0</v>
      </c>
      <c r="N581" s="145">
        <f t="shared" si="55"/>
        <v>0</v>
      </c>
      <c r="O581" s="146">
        <f t="shared" si="56"/>
        <v>0</v>
      </c>
      <c r="P581" s="146">
        <f>IF(B581="",0,SUMIF('NHAP XUAT'!$G$10:$J$1011,'Ghi So'!B581,'NHAP XUAT'!$J$10:$J$1011))</f>
        <v>0</v>
      </c>
      <c r="Q581" s="146">
        <f t="shared" si="57"/>
        <v>0</v>
      </c>
      <c r="R581" s="169"/>
      <c r="S581" s="169"/>
      <c r="T581" s="146">
        <f t="shared" si="58"/>
        <v>0</v>
      </c>
      <c r="U581" s="121" t="str">
        <f t="shared" si="59"/>
        <v>Close</v>
      </c>
      <c r="V581" s="117"/>
    </row>
    <row r="582" spans="1:22" ht="15" customHeight="1">
      <c r="A582" s="117"/>
      <c r="B582" s="144" t="str">
        <f>IF(D582="","","P"&amp;D582&amp;"MA"&amp;COUNTIF($D$14:D582,D582))</f>
        <v/>
      </c>
      <c r="C582" s="162"/>
      <c r="D582" s="163"/>
      <c r="E582" s="164"/>
      <c r="F582" s="164"/>
      <c r="G582" s="164"/>
      <c r="H582" s="164"/>
      <c r="I582" s="162"/>
      <c r="J582" s="144"/>
      <c r="K582" s="144"/>
      <c r="L582" s="144"/>
      <c r="M582" s="145">
        <f t="shared" si="54"/>
        <v>0</v>
      </c>
      <c r="N582" s="145">
        <f t="shared" si="55"/>
        <v>0</v>
      </c>
      <c r="O582" s="146">
        <f t="shared" si="56"/>
        <v>0</v>
      </c>
      <c r="P582" s="146">
        <f>IF(B582="",0,SUMIF('NHAP XUAT'!$G$10:$J$1011,'Ghi So'!B582,'NHAP XUAT'!$J$10:$J$1011))</f>
        <v>0</v>
      </c>
      <c r="Q582" s="146">
        <f t="shared" si="57"/>
        <v>0</v>
      </c>
      <c r="R582" s="169"/>
      <c r="S582" s="169"/>
      <c r="T582" s="146">
        <f t="shared" si="58"/>
        <v>0</v>
      </c>
      <c r="U582" s="121" t="str">
        <f t="shared" si="59"/>
        <v>Close</v>
      </c>
      <c r="V582" s="117"/>
    </row>
    <row r="583" spans="1:22" ht="15" customHeight="1">
      <c r="A583" s="117"/>
      <c r="B583" s="144" t="str">
        <f>IF(D583="","","P"&amp;D583&amp;"MA"&amp;COUNTIF($D$14:D583,D583))</f>
        <v/>
      </c>
      <c r="C583" s="162"/>
      <c r="D583" s="163"/>
      <c r="E583" s="164"/>
      <c r="F583" s="164"/>
      <c r="G583" s="164"/>
      <c r="H583" s="164"/>
      <c r="I583" s="162"/>
      <c r="J583" s="144"/>
      <c r="K583" s="144"/>
      <c r="L583" s="144"/>
      <c r="M583" s="145">
        <f t="shared" si="54"/>
        <v>0</v>
      </c>
      <c r="N583" s="145">
        <f t="shared" si="55"/>
        <v>0</v>
      </c>
      <c r="O583" s="146">
        <f t="shared" si="56"/>
        <v>0</v>
      </c>
      <c r="P583" s="146">
        <f>IF(B583="",0,SUMIF('NHAP XUAT'!$G$10:$J$1011,'Ghi So'!B583,'NHAP XUAT'!$J$10:$J$1011))</f>
        <v>0</v>
      </c>
      <c r="Q583" s="146">
        <f t="shared" si="57"/>
        <v>0</v>
      </c>
      <c r="R583" s="169"/>
      <c r="S583" s="169"/>
      <c r="T583" s="146">
        <f t="shared" si="58"/>
        <v>0</v>
      </c>
      <c r="U583" s="121" t="str">
        <f t="shared" si="59"/>
        <v>Close</v>
      </c>
      <c r="V583" s="117"/>
    </row>
    <row r="584" spans="1:22" ht="15" customHeight="1">
      <c r="A584" s="117"/>
      <c r="B584" s="144" t="str">
        <f>IF(D584="","","P"&amp;D584&amp;"MA"&amp;COUNTIF($D$14:D584,D584))</f>
        <v/>
      </c>
      <c r="C584" s="162"/>
      <c r="D584" s="163"/>
      <c r="E584" s="164"/>
      <c r="F584" s="164"/>
      <c r="G584" s="164"/>
      <c r="H584" s="164"/>
      <c r="I584" s="162"/>
      <c r="J584" s="144"/>
      <c r="K584" s="144"/>
      <c r="L584" s="144"/>
      <c r="M584" s="145">
        <f t="shared" si="54"/>
        <v>0</v>
      </c>
      <c r="N584" s="145">
        <f t="shared" si="55"/>
        <v>0</v>
      </c>
      <c r="O584" s="146">
        <f t="shared" si="56"/>
        <v>0</v>
      </c>
      <c r="P584" s="146">
        <f>IF(B584="",0,SUMIF('NHAP XUAT'!$G$10:$J$1011,'Ghi So'!B584,'NHAP XUAT'!$J$10:$J$1011))</f>
        <v>0</v>
      </c>
      <c r="Q584" s="146">
        <f t="shared" si="57"/>
        <v>0</v>
      </c>
      <c r="R584" s="169"/>
      <c r="S584" s="169"/>
      <c r="T584" s="146">
        <f t="shared" si="58"/>
        <v>0</v>
      </c>
      <c r="U584" s="121" t="str">
        <f t="shared" si="59"/>
        <v>Close</v>
      </c>
      <c r="V584" s="117"/>
    </row>
    <row r="585" spans="1:22" ht="15" customHeight="1">
      <c r="A585" s="117"/>
      <c r="B585" s="144" t="str">
        <f>IF(D585="","","P"&amp;D585&amp;"MA"&amp;COUNTIF($D$14:D585,D585))</f>
        <v/>
      </c>
      <c r="C585" s="162"/>
      <c r="D585" s="163"/>
      <c r="E585" s="164"/>
      <c r="F585" s="164"/>
      <c r="G585" s="164"/>
      <c r="H585" s="164"/>
      <c r="I585" s="162"/>
      <c r="J585" s="144"/>
      <c r="K585" s="144"/>
      <c r="L585" s="144"/>
      <c r="M585" s="145">
        <f t="shared" si="54"/>
        <v>0</v>
      </c>
      <c r="N585" s="145">
        <f t="shared" si="55"/>
        <v>0</v>
      </c>
      <c r="O585" s="146">
        <f t="shared" si="56"/>
        <v>0</v>
      </c>
      <c r="P585" s="146">
        <f>IF(B585="",0,SUMIF('NHAP XUAT'!$G$10:$J$1011,'Ghi So'!B585,'NHAP XUAT'!$J$10:$J$1011))</f>
        <v>0</v>
      </c>
      <c r="Q585" s="146">
        <f t="shared" si="57"/>
        <v>0</v>
      </c>
      <c r="R585" s="169"/>
      <c r="S585" s="169"/>
      <c r="T585" s="146">
        <f t="shared" si="58"/>
        <v>0</v>
      </c>
      <c r="U585" s="121" t="str">
        <f t="shared" si="59"/>
        <v>Close</v>
      </c>
      <c r="V585" s="117"/>
    </row>
    <row r="586" spans="1:22" ht="15" customHeight="1">
      <c r="A586" s="117"/>
      <c r="B586" s="144" t="str">
        <f>IF(D586="","","P"&amp;D586&amp;"MA"&amp;COUNTIF($D$14:D586,D586))</f>
        <v/>
      </c>
      <c r="C586" s="162"/>
      <c r="D586" s="163"/>
      <c r="E586" s="164"/>
      <c r="F586" s="164"/>
      <c r="G586" s="164"/>
      <c r="H586" s="164"/>
      <c r="I586" s="162"/>
      <c r="J586" s="144"/>
      <c r="K586" s="144"/>
      <c r="L586" s="144"/>
      <c r="M586" s="145">
        <f t="shared" si="54"/>
        <v>0</v>
      </c>
      <c r="N586" s="145">
        <f t="shared" si="55"/>
        <v>0</v>
      </c>
      <c r="O586" s="146">
        <f t="shared" si="56"/>
        <v>0</v>
      </c>
      <c r="P586" s="146">
        <f>IF(B586="",0,SUMIF('NHAP XUAT'!$G$10:$J$1011,'Ghi So'!B586,'NHAP XUAT'!$J$10:$J$1011))</f>
        <v>0</v>
      </c>
      <c r="Q586" s="146">
        <f t="shared" si="57"/>
        <v>0</v>
      </c>
      <c r="R586" s="169"/>
      <c r="S586" s="169"/>
      <c r="T586" s="146">
        <f t="shared" si="58"/>
        <v>0</v>
      </c>
      <c r="U586" s="121" t="str">
        <f t="shared" si="59"/>
        <v>Close</v>
      </c>
      <c r="V586" s="117"/>
    </row>
    <row r="587" spans="1:22" ht="15" customHeight="1">
      <c r="A587" s="117"/>
      <c r="B587" s="144" t="str">
        <f>IF(D587="","","P"&amp;D587&amp;"MA"&amp;COUNTIF($D$14:D587,D587))</f>
        <v/>
      </c>
      <c r="C587" s="162"/>
      <c r="D587" s="163"/>
      <c r="E587" s="164"/>
      <c r="F587" s="164"/>
      <c r="G587" s="164"/>
      <c r="H587" s="164"/>
      <c r="I587" s="162"/>
      <c r="J587" s="144"/>
      <c r="K587" s="144"/>
      <c r="L587" s="144"/>
      <c r="M587" s="145">
        <f t="shared" si="54"/>
        <v>0</v>
      </c>
      <c r="N587" s="145">
        <f t="shared" si="55"/>
        <v>0</v>
      </c>
      <c r="O587" s="146">
        <f t="shared" si="56"/>
        <v>0</v>
      </c>
      <c r="P587" s="146">
        <f>IF(B587="",0,SUMIF('NHAP XUAT'!$G$10:$J$1011,'Ghi So'!B587,'NHAP XUAT'!$J$10:$J$1011))</f>
        <v>0</v>
      </c>
      <c r="Q587" s="146">
        <f t="shared" si="57"/>
        <v>0</v>
      </c>
      <c r="R587" s="169"/>
      <c r="S587" s="169"/>
      <c r="T587" s="146">
        <f t="shared" si="58"/>
        <v>0</v>
      </c>
      <c r="U587" s="121" t="str">
        <f t="shared" si="59"/>
        <v>Close</v>
      </c>
      <c r="V587" s="117"/>
    </row>
    <row r="588" spans="1:22" ht="15" customHeight="1">
      <c r="A588" s="117"/>
      <c r="B588" s="144" t="str">
        <f>IF(D588="","","P"&amp;D588&amp;"MA"&amp;COUNTIF($D$14:D588,D588))</f>
        <v/>
      </c>
      <c r="C588" s="162"/>
      <c r="D588" s="163"/>
      <c r="E588" s="164"/>
      <c r="F588" s="164"/>
      <c r="G588" s="164"/>
      <c r="H588" s="164"/>
      <c r="I588" s="162"/>
      <c r="J588" s="144"/>
      <c r="K588" s="144"/>
      <c r="L588" s="144"/>
      <c r="M588" s="145">
        <f t="shared" si="54"/>
        <v>0</v>
      </c>
      <c r="N588" s="145">
        <f t="shared" si="55"/>
        <v>0</v>
      </c>
      <c r="O588" s="146">
        <f t="shared" si="56"/>
        <v>0</v>
      </c>
      <c r="P588" s="146">
        <f>IF(B588="",0,SUMIF('NHAP XUAT'!$G$10:$J$1011,'Ghi So'!B588,'NHAP XUAT'!$J$10:$J$1011))</f>
        <v>0</v>
      </c>
      <c r="Q588" s="146">
        <f t="shared" si="57"/>
        <v>0</v>
      </c>
      <c r="R588" s="169"/>
      <c r="S588" s="169"/>
      <c r="T588" s="146">
        <f t="shared" si="58"/>
        <v>0</v>
      </c>
      <c r="U588" s="121" t="str">
        <f t="shared" si="59"/>
        <v>Close</v>
      </c>
      <c r="V588" s="117"/>
    </row>
    <row r="589" spans="1:22" ht="15" customHeight="1">
      <c r="A589" s="117"/>
      <c r="B589" s="144" t="str">
        <f>IF(D589="","","P"&amp;D589&amp;"MA"&amp;COUNTIF($D$14:D589,D589))</f>
        <v/>
      </c>
      <c r="C589" s="162"/>
      <c r="D589" s="163"/>
      <c r="E589" s="164"/>
      <c r="F589" s="164"/>
      <c r="G589" s="164"/>
      <c r="H589" s="164"/>
      <c r="I589" s="162"/>
      <c r="J589" s="144"/>
      <c r="K589" s="144"/>
      <c r="L589" s="144"/>
      <c r="M589" s="145">
        <f t="shared" si="54"/>
        <v>0</v>
      </c>
      <c r="N589" s="145">
        <f t="shared" si="55"/>
        <v>0</v>
      </c>
      <c r="O589" s="146">
        <f t="shared" si="56"/>
        <v>0</v>
      </c>
      <c r="P589" s="146">
        <f>IF(B589="",0,SUMIF('NHAP XUAT'!$G$10:$J$1011,'Ghi So'!B589,'NHAP XUAT'!$J$10:$J$1011))</f>
        <v>0</v>
      </c>
      <c r="Q589" s="146">
        <f t="shared" si="57"/>
        <v>0</v>
      </c>
      <c r="R589" s="169"/>
      <c r="S589" s="169"/>
      <c r="T589" s="146">
        <f t="shared" si="58"/>
        <v>0</v>
      </c>
      <c r="U589" s="121" t="str">
        <f t="shared" si="59"/>
        <v>Close</v>
      </c>
      <c r="V589" s="117"/>
    </row>
    <row r="590" spans="1:22" ht="15" customHeight="1">
      <c r="A590" s="117"/>
      <c r="B590" s="144" t="str">
        <f>IF(D590="","","P"&amp;D590&amp;"MA"&amp;COUNTIF($D$14:D590,D590))</f>
        <v/>
      </c>
      <c r="C590" s="162"/>
      <c r="D590" s="163"/>
      <c r="E590" s="164"/>
      <c r="F590" s="164"/>
      <c r="G590" s="164"/>
      <c r="H590" s="164"/>
      <c r="I590" s="162"/>
      <c r="J590" s="144"/>
      <c r="K590" s="144"/>
      <c r="L590" s="144"/>
      <c r="M590" s="145">
        <f t="shared" si="54"/>
        <v>0</v>
      </c>
      <c r="N590" s="145">
        <f t="shared" si="55"/>
        <v>0</v>
      </c>
      <c r="O590" s="146">
        <f t="shared" si="56"/>
        <v>0</v>
      </c>
      <c r="P590" s="146">
        <f>IF(B590="",0,SUMIF('NHAP XUAT'!$G$10:$J$1011,'Ghi So'!B590,'NHAP XUAT'!$J$10:$J$1011))</f>
        <v>0</v>
      </c>
      <c r="Q590" s="146">
        <f t="shared" si="57"/>
        <v>0</v>
      </c>
      <c r="R590" s="169"/>
      <c r="S590" s="169"/>
      <c r="T590" s="146">
        <f t="shared" si="58"/>
        <v>0</v>
      </c>
      <c r="U590" s="121" t="str">
        <f t="shared" si="59"/>
        <v>Close</v>
      </c>
      <c r="V590" s="117"/>
    </row>
    <row r="591" spans="1:22" ht="15" customHeight="1">
      <c r="A591" s="117"/>
      <c r="B591" s="144" t="str">
        <f>IF(D591="","","P"&amp;D591&amp;"MA"&amp;COUNTIF($D$14:D591,D591))</f>
        <v/>
      </c>
      <c r="C591" s="162"/>
      <c r="D591" s="163"/>
      <c r="E591" s="164"/>
      <c r="F591" s="164"/>
      <c r="G591" s="164"/>
      <c r="H591" s="164"/>
      <c r="I591" s="162"/>
      <c r="J591" s="144"/>
      <c r="K591" s="144"/>
      <c r="L591" s="144"/>
      <c r="M591" s="145">
        <f t="shared" si="54"/>
        <v>0</v>
      </c>
      <c r="N591" s="145">
        <f t="shared" si="55"/>
        <v>0</v>
      </c>
      <c r="O591" s="146">
        <f t="shared" si="56"/>
        <v>0</v>
      </c>
      <c r="P591" s="146">
        <f>IF(B591="",0,SUMIF('NHAP XUAT'!$G$10:$J$1011,'Ghi So'!B591,'NHAP XUAT'!$J$10:$J$1011))</f>
        <v>0</v>
      </c>
      <c r="Q591" s="146">
        <f t="shared" si="57"/>
        <v>0</v>
      </c>
      <c r="R591" s="169"/>
      <c r="S591" s="169"/>
      <c r="T591" s="146">
        <f t="shared" si="58"/>
        <v>0</v>
      </c>
      <c r="U591" s="121" t="str">
        <f t="shared" si="59"/>
        <v>Close</v>
      </c>
      <c r="V591" s="117"/>
    </row>
    <row r="592" spans="1:22" ht="15" customHeight="1">
      <c r="A592" s="117"/>
      <c r="B592" s="144" t="str">
        <f>IF(D592="","","P"&amp;D592&amp;"MA"&amp;COUNTIF($D$14:D592,D592))</f>
        <v/>
      </c>
      <c r="C592" s="162"/>
      <c r="D592" s="163"/>
      <c r="E592" s="164"/>
      <c r="F592" s="164"/>
      <c r="G592" s="164"/>
      <c r="H592" s="164"/>
      <c r="I592" s="162"/>
      <c r="J592" s="144"/>
      <c r="K592" s="144"/>
      <c r="L592" s="144"/>
      <c r="M592" s="145">
        <f t="shared" si="54"/>
        <v>0</v>
      </c>
      <c r="N592" s="145">
        <f t="shared" si="55"/>
        <v>0</v>
      </c>
      <c r="O592" s="146">
        <f t="shared" si="56"/>
        <v>0</v>
      </c>
      <c r="P592" s="146">
        <f>IF(B592="",0,SUMIF('NHAP XUAT'!$G$10:$J$1011,'Ghi So'!B592,'NHAP XUAT'!$J$10:$J$1011))</f>
        <v>0</v>
      </c>
      <c r="Q592" s="146">
        <f t="shared" si="57"/>
        <v>0</v>
      </c>
      <c r="R592" s="169"/>
      <c r="S592" s="169"/>
      <c r="T592" s="146">
        <f t="shared" si="58"/>
        <v>0</v>
      </c>
      <c r="U592" s="121" t="str">
        <f t="shared" si="59"/>
        <v>Close</v>
      </c>
      <c r="V592" s="117"/>
    </row>
    <row r="593" spans="1:22" ht="15" customHeight="1">
      <c r="A593" s="117"/>
      <c r="B593" s="144" t="str">
        <f>IF(D593="","","P"&amp;D593&amp;"MA"&amp;COUNTIF($D$14:D593,D593))</f>
        <v/>
      </c>
      <c r="C593" s="162"/>
      <c r="D593" s="163"/>
      <c r="E593" s="164"/>
      <c r="F593" s="164"/>
      <c r="G593" s="164"/>
      <c r="H593" s="164"/>
      <c r="I593" s="162"/>
      <c r="J593" s="144"/>
      <c r="K593" s="144"/>
      <c r="L593" s="144"/>
      <c r="M593" s="145">
        <f t="shared" si="54"/>
        <v>0</v>
      </c>
      <c r="N593" s="145">
        <f t="shared" si="55"/>
        <v>0</v>
      </c>
      <c r="O593" s="146">
        <f t="shared" si="56"/>
        <v>0</v>
      </c>
      <c r="P593" s="146">
        <f>IF(B593="",0,SUMIF('NHAP XUAT'!$G$10:$J$1011,'Ghi So'!B593,'NHAP XUAT'!$J$10:$J$1011))</f>
        <v>0</v>
      </c>
      <c r="Q593" s="146">
        <f t="shared" si="57"/>
        <v>0</v>
      </c>
      <c r="R593" s="169"/>
      <c r="S593" s="169"/>
      <c r="T593" s="146">
        <f t="shared" si="58"/>
        <v>0</v>
      </c>
      <c r="U593" s="121" t="str">
        <f t="shared" si="59"/>
        <v>Close</v>
      </c>
      <c r="V593" s="117"/>
    </row>
    <row r="594" spans="1:22" ht="15" customHeight="1">
      <c r="A594" s="117"/>
      <c r="B594" s="144" t="str">
        <f>IF(D594="","","P"&amp;D594&amp;"MA"&amp;COUNTIF($D$14:D594,D594))</f>
        <v/>
      </c>
      <c r="C594" s="162"/>
      <c r="D594" s="163"/>
      <c r="E594" s="164"/>
      <c r="F594" s="164"/>
      <c r="G594" s="164"/>
      <c r="H594" s="164"/>
      <c r="I594" s="162"/>
      <c r="J594" s="144"/>
      <c r="K594" s="144"/>
      <c r="L594" s="144"/>
      <c r="M594" s="145">
        <f t="shared" si="54"/>
        <v>0</v>
      </c>
      <c r="N594" s="145">
        <f t="shared" si="55"/>
        <v>0</v>
      </c>
      <c r="O594" s="146">
        <f t="shared" si="56"/>
        <v>0</v>
      </c>
      <c r="P594" s="146">
        <f>IF(B594="",0,SUMIF('NHAP XUAT'!$G$10:$J$1011,'Ghi So'!B594,'NHAP XUAT'!$J$10:$J$1011))</f>
        <v>0</v>
      </c>
      <c r="Q594" s="146">
        <f t="shared" si="57"/>
        <v>0</v>
      </c>
      <c r="R594" s="169"/>
      <c r="S594" s="169"/>
      <c r="T594" s="146">
        <f t="shared" si="58"/>
        <v>0</v>
      </c>
      <c r="U594" s="121" t="str">
        <f t="shared" si="59"/>
        <v>Close</v>
      </c>
      <c r="V594" s="117"/>
    </row>
    <row r="595" spans="1:22" ht="15" customHeight="1">
      <c r="A595" s="117"/>
      <c r="B595" s="144" t="str">
        <f>IF(D595="","","P"&amp;D595&amp;"MA"&amp;COUNTIF($D$14:D595,D595))</f>
        <v/>
      </c>
      <c r="C595" s="162"/>
      <c r="D595" s="163"/>
      <c r="E595" s="164"/>
      <c r="F595" s="164"/>
      <c r="G595" s="164"/>
      <c r="H595" s="164"/>
      <c r="I595" s="162"/>
      <c r="J595" s="144"/>
      <c r="K595" s="144"/>
      <c r="L595" s="144"/>
      <c r="M595" s="145">
        <f t="shared" si="54"/>
        <v>0</v>
      </c>
      <c r="N595" s="145">
        <f t="shared" si="55"/>
        <v>0</v>
      </c>
      <c r="O595" s="146">
        <f t="shared" si="56"/>
        <v>0</v>
      </c>
      <c r="P595" s="146">
        <f>IF(B595="",0,SUMIF('NHAP XUAT'!$G$10:$J$1011,'Ghi So'!B595,'NHAP XUAT'!$J$10:$J$1011))</f>
        <v>0</v>
      </c>
      <c r="Q595" s="146">
        <f t="shared" si="57"/>
        <v>0</v>
      </c>
      <c r="R595" s="169"/>
      <c r="S595" s="169"/>
      <c r="T595" s="146">
        <f t="shared" si="58"/>
        <v>0</v>
      </c>
      <c r="U595" s="121" t="str">
        <f t="shared" si="59"/>
        <v>Close</v>
      </c>
      <c r="V595" s="117"/>
    </row>
    <row r="596" spans="1:22" ht="15" customHeight="1">
      <c r="A596" s="117"/>
      <c r="B596" s="144" t="str">
        <f>IF(D596="","","P"&amp;D596&amp;"MA"&amp;COUNTIF($D$14:D596,D596))</f>
        <v/>
      </c>
      <c r="C596" s="162"/>
      <c r="D596" s="163"/>
      <c r="E596" s="164"/>
      <c r="F596" s="164"/>
      <c r="G596" s="164"/>
      <c r="H596" s="164"/>
      <c r="I596" s="162"/>
      <c r="J596" s="144"/>
      <c r="K596" s="144"/>
      <c r="L596" s="144"/>
      <c r="M596" s="145">
        <f t="shared" si="54"/>
        <v>0</v>
      </c>
      <c r="N596" s="145">
        <f t="shared" si="55"/>
        <v>0</v>
      </c>
      <c r="O596" s="146">
        <f t="shared" si="56"/>
        <v>0</v>
      </c>
      <c r="P596" s="146">
        <f>IF(B596="",0,SUMIF('NHAP XUAT'!$G$10:$J$1011,'Ghi So'!B596,'NHAP XUAT'!$J$10:$J$1011))</f>
        <v>0</v>
      </c>
      <c r="Q596" s="146">
        <f t="shared" si="57"/>
        <v>0</v>
      </c>
      <c r="R596" s="169"/>
      <c r="S596" s="169"/>
      <c r="T596" s="146">
        <f t="shared" si="58"/>
        <v>0</v>
      </c>
      <c r="U596" s="121" t="str">
        <f t="shared" si="59"/>
        <v>Close</v>
      </c>
      <c r="V596" s="117"/>
    </row>
    <row r="597" spans="1:22" ht="15" customHeight="1">
      <c r="A597" s="117"/>
      <c r="B597" s="144" t="str">
        <f>IF(D597="","","P"&amp;D597&amp;"MA"&amp;COUNTIF($D$14:D597,D597))</f>
        <v/>
      </c>
      <c r="C597" s="162"/>
      <c r="D597" s="163"/>
      <c r="E597" s="164"/>
      <c r="F597" s="164"/>
      <c r="G597" s="164"/>
      <c r="H597" s="164"/>
      <c r="I597" s="162"/>
      <c r="J597" s="144"/>
      <c r="K597" s="144"/>
      <c r="L597" s="144"/>
      <c r="M597" s="145">
        <f t="shared" si="54"/>
        <v>0</v>
      </c>
      <c r="N597" s="145">
        <f t="shared" si="55"/>
        <v>0</v>
      </c>
      <c r="O597" s="146">
        <f t="shared" si="56"/>
        <v>0</v>
      </c>
      <c r="P597" s="146">
        <f>IF(B597="",0,SUMIF('NHAP XUAT'!$G$10:$J$1011,'Ghi So'!B597,'NHAP XUAT'!$J$10:$J$1011))</f>
        <v>0</v>
      </c>
      <c r="Q597" s="146">
        <f t="shared" si="57"/>
        <v>0</v>
      </c>
      <c r="R597" s="169"/>
      <c r="S597" s="169"/>
      <c r="T597" s="146">
        <f t="shared" si="58"/>
        <v>0</v>
      </c>
      <c r="U597" s="121" t="str">
        <f t="shared" si="59"/>
        <v>Close</v>
      </c>
      <c r="V597" s="117"/>
    </row>
    <row r="598" spans="1:22" ht="15" customHeight="1">
      <c r="A598" s="117"/>
      <c r="B598" s="144" t="str">
        <f>IF(D598="","","P"&amp;D598&amp;"MA"&amp;COUNTIF($D$14:D598,D598))</f>
        <v/>
      </c>
      <c r="C598" s="162"/>
      <c r="D598" s="163"/>
      <c r="E598" s="164"/>
      <c r="F598" s="164"/>
      <c r="G598" s="164"/>
      <c r="H598" s="164"/>
      <c r="I598" s="162"/>
      <c r="J598" s="144"/>
      <c r="K598" s="144"/>
      <c r="L598" s="144"/>
      <c r="M598" s="145">
        <f t="shared" si="54"/>
        <v>0</v>
      </c>
      <c r="N598" s="145">
        <f t="shared" si="55"/>
        <v>0</v>
      </c>
      <c r="O598" s="146">
        <f t="shared" si="56"/>
        <v>0</v>
      </c>
      <c r="P598" s="146">
        <f>IF(B598="",0,SUMIF('NHAP XUAT'!$G$10:$J$1011,'Ghi So'!B598,'NHAP XUAT'!$J$10:$J$1011))</f>
        <v>0</v>
      </c>
      <c r="Q598" s="146">
        <f t="shared" si="57"/>
        <v>0</v>
      </c>
      <c r="R598" s="169"/>
      <c r="S598" s="169"/>
      <c r="T598" s="146">
        <f t="shared" si="58"/>
        <v>0</v>
      </c>
      <c r="U598" s="121" t="str">
        <f t="shared" si="59"/>
        <v>Close</v>
      </c>
      <c r="V598" s="117"/>
    </row>
    <row r="599" spans="1:22" ht="15" customHeight="1">
      <c r="A599" s="117"/>
      <c r="B599" s="144" t="str">
        <f>IF(D599="","","P"&amp;D599&amp;"MA"&amp;COUNTIF($D$14:D599,D599))</f>
        <v/>
      </c>
      <c r="C599" s="162"/>
      <c r="D599" s="163"/>
      <c r="E599" s="164"/>
      <c r="F599" s="164"/>
      <c r="G599" s="164"/>
      <c r="H599" s="164"/>
      <c r="I599" s="162"/>
      <c r="J599" s="144"/>
      <c r="K599" s="144"/>
      <c r="L599" s="144"/>
      <c r="M599" s="145">
        <f t="shared" si="54"/>
        <v>0</v>
      </c>
      <c r="N599" s="145">
        <f t="shared" si="55"/>
        <v>0</v>
      </c>
      <c r="O599" s="146">
        <f t="shared" si="56"/>
        <v>0</v>
      </c>
      <c r="P599" s="146">
        <f>IF(B599="",0,SUMIF('NHAP XUAT'!$G$10:$J$1011,'Ghi So'!B599,'NHAP XUAT'!$J$10:$J$1011))</f>
        <v>0</v>
      </c>
      <c r="Q599" s="146">
        <f t="shared" si="57"/>
        <v>0</v>
      </c>
      <c r="R599" s="169"/>
      <c r="S599" s="169"/>
      <c r="T599" s="146">
        <f t="shared" si="58"/>
        <v>0</v>
      </c>
      <c r="U599" s="121" t="str">
        <f t="shared" si="59"/>
        <v>Close</v>
      </c>
      <c r="V599" s="117"/>
    </row>
    <row r="600" spans="1:22" ht="15" customHeight="1">
      <c r="A600" s="117"/>
      <c r="B600" s="144" t="str">
        <f>IF(D600="","","P"&amp;D600&amp;"MA"&amp;COUNTIF($D$14:D600,D600))</f>
        <v/>
      </c>
      <c r="C600" s="162"/>
      <c r="D600" s="163"/>
      <c r="E600" s="164"/>
      <c r="F600" s="164"/>
      <c r="G600" s="164"/>
      <c r="H600" s="164"/>
      <c r="I600" s="162"/>
      <c r="J600" s="144"/>
      <c r="K600" s="144"/>
      <c r="L600" s="144"/>
      <c r="M600" s="145">
        <f t="shared" si="54"/>
        <v>0</v>
      </c>
      <c r="N600" s="145">
        <f t="shared" si="55"/>
        <v>0</v>
      </c>
      <c r="O600" s="146">
        <f t="shared" si="56"/>
        <v>0</v>
      </c>
      <c r="P600" s="146">
        <f>IF(B600="",0,SUMIF('NHAP XUAT'!$G$10:$J$1011,'Ghi So'!B600,'NHAP XUAT'!$J$10:$J$1011))</f>
        <v>0</v>
      </c>
      <c r="Q600" s="146">
        <f t="shared" si="57"/>
        <v>0</v>
      </c>
      <c r="R600" s="169"/>
      <c r="S600" s="169"/>
      <c r="T600" s="146">
        <f t="shared" si="58"/>
        <v>0</v>
      </c>
      <c r="U600" s="121" t="str">
        <f t="shared" si="59"/>
        <v>Close</v>
      </c>
      <c r="V600" s="117"/>
    </row>
    <row r="601" spans="1:22" ht="15" customHeight="1">
      <c r="A601" s="117"/>
      <c r="B601" s="144" t="str">
        <f>IF(D601="","","P"&amp;D601&amp;"MA"&amp;COUNTIF($D$14:D601,D601))</f>
        <v/>
      </c>
      <c r="C601" s="162"/>
      <c r="D601" s="163"/>
      <c r="E601" s="164"/>
      <c r="F601" s="164"/>
      <c r="G601" s="164"/>
      <c r="H601" s="164"/>
      <c r="I601" s="162"/>
      <c r="J601" s="144"/>
      <c r="K601" s="144"/>
      <c r="L601" s="144"/>
      <c r="M601" s="145">
        <f t="shared" si="54"/>
        <v>0</v>
      </c>
      <c r="N601" s="145">
        <f t="shared" si="55"/>
        <v>0</v>
      </c>
      <c r="O601" s="146">
        <f t="shared" si="56"/>
        <v>0</v>
      </c>
      <c r="P601" s="146">
        <f>IF(B601="",0,SUMIF('NHAP XUAT'!$G$10:$J$1011,'Ghi So'!B601,'NHAP XUAT'!$J$10:$J$1011))</f>
        <v>0</v>
      </c>
      <c r="Q601" s="146">
        <f t="shared" si="57"/>
        <v>0</v>
      </c>
      <c r="R601" s="169"/>
      <c r="S601" s="169"/>
      <c r="T601" s="146">
        <f t="shared" si="58"/>
        <v>0</v>
      </c>
      <c r="U601" s="121" t="str">
        <f t="shared" si="59"/>
        <v>Close</v>
      </c>
      <c r="V601" s="117"/>
    </row>
    <row r="602" spans="1:22" ht="15" customHeight="1">
      <c r="A602" s="117"/>
      <c r="B602" s="144" t="str">
        <f>IF(D602="","","P"&amp;D602&amp;"MA"&amp;COUNTIF($D$14:D602,D602))</f>
        <v/>
      </c>
      <c r="C602" s="162"/>
      <c r="D602" s="163"/>
      <c r="E602" s="164"/>
      <c r="F602" s="164"/>
      <c r="G602" s="164"/>
      <c r="H602" s="164"/>
      <c r="I602" s="162"/>
      <c r="J602" s="144"/>
      <c r="K602" s="144"/>
      <c r="L602" s="144"/>
      <c r="M602" s="145">
        <f t="shared" si="54"/>
        <v>0</v>
      </c>
      <c r="N602" s="145">
        <f t="shared" si="55"/>
        <v>0</v>
      </c>
      <c r="O602" s="146">
        <f t="shared" si="56"/>
        <v>0</v>
      </c>
      <c r="P602" s="146">
        <f>IF(B602="",0,SUMIF('NHAP XUAT'!$G$10:$J$1011,'Ghi So'!B602,'NHAP XUAT'!$J$10:$J$1011))</f>
        <v>0</v>
      </c>
      <c r="Q602" s="146">
        <f t="shared" si="57"/>
        <v>0</v>
      </c>
      <c r="R602" s="169"/>
      <c r="S602" s="169"/>
      <c r="T602" s="146">
        <f t="shared" si="58"/>
        <v>0</v>
      </c>
      <c r="U602" s="121" t="str">
        <f t="shared" si="59"/>
        <v>Close</v>
      </c>
      <c r="V602" s="117"/>
    </row>
    <row r="603" spans="1:22" ht="15" customHeight="1">
      <c r="A603" s="117"/>
      <c r="B603" s="144" t="str">
        <f>IF(D603="","","P"&amp;D603&amp;"MA"&amp;COUNTIF($D$14:D603,D603))</f>
        <v/>
      </c>
      <c r="C603" s="162"/>
      <c r="D603" s="163"/>
      <c r="E603" s="164"/>
      <c r="F603" s="164"/>
      <c r="G603" s="164"/>
      <c r="H603" s="164"/>
      <c r="I603" s="162"/>
      <c r="J603" s="144"/>
      <c r="K603" s="144"/>
      <c r="L603" s="144"/>
      <c r="M603" s="145">
        <f t="shared" si="54"/>
        <v>0</v>
      </c>
      <c r="N603" s="145">
        <f t="shared" si="55"/>
        <v>0</v>
      </c>
      <c r="O603" s="146">
        <f t="shared" si="56"/>
        <v>0</v>
      </c>
      <c r="P603" s="146">
        <f>IF(B603="",0,SUMIF('NHAP XUAT'!$G$10:$J$1011,'Ghi So'!B603,'NHAP XUAT'!$J$10:$J$1011))</f>
        <v>0</v>
      </c>
      <c r="Q603" s="146">
        <f t="shared" si="57"/>
        <v>0</v>
      </c>
      <c r="R603" s="169"/>
      <c r="S603" s="169"/>
      <c r="T603" s="146">
        <f t="shared" si="58"/>
        <v>0</v>
      </c>
      <c r="U603" s="121" t="str">
        <f t="shared" si="59"/>
        <v>Close</v>
      </c>
      <c r="V603" s="117"/>
    </row>
    <row r="604" spans="1:22" ht="15" customHeight="1">
      <c r="A604" s="117"/>
      <c r="B604" s="144" t="str">
        <f>IF(D604="","","P"&amp;D604&amp;"MA"&amp;COUNTIF($D$14:D604,D604))</f>
        <v/>
      </c>
      <c r="C604" s="162"/>
      <c r="D604" s="163"/>
      <c r="E604" s="164"/>
      <c r="F604" s="164"/>
      <c r="G604" s="164"/>
      <c r="H604" s="164"/>
      <c r="I604" s="162"/>
      <c r="J604" s="144"/>
      <c r="K604" s="144"/>
      <c r="L604" s="144"/>
      <c r="M604" s="145">
        <f t="shared" si="54"/>
        <v>0</v>
      </c>
      <c r="N604" s="145">
        <f t="shared" si="55"/>
        <v>0</v>
      </c>
      <c r="O604" s="146">
        <f t="shared" si="56"/>
        <v>0</v>
      </c>
      <c r="P604" s="146">
        <f>IF(B604="",0,SUMIF('NHAP XUAT'!$G$10:$J$1011,'Ghi So'!B604,'NHAP XUAT'!$J$10:$J$1011))</f>
        <v>0</v>
      </c>
      <c r="Q604" s="146">
        <f t="shared" si="57"/>
        <v>0</v>
      </c>
      <c r="R604" s="169"/>
      <c r="S604" s="169"/>
      <c r="T604" s="146">
        <f t="shared" si="58"/>
        <v>0</v>
      </c>
      <c r="U604" s="121" t="str">
        <f t="shared" si="59"/>
        <v>Close</v>
      </c>
      <c r="V604" s="117"/>
    </row>
    <row r="605" spans="1:22" ht="15" customHeight="1">
      <c r="A605" s="117"/>
      <c r="B605" s="144" t="str">
        <f>IF(D605="","","P"&amp;D605&amp;"MA"&amp;COUNTIF($D$14:D605,D605))</f>
        <v/>
      </c>
      <c r="C605" s="162"/>
      <c r="D605" s="163"/>
      <c r="E605" s="164"/>
      <c r="F605" s="164"/>
      <c r="G605" s="164"/>
      <c r="H605" s="164"/>
      <c r="I605" s="162"/>
      <c r="J605" s="144"/>
      <c r="K605" s="144"/>
      <c r="L605" s="144"/>
      <c r="M605" s="145">
        <f t="shared" ref="M605:M668" si="60">(IF(I605&lt;&gt;"",(I605-C605)*24*60,0)+G605*60+H605-E605*60-F605)/60</f>
        <v>0</v>
      </c>
      <c r="N605" s="145">
        <f t="shared" ref="N605:N668" si="61">INT(M605)+IF(MOD(M605,2)&gt;0.25,1,0)</f>
        <v>0</v>
      </c>
      <c r="O605" s="146">
        <f t="shared" ref="O605:O668" si="62">IF(J605&lt;&gt;"",DG_nghigio+DG_themgio*(N605-1),IF(K605&lt;&gt;"",DG_quadem+DG_themgio*(N605-12),DG_ngay*L605))</f>
        <v>0</v>
      </c>
      <c r="P605" s="146">
        <f>IF(B605="",0,SUMIF('NHAP XUAT'!$G$10:$J$1011,'Ghi So'!B605,'NHAP XUAT'!$J$10:$J$1011))</f>
        <v>0</v>
      </c>
      <c r="Q605" s="146">
        <f t="shared" ref="Q605:Q668" si="63">O605+P605</f>
        <v>0</v>
      </c>
      <c r="R605" s="169"/>
      <c r="S605" s="169"/>
      <c r="T605" s="146">
        <f t="shared" ref="T605:T668" si="64">R605*S605</f>
        <v>0</v>
      </c>
      <c r="U605" s="121" t="str">
        <f t="shared" ref="U605:U668" si="65">D605&amp;IF(AND(G605="",H605="",I605=""),"Close","Open")</f>
        <v>Close</v>
      </c>
      <c r="V605" s="117"/>
    </row>
    <row r="606" spans="1:22" ht="15" customHeight="1">
      <c r="A606" s="117"/>
      <c r="B606" s="144" t="str">
        <f>IF(D606="","","P"&amp;D606&amp;"MA"&amp;COUNTIF($D$14:D606,D606))</f>
        <v/>
      </c>
      <c r="C606" s="162"/>
      <c r="D606" s="163"/>
      <c r="E606" s="164"/>
      <c r="F606" s="164"/>
      <c r="G606" s="164"/>
      <c r="H606" s="164"/>
      <c r="I606" s="162"/>
      <c r="J606" s="144"/>
      <c r="K606" s="144"/>
      <c r="L606" s="144"/>
      <c r="M606" s="145">
        <f t="shared" si="60"/>
        <v>0</v>
      </c>
      <c r="N606" s="145">
        <f t="shared" si="61"/>
        <v>0</v>
      </c>
      <c r="O606" s="146">
        <f t="shared" si="62"/>
        <v>0</v>
      </c>
      <c r="P606" s="146">
        <f>IF(B606="",0,SUMIF('NHAP XUAT'!$G$10:$J$1011,'Ghi So'!B606,'NHAP XUAT'!$J$10:$J$1011))</f>
        <v>0</v>
      </c>
      <c r="Q606" s="146">
        <f t="shared" si="63"/>
        <v>0</v>
      </c>
      <c r="R606" s="169"/>
      <c r="S606" s="169"/>
      <c r="T606" s="146">
        <f t="shared" si="64"/>
        <v>0</v>
      </c>
      <c r="U606" s="121" t="str">
        <f t="shared" si="65"/>
        <v>Close</v>
      </c>
      <c r="V606" s="117"/>
    </row>
    <row r="607" spans="1:22" ht="15" customHeight="1">
      <c r="A607" s="117"/>
      <c r="B607" s="144" t="str">
        <f>IF(D607="","","P"&amp;D607&amp;"MA"&amp;COUNTIF($D$14:D607,D607))</f>
        <v/>
      </c>
      <c r="C607" s="162"/>
      <c r="D607" s="163"/>
      <c r="E607" s="164"/>
      <c r="F607" s="164"/>
      <c r="G607" s="164"/>
      <c r="H607" s="164"/>
      <c r="I607" s="162"/>
      <c r="J607" s="144"/>
      <c r="K607" s="144"/>
      <c r="L607" s="144"/>
      <c r="M607" s="145">
        <f t="shared" si="60"/>
        <v>0</v>
      </c>
      <c r="N607" s="145">
        <f t="shared" si="61"/>
        <v>0</v>
      </c>
      <c r="O607" s="146">
        <f t="shared" si="62"/>
        <v>0</v>
      </c>
      <c r="P607" s="146">
        <f>IF(B607="",0,SUMIF('NHAP XUAT'!$G$10:$J$1011,'Ghi So'!B607,'NHAP XUAT'!$J$10:$J$1011))</f>
        <v>0</v>
      </c>
      <c r="Q607" s="146">
        <f t="shared" si="63"/>
        <v>0</v>
      </c>
      <c r="R607" s="169"/>
      <c r="S607" s="169"/>
      <c r="T607" s="146">
        <f t="shared" si="64"/>
        <v>0</v>
      </c>
      <c r="U607" s="121" t="str">
        <f t="shared" si="65"/>
        <v>Close</v>
      </c>
      <c r="V607" s="117"/>
    </row>
    <row r="608" spans="1:22" ht="15" customHeight="1">
      <c r="A608" s="117"/>
      <c r="B608" s="144" t="str">
        <f>IF(D608="","","P"&amp;D608&amp;"MA"&amp;COUNTIF($D$14:D608,D608))</f>
        <v/>
      </c>
      <c r="C608" s="162"/>
      <c r="D608" s="163"/>
      <c r="E608" s="164"/>
      <c r="F608" s="164"/>
      <c r="G608" s="164"/>
      <c r="H608" s="164"/>
      <c r="I608" s="162"/>
      <c r="J608" s="144"/>
      <c r="K608" s="144"/>
      <c r="L608" s="144"/>
      <c r="M608" s="145">
        <f t="shared" si="60"/>
        <v>0</v>
      </c>
      <c r="N608" s="145">
        <f t="shared" si="61"/>
        <v>0</v>
      </c>
      <c r="O608" s="146">
        <f t="shared" si="62"/>
        <v>0</v>
      </c>
      <c r="P608" s="146">
        <f>IF(B608="",0,SUMIF('NHAP XUAT'!$G$10:$J$1011,'Ghi So'!B608,'NHAP XUAT'!$J$10:$J$1011))</f>
        <v>0</v>
      </c>
      <c r="Q608" s="146">
        <f t="shared" si="63"/>
        <v>0</v>
      </c>
      <c r="R608" s="169"/>
      <c r="S608" s="169"/>
      <c r="T608" s="146">
        <f t="shared" si="64"/>
        <v>0</v>
      </c>
      <c r="U608" s="121" t="str">
        <f t="shared" si="65"/>
        <v>Close</v>
      </c>
      <c r="V608" s="117"/>
    </row>
    <row r="609" spans="1:22" ht="15" customHeight="1">
      <c r="A609" s="117"/>
      <c r="B609" s="144" t="str">
        <f>IF(D609="","","P"&amp;D609&amp;"MA"&amp;COUNTIF($D$14:D609,D609))</f>
        <v/>
      </c>
      <c r="C609" s="162"/>
      <c r="D609" s="163"/>
      <c r="E609" s="164"/>
      <c r="F609" s="164"/>
      <c r="G609" s="164"/>
      <c r="H609" s="164"/>
      <c r="I609" s="162"/>
      <c r="J609" s="144"/>
      <c r="K609" s="144"/>
      <c r="L609" s="144"/>
      <c r="M609" s="145">
        <f t="shared" si="60"/>
        <v>0</v>
      </c>
      <c r="N609" s="145">
        <f t="shared" si="61"/>
        <v>0</v>
      </c>
      <c r="O609" s="146">
        <f t="shared" si="62"/>
        <v>0</v>
      </c>
      <c r="P609" s="146">
        <f>IF(B609="",0,SUMIF('NHAP XUAT'!$G$10:$J$1011,'Ghi So'!B609,'NHAP XUAT'!$J$10:$J$1011))</f>
        <v>0</v>
      </c>
      <c r="Q609" s="146">
        <f t="shared" si="63"/>
        <v>0</v>
      </c>
      <c r="R609" s="169"/>
      <c r="S609" s="169"/>
      <c r="T609" s="146">
        <f t="shared" si="64"/>
        <v>0</v>
      </c>
      <c r="U609" s="121" t="str">
        <f t="shared" si="65"/>
        <v>Close</v>
      </c>
      <c r="V609" s="117"/>
    </row>
    <row r="610" spans="1:22" ht="15" customHeight="1">
      <c r="A610" s="117"/>
      <c r="B610" s="144" t="str">
        <f>IF(D610="","","P"&amp;D610&amp;"MA"&amp;COUNTIF($D$14:D610,D610))</f>
        <v/>
      </c>
      <c r="C610" s="162"/>
      <c r="D610" s="163"/>
      <c r="E610" s="164"/>
      <c r="F610" s="164"/>
      <c r="G610" s="164"/>
      <c r="H610" s="164"/>
      <c r="I610" s="162"/>
      <c r="J610" s="144"/>
      <c r="K610" s="144"/>
      <c r="L610" s="144"/>
      <c r="M610" s="145">
        <f t="shared" si="60"/>
        <v>0</v>
      </c>
      <c r="N610" s="145">
        <f t="shared" si="61"/>
        <v>0</v>
      </c>
      <c r="O610" s="146">
        <f t="shared" si="62"/>
        <v>0</v>
      </c>
      <c r="P610" s="146">
        <f>IF(B610="",0,SUMIF('NHAP XUAT'!$G$10:$J$1011,'Ghi So'!B610,'NHAP XUAT'!$J$10:$J$1011))</f>
        <v>0</v>
      </c>
      <c r="Q610" s="146">
        <f t="shared" si="63"/>
        <v>0</v>
      </c>
      <c r="R610" s="169"/>
      <c r="S610" s="169"/>
      <c r="T610" s="146">
        <f t="shared" si="64"/>
        <v>0</v>
      </c>
      <c r="U610" s="121" t="str">
        <f t="shared" si="65"/>
        <v>Close</v>
      </c>
      <c r="V610" s="117"/>
    </row>
    <row r="611" spans="1:22" ht="15" customHeight="1">
      <c r="A611" s="117"/>
      <c r="B611" s="144" t="str">
        <f>IF(D611="","","P"&amp;D611&amp;"MA"&amp;COUNTIF($D$14:D611,D611))</f>
        <v/>
      </c>
      <c r="C611" s="162"/>
      <c r="D611" s="163"/>
      <c r="E611" s="164"/>
      <c r="F611" s="164"/>
      <c r="G611" s="164"/>
      <c r="H611" s="164"/>
      <c r="I611" s="162"/>
      <c r="J611" s="144"/>
      <c r="K611" s="144"/>
      <c r="L611" s="144"/>
      <c r="M611" s="145">
        <f t="shared" si="60"/>
        <v>0</v>
      </c>
      <c r="N611" s="145">
        <f t="shared" si="61"/>
        <v>0</v>
      </c>
      <c r="O611" s="146">
        <f t="shared" si="62"/>
        <v>0</v>
      </c>
      <c r="P611" s="146">
        <f>IF(B611="",0,SUMIF('NHAP XUAT'!$G$10:$J$1011,'Ghi So'!B611,'NHAP XUAT'!$J$10:$J$1011))</f>
        <v>0</v>
      </c>
      <c r="Q611" s="146">
        <f t="shared" si="63"/>
        <v>0</v>
      </c>
      <c r="R611" s="169"/>
      <c r="S611" s="169"/>
      <c r="T611" s="146">
        <f t="shared" si="64"/>
        <v>0</v>
      </c>
      <c r="U611" s="121" t="str">
        <f t="shared" si="65"/>
        <v>Close</v>
      </c>
      <c r="V611" s="117"/>
    </row>
    <row r="612" spans="1:22" ht="15" customHeight="1">
      <c r="A612" s="117"/>
      <c r="B612" s="144" t="str">
        <f>IF(D612="","","P"&amp;D612&amp;"MA"&amp;COUNTIF($D$14:D612,D612))</f>
        <v/>
      </c>
      <c r="C612" s="162"/>
      <c r="D612" s="163"/>
      <c r="E612" s="164"/>
      <c r="F612" s="164"/>
      <c r="G612" s="164"/>
      <c r="H612" s="164"/>
      <c r="I612" s="162"/>
      <c r="J612" s="144"/>
      <c r="K612" s="144"/>
      <c r="L612" s="144"/>
      <c r="M612" s="145">
        <f t="shared" si="60"/>
        <v>0</v>
      </c>
      <c r="N612" s="145">
        <f t="shared" si="61"/>
        <v>0</v>
      </c>
      <c r="O612" s="146">
        <f t="shared" si="62"/>
        <v>0</v>
      </c>
      <c r="P612" s="146">
        <f>IF(B612="",0,SUMIF('NHAP XUAT'!$G$10:$J$1011,'Ghi So'!B612,'NHAP XUAT'!$J$10:$J$1011))</f>
        <v>0</v>
      </c>
      <c r="Q612" s="146">
        <f t="shared" si="63"/>
        <v>0</v>
      </c>
      <c r="R612" s="169"/>
      <c r="S612" s="169"/>
      <c r="T612" s="146">
        <f t="shared" si="64"/>
        <v>0</v>
      </c>
      <c r="U612" s="121" t="str">
        <f t="shared" si="65"/>
        <v>Close</v>
      </c>
      <c r="V612" s="117"/>
    </row>
    <row r="613" spans="1:22" ht="15" customHeight="1">
      <c r="A613" s="117"/>
      <c r="B613" s="144" t="str">
        <f>IF(D613="","","P"&amp;D613&amp;"MA"&amp;COUNTIF($D$14:D613,D613))</f>
        <v/>
      </c>
      <c r="C613" s="162"/>
      <c r="D613" s="163"/>
      <c r="E613" s="164"/>
      <c r="F613" s="164"/>
      <c r="G613" s="164"/>
      <c r="H613" s="164"/>
      <c r="I613" s="162"/>
      <c r="J613" s="144"/>
      <c r="K613" s="144"/>
      <c r="L613" s="144"/>
      <c r="M613" s="145">
        <f t="shared" si="60"/>
        <v>0</v>
      </c>
      <c r="N613" s="145">
        <f t="shared" si="61"/>
        <v>0</v>
      </c>
      <c r="O613" s="146">
        <f t="shared" si="62"/>
        <v>0</v>
      </c>
      <c r="P613" s="146">
        <f>IF(B613="",0,SUMIF('NHAP XUAT'!$G$10:$J$1011,'Ghi So'!B613,'NHAP XUAT'!$J$10:$J$1011))</f>
        <v>0</v>
      </c>
      <c r="Q613" s="146">
        <f t="shared" si="63"/>
        <v>0</v>
      </c>
      <c r="R613" s="169"/>
      <c r="S613" s="169"/>
      <c r="T613" s="146">
        <f t="shared" si="64"/>
        <v>0</v>
      </c>
      <c r="U613" s="121" t="str">
        <f t="shared" si="65"/>
        <v>Close</v>
      </c>
      <c r="V613" s="117"/>
    </row>
    <row r="614" spans="1:22" ht="15" customHeight="1">
      <c r="A614" s="117"/>
      <c r="B614" s="144" t="str">
        <f>IF(D614="","","P"&amp;D614&amp;"MA"&amp;COUNTIF($D$14:D614,D614))</f>
        <v/>
      </c>
      <c r="C614" s="162"/>
      <c r="D614" s="163"/>
      <c r="E614" s="164"/>
      <c r="F614" s="164"/>
      <c r="G614" s="164"/>
      <c r="H614" s="164"/>
      <c r="I614" s="162"/>
      <c r="J614" s="144"/>
      <c r="K614" s="144"/>
      <c r="L614" s="144"/>
      <c r="M614" s="145">
        <f t="shared" si="60"/>
        <v>0</v>
      </c>
      <c r="N614" s="145">
        <f t="shared" si="61"/>
        <v>0</v>
      </c>
      <c r="O614" s="146">
        <f t="shared" si="62"/>
        <v>0</v>
      </c>
      <c r="P614" s="146">
        <f>IF(B614="",0,SUMIF('NHAP XUAT'!$G$10:$J$1011,'Ghi So'!B614,'NHAP XUAT'!$J$10:$J$1011))</f>
        <v>0</v>
      </c>
      <c r="Q614" s="146">
        <f t="shared" si="63"/>
        <v>0</v>
      </c>
      <c r="R614" s="169"/>
      <c r="S614" s="169"/>
      <c r="T614" s="146">
        <f t="shared" si="64"/>
        <v>0</v>
      </c>
      <c r="U614" s="121" t="str">
        <f t="shared" si="65"/>
        <v>Close</v>
      </c>
      <c r="V614" s="117"/>
    </row>
    <row r="615" spans="1:22" ht="15" customHeight="1">
      <c r="A615" s="117"/>
      <c r="B615" s="144" t="str">
        <f>IF(D615="","","P"&amp;D615&amp;"MA"&amp;COUNTIF($D$14:D615,D615))</f>
        <v/>
      </c>
      <c r="C615" s="162"/>
      <c r="D615" s="163"/>
      <c r="E615" s="164"/>
      <c r="F615" s="164"/>
      <c r="G615" s="164"/>
      <c r="H615" s="164"/>
      <c r="I615" s="162"/>
      <c r="J615" s="144"/>
      <c r="K615" s="144"/>
      <c r="L615" s="144"/>
      <c r="M615" s="145">
        <f t="shared" si="60"/>
        <v>0</v>
      </c>
      <c r="N615" s="145">
        <f t="shared" si="61"/>
        <v>0</v>
      </c>
      <c r="O615" s="146">
        <f t="shared" si="62"/>
        <v>0</v>
      </c>
      <c r="P615" s="146">
        <f>IF(B615="",0,SUMIF('NHAP XUAT'!$G$10:$J$1011,'Ghi So'!B615,'NHAP XUAT'!$J$10:$J$1011))</f>
        <v>0</v>
      </c>
      <c r="Q615" s="146">
        <f t="shared" si="63"/>
        <v>0</v>
      </c>
      <c r="R615" s="169"/>
      <c r="S615" s="169"/>
      <c r="T615" s="146">
        <f t="shared" si="64"/>
        <v>0</v>
      </c>
      <c r="U615" s="121" t="str">
        <f t="shared" si="65"/>
        <v>Close</v>
      </c>
      <c r="V615" s="117"/>
    </row>
    <row r="616" spans="1:22" ht="15" customHeight="1">
      <c r="A616" s="117"/>
      <c r="B616" s="144" t="str">
        <f>IF(D616="","","P"&amp;D616&amp;"MA"&amp;COUNTIF($D$14:D616,D616))</f>
        <v/>
      </c>
      <c r="C616" s="162"/>
      <c r="D616" s="163"/>
      <c r="E616" s="164"/>
      <c r="F616" s="164"/>
      <c r="G616" s="164"/>
      <c r="H616" s="164"/>
      <c r="I616" s="162"/>
      <c r="J616" s="144"/>
      <c r="K616" s="144"/>
      <c r="L616" s="144"/>
      <c r="M616" s="145">
        <f t="shared" si="60"/>
        <v>0</v>
      </c>
      <c r="N616" s="145">
        <f t="shared" si="61"/>
        <v>0</v>
      </c>
      <c r="O616" s="146">
        <f t="shared" si="62"/>
        <v>0</v>
      </c>
      <c r="P616" s="146">
        <f>IF(B616="",0,SUMIF('NHAP XUAT'!$G$10:$J$1011,'Ghi So'!B616,'NHAP XUAT'!$J$10:$J$1011))</f>
        <v>0</v>
      </c>
      <c r="Q616" s="146">
        <f t="shared" si="63"/>
        <v>0</v>
      </c>
      <c r="R616" s="169"/>
      <c r="S616" s="169"/>
      <c r="T616" s="146">
        <f t="shared" si="64"/>
        <v>0</v>
      </c>
      <c r="U616" s="121" t="str">
        <f t="shared" si="65"/>
        <v>Close</v>
      </c>
      <c r="V616" s="117"/>
    </row>
    <row r="617" spans="1:22" ht="15" customHeight="1">
      <c r="A617" s="117"/>
      <c r="B617" s="144" t="str">
        <f>IF(D617="","","P"&amp;D617&amp;"MA"&amp;COUNTIF($D$14:D617,D617))</f>
        <v/>
      </c>
      <c r="C617" s="162"/>
      <c r="D617" s="163"/>
      <c r="E617" s="164"/>
      <c r="F617" s="164"/>
      <c r="G617" s="164"/>
      <c r="H617" s="164"/>
      <c r="I617" s="162"/>
      <c r="J617" s="144"/>
      <c r="K617" s="144"/>
      <c r="L617" s="144"/>
      <c r="M617" s="145">
        <f t="shared" si="60"/>
        <v>0</v>
      </c>
      <c r="N617" s="145">
        <f t="shared" si="61"/>
        <v>0</v>
      </c>
      <c r="O617" s="146">
        <f t="shared" si="62"/>
        <v>0</v>
      </c>
      <c r="P617" s="146">
        <f>IF(B617="",0,SUMIF('NHAP XUAT'!$G$10:$J$1011,'Ghi So'!B617,'NHAP XUAT'!$J$10:$J$1011))</f>
        <v>0</v>
      </c>
      <c r="Q617" s="146">
        <f t="shared" si="63"/>
        <v>0</v>
      </c>
      <c r="R617" s="169"/>
      <c r="S617" s="169"/>
      <c r="T617" s="146">
        <f t="shared" si="64"/>
        <v>0</v>
      </c>
      <c r="U617" s="121" t="str">
        <f t="shared" si="65"/>
        <v>Close</v>
      </c>
      <c r="V617" s="117"/>
    </row>
    <row r="618" spans="1:22" ht="15" customHeight="1">
      <c r="A618" s="117"/>
      <c r="B618" s="144" t="str">
        <f>IF(D618="","","P"&amp;D618&amp;"MA"&amp;COUNTIF($D$14:D618,D618))</f>
        <v/>
      </c>
      <c r="C618" s="162"/>
      <c r="D618" s="163"/>
      <c r="E618" s="164"/>
      <c r="F618" s="164"/>
      <c r="G618" s="164"/>
      <c r="H618" s="164"/>
      <c r="I618" s="162"/>
      <c r="J618" s="144"/>
      <c r="K618" s="144"/>
      <c r="L618" s="144"/>
      <c r="M618" s="145">
        <f t="shared" si="60"/>
        <v>0</v>
      </c>
      <c r="N618" s="145">
        <f t="shared" si="61"/>
        <v>0</v>
      </c>
      <c r="O618" s="146">
        <f t="shared" si="62"/>
        <v>0</v>
      </c>
      <c r="P618" s="146">
        <f>IF(B618="",0,SUMIF('NHAP XUAT'!$G$10:$J$1011,'Ghi So'!B618,'NHAP XUAT'!$J$10:$J$1011))</f>
        <v>0</v>
      </c>
      <c r="Q618" s="146">
        <f t="shared" si="63"/>
        <v>0</v>
      </c>
      <c r="R618" s="169"/>
      <c r="S618" s="169"/>
      <c r="T618" s="146">
        <f t="shared" si="64"/>
        <v>0</v>
      </c>
      <c r="U618" s="121" t="str">
        <f t="shared" si="65"/>
        <v>Close</v>
      </c>
      <c r="V618" s="117"/>
    </row>
    <row r="619" spans="1:22" ht="15" customHeight="1">
      <c r="A619" s="117"/>
      <c r="B619" s="144" t="str">
        <f>IF(D619="","","P"&amp;D619&amp;"MA"&amp;COUNTIF($D$14:D619,D619))</f>
        <v/>
      </c>
      <c r="C619" s="162"/>
      <c r="D619" s="163"/>
      <c r="E619" s="164"/>
      <c r="F619" s="164"/>
      <c r="G619" s="164"/>
      <c r="H619" s="164"/>
      <c r="I619" s="162"/>
      <c r="J619" s="144"/>
      <c r="K619" s="144"/>
      <c r="L619" s="144"/>
      <c r="M619" s="145">
        <f t="shared" si="60"/>
        <v>0</v>
      </c>
      <c r="N619" s="145">
        <f t="shared" si="61"/>
        <v>0</v>
      </c>
      <c r="O619" s="146">
        <f t="shared" si="62"/>
        <v>0</v>
      </c>
      <c r="P619" s="146">
        <f>IF(B619="",0,SUMIF('NHAP XUAT'!$G$10:$J$1011,'Ghi So'!B619,'NHAP XUAT'!$J$10:$J$1011))</f>
        <v>0</v>
      </c>
      <c r="Q619" s="146">
        <f t="shared" si="63"/>
        <v>0</v>
      </c>
      <c r="R619" s="169"/>
      <c r="S619" s="169"/>
      <c r="T619" s="146">
        <f t="shared" si="64"/>
        <v>0</v>
      </c>
      <c r="U619" s="121" t="str">
        <f t="shared" si="65"/>
        <v>Close</v>
      </c>
      <c r="V619" s="117"/>
    </row>
    <row r="620" spans="1:22" ht="15" customHeight="1">
      <c r="A620" s="117"/>
      <c r="B620" s="144" t="str">
        <f>IF(D620="","","P"&amp;D620&amp;"MA"&amp;COUNTIF($D$14:D620,D620))</f>
        <v/>
      </c>
      <c r="C620" s="162"/>
      <c r="D620" s="163"/>
      <c r="E620" s="164"/>
      <c r="F620" s="164"/>
      <c r="G620" s="164"/>
      <c r="H620" s="164"/>
      <c r="I620" s="162"/>
      <c r="J620" s="144"/>
      <c r="K620" s="144"/>
      <c r="L620" s="144"/>
      <c r="M620" s="145">
        <f t="shared" si="60"/>
        <v>0</v>
      </c>
      <c r="N620" s="145">
        <f t="shared" si="61"/>
        <v>0</v>
      </c>
      <c r="O620" s="146">
        <f t="shared" si="62"/>
        <v>0</v>
      </c>
      <c r="P620" s="146">
        <f>IF(B620="",0,SUMIF('NHAP XUAT'!$G$10:$J$1011,'Ghi So'!B620,'NHAP XUAT'!$J$10:$J$1011))</f>
        <v>0</v>
      </c>
      <c r="Q620" s="146">
        <f t="shared" si="63"/>
        <v>0</v>
      </c>
      <c r="R620" s="169"/>
      <c r="S620" s="169"/>
      <c r="T620" s="146">
        <f t="shared" si="64"/>
        <v>0</v>
      </c>
      <c r="U620" s="121" t="str">
        <f t="shared" si="65"/>
        <v>Close</v>
      </c>
      <c r="V620" s="117"/>
    </row>
    <row r="621" spans="1:22" ht="15" customHeight="1">
      <c r="A621" s="117"/>
      <c r="B621" s="144" t="str">
        <f>IF(D621="","","P"&amp;D621&amp;"MA"&amp;COUNTIF($D$14:D621,D621))</f>
        <v/>
      </c>
      <c r="C621" s="162"/>
      <c r="D621" s="163"/>
      <c r="E621" s="164"/>
      <c r="F621" s="164"/>
      <c r="G621" s="164"/>
      <c r="H621" s="164"/>
      <c r="I621" s="162"/>
      <c r="J621" s="144"/>
      <c r="K621" s="144"/>
      <c r="L621" s="144"/>
      <c r="M621" s="145">
        <f t="shared" si="60"/>
        <v>0</v>
      </c>
      <c r="N621" s="145">
        <f t="shared" si="61"/>
        <v>0</v>
      </c>
      <c r="O621" s="146">
        <f t="shared" si="62"/>
        <v>0</v>
      </c>
      <c r="P621" s="146">
        <f>IF(B621="",0,SUMIF('NHAP XUAT'!$G$10:$J$1011,'Ghi So'!B621,'NHAP XUAT'!$J$10:$J$1011))</f>
        <v>0</v>
      </c>
      <c r="Q621" s="146">
        <f t="shared" si="63"/>
        <v>0</v>
      </c>
      <c r="R621" s="169"/>
      <c r="S621" s="169"/>
      <c r="T621" s="146">
        <f t="shared" si="64"/>
        <v>0</v>
      </c>
      <c r="U621" s="121" t="str">
        <f t="shared" si="65"/>
        <v>Close</v>
      </c>
      <c r="V621" s="117"/>
    </row>
    <row r="622" spans="1:22" ht="15" customHeight="1">
      <c r="A622" s="117"/>
      <c r="B622" s="144" t="str">
        <f>IF(D622="","","P"&amp;D622&amp;"MA"&amp;COUNTIF($D$14:D622,D622))</f>
        <v/>
      </c>
      <c r="C622" s="162"/>
      <c r="D622" s="163"/>
      <c r="E622" s="164"/>
      <c r="F622" s="164"/>
      <c r="G622" s="164"/>
      <c r="H622" s="164"/>
      <c r="I622" s="162"/>
      <c r="J622" s="144"/>
      <c r="K622" s="144"/>
      <c r="L622" s="144"/>
      <c r="M622" s="145">
        <f t="shared" si="60"/>
        <v>0</v>
      </c>
      <c r="N622" s="145">
        <f t="shared" si="61"/>
        <v>0</v>
      </c>
      <c r="O622" s="146">
        <f t="shared" si="62"/>
        <v>0</v>
      </c>
      <c r="P622" s="146">
        <f>IF(B622="",0,SUMIF('NHAP XUAT'!$G$10:$J$1011,'Ghi So'!B622,'NHAP XUAT'!$J$10:$J$1011))</f>
        <v>0</v>
      </c>
      <c r="Q622" s="146">
        <f t="shared" si="63"/>
        <v>0</v>
      </c>
      <c r="R622" s="169"/>
      <c r="S622" s="169"/>
      <c r="T622" s="146">
        <f t="shared" si="64"/>
        <v>0</v>
      </c>
      <c r="U622" s="121" t="str">
        <f t="shared" si="65"/>
        <v>Close</v>
      </c>
      <c r="V622" s="117"/>
    </row>
    <row r="623" spans="1:22" ht="15" customHeight="1">
      <c r="A623" s="117"/>
      <c r="B623" s="144" t="str">
        <f>IF(D623="","","P"&amp;D623&amp;"MA"&amp;COUNTIF($D$14:D623,D623))</f>
        <v/>
      </c>
      <c r="C623" s="162"/>
      <c r="D623" s="163"/>
      <c r="E623" s="164"/>
      <c r="F623" s="164"/>
      <c r="G623" s="164"/>
      <c r="H623" s="164"/>
      <c r="I623" s="162"/>
      <c r="J623" s="144"/>
      <c r="K623" s="144"/>
      <c r="L623" s="144"/>
      <c r="M623" s="145">
        <f t="shared" si="60"/>
        <v>0</v>
      </c>
      <c r="N623" s="145">
        <f t="shared" si="61"/>
        <v>0</v>
      </c>
      <c r="O623" s="146">
        <f t="shared" si="62"/>
        <v>0</v>
      </c>
      <c r="P623" s="146">
        <f>IF(B623="",0,SUMIF('NHAP XUAT'!$G$10:$J$1011,'Ghi So'!B623,'NHAP XUAT'!$J$10:$J$1011))</f>
        <v>0</v>
      </c>
      <c r="Q623" s="146">
        <f t="shared" si="63"/>
        <v>0</v>
      </c>
      <c r="R623" s="169"/>
      <c r="S623" s="169"/>
      <c r="T623" s="146">
        <f t="shared" si="64"/>
        <v>0</v>
      </c>
      <c r="U623" s="121" t="str">
        <f t="shared" si="65"/>
        <v>Close</v>
      </c>
      <c r="V623" s="117"/>
    </row>
    <row r="624" spans="1:22" ht="15" customHeight="1">
      <c r="A624" s="117"/>
      <c r="B624" s="144" t="str">
        <f>IF(D624="","","P"&amp;D624&amp;"MA"&amp;COUNTIF($D$14:D624,D624))</f>
        <v/>
      </c>
      <c r="C624" s="162"/>
      <c r="D624" s="163"/>
      <c r="E624" s="164"/>
      <c r="F624" s="164"/>
      <c r="G624" s="164"/>
      <c r="H624" s="164"/>
      <c r="I624" s="162"/>
      <c r="J624" s="144"/>
      <c r="K624" s="144"/>
      <c r="L624" s="144"/>
      <c r="M624" s="145">
        <f t="shared" si="60"/>
        <v>0</v>
      </c>
      <c r="N624" s="145">
        <f t="shared" si="61"/>
        <v>0</v>
      </c>
      <c r="O624" s="146">
        <f t="shared" si="62"/>
        <v>0</v>
      </c>
      <c r="P624" s="146">
        <f>IF(B624="",0,SUMIF('NHAP XUAT'!$G$10:$J$1011,'Ghi So'!B624,'NHAP XUAT'!$J$10:$J$1011))</f>
        <v>0</v>
      </c>
      <c r="Q624" s="146">
        <f t="shared" si="63"/>
        <v>0</v>
      </c>
      <c r="R624" s="169"/>
      <c r="S624" s="169"/>
      <c r="T624" s="146">
        <f t="shared" si="64"/>
        <v>0</v>
      </c>
      <c r="U624" s="121" t="str">
        <f t="shared" si="65"/>
        <v>Close</v>
      </c>
      <c r="V624" s="117"/>
    </row>
    <row r="625" spans="1:22" ht="15" customHeight="1">
      <c r="A625" s="117"/>
      <c r="B625" s="144" t="str">
        <f>IF(D625="","","P"&amp;D625&amp;"MA"&amp;COUNTIF($D$14:D625,D625))</f>
        <v/>
      </c>
      <c r="C625" s="162"/>
      <c r="D625" s="163"/>
      <c r="E625" s="164"/>
      <c r="F625" s="164"/>
      <c r="G625" s="164"/>
      <c r="H625" s="164"/>
      <c r="I625" s="162"/>
      <c r="J625" s="144"/>
      <c r="K625" s="144"/>
      <c r="L625" s="144"/>
      <c r="M625" s="145">
        <f t="shared" si="60"/>
        <v>0</v>
      </c>
      <c r="N625" s="145">
        <f t="shared" si="61"/>
        <v>0</v>
      </c>
      <c r="O625" s="146">
        <f t="shared" si="62"/>
        <v>0</v>
      </c>
      <c r="P625" s="146">
        <f>IF(B625="",0,SUMIF('NHAP XUAT'!$G$10:$J$1011,'Ghi So'!B625,'NHAP XUAT'!$J$10:$J$1011))</f>
        <v>0</v>
      </c>
      <c r="Q625" s="146">
        <f t="shared" si="63"/>
        <v>0</v>
      </c>
      <c r="R625" s="169"/>
      <c r="S625" s="169"/>
      <c r="T625" s="146">
        <f t="shared" si="64"/>
        <v>0</v>
      </c>
      <c r="U625" s="121" t="str">
        <f t="shared" si="65"/>
        <v>Close</v>
      </c>
      <c r="V625" s="117"/>
    </row>
    <row r="626" spans="1:22" ht="15" customHeight="1">
      <c r="A626" s="117"/>
      <c r="B626" s="144" t="str">
        <f>IF(D626="","","P"&amp;D626&amp;"MA"&amp;COUNTIF($D$14:D626,D626))</f>
        <v/>
      </c>
      <c r="C626" s="162"/>
      <c r="D626" s="163"/>
      <c r="E626" s="164"/>
      <c r="F626" s="164"/>
      <c r="G626" s="164"/>
      <c r="H626" s="164"/>
      <c r="I626" s="162"/>
      <c r="J626" s="144"/>
      <c r="K626" s="144"/>
      <c r="L626" s="144"/>
      <c r="M626" s="145">
        <f t="shared" si="60"/>
        <v>0</v>
      </c>
      <c r="N626" s="145">
        <f t="shared" si="61"/>
        <v>0</v>
      </c>
      <c r="O626" s="146">
        <f t="shared" si="62"/>
        <v>0</v>
      </c>
      <c r="P626" s="146">
        <f>IF(B626="",0,SUMIF('NHAP XUAT'!$G$10:$J$1011,'Ghi So'!B626,'NHAP XUAT'!$J$10:$J$1011))</f>
        <v>0</v>
      </c>
      <c r="Q626" s="146">
        <f t="shared" si="63"/>
        <v>0</v>
      </c>
      <c r="R626" s="169"/>
      <c r="S626" s="169"/>
      <c r="T626" s="146">
        <f t="shared" si="64"/>
        <v>0</v>
      </c>
      <c r="U626" s="121" t="str">
        <f t="shared" si="65"/>
        <v>Close</v>
      </c>
      <c r="V626" s="117"/>
    </row>
    <row r="627" spans="1:22" ht="15" customHeight="1">
      <c r="A627" s="117"/>
      <c r="B627" s="144" t="str">
        <f>IF(D627="","","P"&amp;D627&amp;"MA"&amp;COUNTIF($D$14:D627,D627))</f>
        <v/>
      </c>
      <c r="C627" s="162"/>
      <c r="D627" s="163"/>
      <c r="E627" s="164"/>
      <c r="F627" s="164"/>
      <c r="G627" s="164"/>
      <c r="H627" s="164"/>
      <c r="I627" s="162"/>
      <c r="J627" s="144"/>
      <c r="K627" s="144"/>
      <c r="L627" s="144"/>
      <c r="M627" s="145">
        <f t="shared" si="60"/>
        <v>0</v>
      </c>
      <c r="N627" s="145">
        <f t="shared" si="61"/>
        <v>0</v>
      </c>
      <c r="O627" s="146">
        <f t="shared" si="62"/>
        <v>0</v>
      </c>
      <c r="P627" s="146">
        <f>IF(B627="",0,SUMIF('NHAP XUAT'!$G$10:$J$1011,'Ghi So'!B627,'NHAP XUAT'!$J$10:$J$1011))</f>
        <v>0</v>
      </c>
      <c r="Q627" s="146">
        <f t="shared" si="63"/>
        <v>0</v>
      </c>
      <c r="R627" s="169"/>
      <c r="S627" s="169"/>
      <c r="T627" s="146">
        <f t="shared" si="64"/>
        <v>0</v>
      </c>
      <c r="U627" s="121" t="str">
        <f t="shared" si="65"/>
        <v>Close</v>
      </c>
      <c r="V627" s="117"/>
    </row>
    <row r="628" spans="1:22" ht="15" customHeight="1">
      <c r="A628" s="117"/>
      <c r="B628" s="144" t="str">
        <f>IF(D628="","","P"&amp;D628&amp;"MA"&amp;COUNTIF($D$14:D628,D628))</f>
        <v/>
      </c>
      <c r="C628" s="162"/>
      <c r="D628" s="163"/>
      <c r="E628" s="164"/>
      <c r="F628" s="164"/>
      <c r="G628" s="164"/>
      <c r="H628" s="164"/>
      <c r="I628" s="162"/>
      <c r="J628" s="144"/>
      <c r="K628" s="144"/>
      <c r="L628" s="144"/>
      <c r="M628" s="145">
        <f t="shared" si="60"/>
        <v>0</v>
      </c>
      <c r="N628" s="145">
        <f t="shared" si="61"/>
        <v>0</v>
      </c>
      <c r="O628" s="146">
        <f t="shared" si="62"/>
        <v>0</v>
      </c>
      <c r="P628" s="146">
        <f>IF(B628="",0,SUMIF('NHAP XUAT'!$G$10:$J$1011,'Ghi So'!B628,'NHAP XUAT'!$J$10:$J$1011))</f>
        <v>0</v>
      </c>
      <c r="Q628" s="146">
        <f t="shared" si="63"/>
        <v>0</v>
      </c>
      <c r="R628" s="169"/>
      <c r="S628" s="169"/>
      <c r="T628" s="146">
        <f t="shared" si="64"/>
        <v>0</v>
      </c>
      <c r="U628" s="121" t="str">
        <f t="shared" si="65"/>
        <v>Close</v>
      </c>
      <c r="V628" s="117"/>
    </row>
    <row r="629" spans="1:22" ht="15" customHeight="1">
      <c r="A629" s="117"/>
      <c r="B629" s="144" t="str">
        <f>IF(D629="","","P"&amp;D629&amp;"MA"&amp;COUNTIF($D$14:D629,D629))</f>
        <v/>
      </c>
      <c r="C629" s="162"/>
      <c r="D629" s="163"/>
      <c r="E629" s="164"/>
      <c r="F629" s="164"/>
      <c r="G629" s="164"/>
      <c r="H629" s="164"/>
      <c r="I629" s="162"/>
      <c r="J629" s="144"/>
      <c r="K629" s="144"/>
      <c r="L629" s="144"/>
      <c r="M629" s="145">
        <f t="shared" si="60"/>
        <v>0</v>
      </c>
      <c r="N629" s="145">
        <f t="shared" si="61"/>
        <v>0</v>
      </c>
      <c r="O629" s="146">
        <f t="shared" si="62"/>
        <v>0</v>
      </c>
      <c r="P629" s="146">
        <f>IF(B629="",0,SUMIF('NHAP XUAT'!$G$10:$J$1011,'Ghi So'!B629,'NHAP XUAT'!$J$10:$J$1011))</f>
        <v>0</v>
      </c>
      <c r="Q629" s="146">
        <f t="shared" si="63"/>
        <v>0</v>
      </c>
      <c r="R629" s="169"/>
      <c r="S629" s="169"/>
      <c r="T629" s="146">
        <f t="shared" si="64"/>
        <v>0</v>
      </c>
      <c r="U629" s="121" t="str">
        <f t="shared" si="65"/>
        <v>Close</v>
      </c>
      <c r="V629" s="117"/>
    </row>
    <row r="630" spans="1:22" ht="15" customHeight="1">
      <c r="A630" s="117"/>
      <c r="B630" s="144" t="str">
        <f>IF(D630="","","P"&amp;D630&amp;"MA"&amp;COUNTIF($D$14:D630,D630))</f>
        <v/>
      </c>
      <c r="C630" s="162"/>
      <c r="D630" s="163"/>
      <c r="E630" s="164"/>
      <c r="F630" s="164"/>
      <c r="G630" s="164"/>
      <c r="H630" s="164"/>
      <c r="I630" s="162"/>
      <c r="J630" s="144"/>
      <c r="K630" s="144"/>
      <c r="L630" s="144"/>
      <c r="M630" s="145">
        <f t="shared" si="60"/>
        <v>0</v>
      </c>
      <c r="N630" s="145">
        <f t="shared" si="61"/>
        <v>0</v>
      </c>
      <c r="O630" s="146">
        <f t="shared" si="62"/>
        <v>0</v>
      </c>
      <c r="P630" s="146">
        <f>IF(B630="",0,SUMIF('NHAP XUAT'!$G$10:$J$1011,'Ghi So'!B630,'NHAP XUAT'!$J$10:$J$1011))</f>
        <v>0</v>
      </c>
      <c r="Q630" s="146">
        <f t="shared" si="63"/>
        <v>0</v>
      </c>
      <c r="R630" s="169"/>
      <c r="S630" s="169"/>
      <c r="T630" s="146">
        <f t="shared" si="64"/>
        <v>0</v>
      </c>
      <c r="U630" s="121" t="str">
        <f t="shared" si="65"/>
        <v>Close</v>
      </c>
      <c r="V630" s="117"/>
    </row>
    <row r="631" spans="1:22" ht="15" customHeight="1">
      <c r="A631" s="117"/>
      <c r="B631" s="144" t="str">
        <f>IF(D631="","","P"&amp;D631&amp;"MA"&amp;COUNTIF($D$14:D631,D631))</f>
        <v/>
      </c>
      <c r="C631" s="162"/>
      <c r="D631" s="163"/>
      <c r="E631" s="164"/>
      <c r="F631" s="164"/>
      <c r="G631" s="164"/>
      <c r="H631" s="164"/>
      <c r="I631" s="162"/>
      <c r="J631" s="144"/>
      <c r="K631" s="144"/>
      <c r="L631" s="144"/>
      <c r="M631" s="145">
        <f t="shared" si="60"/>
        <v>0</v>
      </c>
      <c r="N631" s="145">
        <f t="shared" si="61"/>
        <v>0</v>
      </c>
      <c r="O631" s="146">
        <f t="shared" si="62"/>
        <v>0</v>
      </c>
      <c r="P631" s="146">
        <f>IF(B631="",0,SUMIF('NHAP XUAT'!$G$10:$J$1011,'Ghi So'!B631,'NHAP XUAT'!$J$10:$J$1011))</f>
        <v>0</v>
      </c>
      <c r="Q631" s="146">
        <f t="shared" si="63"/>
        <v>0</v>
      </c>
      <c r="R631" s="169"/>
      <c r="S631" s="169"/>
      <c r="T631" s="146">
        <f t="shared" si="64"/>
        <v>0</v>
      </c>
      <c r="U631" s="121" t="str">
        <f t="shared" si="65"/>
        <v>Close</v>
      </c>
      <c r="V631" s="117"/>
    </row>
    <row r="632" spans="1:22" ht="15" customHeight="1">
      <c r="A632" s="117"/>
      <c r="B632" s="144" t="str">
        <f>IF(D632="","","P"&amp;D632&amp;"MA"&amp;COUNTIF($D$14:D632,D632))</f>
        <v/>
      </c>
      <c r="C632" s="162"/>
      <c r="D632" s="163"/>
      <c r="E632" s="164"/>
      <c r="F632" s="164"/>
      <c r="G632" s="164"/>
      <c r="H632" s="164"/>
      <c r="I632" s="162"/>
      <c r="J632" s="144"/>
      <c r="K632" s="144"/>
      <c r="L632" s="144"/>
      <c r="M632" s="145">
        <f t="shared" si="60"/>
        <v>0</v>
      </c>
      <c r="N632" s="145">
        <f t="shared" si="61"/>
        <v>0</v>
      </c>
      <c r="O632" s="146">
        <f t="shared" si="62"/>
        <v>0</v>
      </c>
      <c r="P632" s="146">
        <f>IF(B632="",0,SUMIF('NHAP XUAT'!$G$10:$J$1011,'Ghi So'!B632,'NHAP XUAT'!$J$10:$J$1011))</f>
        <v>0</v>
      </c>
      <c r="Q632" s="146">
        <f t="shared" si="63"/>
        <v>0</v>
      </c>
      <c r="R632" s="169"/>
      <c r="S632" s="169"/>
      <c r="T632" s="146">
        <f t="shared" si="64"/>
        <v>0</v>
      </c>
      <c r="U632" s="121" t="str">
        <f t="shared" si="65"/>
        <v>Close</v>
      </c>
      <c r="V632" s="117"/>
    </row>
    <row r="633" spans="1:22" ht="15" customHeight="1">
      <c r="A633" s="117"/>
      <c r="B633" s="144" t="str">
        <f>IF(D633="","","P"&amp;D633&amp;"MA"&amp;COUNTIF($D$14:D633,D633))</f>
        <v/>
      </c>
      <c r="C633" s="162"/>
      <c r="D633" s="163"/>
      <c r="E633" s="164"/>
      <c r="F633" s="164"/>
      <c r="G633" s="164"/>
      <c r="H633" s="164"/>
      <c r="I633" s="162"/>
      <c r="J633" s="144"/>
      <c r="K633" s="144"/>
      <c r="L633" s="144"/>
      <c r="M633" s="145">
        <f t="shared" si="60"/>
        <v>0</v>
      </c>
      <c r="N633" s="145">
        <f t="shared" si="61"/>
        <v>0</v>
      </c>
      <c r="O633" s="146">
        <f t="shared" si="62"/>
        <v>0</v>
      </c>
      <c r="P633" s="146">
        <f>IF(B633="",0,SUMIF('NHAP XUAT'!$G$10:$J$1011,'Ghi So'!B633,'NHAP XUAT'!$J$10:$J$1011))</f>
        <v>0</v>
      </c>
      <c r="Q633" s="146">
        <f t="shared" si="63"/>
        <v>0</v>
      </c>
      <c r="R633" s="169"/>
      <c r="S633" s="169"/>
      <c r="T633" s="146">
        <f t="shared" si="64"/>
        <v>0</v>
      </c>
      <c r="U633" s="121" t="str">
        <f t="shared" si="65"/>
        <v>Close</v>
      </c>
      <c r="V633" s="117"/>
    </row>
    <row r="634" spans="1:22" ht="15" customHeight="1">
      <c r="A634" s="117"/>
      <c r="B634" s="144" t="str">
        <f>IF(D634="","","P"&amp;D634&amp;"MA"&amp;COUNTIF($D$14:D634,D634))</f>
        <v/>
      </c>
      <c r="C634" s="162"/>
      <c r="D634" s="163"/>
      <c r="E634" s="164"/>
      <c r="F634" s="164"/>
      <c r="G634" s="164"/>
      <c r="H634" s="164"/>
      <c r="I634" s="162"/>
      <c r="J634" s="144"/>
      <c r="K634" s="144"/>
      <c r="L634" s="144"/>
      <c r="M634" s="145">
        <f t="shared" si="60"/>
        <v>0</v>
      </c>
      <c r="N634" s="145">
        <f t="shared" si="61"/>
        <v>0</v>
      </c>
      <c r="O634" s="146">
        <f t="shared" si="62"/>
        <v>0</v>
      </c>
      <c r="P634" s="146">
        <f>IF(B634="",0,SUMIF('NHAP XUAT'!$G$10:$J$1011,'Ghi So'!B634,'NHAP XUAT'!$J$10:$J$1011))</f>
        <v>0</v>
      </c>
      <c r="Q634" s="146">
        <f t="shared" si="63"/>
        <v>0</v>
      </c>
      <c r="R634" s="169"/>
      <c r="S634" s="169"/>
      <c r="T634" s="146">
        <f t="shared" si="64"/>
        <v>0</v>
      </c>
      <c r="U634" s="121" t="str">
        <f t="shared" si="65"/>
        <v>Close</v>
      </c>
      <c r="V634" s="117"/>
    </row>
    <row r="635" spans="1:22" ht="15" customHeight="1">
      <c r="A635" s="117"/>
      <c r="B635" s="144" t="str">
        <f>IF(D635="","","P"&amp;D635&amp;"MA"&amp;COUNTIF($D$14:D635,D635))</f>
        <v/>
      </c>
      <c r="C635" s="162"/>
      <c r="D635" s="163"/>
      <c r="E635" s="164"/>
      <c r="F635" s="164"/>
      <c r="G635" s="164"/>
      <c r="H635" s="164"/>
      <c r="I635" s="162"/>
      <c r="J635" s="144"/>
      <c r="K635" s="144"/>
      <c r="L635" s="144"/>
      <c r="M635" s="145">
        <f t="shared" si="60"/>
        <v>0</v>
      </c>
      <c r="N635" s="145">
        <f t="shared" si="61"/>
        <v>0</v>
      </c>
      <c r="O635" s="146">
        <f t="shared" si="62"/>
        <v>0</v>
      </c>
      <c r="P635" s="146">
        <f>IF(B635="",0,SUMIF('NHAP XUAT'!$G$10:$J$1011,'Ghi So'!B635,'NHAP XUAT'!$J$10:$J$1011))</f>
        <v>0</v>
      </c>
      <c r="Q635" s="146">
        <f t="shared" si="63"/>
        <v>0</v>
      </c>
      <c r="R635" s="169"/>
      <c r="S635" s="169"/>
      <c r="T635" s="146">
        <f t="shared" si="64"/>
        <v>0</v>
      </c>
      <c r="U635" s="121" t="str">
        <f t="shared" si="65"/>
        <v>Close</v>
      </c>
      <c r="V635" s="117"/>
    </row>
    <row r="636" spans="1:22" ht="15" customHeight="1">
      <c r="A636" s="117"/>
      <c r="B636" s="144" t="str">
        <f>IF(D636="","","P"&amp;D636&amp;"MA"&amp;COUNTIF($D$14:D636,D636))</f>
        <v/>
      </c>
      <c r="C636" s="162"/>
      <c r="D636" s="163"/>
      <c r="E636" s="164"/>
      <c r="F636" s="164"/>
      <c r="G636" s="164"/>
      <c r="H636" s="164"/>
      <c r="I636" s="162"/>
      <c r="J636" s="144"/>
      <c r="K636" s="144"/>
      <c r="L636" s="144"/>
      <c r="M636" s="145">
        <f t="shared" si="60"/>
        <v>0</v>
      </c>
      <c r="N636" s="145">
        <f t="shared" si="61"/>
        <v>0</v>
      </c>
      <c r="O636" s="146">
        <f t="shared" si="62"/>
        <v>0</v>
      </c>
      <c r="P636" s="146">
        <f>IF(B636="",0,SUMIF('NHAP XUAT'!$G$10:$J$1011,'Ghi So'!B636,'NHAP XUAT'!$J$10:$J$1011))</f>
        <v>0</v>
      </c>
      <c r="Q636" s="146">
        <f t="shared" si="63"/>
        <v>0</v>
      </c>
      <c r="R636" s="169"/>
      <c r="S636" s="169"/>
      <c r="T636" s="146">
        <f t="shared" si="64"/>
        <v>0</v>
      </c>
      <c r="U636" s="121" t="str">
        <f t="shared" si="65"/>
        <v>Close</v>
      </c>
      <c r="V636" s="117"/>
    </row>
    <row r="637" spans="1:22" ht="15" customHeight="1">
      <c r="A637" s="117"/>
      <c r="B637" s="144" t="str">
        <f>IF(D637="","","P"&amp;D637&amp;"MA"&amp;COUNTIF($D$14:D637,D637))</f>
        <v/>
      </c>
      <c r="C637" s="162"/>
      <c r="D637" s="163"/>
      <c r="E637" s="164"/>
      <c r="F637" s="164"/>
      <c r="G637" s="164"/>
      <c r="H637" s="164"/>
      <c r="I637" s="162"/>
      <c r="J637" s="144"/>
      <c r="K637" s="144"/>
      <c r="L637" s="144"/>
      <c r="M637" s="145">
        <f t="shared" si="60"/>
        <v>0</v>
      </c>
      <c r="N637" s="145">
        <f t="shared" si="61"/>
        <v>0</v>
      </c>
      <c r="O637" s="146">
        <f t="shared" si="62"/>
        <v>0</v>
      </c>
      <c r="P637" s="146">
        <f>IF(B637="",0,SUMIF('NHAP XUAT'!$G$10:$J$1011,'Ghi So'!B637,'NHAP XUAT'!$J$10:$J$1011))</f>
        <v>0</v>
      </c>
      <c r="Q637" s="146">
        <f t="shared" si="63"/>
        <v>0</v>
      </c>
      <c r="R637" s="169"/>
      <c r="S637" s="169"/>
      <c r="T637" s="146">
        <f t="shared" si="64"/>
        <v>0</v>
      </c>
      <c r="U637" s="121" t="str">
        <f t="shared" si="65"/>
        <v>Close</v>
      </c>
      <c r="V637" s="117"/>
    </row>
    <row r="638" spans="1:22" ht="15" customHeight="1">
      <c r="A638" s="117"/>
      <c r="B638" s="144" t="str">
        <f>IF(D638="","","P"&amp;D638&amp;"MA"&amp;COUNTIF($D$14:D638,D638))</f>
        <v/>
      </c>
      <c r="C638" s="162"/>
      <c r="D638" s="163"/>
      <c r="E638" s="164"/>
      <c r="F638" s="164"/>
      <c r="G638" s="164"/>
      <c r="H638" s="164"/>
      <c r="I638" s="162"/>
      <c r="J638" s="144"/>
      <c r="K638" s="144"/>
      <c r="L638" s="144"/>
      <c r="M638" s="145">
        <f t="shared" si="60"/>
        <v>0</v>
      </c>
      <c r="N638" s="145">
        <f t="shared" si="61"/>
        <v>0</v>
      </c>
      <c r="O638" s="146">
        <f t="shared" si="62"/>
        <v>0</v>
      </c>
      <c r="P638" s="146">
        <f>IF(B638="",0,SUMIF('NHAP XUAT'!$G$10:$J$1011,'Ghi So'!B638,'NHAP XUAT'!$J$10:$J$1011))</f>
        <v>0</v>
      </c>
      <c r="Q638" s="146">
        <f t="shared" si="63"/>
        <v>0</v>
      </c>
      <c r="R638" s="169"/>
      <c r="S638" s="169"/>
      <c r="T638" s="146">
        <f t="shared" si="64"/>
        <v>0</v>
      </c>
      <c r="U638" s="121" t="str">
        <f t="shared" si="65"/>
        <v>Close</v>
      </c>
      <c r="V638" s="117"/>
    </row>
    <row r="639" spans="1:22" ht="15" customHeight="1">
      <c r="A639" s="117"/>
      <c r="B639" s="144" t="str">
        <f>IF(D639="","","P"&amp;D639&amp;"MA"&amp;COUNTIF($D$14:D639,D639))</f>
        <v/>
      </c>
      <c r="C639" s="162"/>
      <c r="D639" s="163"/>
      <c r="E639" s="164"/>
      <c r="F639" s="164"/>
      <c r="G639" s="164"/>
      <c r="H639" s="164"/>
      <c r="I639" s="162"/>
      <c r="J639" s="144"/>
      <c r="K639" s="144"/>
      <c r="L639" s="144"/>
      <c r="M639" s="145">
        <f t="shared" si="60"/>
        <v>0</v>
      </c>
      <c r="N639" s="145">
        <f t="shared" si="61"/>
        <v>0</v>
      </c>
      <c r="O639" s="146">
        <f t="shared" si="62"/>
        <v>0</v>
      </c>
      <c r="P639" s="146">
        <f>IF(B639="",0,SUMIF('NHAP XUAT'!$G$10:$J$1011,'Ghi So'!B639,'NHAP XUAT'!$J$10:$J$1011))</f>
        <v>0</v>
      </c>
      <c r="Q639" s="146">
        <f t="shared" si="63"/>
        <v>0</v>
      </c>
      <c r="R639" s="169"/>
      <c r="S639" s="169"/>
      <c r="T639" s="146">
        <f t="shared" si="64"/>
        <v>0</v>
      </c>
      <c r="U639" s="121" t="str">
        <f t="shared" si="65"/>
        <v>Close</v>
      </c>
      <c r="V639" s="117"/>
    </row>
    <row r="640" spans="1:22" ht="15" customHeight="1">
      <c r="A640" s="117"/>
      <c r="B640" s="144" t="str">
        <f>IF(D640="","","P"&amp;D640&amp;"MA"&amp;COUNTIF($D$14:D640,D640))</f>
        <v/>
      </c>
      <c r="C640" s="162"/>
      <c r="D640" s="163"/>
      <c r="E640" s="164"/>
      <c r="F640" s="164"/>
      <c r="G640" s="164"/>
      <c r="H640" s="164"/>
      <c r="I640" s="162"/>
      <c r="J640" s="144"/>
      <c r="K640" s="144"/>
      <c r="L640" s="144"/>
      <c r="M640" s="145">
        <f t="shared" si="60"/>
        <v>0</v>
      </c>
      <c r="N640" s="145">
        <f t="shared" si="61"/>
        <v>0</v>
      </c>
      <c r="O640" s="146">
        <f t="shared" si="62"/>
        <v>0</v>
      </c>
      <c r="P640" s="146">
        <f>IF(B640="",0,SUMIF('NHAP XUAT'!$G$10:$J$1011,'Ghi So'!B640,'NHAP XUAT'!$J$10:$J$1011))</f>
        <v>0</v>
      </c>
      <c r="Q640" s="146">
        <f t="shared" si="63"/>
        <v>0</v>
      </c>
      <c r="R640" s="169"/>
      <c r="S640" s="169"/>
      <c r="T640" s="146">
        <f t="shared" si="64"/>
        <v>0</v>
      </c>
      <c r="U640" s="121" t="str">
        <f t="shared" si="65"/>
        <v>Close</v>
      </c>
      <c r="V640" s="117"/>
    </row>
    <row r="641" spans="1:22" ht="15" customHeight="1">
      <c r="A641" s="117"/>
      <c r="B641" s="144" t="str">
        <f>IF(D641="","","P"&amp;D641&amp;"MA"&amp;COUNTIF($D$14:D641,D641))</f>
        <v/>
      </c>
      <c r="C641" s="162"/>
      <c r="D641" s="163"/>
      <c r="E641" s="164"/>
      <c r="F641" s="164"/>
      <c r="G641" s="164"/>
      <c r="H641" s="164"/>
      <c r="I641" s="162"/>
      <c r="J641" s="144"/>
      <c r="K641" s="144"/>
      <c r="L641" s="144"/>
      <c r="M641" s="145">
        <f t="shared" si="60"/>
        <v>0</v>
      </c>
      <c r="N641" s="145">
        <f t="shared" si="61"/>
        <v>0</v>
      </c>
      <c r="O641" s="146">
        <f t="shared" si="62"/>
        <v>0</v>
      </c>
      <c r="P641" s="146">
        <f>IF(B641="",0,SUMIF('NHAP XUAT'!$G$10:$J$1011,'Ghi So'!B641,'NHAP XUAT'!$J$10:$J$1011))</f>
        <v>0</v>
      </c>
      <c r="Q641" s="146">
        <f t="shared" si="63"/>
        <v>0</v>
      </c>
      <c r="R641" s="169"/>
      <c r="S641" s="169"/>
      <c r="T641" s="146">
        <f t="shared" si="64"/>
        <v>0</v>
      </c>
      <c r="U641" s="121" t="str">
        <f t="shared" si="65"/>
        <v>Close</v>
      </c>
      <c r="V641" s="117"/>
    </row>
    <row r="642" spans="1:22" ht="15" customHeight="1">
      <c r="A642" s="117"/>
      <c r="B642" s="144" t="str">
        <f>IF(D642="","","P"&amp;D642&amp;"MA"&amp;COUNTIF($D$14:D642,D642))</f>
        <v/>
      </c>
      <c r="C642" s="162"/>
      <c r="D642" s="163"/>
      <c r="E642" s="164"/>
      <c r="F642" s="164"/>
      <c r="G642" s="164"/>
      <c r="H642" s="164"/>
      <c r="I642" s="162"/>
      <c r="J642" s="144"/>
      <c r="K642" s="144"/>
      <c r="L642" s="144"/>
      <c r="M642" s="145">
        <f t="shared" si="60"/>
        <v>0</v>
      </c>
      <c r="N642" s="145">
        <f t="shared" si="61"/>
        <v>0</v>
      </c>
      <c r="O642" s="146">
        <f t="shared" si="62"/>
        <v>0</v>
      </c>
      <c r="P642" s="146">
        <f>IF(B642="",0,SUMIF('NHAP XUAT'!$G$10:$J$1011,'Ghi So'!B642,'NHAP XUAT'!$J$10:$J$1011))</f>
        <v>0</v>
      </c>
      <c r="Q642" s="146">
        <f t="shared" si="63"/>
        <v>0</v>
      </c>
      <c r="R642" s="169"/>
      <c r="S642" s="169"/>
      <c r="T642" s="146">
        <f t="shared" si="64"/>
        <v>0</v>
      </c>
      <c r="U642" s="121" t="str">
        <f t="shared" si="65"/>
        <v>Close</v>
      </c>
      <c r="V642" s="117"/>
    </row>
    <row r="643" spans="1:22" ht="15" customHeight="1">
      <c r="A643" s="117"/>
      <c r="B643" s="144" t="str">
        <f>IF(D643="","","P"&amp;D643&amp;"MA"&amp;COUNTIF($D$14:D643,D643))</f>
        <v/>
      </c>
      <c r="C643" s="162"/>
      <c r="D643" s="163"/>
      <c r="E643" s="164"/>
      <c r="F643" s="164"/>
      <c r="G643" s="164"/>
      <c r="H643" s="164"/>
      <c r="I643" s="162"/>
      <c r="J643" s="144"/>
      <c r="K643" s="144"/>
      <c r="L643" s="144"/>
      <c r="M643" s="145">
        <f t="shared" si="60"/>
        <v>0</v>
      </c>
      <c r="N643" s="145">
        <f t="shared" si="61"/>
        <v>0</v>
      </c>
      <c r="O643" s="146">
        <f t="shared" si="62"/>
        <v>0</v>
      </c>
      <c r="P643" s="146">
        <f>IF(B643="",0,SUMIF('NHAP XUAT'!$G$10:$J$1011,'Ghi So'!B643,'NHAP XUAT'!$J$10:$J$1011))</f>
        <v>0</v>
      </c>
      <c r="Q643" s="146">
        <f t="shared" si="63"/>
        <v>0</v>
      </c>
      <c r="R643" s="169"/>
      <c r="S643" s="169"/>
      <c r="T643" s="146">
        <f t="shared" si="64"/>
        <v>0</v>
      </c>
      <c r="U643" s="121" t="str">
        <f t="shared" si="65"/>
        <v>Close</v>
      </c>
      <c r="V643" s="117"/>
    </row>
    <row r="644" spans="1:22" ht="15" customHeight="1">
      <c r="A644" s="117"/>
      <c r="B644" s="144" t="str">
        <f>IF(D644="","","P"&amp;D644&amp;"MA"&amp;COUNTIF($D$14:D644,D644))</f>
        <v/>
      </c>
      <c r="C644" s="162"/>
      <c r="D644" s="163"/>
      <c r="E644" s="164"/>
      <c r="F644" s="164"/>
      <c r="G644" s="164"/>
      <c r="H644" s="164"/>
      <c r="I644" s="162"/>
      <c r="J644" s="144"/>
      <c r="K644" s="144"/>
      <c r="L644" s="144"/>
      <c r="M644" s="145">
        <f t="shared" si="60"/>
        <v>0</v>
      </c>
      <c r="N644" s="145">
        <f t="shared" si="61"/>
        <v>0</v>
      </c>
      <c r="O644" s="146">
        <f t="shared" si="62"/>
        <v>0</v>
      </c>
      <c r="P644" s="146">
        <f>IF(B644="",0,SUMIF('NHAP XUAT'!$G$10:$J$1011,'Ghi So'!B644,'NHAP XUAT'!$J$10:$J$1011))</f>
        <v>0</v>
      </c>
      <c r="Q644" s="146">
        <f t="shared" si="63"/>
        <v>0</v>
      </c>
      <c r="R644" s="169"/>
      <c r="S644" s="169"/>
      <c r="T644" s="146">
        <f t="shared" si="64"/>
        <v>0</v>
      </c>
      <c r="U644" s="121" t="str">
        <f t="shared" si="65"/>
        <v>Close</v>
      </c>
      <c r="V644" s="117"/>
    </row>
    <row r="645" spans="1:22" ht="15" customHeight="1">
      <c r="A645" s="117"/>
      <c r="B645" s="144" t="str">
        <f>IF(D645="","","P"&amp;D645&amp;"MA"&amp;COUNTIF($D$14:D645,D645))</f>
        <v/>
      </c>
      <c r="C645" s="162"/>
      <c r="D645" s="163"/>
      <c r="E645" s="164"/>
      <c r="F645" s="164"/>
      <c r="G645" s="164"/>
      <c r="H645" s="164"/>
      <c r="I645" s="162"/>
      <c r="J645" s="144"/>
      <c r="K645" s="144"/>
      <c r="L645" s="144"/>
      <c r="M645" s="145">
        <f t="shared" si="60"/>
        <v>0</v>
      </c>
      <c r="N645" s="145">
        <f t="shared" si="61"/>
        <v>0</v>
      </c>
      <c r="O645" s="146">
        <f t="shared" si="62"/>
        <v>0</v>
      </c>
      <c r="P645" s="146">
        <f>IF(B645="",0,SUMIF('NHAP XUAT'!$G$10:$J$1011,'Ghi So'!B645,'NHAP XUAT'!$J$10:$J$1011))</f>
        <v>0</v>
      </c>
      <c r="Q645" s="146">
        <f t="shared" si="63"/>
        <v>0</v>
      </c>
      <c r="R645" s="169"/>
      <c r="S645" s="169"/>
      <c r="T645" s="146">
        <f t="shared" si="64"/>
        <v>0</v>
      </c>
      <c r="U645" s="121" t="str">
        <f t="shared" si="65"/>
        <v>Close</v>
      </c>
      <c r="V645" s="117"/>
    </row>
    <row r="646" spans="1:22" ht="15" customHeight="1">
      <c r="A646" s="117"/>
      <c r="B646" s="144" t="str">
        <f>IF(D646="","","P"&amp;D646&amp;"MA"&amp;COUNTIF($D$14:D646,D646))</f>
        <v/>
      </c>
      <c r="C646" s="162"/>
      <c r="D646" s="163"/>
      <c r="E646" s="164"/>
      <c r="F646" s="164"/>
      <c r="G646" s="164"/>
      <c r="H646" s="164"/>
      <c r="I646" s="162"/>
      <c r="J646" s="144"/>
      <c r="K646" s="144"/>
      <c r="L646" s="144"/>
      <c r="M646" s="145">
        <f t="shared" si="60"/>
        <v>0</v>
      </c>
      <c r="N646" s="145">
        <f t="shared" si="61"/>
        <v>0</v>
      </c>
      <c r="O646" s="146">
        <f t="shared" si="62"/>
        <v>0</v>
      </c>
      <c r="P646" s="146">
        <f>IF(B646="",0,SUMIF('NHAP XUAT'!$G$10:$J$1011,'Ghi So'!B646,'NHAP XUAT'!$J$10:$J$1011))</f>
        <v>0</v>
      </c>
      <c r="Q646" s="146">
        <f t="shared" si="63"/>
        <v>0</v>
      </c>
      <c r="R646" s="169"/>
      <c r="S646" s="169"/>
      <c r="T646" s="146">
        <f t="shared" si="64"/>
        <v>0</v>
      </c>
      <c r="U646" s="121" t="str">
        <f t="shared" si="65"/>
        <v>Close</v>
      </c>
      <c r="V646" s="117"/>
    </row>
    <row r="647" spans="1:22" ht="15" customHeight="1">
      <c r="A647" s="117"/>
      <c r="B647" s="144" t="str">
        <f>IF(D647="","","P"&amp;D647&amp;"MA"&amp;COUNTIF($D$14:D647,D647))</f>
        <v/>
      </c>
      <c r="C647" s="162"/>
      <c r="D647" s="163"/>
      <c r="E647" s="164"/>
      <c r="F647" s="164"/>
      <c r="G647" s="164"/>
      <c r="H647" s="164"/>
      <c r="I647" s="162"/>
      <c r="J647" s="144"/>
      <c r="K647" s="144"/>
      <c r="L647" s="144"/>
      <c r="M647" s="145">
        <f t="shared" si="60"/>
        <v>0</v>
      </c>
      <c r="N647" s="145">
        <f t="shared" si="61"/>
        <v>0</v>
      </c>
      <c r="O647" s="146">
        <f t="shared" si="62"/>
        <v>0</v>
      </c>
      <c r="P647" s="146">
        <f>IF(B647="",0,SUMIF('NHAP XUAT'!$G$10:$J$1011,'Ghi So'!B647,'NHAP XUAT'!$J$10:$J$1011))</f>
        <v>0</v>
      </c>
      <c r="Q647" s="146">
        <f t="shared" si="63"/>
        <v>0</v>
      </c>
      <c r="R647" s="169"/>
      <c r="S647" s="169"/>
      <c r="T647" s="146">
        <f t="shared" si="64"/>
        <v>0</v>
      </c>
      <c r="U647" s="121" t="str">
        <f t="shared" si="65"/>
        <v>Close</v>
      </c>
      <c r="V647" s="117"/>
    </row>
    <row r="648" spans="1:22" ht="15" customHeight="1">
      <c r="A648" s="117"/>
      <c r="B648" s="144" t="str">
        <f>IF(D648="","","P"&amp;D648&amp;"MA"&amp;COUNTIF($D$14:D648,D648))</f>
        <v/>
      </c>
      <c r="C648" s="162"/>
      <c r="D648" s="163"/>
      <c r="E648" s="164"/>
      <c r="F648" s="164"/>
      <c r="G648" s="164"/>
      <c r="H648" s="164"/>
      <c r="I648" s="162"/>
      <c r="J648" s="144"/>
      <c r="K648" s="144"/>
      <c r="L648" s="144"/>
      <c r="M648" s="145">
        <f t="shared" si="60"/>
        <v>0</v>
      </c>
      <c r="N648" s="145">
        <f t="shared" si="61"/>
        <v>0</v>
      </c>
      <c r="O648" s="146">
        <f t="shared" si="62"/>
        <v>0</v>
      </c>
      <c r="P648" s="146">
        <f>IF(B648="",0,SUMIF('NHAP XUAT'!$G$10:$J$1011,'Ghi So'!B648,'NHAP XUAT'!$J$10:$J$1011))</f>
        <v>0</v>
      </c>
      <c r="Q648" s="146">
        <f t="shared" si="63"/>
        <v>0</v>
      </c>
      <c r="R648" s="169"/>
      <c r="S648" s="169"/>
      <c r="T648" s="146">
        <f t="shared" si="64"/>
        <v>0</v>
      </c>
      <c r="U648" s="121" t="str">
        <f t="shared" si="65"/>
        <v>Close</v>
      </c>
      <c r="V648" s="117"/>
    </row>
    <row r="649" spans="1:22" ht="15" customHeight="1">
      <c r="A649" s="117"/>
      <c r="B649" s="144" t="str">
        <f>IF(D649="","","P"&amp;D649&amp;"MA"&amp;COUNTIF($D$14:D649,D649))</f>
        <v/>
      </c>
      <c r="C649" s="162"/>
      <c r="D649" s="163"/>
      <c r="E649" s="164"/>
      <c r="F649" s="164"/>
      <c r="G649" s="164"/>
      <c r="H649" s="164"/>
      <c r="I649" s="162"/>
      <c r="J649" s="144"/>
      <c r="K649" s="144"/>
      <c r="L649" s="144"/>
      <c r="M649" s="145">
        <f t="shared" si="60"/>
        <v>0</v>
      </c>
      <c r="N649" s="145">
        <f t="shared" si="61"/>
        <v>0</v>
      </c>
      <c r="O649" s="146">
        <f t="shared" si="62"/>
        <v>0</v>
      </c>
      <c r="P649" s="146">
        <f>IF(B649="",0,SUMIF('NHAP XUAT'!$G$10:$J$1011,'Ghi So'!B649,'NHAP XUAT'!$J$10:$J$1011))</f>
        <v>0</v>
      </c>
      <c r="Q649" s="146">
        <f t="shared" si="63"/>
        <v>0</v>
      </c>
      <c r="R649" s="169"/>
      <c r="S649" s="169"/>
      <c r="T649" s="146">
        <f t="shared" si="64"/>
        <v>0</v>
      </c>
      <c r="U649" s="121" t="str">
        <f t="shared" si="65"/>
        <v>Close</v>
      </c>
      <c r="V649" s="117"/>
    </row>
    <row r="650" spans="1:22" ht="15" customHeight="1">
      <c r="A650" s="117"/>
      <c r="B650" s="144" t="str">
        <f>IF(D650="","","P"&amp;D650&amp;"MA"&amp;COUNTIF($D$14:D650,D650))</f>
        <v/>
      </c>
      <c r="C650" s="162"/>
      <c r="D650" s="163"/>
      <c r="E650" s="164"/>
      <c r="F650" s="164"/>
      <c r="G650" s="164"/>
      <c r="H650" s="164"/>
      <c r="I650" s="162"/>
      <c r="J650" s="144"/>
      <c r="K650" s="144"/>
      <c r="L650" s="144"/>
      <c r="M650" s="145">
        <f t="shared" si="60"/>
        <v>0</v>
      </c>
      <c r="N650" s="145">
        <f t="shared" si="61"/>
        <v>0</v>
      </c>
      <c r="O650" s="146">
        <f t="shared" si="62"/>
        <v>0</v>
      </c>
      <c r="P650" s="146">
        <f>IF(B650="",0,SUMIF('NHAP XUAT'!$G$10:$J$1011,'Ghi So'!B650,'NHAP XUAT'!$J$10:$J$1011))</f>
        <v>0</v>
      </c>
      <c r="Q650" s="146">
        <f t="shared" si="63"/>
        <v>0</v>
      </c>
      <c r="R650" s="169"/>
      <c r="S650" s="169"/>
      <c r="T650" s="146">
        <f t="shared" si="64"/>
        <v>0</v>
      </c>
      <c r="U650" s="121" t="str">
        <f t="shared" si="65"/>
        <v>Close</v>
      </c>
      <c r="V650" s="117"/>
    </row>
    <row r="651" spans="1:22" ht="15" customHeight="1">
      <c r="A651" s="117"/>
      <c r="B651" s="144" t="str">
        <f>IF(D651="","","P"&amp;D651&amp;"MA"&amp;COUNTIF($D$14:D651,D651))</f>
        <v/>
      </c>
      <c r="C651" s="162"/>
      <c r="D651" s="163"/>
      <c r="E651" s="164"/>
      <c r="F651" s="164"/>
      <c r="G651" s="164"/>
      <c r="H651" s="164"/>
      <c r="I651" s="162"/>
      <c r="J651" s="144"/>
      <c r="K651" s="144"/>
      <c r="L651" s="144"/>
      <c r="M651" s="145">
        <f t="shared" si="60"/>
        <v>0</v>
      </c>
      <c r="N651" s="145">
        <f t="shared" si="61"/>
        <v>0</v>
      </c>
      <c r="O651" s="146">
        <f t="shared" si="62"/>
        <v>0</v>
      </c>
      <c r="P651" s="146">
        <f>IF(B651="",0,SUMIF('NHAP XUAT'!$G$10:$J$1011,'Ghi So'!B651,'NHAP XUAT'!$J$10:$J$1011))</f>
        <v>0</v>
      </c>
      <c r="Q651" s="146">
        <f t="shared" si="63"/>
        <v>0</v>
      </c>
      <c r="R651" s="169"/>
      <c r="S651" s="169"/>
      <c r="T651" s="146">
        <f t="shared" si="64"/>
        <v>0</v>
      </c>
      <c r="U651" s="121" t="str">
        <f t="shared" si="65"/>
        <v>Close</v>
      </c>
      <c r="V651" s="117"/>
    </row>
    <row r="652" spans="1:22" ht="15" customHeight="1">
      <c r="A652" s="117"/>
      <c r="B652" s="144" t="str">
        <f>IF(D652="","","P"&amp;D652&amp;"MA"&amp;COUNTIF($D$14:D652,D652))</f>
        <v/>
      </c>
      <c r="C652" s="162"/>
      <c r="D652" s="163"/>
      <c r="E652" s="164"/>
      <c r="F652" s="164"/>
      <c r="G652" s="164"/>
      <c r="H652" s="164"/>
      <c r="I652" s="162"/>
      <c r="J652" s="144"/>
      <c r="K652" s="144"/>
      <c r="L652" s="144"/>
      <c r="M652" s="145">
        <f t="shared" si="60"/>
        <v>0</v>
      </c>
      <c r="N652" s="145">
        <f t="shared" si="61"/>
        <v>0</v>
      </c>
      <c r="O652" s="146">
        <f t="shared" si="62"/>
        <v>0</v>
      </c>
      <c r="P652" s="146">
        <f>IF(B652="",0,SUMIF('NHAP XUAT'!$G$10:$J$1011,'Ghi So'!B652,'NHAP XUAT'!$J$10:$J$1011))</f>
        <v>0</v>
      </c>
      <c r="Q652" s="146">
        <f t="shared" si="63"/>
        <v>0</v>
      </c>
      <c r="R652" s="169"/>
      <c r="S652" s="169"/>
      <c r="T652" s="146">
        <f t="shared" si="64"/>
        <v>0</v>
      </c>
      <c r="U652" s="121" t="str">
        <f t="shared" si="65"/>
        <v>Close</v>
      </c>
      <c r="V652" s="117"/>
    </row>
    <row r="653" spans="1:22" ht="15" customHeight="1">
      <c r="A653" s="117"/>
      <c r="B653" s="144" t="str">
        <f>IF(D653="","","P"&amp;D653&amp;"MA"&amp;COUNTIF($D$14:D653,D653))</f>
        <v/>
      </c>
      <c r="C653" s="162"/>
      <c r="D653" s="163"/>
      <c r="E653" s="164"/>
      <c r="F653" s="164"/>
      <c r="G653" s="164"/>
      <c r="H653" s="164"/>
      <c r="I653" s="162"/>
      <c r="J653" s="144"/>
      <c r="K653" s="144"/>
      <c r="L653" s="144"/>
      <c r="M653" s="145">
        <f t="shared" si="60"/>
        <v>0</v>
      </c>
      <c r="N653" s="145">
        <f t="shared" si="61"/>
        <v>0</v>
      </c>
      <c r="O653" s="146">
        <f t="shared" si="62"/>
        <v>0</v>
      </c>
      <c r="P653" s="146">
        <f>IF(B653="",0,SUMIF('NHAP XUAT'!$G$10:$J$1011,'Ghi So'!B653,'NHAP XUAT'!$J$10:$J$1011))</f>
        <v>0</v>
      </c>
      <c r="Q653" s="146">
        <f t="shared" si="63"/>
        <v>0</v>
      </c>
      <c r="R653" s="169"/>
      <c r="S653" s="169"/>
      <c r="T653" s="146">
        <f t="shared" si="64"/>
        <v>0</v>
      </c>
      <c r="U653" s="121" t="str">
        <f t="shared" si="65"/>
        <v>Close</v>
      </c>
      <c r="V653" s="117"/>
    </row>
    <row r="654" spans="1:22" ht="15" customHeight="1">
      <c r="A654" s="117"/>
      <c r="B654" s="144" t="str">
        <f>IF(D654="","","P"&amp;D654&amp;"MA"&amp;COUNTIF($D$14:D654,D654))</f>
        <v/>
      </c>
      <c r="C654" s="162"/>
      <c r="D654" s="163"/>
      <c r="E654" s="164"/>
      <c r="F654" s="164"/>
      <c r="G654" s="164"/>
      <c r="H654" s="164"/>
      <c r="I654" s="162"/>
      <c r="J654" s="144"/>
      <c r="K654" s="144"/>
      <c r="L654" s="144"/>
      <c r="M654" s="145">
        <f t="shared" si="60"/>
        <v>0</v>
      </c>
      <c r="N654" s="145">
        <f t="shared" si="61"/>
        <v>0</v>
      </c>
      <c r="O654" s="146">
        <f t="shared" si="62"/>
        <v>0</v>
      </c>
      <c r="P654" s="146">
        <f>IF(B654="",0,SUMIF('NHAP XUAT'!$G$10:$J$1011,'Ghi So'!B654,'NHAP XUAT'!$J$10:$J$1011))</f>
        <v>0</v>
      </c>
      <c r="Q654" s="146">
        <f t="shared" si="63"/>
        <v>0</v>
      </c>
      <c r="R654" s="169"/>
      <c r="S654" s="169"/>
      <c r="T654" s="146">
        <f t="shared" si="64"/>
        <v>0</v>
      </c>
      <c r="U654" s="121" t="str">
        <f t="shared" si="65"/>
        <v>Close</v>
      </c>
      <c r="V654" s="117"/>
    </row>
    <row r="655" spans="1:22" ht="15" customHeight="1">
      <c r="A655" s="117"/>
      <c r="B655" s="144" t="str">
        <f>IF(D655="","","P"&amp;D655&amp;"MA"&amp;COUNTIF($D$14:D655,D655))</f>
        <v/>
      </c>
      <c r="C655" s="162"/>
      <c r="D655" s="163"/>
      <c r="E655" s="164"/>
      <c r="F655" s="164"/>
      <c r="G655" s="164"/>
      <c r="H655" s="164"/>
      <c r="I655" s="162"/>
      <c r="J655" s="144"/>
      <c r="K655" s="144"/>
      <c r="L655" s="144"/>
      <c r="M655" s="145">
        <f t="shared" si="60"/>
        <v>0</v>
      </c>
      <c r="N655" s="145">
        <f t="shared" si="61"/>
        <v>0</v>
      </c>
      <c r="O655" s="146">
        <f t="shared" si="62"/>
        <v>0</v>
      </c>
      <c r="P655" s="146">
        <f>IF(B655="",0,SUMIF('NHAP XUAT'!$G$10:$J$1011,'Ghi So'!B655,'NHAP XUAT'!$J$10:$J$1011))</f>
        <v>0</v>
      </c>
      <c r="Q655" s="146">
        <f t="shared" si="63"/>
        <v>0</v>
      </c>
      <c r="R655" s="169"/>
      <c r="S655" s="169"/>
      <c r="T655" s="146">
        <f t="shared" si="64"/>
        <v>0</v>
      </c>
      <c r="U655" s="121" t="str">
        <f t="shared" si="65"/>
        <v>Close</v>
      </c>
      <c r="V655" s="117"/>
    </row>
    <row r="656" spans="1:22" ht="15" customHeight="1">
      <c r="A656" s="117"/>
      <c r="B656" s="144" t="str">
        <f>IF(D656="","","P"&amp;D656&amp;"MA"&amp;COUNTIF($D$14:D656,D656))</f>
        <v/>
      </c>
      <c r="C656" s="162"/>
      <c r="D656" s="163"/>
      <c r="E656" s="164"/>
      <c r="F656" s="164"/>
      <c r="G656" s="164"/>
      <c r="H656" s="164"/>
      <c r="I656" s="162"/>
      <c r="J656" s="144"/>
      <c r="K656" s="144"/>
      <c r="L656" s="144"/>
      <c r="M656" s="145">
        <f t="shared" si="60"/>
        <v>0</v>
      </c>
      <c r="N656" s="145">
        <f t="shared" si="61"/>
        <v>0</v>
      </c>
      <c r="O656" s="146">
        <f t="shared" si="62"/>
        <v>0</v>
      </c>
      <c r="P656" s="146">
        <f>IF(B656="",0,SUMIF('NHAP XUAT'!$G$10:$J$1011,'Ghi So'!B656,'NHAP XUAT'!$J$10:$J$1011))</f>
        <v>0</v>
      </c>
      <c r="Q656" s="146">
        <f t="shared" si="63"/>
        <v>0</v>
      </c>
      <c r="R656" s="169"/>
      <c r="S656" s="169"/>
      <c r="T656" s="146">
        <f t="shared" si="64"/>
        <v>0</v>
      </c>
      <c r="U656" s="121" t="str">
        <f t="shared" si="65"/>
        <v>Close</v>
      </c>
      <c r="V656" s="117"/>
    </row>
    <row r="657" spans="1:22" ht="15" customHeight="1">
      <c r="A657" s="117"/>
      <c r="B657" s="144" t="str">
        <f>IF(D657="","","P"&amp;D657&amp;"MA"&amp;COUNTIF($D$14:D657,D657))</f>
        <v/>
      </c>
      <c r="C657" s="162"/>
      <c r="D657" s="163"/>
      <c r="E657" s="164"/>
      <c r="F657" s="164"/>
      <c r="G657" s="164"/>
      <c r="H657" s="164"/>
      <c r="I657" s="162"/>
      <c r="J657" s="144"/>
      <c r="K657" s="144"/>
      <c r="L657" s="144"/>
      <c r="M657" s="145">
        <f t="shared" si="60"/>
        <v>0</v>
      </c>
      <c r="N657" s="145">
        <f t="shared" si="61"/>
        <v>0</v>
      </c>
      <c r="O657" s="146">
        <f t="shared" si="62"/>
        <v>0</v>
      </c>
      <c r="P657" s="146">
        <f>IF(B657="",0,SUMIF('NHAP XUAT'!$G$10:$J$1011,'Ghi So'!B657,'NHAP XUAT'!$J$10:$J$1011))</f>
        <v>0</v>
      </c>
      <c r="Q657" s="146">
        <f t="shared" si="63"/>
        <v>0</v>
      </c>
      <c r="R657" s="169"/>
      <c r="S657" s="169"/>
      <c r="T657" s="146">
        <f t="shared" si="64"/>
        <v>0</v>
      </c>
      <c r="U657" s="121" t="str">
        <f t="shared" si="65"/>
        <v>Close</v>
      </c>
      <c r="V657" s="117"/>
    </row>
    <row r="658" spans="1:22" ht="15" customHeight="1">
      <c r="A658" s="117"/>
      <c r="B658" s="144" t="str">
        <f>IF(D658="","","P"&amp;D658&amp;"MA"&amp;COUNTIF($D$14:D658,D658))</f>
        <v/>
      </c>
      <c r="C658" s="162"/>
      <c r="D658" s="163"/>
      <c r="E658" s="164"/>
      <c r="F658" s="164"/>
      <c r="G658" s="164"/>
      <c r="H658" s="164"/>
      <c r="I658" s="162"/>
      <c r="J658" s="144"/>
      <c r="K658" s="144"/>
      <c r="L658" s="144"/>
      <c r="M658" s="145">
        <f t="shared" si="60"/>
        <v>0</v>
      </c>
      <c r="N658" s="145">
        <f t="shared" si="61"/>
        <v>0</v>
      </c>
      <c r="O658" s="146">
        <f t="shared" si="62"/>
        <v>0</v>
      </c>
      <c r="P658" s="146">
        <f>IF(B658="",0,SUMIF('NHAP XUAT'!$G$10:$J$1011,'Ghi So'!B658,'NHAP XUAT'!$J$10:$J$1011))</f>
        <v>0</v>
      </c>
      <c r="Q658" s="146">
        <f t="shared" si="63"/>
        <v>0</v>
      </c>
      <c r="R658" s="169"/>
      <c r="S658" s="169"/>
      <c r="T658" s="146">
        <f t="shared" si="64"/>
        <v>0</v>
      </c>
      <c r="U658" s="121" t="str">
        <f t="shared" si="65"/>
        <v>Close</v>
      </c>
      <c r="V658" s="117"/>
    </row>
    <row r="659" spans="1:22" ht="15" customHeight="1">
      <c r="A659" s="117"/>
      <c r="B659" s="144" t="str">
        <f>IF(D659="","","P"&amp;D659&amp;"MA"&amp;COUNTIF($D$14:D659,D659))</f>
        <v/>
      </c>
      <c r="C659" s="162"/>
      <c r="D659" s="163"/>
      <c r="E659" s="164"/>
      <c r="F659" s="164"/>
      <c r="G659" s="164"/>
      <c r="H659" s="164"/>
      <c r="I659" s="162"/>
      <c r="J659" s="144"/>
      <c r="K659" s="144"/>
      <c r="L659" s="144"/>
      <c r="M659" s="145">
        <f t="shared" si="60"/>
        <v>0</v>
      </c>
      <c r="N659" s="145">
        <f t="shared" si="61"/>
        <v>0</v>
      </c>
      <c r="O659" s="146">
        <f t="shared" si="62"/>
        <v>0</v>
      </c>
      <c r="P659" s="146">
        <f>IF(B659="",0,SUMIF('NHAP XUAT'!$G$10:$J$1011,'Ghi So'!B659,'NHAP XUAT'!$J$10:$J$1011))</f>
        <v>0</v>
      </c>
      <c r="Q659" s="146">
        <f t="shared" si="63"/>
        <v>0</v>
      </c>
      <c r="R659" s="169"/>
      <c r="S659" s="169"/>
      <c r="T659" s="146">
        <f t="shared" si="64"/>
        <v>0</v>
      </c>
      <c r="U659" s="121" t="str">
        <f t="shared" si="65"/>
        <v>Close</v>
      </c>
      <c r="V659" s="117"/>
    </row>
    <row r="660" spans="1:22" ht="15" customHeight="1">
      <c r="A660" s="117"/>
      <c r="B660" s="144" t="str">
        <f>IF(D660="","","P"&amp;D660&amp;"MA"&amp;COUNTIF($D$14:D660,D660))</f>
        <v/>
      </c>
      <c r="C660" s="162"/>
      <c r="D660" s="163"/>
      <c r="E660" s="164"/>
      <c r="F660" s="164"/>
      <c r="G660" s="164"/>
      <c r="H660" s="164"/>
      <c r="I660" s="162"/>
      <c r="J660" s="144"/>
      <c r="K660" s="144"/>
      <c r="L660" s="144"/>
      <c r="M660" s="145">
        <f t="shared" si="60"/>
        <v>0</v>
      </c>
      <c r="N660" s="145">
        <f t="shared" si="61"/>
        <v>0</v>
      </c>
      <c r="O660" s="146">
        <f t="shared" si="62"/>
        <v>0</v>
      </c>
      <c r="P660" s="146">
        <f>IF(B660="",0,SUMIF('NHAP XUAT'!$G$10:$J$1011,'Ghi So'!B660,'NHAP XUAT'!$J$10:$J$1011))</f>
        <v>0</v>
      </c>
      <c r="Q660" s="146">
        <f t="shared" si="63"/>
        <v>0</v>
      </c>
      <c r="R660" s="169"/>
      <c r="S660" s="169"/>
      <c r="T660" s="146">
        <f t="shared" si="64"/>
        <v>0</v>
      </c>
      <c r="U660" s="121" t="str">
        <f t="shared" si="65"/>
        <v>Close</v>
      </c>
      <c r="V660" s="117"/>
    </row>
    <row r="661" spans="1:22" ht="15" customHeight="1">
      <c r="A661" s="117"/>
      <c r="B661" s="144" t="str">
        <f>IF(D661="","","P"&amp;D661&amp;"MA"&amp;COUNTIF($D$14:D661,D661))</f>
        <v/>
      </c>
      <c r="C661" s="162"/>
      <c r="D661" s="163"/>
      <c r="E661" s="164"/>
      <c r="F661" s="164"/>
      <c r="G661" s="164"/>
      <c r="H661" s="164"/>
      <c r="I661" s="162"/>
      <c r="J661" s="144"/>
      <c r="K661" s="144"/>
      <c r="L661" s="144"/>
      <c r="M661" s="145">
        <f t="shared" si="60"/>
        <v>0</v>
      </c>
      <c r="N661" s="145">
        <f t="shared" si="61"/>
        <v>0</v>
      </c>
      <c r="O661" s="146">
        <f t="shared" si="62"/>
        <v>0</v>
      </c>
      <c r="P661" s="146">
        <f>IF(B661="",0,SUMIF('NHAP XUAT'!$G$10:$J$1011,'Ghi So'!B661,'NHAP XUAT'!$J$10:$J$1011))</f>
        <v>0</v>
      </c>
      <c r="Q661" s="146">
        <f t="shared" si="63"/>
        <v>0</v>
      </c>
      <c r="R661" s="169"/>
      <c r="S661" s="169"/>
      <c r="T661" s="146">
        <f t="shared" si="64"/>
        <v>0</v>
      </c>
      <c r="U661" s="121" t="str">
        <f t="shared" si="65"/>
        <v>Close</v>
      </c>
      <c r="V661" s="117"/>
    </row>
    <row r="662" spans="1:22" ht="15" customHeight="1">
      <c r="A662" s="117"/>
      <c r="B662" s="144" t="str">
        <f>IF(D662="","","P"&amp;D662&amp;"MA"&amp;COUNTIF($D$14:D662,D662))</f>
        <v/>
      </c>
      <c r="C662" s="162"/>
      <c r="D662" s="163"/>
      <c r="E662" s="164"/>
      <c r="F662" s="164"/>
      <c r="G662" s="164"/>
      <c r="H662" s="164"/>
      <c r="I662" s="162"/>
      <c r="J662" s="144"/>
      <c r="K662" s="144"/>
      <c r="L662" s="144"/>
      <c r="M662" s="145">
        <f t="shared" si="60"/>
        <v>0</v>
      </c>
      <c r="N662" s="145">
        <f t="shared" si="61"/>
        <v>0</v>
      </c>
      <c r="O662" s="146">
        <f t="shared" si="62"/>
        <v>0</v>
      </c>
      <c r="P662" s="146">
        <f>IF(B662="",0,SUMIF('NHAP XUAT'!$G$10:$J$1011,'Ghi So'!B662,'NHAP XUAT'!$J$10:$J$1011))</f>
        <v>0</v>
      </c>
      <c r="Q662" s="146">
        <f t="shared" si="63"/>
        <v>0</v>
      </c>
      <c r="R662" s="169"/>
      <c r="S662" s="169"/>
      <c r="T662" s="146">
        <f t="shared" si="64"/>
        <v>0</v>
      </c>
      <c r="U662" s="121" t="str">
        <f t="shared" si="65"/>
        <v>Close</v>
      </c>
      <c r="V662" s="117"/>
    </row>
    <row r="663" spans="1:22" ht="15" customHeight="1">
      <c r="A663" s="117"/>
      <c r="B663" s="144" t="str">
        <f>IF(D663="","","P"&amp;D663&amp;"MA"&amp;COUNTIF($D$14:D663,D663))</f>
        <v/>
      </c>
      <c r="C663" s="162"/>
      <c r="D663" s="163"/>
      <c r="E663" s="164"/>
      <c r="F663" s="164"/>
      <c r="G663" s="164"/>
      <c r="H663" s="164"/>
      <c r="I663" s="162"/>
      <c r="J663" s="144"/>
      <c r="K663" s="144"/>
      <c r="L663" s="144"/>
      <c r="M663" s="145">
        <f t="shared" si="60"/>
        <v>0</v>
      </c>
      <c r="N663" s="145">
        <f t="shared" si="61"/>
        <v>0</v>
      </c>
      <c r="O663" s="146">
        <f t="shared" si="62"/>
        <v>0</v>
      </c>
      <c r="P663" s="146">
        <f>IF(B663="",0,SUMIF('NHAP XUAT'!$G$10:$J$1011,'Ghi So'!B663,'NHAP XUAT'!$J$10:$J$1011))</f>
        <v>0</v>
      </c>
      <c r="Q663" s="146">
        <f t="shared" si="63"/>
        <v>0</v>
      </c>
      <c r="R663" s="169"/>
      <c r="S663" s="169"/>
      <c r="T663" s="146">
        <f t="shared" si="64"/>
        <v>0</v>
      </c>
      <c r="U663" s="121" t="str">
        <f t="shared" si="65"/>
        <v>Close</v>
      </c>
      <c r="V663" s="117"/>
    </row>
    <row r="664" spans="1:22" ht="15" customHeight="1">
      <c r="A664" s="117"/>
      <c r="B664" s="144" t="str">
        <f>IF(D664="","","P"&amp;D664&amp;"MA"&amp;COUNTIF($D$14:D664,D664))</f>
        <v/>
      </c>
      <c r="C664" s="162"/>
      <c r="D664" s="163"/>
      <c r="E664" s="164"/>
      <c r="F664" s="164"/>
      <c r="G664" s="164"/>
      <c r="H664" s="164"/>
      <c r="I664" s="162"/>
      <c r="J664" s="144"/>
      <c r="K664" s="144"/>
      <c r="L664" s="144"/>
      <c r="M664" s="145">
        <f t="shared" si="60"/>
        <v>0</v>
      </c>
      <c r="N664" s="145">
        <f t="shared" si="61"/>
        <v>0</v>
      </c>
      <c r="O664" s="146">
        <f t="shared" si="62"/>
        <v>0</v>
      </c>
      <c r="P664" s="146">
        <f>IF(B664="",0,SUMIF('NHAP XUAT'!$G$10:$J$1011,'Ghi So'!B664,'NHAP XUAT'!$J$10:$J$1011))</f>
        <v>0</v>
      </c>
      <c r="Q664" s="146">
        <f t="shared" si="63"/>
        <v>0</v>
      </c>
      <c r="R664" s="169"/>
      <c r="S664" s="169"/>
      <c r="T664" s="146">
        <f t="shared" si="64"/>
        <v>0</v>
      </c>
      <c r="U664" s="121" t="str">
        <f t="shared" si="65"/>
        <v>Close</v>
      </c>
      <c r="V664" s="117"/>
    </row>
    <row r="665" spans="1:22" ht="15" customHeight="1">
      <c r="A665" s="117"/>
      <c r="B665" s="144" t="str">
        <f>IF(D665="","","P"&amp;D665&amp;"MA"&amp;COUNTIF($D$14:D665,D665))</f>
        <v/>
      </c>
      <c r="C665" s="162"/>
      <c r="D665" s="163"/>
      <c r="E665" s="164"/>
      <c r="F665" s="164"/>
      <c r="G665" s="164"/>
      <c r="H665" s="164"/>
      <c r="I665" s="162"/>
      <c r="J665" s="144"/>
      <c r="K665" s="144"/>
      <c r="L665" s="144"/>
      <c r="M665" s="145">
        <f t="shared" si="60"/>
        <v>0</v>
      </c>
      <c r="N665" s="145">
        <f t="shared" si="61"/>
        <v>0</v>
      </c>
      <c r="O665" s="146">
        <f t="shared" si="62"/>
        <v>0</v>
      </c>
      <c r="P665" s="146">
        <f>IF(B665="",0,SUMIF('NHAP XUAT'!$G$10:$J$1011,'Ghi So'!B665,'NHAP XUAT'!$J$10:$J$1011))</f>
        <v>0</v>
      </c>
      <c r="Q665" s="146">
        <f t="shared" si="63"/>
        <v>0</v>
      </c>
      <c r="R665" s="169"/>
      <c r="S665" s="169"/>
      <c r="T665" s="146">
        <f t="shared" si="64"/>
        <v>0</v>
      </c>
      <c r="U665" s="121" t="str">
        <f t="shared" si="65"/>
        <v>Close</v>
      </c>
      <c r="V665" s="117"/>
    </row>
    <row r="666" spans="1:22" ht="15" customHeight="1">
      <c r="A666" s="117"/>
      <c r="B666" s="144" t="str">
        <f>IF(D666="","","P"&amp;D666&amp;"MA"&amp;COUNTIF($D$14:D666,D666))</f>
        <v/>
      </c>
      <c r="C666" s="162"/>
      <c r="D666" s="163"/>
      <c r="E666" s="164"/>
      <c r="F666" s="164"/>
      <c r="G666" s="164"/>
      <c r="H666" s="164"/>
      <c r="I666" s="162"/>
      <c r="J666" s="144"/>
      <c r="K666" s="144"/>
      <c r="L666" s="144"/>
      <c r="M666" s="145">
        <f t="shared" si="60"/>
        <v>0</v>
      </c>
      <c r="N666" s="145">
        <f t="shared" si="61"/>
        <v>0</v>
      </c>
      <c r="O666" s="146">
        <f t="shared" si="62"/>
        <v>0</v>
      </c>
      <c r="P666" s="146">
        <f>IF(B666="",0,SUMIF('NHAP XUAT'!$G$10:$J$1011,'Ghi So'!B666,'NHAP XUAT'!$J$10:$J$1011))</f>
        <v>0</v>
      </c>
      <c r="Q666" s="146">
        <f t="shared" si="63"/>
        <v>0</v>
      </c>
      <c r="R666" s="169"/>
      <c r="S666" s="169"/>
      <c r="T666" s="146">
        <f t="shared" si="64"/>
        <v>0</v>
      </c>
      <c r="U666" s="121" t="str">
        <f t="shared" si="65"/>
        <v>Close</v>
      </c>
      <c r="V666" s="117"/>
    </row>
    <row r="667" spans="1:22" ht="15" customHeight="1">
      <c r="A667" s="117"/>
      <c r="B667" s="144" t="str">
        <f>IF(D667="","","P"&amp;D667&amp;"MA"&amp;COUNTIF($D$14:D667,D667))</f>
        <v/>
      </c>
      <c r="C667" s="162"/>
      <c r="D667" s="163"/>
      <c r="E667" s="164"/>
      <c r="F667" s="164"/>
      <c r="G667" s="164"/>
      <c r="H667" s="164"/>
      <c r="I667" s="162"/>
      <c r="J667" s="144"/>
      <c r="K667" s="144"/>
      <c r="L667" s="144"/>
      <c r="M667" s="145">
        <f t="shared" si="60"/>
        <v>0</v>
      </c>
      <c r="N667" s="145">
        <f t="shared" si="61"/>
        <v>0</v>
      </c>
      <c r="O667" s="146">
        <f t="shared" si="62"/>
        <v>0</v>
      </c>
      <c r="P667" s="146">
        <f>IF(B667="",0,SUMIF('NHAP XUAT'!$G$10:$J$1011,'Ghi So'!B667,'NHAP XUAT'!$J$10:$J$1011))</f>
        <v>0</v>
      </c>
      <c r="Q667" s="146">
        <f t="shared" si="63"/>
        <v>0</v>
      </c>
      <c r="R667" s="169"/>
      <c r="S667" s="169"/>
      <c r="T667" s="146">
        <f t="shared" si="64"/>
        <v>0</v>
      </c>
      <c r="U667" s="121" t="str">
        <f t="shared" si="65"/>
        <v>Close</v>
      </c>
      <c r="V667" s="117"/>
    </row>
    <row r="668" spans="1:22" ht="15" customHeight="1">
      <c r="A668" s="117"/>
      <c r="B668" s="144" t="str">
        <f>IF(D668="","","P"&amp;D668&amp;"MA"&amp;COUNTIF($D$14:D668,D668))</f>
        <v/>
      </c>
      <c r="C668" s="162"/>
      <c r="D668" s="163"/>
      <c r="E668" s="164"/>
      <c r="F668" s="164"/>
      <c r="G668" s="164"/>
      <c r="H668" s="164"/>
      <c r="I668" s="162"/>
      <c r="J668" s="144"/>
      <c r="K668" s="144"/>
      <c r="L668" s="144"/>
      <c r="M668" s="145">
        <f t="shared" si="60"/>
        <v>0</v>
      </c>
      <c r="N668" s="145">
        <f t="shared" si="61"/>
        <v>0</v>
      </c>
      <c r="O668" s="146">
        <f t="shared" si="62"/>
        <v>0</v>
      </c>
      <c r="P668" s="146">
        <f>IF(B668="",0,SUMIF('NHAP XUAT'!$G$10:$J$1011,'Ghi So'!B668,'NHAP XUAT'!$J$10:$J$1011))</f>
        <v>0</v>
      </c>
      <c r="Q668" s="146">
        <f t="shared" si="63"/>
        <v>0</v>
      </c>
      <c r="R668" s="169"/>
      <c r="S668" s="169"/>
      <c r="T668" s="146">
        <f t="shared" si="64"/>
        <v>0</v>
      </c>
      <c r="U668" s="121" t="str">
        <f t="shared" si="65"/>
        <v>Close</v>
      </c>
      <c r="V668" s="117"/>
    </row>
    <row r="669" spans="1:22" ht="15" customHeight="1">
      <c r="A669" s="117"/>
      <c r="B669" s="144" t="str">
        <f>IF(D669="","","P"&amp;D669&amp;"MA"&amp;COUNTIF($D$14:D669,D669))</f>
        <v/>
      </c>
      <c r="C669" s="162"/>
      <c r="D669" s="163"/>
      <c r="E669" s="164"/>
      <c r="F669" s="164"/>
      <c r="G669" s="164"/>
      <c r="H669" s="164"/>
      <c r="I669" s="162"/>
      <c r="J669" s="144"/>
      <c r="K669" s="144"/>
      <c r="L669" s="144"/>
      <c r="M669" s="145">
        <f t="shared" ref="M669:M732" si="66">(IF(I669&lt;&gt;"",(I669-C669)*24*60,0)+G669*60+H669-E669*60-F669)/60</f>
        <v>0</v>
      </c>
      <c r="N669" s="145">
        <f t="shared" ref="N669:N732" si="67">INT(M669)+IF(MOD(M669,2)&gt;0.25,1,0)</f>
        <v>0</v>
      </c>
      <c r="O669" s="146">
        <f t="shared" ref="O669:O732" si="68">IF(J669&lt;&gt;"",DG_nghigio+DG_themgio*(N669-1),IF(K669&lt;&gt;"",DG_quadem+DG_themgio*(N669-12),DG_ngay*L669))</f>
        <v>0</v>
      </c>
      <c r="P669" s="146">
        <f>IF(B669="",0,SUMIF('NHAP XUAT'!$G$10:$J$1011,'Ghi So'!B669,'NHAP XUAT'!$J$10:$J$1011))</f>
        <v>0</v>
      </c>
      <c r="Q669" s="146">
        <f t="shared" ref="Q669:Q732" si="69">O669+P669</f>
        <v>0</v>
      </c>
      <c r="R669" s="169"/>
      <c r="S669" s="169"/>
      <c r="T669" s="146">
        <f t="shared" ref="T669:T732" si="70">R669*S669</f>
        <v>0</v>
      </c>
      <c r="U669" s="121" t="str">
        <f t="shared" ref="U669:U732" si="71">D669&amp;IF(AND(G669="",H669="",I669=""),"Close","Open")</f>
        <v>Close</v>
      </c>
      <c r="V669" s="117"/>
    </row>
    <row r="670" spans="1:22" ht="15" customHeight="1">
      <c r="A670" s="117"/>
      <c r="B670" s="144" t="str">
        <f>IF(D670="","","P"&amp;D670&amp;"MA"&amp;COUNTIF($D$14:D670,D670))</f>
        <v/>
      </c>
      <c r="C670" s="162"/>
      <c r="D670" s="163"/>
      <c r="E670" s="164"/>
      <c r="F670" s="164"/>
      <c r="G670" s="164"/>
      <c r="H670" s="164"/>
      <c r="I670" s="162"/>
      <c r="J670" s="144"/>
      <c r="K670" s="144"/>
      <c r="L670" s="144"/>
      <c r="M670" s="145">
        <f t="shared" si="66"/>
        <v>0</v>
      </c>
      <c r="N670" s="145">
        <f t="shared" si="67"/>
        <v>0</v>
      </c>
      <c r="O670" s="146">
        <f t="shared" si="68"/>
        <v>0</v>
      </c>
      <c r="P670" s="146">
        <f>IF(B670="",0,SUMIF('NHAP XUAT'!$G$10:$J$1011,'Ghi So'!B670,'NHAP XUAT'!$J$10:$J$1011))</f>
        <v>0</v>
      </c>
      <c r="Q670" s="146">
        <f t="shared" si="69"/>
        <v>0</v>
      </c>
      <c r="R670" s="169"/>
      <c r="S670" s="169"/>
      <c r="T670" s="146">
        <f t="shared" si="70"/>
        <v>0</v>
      </c>
      <c r="U670" s="121" t="str">
        <f t="shared" si="71"/>
        <v>Close</v>
      </c>
      <c r="V670" s="117"/>
    </row>
    <row r="671" spans="1:22" ht="15" customHeight="1">
      <c r="A671" s="117"/>
      <c r="B671" s="144" t="str">
        <f>IF(D671="","","P"&amp;D671&amp;"MA"&amp;COUNTIF($D$14:D671,D671))</f>
        <v/>
      </c>
      <c r="C671" s="162"/>
      <c r="D671" s="163"/>
      <c r="E671" s="164"/>
      <c r="F671" s="164"/>
      <c r="G671" s="164"/>
      <c r="H671" s="164"/>
      <c r="I671" s="162"/>
      <c r="J671" s="144"/>
      <c r="K671" s="144"/>
      <c r="L671" s="144"/>
      <c r="M671" s="145">
        <f t="shared" si="66"/>
        <v>0</v>
      </c>
      <c r="N671" s="145">
        <f t="shared" si="67"/>
        <v>0</v>
      </c>
      <c r="O671" s="146">
        <f t="shared" si="68"/>
        <v>0</v>
      </c>
      <c r="P671" s="146">
        <f>IF(B671="",0,SUMIF('NHAP XUAT'!$G$10:$J$1011,'Ghi So'!B671,'NHAP XUAT'!$J$10:$J$1011))</f>
        <v>0</v>
      </c>
      <c r="Q671" s="146">
        <f t="shared" si="69"/>
        <v>0</v>
      </c>
      <c r="R671" s="169"/>
      <c r="S671" s="169"/>
      <c r="T671" s="146">
        <f t="shared" si="70"/>
        <v>0</v>
      </c>
      <c r="U671" s="121" t="str">
        <f t="shared" si="71"/>
        <v>Close</v>
      </c>
      <c r="V671" s="117"/>
    </row>
    <row r="672" spans="1:22" ht="15" customHeight="1">
      <c r="A672" s="117"/>
      <c r="B672" s="144" t="str">
        <f>IF(D672="","","P"&amp;D672&amp;"MA"&amp;COUNTIF($D$14:D672,D672))</f>
        <v/>
      </c>
      <c r="C672" s="162"/>
      <c r="D672" s="163"/>
      <c r="E672" s="164"/>
      <c r="F672" s="164"/>
      <c r="G672" s="164"/>
      <c r="H672" s="164"/>
      <c r="I672" s="162"/>
      <c r="J672" s="144"/>
      <c r="K672" s="144"/>
      <c r="L672" s="144"/>
      <c r="M672" s="145">
        <f t="shared" si="66"/>
        <v>0</v>
      </c>
      <c r="N672" s="145">
        <f t="shared" si="67"/>
        <v>0</v>
      </c>
      <c r="O672" s="146">
        <f t="shared" si="68"/>
        <v>0</v>
      </c>
      <c r="P672" s="146">
        <f>IF(B672="",0,SUMIF('NHAP XUAT'!$G$10:$J$1011,'Ghi So'!B672,'NHAP XUAT'!$J$10:$J$1011))</f>
        <v>0</v>
      </c>
      <c r="Q672" s="146">
        <f t="shared" si="69"/>
        <v>0</v>
      </c>
      <c r="R672" s="169"/>
      <c r="S672" s="169"/>
      <c r="T672" s="146">
        <f t="shared" si="70"/>
        <v>0</v>
      </c>
      <c r="U672" s="121" t="str">
        <f t="shared" si="71"/>
        <v>Close</v>
      </c>
      <c r="V672" s="117"/>
    </row>
    <row r="673" spans="1:22" ht="15" customHeight="1">
      <c r="A673" s="117"/>
      <c r="B673" s="144" t="str">
        <f>IF(D673="","","P"&amp;D673&amp;"MA"&amp;COUNTIF($D$14:D673,D673))</f>
        <v/>
      </c>
      <c r="C673" s="162"/>
      <c r="D673" s="163"/>
      <c r="E673" s="164"/>
      <c r="F673" s="164"/>
      <c r="G673" s="164"/>
      <c r="H673" s="164"/>
      <c r="I673" s="162"/>
      <c r="J673" s="144"/>
      <c r="K673" s="144"/>
      <c r="L673" s="144"/>
      <c r="M673" s="145">
        <f t="shared" si="66"/>
        <v>0</v>
      </c>
      <c r="N673" s="145">
        <f t="shared" si="67"/>
        <v>0</v>
      </c>
      <c r="O673" s="146">
        <f t="shared" si="68"/>
        <v>0</v>
      </c>
      <c r="P673" s="146">
        <f>IF(B673="",0,SUMIF('NHAP XUAT'!$G$10:$J$1011,'Ghi So'!B673,'NHAP XUAT'!$J$10:$J$1011))</f>
        <v>0</v>
      </c>
      <c r="Q673" s="146">
        <f t="shared" si="69"/>
        <v>0</v>
      </c>
      <c r="R673" s="169"/>
      <c r="S673" s="169"/>
      <c r="T673" s="146">
        <f t="shared" si="70"/>
        <v>0</v>
      </c>
      <c r="U673" s="121" t="str">
        <f t="shared" si="71"/>
        <v>Close</v>
      </c>
      <c r="V673" s="117"/>
    </row>
    <row r="674" spans="1:22" ht="15" customHeight="1">
      <c r="A674" s="117"/>
      <c r="B674" s="144" t="str">
        <f>IF(D674="","","P"&amp;D674&amp;"MA"&amp;COUNTIF($D$14:D674,D674))</f>
        <v/>
      </c>
      <c r="C674" s="162"/>
      <c r="D674" s="163"/>
      <c r="E674" s="164"/>
      <c r="F674" s="164"/>
      <c r="G674" s="164"/>
      <c r="H674" s="164"/>
      <c r="I674" s="162"/>
      <c r="J674" s="144"/>
      <c r="K674" s="144"/>
      <c r="L674" s="144"/>
      <c r="M674" s="145">
        <f t="shared" si="66"/>
        <v>0</v>
      </c>
      <c r="N674" s="145">
        <f t="shared" si="67"/>
        <v>0</v>
      </c>
      <c r="O674" s="146">
        <f t="shared" si="68"/>
        <v>0</v>
      </c>
      <c r="P674" s="146">
        <f>IF(B674="",0,SUMIF('NHAP XUAT'!$G$10:$J$1011,'Ghi So'!B674,'NHAP XUAT'!$J$10:$J$1011))</f>
        <v>0</v>
      </c>
      <c r="Q674" s="146">
        <f t="shared" si="69"/>
        <v>0</v>
      </c>
      <c r="R674" s="169"/>
      <c r="S674" s="169"/>
      <c r="T674" s="146">
        <f t="shared" si="70"/>
        <v>0</v>
      </c>
      <c r="U674" s="121" t="str">
        <f t="shared" si="71"/>
        <v>Close</v>
      </c>
      <c r="V674" s="117"/>
    </row>
    <row r="675" spans="1:22" ht="15" customHeight="1">
      <c r="A675" s="117"/>
      <c r="B675" s="144" t="str">
        <f>IF(D675="","","P"&amp;D675&amp;"MA"&amp;COUNTIF($D$14:D675,D675))</f>
        <v/>
      </c>
      <c r="C675" s="162"/>
      <c r="D675" s="163"/>
      <c r="E675" s="164"/>
      <c r="F675" s="164"/>
      <c r="G675" s="164"/>
      <c r="H675" s="164"/>
      <c r="I675" s="162"/>
      <c r="J675" s="144"/>
      <c r="K675" s="144"/>
      <c r="L675" s="144"/>
      <c r="M675" s="145">
        <f t="shared" si="66"/>
        <v>0</v>
      </c>
      <c r="N675" s="145">
        <f t="shared" si="67"/>
        <v>0</v>
      </c>
      <c r="O675" s="146">
        <f t="shared" si="68"/>
        <v>0</v>
      </c>
      <c r="P675" s="146">
        <f>IF(B675="",0,SUMIF('NHAP XUAT'!$G$10:$J$1011,'Ghi So'!B675,'NHAP XUAT'!$J$10:$J$1011))</f>
        <v>0</v>
      </c>
      <c r="Q675" s="146">
        <f t="shared" si="69"/>
        <v>0</v>
      </c>
      <c r="R675" s="169"/>
      <c r="S675" s="169"/>
      <c r="T675" s="146">
        <f t="shared" si="70"/>
        <v>0</v>
      </c>
      <c r="U675" s="121" t="str">
        <f t="shared" si="71"/>
        <v>Close</v>
      </c>
      <c r="V675" s="117"/>
    </row>
    <row r="676" spans="1:22" ht="15" customHeight="1">
      <c r="A676" s="117"/>
      <c r="B676" s="144" t="str">
        <f>IF(D676="","","P"&amp;D676&amp;"MA"&amp;COUNTIF($D$14:D676,D676))</f>
        <v/>
      </c>
      <c r="C676" s="162"/>
      <c r="D676" s="163"/>
      <c r="E676" s="164"/>
      <c r="F676" s="164"/>
      <c r="G676" s="164"/>
      <c r="H676" s="164"/>
      <c r="I676" s="162"/>
      <c r="J676" s="144"/>
      <c r="K676" s="144"/>
      <c r="L676" s="144"/>
      <c r="M676" s="145">
        <f t="shared" si="66"/>
        <v>0</v>
      </c>
      <c r="N676" s="145">
        <f t="shared" si="67"/>
        <v>0</v>
      </c>
      <c r="O676" s="146">
        <f t="shared" si="68"/>
        <v>0</v>
      </c>
      <c r="P676" s="146">
        <f>IF(B676="",0,SUMIF('NHAP XUAT'!$G$10:$J$1011,'Ghi So'!B676,'NHAP XUAT'!$J$10:$J$1011))</f>
        <v>0</v>
      </c>
      <c r="Q676" s="146">
        <f t="shared" si="69"/>
        <v>0</v>
      </c>
      <c r="R676" s="169"/>
      <c r="S676" s="169"/>
      <c r="T676" s="146">
        <f t="shared" si="70"/>
        <v>0</v>
      </c>
      <c r="U676" s="121" t="str">
        <f t="shared" si="71"/>
        <v>Close</v>
      </c>
      <c r="V676" s="117"/>
    </row>
    <row r="677" spans="1:22" ht="15" customHeight="1">
      <c r="A677" s="117"/>
      <c r="B677" s="144" t="str">
        <f>IF(D677="","","P"&amp;D677&amp;"MA"&amp;COUNTIF($D$14:D677,D677))</f>
        <v/>
      </c>
      <c r="C677" s="162"/>
      <c r="D677" s="163"/>
      <c r="E677" s="164"/>
      <c r="F677" s="164"/>
      <c r="G677" s="164"/>
      <c r="H677" s="164"/>
      <c r="I677" s="162"/>
      <c r="J677" s="144"/>
      <c r="K677" s="144"/>
      <c r="L677" s="144"/>
      <c r="M677" s="145">
        <f t="shared" si="66"/>
        <v>0</v>
      </c>
      <c r="N677" s="145">
        <f t="shared" si="67"/>
        <v>0</v>
      </c>
      <c r="O677" s="146">
        <f t="shared" si="68"/>
        <v>0</v>
      </c>
      <c r="P677" s="146">
        <f>IF(B677="",0,SUMIF('NHAP XUAT'!$G$10:$J$1011,'Ghi So'!B677,'NHAP XUAT'!$J$10:$J$1011))</f>
        <v>0</v>
      </c>
      <c r="Q677" s="146">
        <f t="shared" si="69"/>
        <v>0</v>
      </c>
      <c r="R677" s="169"/>
      <c r="S677" s="169"/>
      <c r="T677" s="146">
        <f t="shared" si="70"/>
        <v>0</v>
      </c>
      <c r="U677" s="121" t="str">
        <f t="shared" si="71"/>
        <v>Close</v>
      </c>
      <c r="V677" s="117"/>
    </row>
    <row r="678" spans="1:22" ht="15" customHeight="1">
      <c r="A678" s="117"/>
      <c r="B678" s="144" t="str">
        <f>IF(D678="","","P"&amp;D678&amp;"MA"&amp;COUNTIF($D$14:D678,D678))</f>
        <v/>
      </c>
      <c r="C678" s="162"/>
      <c r="D678" s="163"/>
      <c r="E678" s="164"/>
      <c r="F678" s="164"/>
      <c r="G678" s="164"/>
      <c r="H678" s="164"/>
      <c r="I678" s="162"/>
      <c r="J678" s="144"/>
      <c r="K678" s="144"/>
      <c r="L678" s="144"/>
      <c r="M678" s="145">
        <f t="shared" si="66"/>
        <v>0</v>
      </c>
      <c r="N678" s="145">
        <f t="shared" si="67"/>
        <v>0</v>
      </c>
      <c r="O678" s="146">
        <f t="shared" si="68"/>
        <v>0</v>
      </c>
      <c r="P678" s="146">
        <f>IF(B678="",0,SUMIF('NHAP XUAT'!$G$10:$J$1011,'Ghi So'!B678,'NHAP XUAT'!$J$10:$J$1011))</f>
        <v>0</v>
      </c>
      <c r="Q678" s="146">
        <f t="shared" si="69"/>
        <v>0</v>
      </c>
      <c r="R678" s="169"/>
      <c r="S678" s="169"/>
      <c r="T678" s="146">
        <f t="shared" si="70"/>
        <v>0</v>
      </c>
      <c r="U678" s="121" t="str">
        <f t="shared" si="71"/>
        <v>Close</v>
      </c>
      <c r="V678" s="117"/>
    </row>
    <row r="679" spans="1:22" ht="15" customHeight="1">
      <c r="A679" s="117"/>
      <c r="B679" s="144" t="str">
        <f>IF(D679="","","P"&amp;D679&amp;"MA"&amp;COUNTIF($D$14:D679,D679))</f>
        <v/>
      </c>
      <c r="C679" s="162"/>
      <c r="D679" s="163"/>
      <c r="E679" s="164"/>
      <c r="F679" s="164"/>
      <c r="G679" s="164"/>
      <c r="H679" s="164"/>
      <c r="I679" s="162"/>
      <c r="J679" s="144"/>
      <c r="K679" s="144"/>
      <c r="L679" s="144"/>
      <c r="M679" s="145">
        <f t="shared" si="66"/>
        <v>0</v>
      </c>
      <c r="N679" s="145">
        <f t="shared" si="67"/>
        <v>0</v>
      </c>
      <c r="O679" s="146">
        <f t="shared" si="68"/>
        <v>0</v>
      </c>
      <c r="P679" s="146">
        <f>IF(B679="",0,SUMIF('NHAP XUAT'!$G$10:$J$1011,'Ghi So'!B679,'NHAP XUAT'!$J$10:$J$1011))</f>
        <v>0</v>
      </c>
      <c r="Q679" s="146">
        <f t="shared" si="69"/>
        <v>0</v>
      </c>
      <c r="R679" s="169"/>
      <c r="S679" s="169"/>
      <c r="T679" s="146">
        <f t="shared" si="70"/>
        <v>0</v>
      </c>
      <c r="U679" s="121" t="str">
        <f t="shared" si="71"/>
        <v>Close</v>
      </c>
      <c r="V679" s="117"/>
    </row>
    <row r="680" spans="1:22" ht="15" customHeight="1">
      <c r="A680" s="117"/>
      <c r="B680" s="144" t="str">
        <f>IF(D680="","","P"&amp;D680&amp;"MA"&amp;COUNTIF($D$14:D680,D680))</f>
        <v/>
      </c>
      <c r="C680" s="162"/>
      <c r="D680" s="163"/>
      <c r="E680" s="164"/>
      <c r="F680" s="164"/>
      <c r="G680" s="164"/>
      <c r="H680" s="164"/>
      <c r="I680" s="162"/>
      <c r="J680" s="144"/>
      <c r="K680" s="144"/>
      <c r="L680" s="144"/>
      <c r="M680" s="145">
        <f t="shared" si="66"/>
        <v>0</v>
      </c>
      <c r="N680" s="145">
        <f t="shared" si="67"/>
        <v>0</v>
      </c>
      <c r="O680" s="146">
        <f t="shared" si="68"/>
        <v>0</v>
      </c>
      <c r="P680" s="146">
        <f>IF(B680="",0,SUMIF('NHAP XUAT'!$G$10:$J$1011,'Ghi So'!B680,'NHAP XUAT'!$J$10:$J$1011))</f>
        <v>0</v>
      </c>
      <c r="Q680" s="146">
        <f t="shared" si="69"/>
        <v>0</v>
      </c>
      <c r="R680" s="169"/>
      <c r="S680" s="169"/>
      <c r="T680" s="146">
        <f t="shared" si="70"/>
        <v>0</v>
      </c>
      <c r="U680" s="121" t="str">
        <f t="shared" si="71"/>
        <v>Close</v>
      </c>
      <c r="V680" s="117"/>
    </row>
    <row r="681" spans="1:22" ht="15" customHeight="1">
      <c r="A681" s="117"/>
      <c r="B681" s="144" t="str">
        <f>IF(D681="","","P"&amp;D681&amp;"MA"&amp;COUNTIF($D$14:D681,D681))</f>
        <v/>
      </c>
      <c r="C681" s="162"/>
      <c r="D681" s="163"/>
      <c r="E681" s="164"/>
      <c r="F681" s="164"/>
      <c r="G681" s="164"/>
      <c r="H681" s="164"/>
      <c r="I681" s="162"/>
      <c r="J681" s="144"/>
      <c r="K681" s="144"/>
      <c r="L681" s="144"/>
      <c r="M681" s="145">
        <f t="shared" si="66"/>
        <v>0</v>
      </c>
      <c r="N681" s="145">
        <f t="shared" si="67"/>
        <v>0</v>
      </c>
      <c r="O681" s="146">
        <f t="shared" si="68"/>
        <v>0</v>
      </c>
      <c r="P681" s="146">
        <f>IF(B681="",0,SUMIF('NHAP XUAT'!$G$10:$J$1011,'Ghi So'!B681,'NHAP XUAT'!$J$10:$J$1011))</f>
        <v>0</v>
      </c>
      <c r="Q681" s="146">
        <f t="shared" si="69"/>
        <v>0</v>
      </c>
      <c r="R681" s="169"/>
      <c r="S681" s="169"/>
      <c r="T681" s="146">
        <f t="shared" si="70"/>
        <v>0</v>
      </c>
      <c r="U681" s="121" t="str">
        <f t="shared" si="71"/>
        <v>Close</v>
      </c>
      <c r="V681" s="117"/>
    </row>
    <row r="682" spans="1:22" ht="15" customHeight="1">
      <c r="A682" s="117"/>
      <c r="B682" s="144" t="str">
        <f>IF(D682="","","P"&amp;D682&amp;"MA"&amp;COUNTIF($D$14:D682,D682))</f>
        <v/>
      </c>
      <c r="C682" s="162"/>
      <c r="D682" s="163"/>
      <c r="E682" s="164"/>
      <c r="F682" s="164"/>
      <c r="G682" s="164"/>
      <c r="H682" s="164"/>
      <c r="I682" s="162"/>
      <c r="J682" s="144"/>
      <c r="K682" s="144"/>
      <c r="L682" s="144"/>
      <c r="M682" s="145">
        <f t="shared" si="66"/>
        <v>0</v>
      </c>
      <c r="N682" s="145">
        <f t="shared" si="67"/>
        <v>0</v>
      </c>
      <c r="O682" s="146">
        <f t="shared" si="68"/>
        <v>0</v>
      </c>
      <c r="P682" s="146">
        <f>IF(B682="",0,SUMIF('NHAP XUAT'!$G$10:$J$1011,'Ghi So'!B682,'NHAP XUAT'!$J$10:$J$1011))</f>
        <v>0</v>
      </c>
      <c r="Q682" s="146">
        <f t="shared" si="69"/>
        <v>0</v>
      </c>
      <c r="R682" s="169"/>
      <c r="S682" s="169"/>
      <c r="T682" s="146">
        <f t="shared" si="70"/>
        <v>0</v>
      </c>
      <c r="U682" s="121" t="str">
        <f t="shared" si="71"/>
        <v>Close</v>
      </c>
      <c r="V682" s="117"/>
    </row>
    <row r="683" spans="1:22" ht="15" customHeight="1">
      <c r="A683" s="117"/>
      <c r="B683" s="144" t="str">
        <f>IF(D683="","","P"&amp;D683&amp;"MA"&amp;COUNTIF($D$14:D683,D683))</f>
        <v/>
      </c>
      <c r="C683" s="162"/>
      <c r="D683" s="163"/>
      <c r="E683" s="164"/>
      <c r="F683" s="164"/>
      <c r="G683" s="164"/>
      <c r="H683" s="164"/>
      <c r="I683" s="162"/>
      <c r="J683" s="144"/>
      <c r="K683" s="144"/>
      <c r="L683" s="144"/>
      <c r="M683" s="145">
        <f t="shared" si="66"/>
        <v>0</v>
      </c>
      <c r="N683" s="145">
        <f t="shared" si="67"/>
        <v>0</v>
      </c>
      <c r="O683" s="146">
        <f t="shared" si="68"/>
        <v>0</v>
      </c>
      <c r="P683" s="146">
        <f>IF(B683="",0,SUMIF('NHAP XUAT'!$G$10:$J$1011,'Ghi So'!B683,'NHAP XUAT'!$J$10:$J$1011))</f>
        <v>0</v>
      </c>
      <c r="Q683" s="146">
        <f t="shared" si="69"/>
        <v>0</v>
      </c>
      <c r="R683" s="169"/>
      <c r="S683" s="169"/>
      <c r="T683" s="146">
        <f t="shared" si="70"/>
        <v>0</v>
      </c>
      <c r="U683" s="121" t="str">
        <f t="shared" si="71"/>
        <v>Close</v>
      </c>
      <c r="V683" s="117"/>
    </row>
    <row r="684" spans="1:22" ht="15" customHeight="1">
      <c r="A684" s="117"/>
      <c r="B684" s="144" t="str">
        <f>IF(D684="","","P"&amp;D684&amp;"MA"&amp;COUNTIF($D$14:D684,D684))</f>
        <v/>
      </c>
      <c r="C684" s="162"/>
      <c r="D684" s="163"/>
      <c r="E684" s="164"/>
      <c r="F684" s="164"/>
      <c r="G684" s="164"/>
      <c r="H684" s="164"/>
      <c r="I684" s="162"/>
      <c r="J684" s="144"/>
      <c r="K684" s="144"/>
      <c r="L684" s="144"/>
      <c r="M684" s="145">
        <f t="shared" si="66"/>
        <v>0</v>
      </c>
      <c r="N684" s="145">
        <f t="shared" si="67"/>
        <v>0</v>
      </c>
      <c r="O684" s="146">
        <f t="shared" si="68"/>
        <v>0</v>
      </c>
      <c r="P684" s="146">
        <f>IF(B684="",0,SUMIF('NHAP XUAT'!$G$10:$J$1011,'Ghi So'!B684,'NHAP XUAT'!$J$10:$J$1011))</f>
        <v>0</v>
      </c>
      <c r="Q684" s="146">
        <f t="shared" si="69"/>
        <v>0</v>
      </c>
      <c r="R684" s="169"/>
      <c r="S684" s="169"/>
      <c r="T684" s="146">
        <f t="shared" si="70"/>
        <v>0</v>
      </c>
      <c r="U684" s="121" t="str">
        <f t="shared" si="71"/>
        <v>Close</v>
      </c>
      <c r="V684" s="117"/>
    </row>
    <row r="685" spans="1:22" ht="15" customHeight="1">
      <c r="A685" s="117"/>
      <c r="B685" s="144" t="str">
        <f>IF(D685="","","P"&amp;D685&amp;"MA"&amp;COUNTIF($D$14:D685,D685))</f>
        <v/>
      </c>
      <c r="C685" s="162"/>
      <c r="D685" s="163"/>
      <c r="E685" s="164"/>
      <c r="F685" s="164"/>
      <c r="G685" s="164"/>
      <c r="H685" s="164"/>
      <c r="I685" s="162"/>
      <c r="J685" s="144"/>
      <c r="K685" s="144"/>
      <c r="L685" s="144"/>
      <c r="M685" s="145">
        <f t="shared" si="66"/>
        <v>0</v>
      </c>
      <c r="N685" s="145">
        <f t="shared" si="67"/>
        <v>0</v>
      </c>
      <c r="O685" s="146">
        <f t="shared" si="68"/>
        <v>0</v>
      </c>
      <c r="P685" s="146">
        <f>IF(B685="",0,SUMIF('NHAP XUAT'!$G$10:$J$1011,'Ghi So'!B685,'NHAP XUAT'!$J$10:$J$1011))</f>
        <v>0</v>
      </c>
      <c r="Q685" s="146">
        <f t="shared" si="69"/>
        <v>0</v>
      </c>
      <c r="R685" s="169"/>
      <c r="S685" s="169"/>
      <c r="T685" s="146">
        <f t="shared" si="70"/>
        <v>0</v>
      </c>
      <c r="U685" s="121" t="str">
        <f t="shared" si="71"/>
        <v>Close</v>
      </c>
      <c r="V685" s="117"/>
    </row>
    <row r="686" spans="1:22" ht="15" customHeight="1">
      <c r="A686" s="117"/>
      <c r="B686" s="144" t="str">
        <f>IF(D686="","","P"&amp;D686&amp;"MA"&amp;COUNTIF($D$14:D686,D686))</f>
        <v/>
      </c>
      <c r="C686" s="162"/>
      <c r="D686" s="163"/>
      <c r="E686" s="164"/>
      <c r="F686" s="164"/>
      <c r="G686" s="164"/>
      <c r="H686" s="164"/>
      <c r="I686" s="162"/>
      <c r="J686" s="144"/>
      <c r="K686" s="144"/>
      <c r="L686" s="144"/>
      <c r="M686" s="145">
        <f t="shared" si="66"/>
        <v>0</v>
      </c>
      <c r="N686" s="145">
        <f t="shared" si="67"/>
        <v>0</v>
      </c>
      <c r="O686" s="146">
        <f t="shared" si="68"/>
        <v>0</v>
      </c>
      <c r="P686" s="146">
        <f>IF(B686="",0,SUMIF('NHAP XUAT'!$G$10:$J$1011,'Ghi So'!B686,'NHAP XUAT'!$J$10:$J$1011))</f>
        <v>0</v>
      </c>
      <c r="Q686" s="146">
        <f t="shared" si="69"/>
        <v>0</v>
      </c>
      <c r="R686" s="169"/>
      <c r="S686" s="169"/>
      <c r="T686" s="146">
        <f t="shared" si="70"/>
        <v>0</v>
      </c>
      <c r="U686" s="121" t="str">
        <f t="shared" si="71"/>
        <v>Close</v>
      </c>
      <c r="V686" s="117"/>
    </row>
    <row r="687" spans="1:22" ht="15" customHeight="1">
      <c r="A687" s="117"/>
      <c r="B687" s="144" t="str">
        <f>IF(D687="","","P"&amp;D687&amp;"MA"&amp;COUNTIF($D$14:D687,D687))</f>
        <v/>
      </c>
      <c r="C687" s="162"/>
      <c r="D687" s="163"/>
      <c r="E687" s="164"/>
      <c r="F687" s="164"/>
      <c r="G687" s="164"/>
      <c r="H687" s="164"/>
      <c r="I687" s="162"/>
      <c r="J687" s="144"/>
      <c r="K687" s="144"/>
      <c r="L687" s="144"/>
      <c r="M687" s="145">
        <f t="shared" si="66"/>
        <v>0</v>
      </c>
      <c r="N687" s="145">
        <f t="shared" si="67"/>
        <v>0</v>
      </c>
      <c r="O687" s="146">
        <f t="shared" si="68"/>
        <v>0</v>
      </c>
      <c r="P687" s="146">
        <f>IF(B687="",0,SUMIF('NHAP XUAT'!$G$10:$J$1011,'Ghi So'!B687,'NHAP XUAT'!$J$10:$J$1011))</f>
        <v>0</v>
      </c>
      <c r="Q687" s="146">
        <f t="shared" si="69"/>
        <v>0</v>
      </c>
      <c r="R687" s="169"/>
      <c r="S687" s="169"/>
      <c r="T687" s="146">
        <f t="shared" si="70"/>
        <v>0</v>
      </c>
      <c r="U687" s="121" t="str">
        <f t="shared" si="71"/>
        <v>Close</v>
      </c>
      <c r="V687" s="117"/>
    </row>
    <row r="688" spans="1:22" ht="15" customHeight="1">
      <c r="A688" s="117"/>
      <c r="B688" s="144" t="str">
        <f>IF(D688="","","P"&amp;D688&amp;"MA"&amp;COUNTIF($D$14:D688,D688))</f>
        <v/>
      </c>
      <c r="C688" s="162"/>
      <c r="D688" s="163"/>
      <c r="E688" s="164"/>
      <c r="F688" s="164"/>
      <c r="G688" s="164"/>
      <c r="H688" s="164"/>
      <c r="I688" s="162"/>
      <c r="J688" s="144"/>
      <c r="K688" s="144"/>
      <c r="L688" s="144"/>
      <c r="M688" s="145">
        <f t="shared" si="66"/>
        <v>0</v>
      </c>
      <c r="N688" s="145">
        <f t="shared" si="67"/>
        <v>0</v>
      </c>
      <c r="O688" s="146">
        <f t="shared" si="68"/>
        <v>0</v>
      </c>
      <c r="P688" s="146">
        <f>IF(B688="",0,SUMIF('NHAP XUAT'!$G$10:$J$1011,'Ghi So'!B688,'NHAP XUAT'!$J$10:$J$1011))</f>
        <v>0</v>
      </c>
      <c r="Q688" s="146">
        <f t="shared" si="69"/>
        <v>0</v>
      </c>
      <c r="R688" s="169"/>
      <c r="S688" s="169"/>
      <c r="T688" s="146">
        <f t="shared" si="70"/>
        <v>0</v>
      </c>
      <c r="U688" s="121" t="str">
        <f t="shared" si="71"/>
        <v>Close</v>
      </c>
      <c r="V688" s="117"/>
    </row>
    <row r="689" spans="1:22" ht="15" customHeight="1">
      <c r="A689" s="117"/>
      <c r="B689" s="144" t="str">
        <f>IF(D689="","","P"&amp;D689&amp;"MA"&amp;COUNTIF($D$14:D689,D689))</f>
        <v/>
      </c>
      <c r="C689" s="162"/>
      <c r="D689" s="163"/>
      <c r="E689" s="164"/>
      <c r="F689" s="164"/>
      <c r="G689" s="164"/>
      <c r="H689" s="164"/>
      <c r="I689" s="162"/>
      <c r="J689" s="144"/>
      <c r="K689" s="144"/>
      <c r="L689" s="144"/>
      <c r="M689" s="145">
        <f t="shared" si="66"/>
        <v>0</v>
      </c>
      <c r="N689" s="145">
        <f t="shared" si="67"/>
        <v>0</v>
      </c>
      <c r="O689" s="146">
        <f t="shared" si="68"/>
        <v>0</v>
      </c>
      <c r="P689" s="146">
        <f>IF(B689="",0,SUMIF('NHAP XUAT'!$G$10:$J$1011,'Ghi So'!B689,'NHAP XUAT'!$J$10:$J$1011))</f>
        <v>0</v>
      </c>
      <c r="Q689" s="146">
        <f t="shared" si="69"/>
        <v>0</v>
      </c>
      <c r="R689" s="169"/>
      <c r="S689" s="169"/>
      <c r="T689" s="146">
        <f t="shared" si="70"/>
        <v>0</v>
      </c>
      <c r="U689" s="121" t="str">
        <f t="shared" si="71"/>
        <v>Close</v>
      </c>
      <c r="V689" s="117"/>
    </row>
    <row r="690" spans="1:22" ht="15" customHeight="1">
      <c r="A690" s="117"/>
      <c r="B690" s="144" t="str">
        <f>IF(D690="","","P"&amp;D690&amp;"MA"&amp;COUNTIF($D$14:D690,D690))</f>
        <v/>
      </c>
      <c r="C690" s="162"/>
      <c r="D690" s="163"/>
      <c r="E690" s="164"/>
      <c r="F690" s="164"/>
      <c r="G690" s="164"/>
      <c r="H690" s="164"/>
      <c r="I690" s="162"/>
      <c r="J690" s="144"/>
      <c r="K690" s="144"/>
      <c r="L690" s="144"/>
      <c r="M690" s="145">
        <f t="shared" si="66"/>
        <v>0</v>
      </c>
      <c r="N690" s="145">
        <f t="shared" si="67"/>
        <v>0</v>
      </c>
      <c r="O690" s="146">
        <f t="shared" si="68"/>
        <v>0</v>
      </c>
      <c r="P690" s="146">
        <f>IF(B690="",0,SUMIF('NHAP XUAT'!$G$10:$J$1011,'Ghi So'!B690,'NHAP XUAT'!$J$10:$J$1011))</f>
        <v>0</v>
      </c>
      <c r="Q690" s="146">
        <f t="shared" si="69"/>
        <v>0</v>
      </c>
      <c r="R690" s="169"/>
      <c r="S690" s="169"/>
      <c r="T690" s="146">
        <f t="shared" si="70"/>
        <v>0</v>
      </c>
      <c r="U690" s="121" t="str">
        <f t="shared" si="71"/>
        <v>Close</v>
      </c>
      <c r="V690" s="117"/>
    </row>
    <row r="691" spans="1:22" ht="15" customHeight="1">
      <c r="A691" s="117"/>
      <c r="B691" s="144" t="str">
        <f>IF(D691="","","P"&amp;D691&amp;"MA"&amp;COUNTIF($D$14:D691,D691))</f>
        <v/>
      </c>
      <c r="C691" s="162"/>
      <c r="D691" s="163"/>
      <c r="E691" s="164"/>
      <c r="F691" s="164"/>
      <c r="G691" s="164"/>
      <c r="H691" s="164"/>
      <c r="I691" s="162"/>
      <c r="J691" s="144"/>
      <c r="K691" s="144"/>
      <c r="L691" s="144"/>
      <c r="M691" s="145">
        <f t="shared" si="66"/>
        <v>0</v>
      </c>
      <c r="N691" s="145">
        <f t="shared" si="67"/>
        <v>0</v>
      </c>
      <c r="O691" s="146">
        <f t="shared" si="68"/>
        <v>0</v>
      </c>
      <c r="P691" s="146">
        <f>IF(B691="",0,SUMIF('NHAP XUAT'!$G$10:$J$1011,'Ghi So'!B691,'NHAP XUAT'!$J$10:$J$1011))</f>
        <v>0</v>
      </c>
      <c r="Q691" s="146">
        <f t="shared" si="69"/>
        <v>0</v>
      </c>
      <c r="R691" s="169"/>
      <c r="S691" s="169"/>
      <c r="T691" s="146">
        <f t="shared" si="70"/>
        <v>0</v>
      </c>
      <c r="U691" s="121" t="str">
        <f t="shared" si="71"/>
        <v>Close</v>
      </c>
      <c r="V691" s="117"/>
    </row>
    <row r="692" spans="1:22" ht="15" customHeight="1">
      <c r="A692" s="117"/>
      <c r="B692" s="144" t="str">
        <f>IF(D692="","","P"&amp;D692&amp;"MA"&amp;COUNTIF($D$14:D692,D692))</f>
        <v/>
      </c>
      <c r="C692" s="162"/>
      <c r="D692" s="163"/>
      <c r="E692" s="164"/>
      <c r="F692" s="164"/>
      <c r="G692" s="164"/>
      <c r="H692" s="164"/>
      <c r="I692" s="162"/>
      <c r="J692" s="144"/>
      <c r="K692" s="144"/>
      <c r="L692" s="144"/>
      <c r="M692" s="145">
        <f t="shared" si="66"/>
        <v>0</v>
      </c>
      <c r="N692" s="145">
        <f t="shared" si="67"/>
        <v>0</v>
      </c>
      <c r="O692" s="146">
        <f t="shared" si="68"/>
        <v>0</v>
      </c>
      <c r="P692" s="146">
        <f>IF(B692="",0,SUMIF('NHAP XUAT'!$G$10:$J$1011,'Ghi So'!B692,'NHAP XUAT'!$J$10:$J$1011))</f>
        <v>0</v>
      </c>
      <c r="Q692" s="146">
        <f t="shared" si="69"/>
        <v>0</v>
      </c>
      <c r="R692" s="169"/>
      <c r="S692" s="169"/>
      <c r="T692" s="146">
        <f t="shared" si="70"/>
        <v>0</v>
      </c>
      <c r="U692" s="121" t="str">
        <f t="shared" si="71"/>
        <v>Close</v>
      </c>
      <c r="V692" s="117"/>
    </row>
    <row r="693" spans="1:22" ht="15" customHeight="1">
      <c r="A693" s="117"/>
      <c r="B693" s="144" t="str">
        <f>IF(D693="","","P"&amp;D693&amp;"MA"&amp;COUNTIF($D$14:D693,D693))</f>
        <v/>
      </c>
      <c r="C693" s="162"/>
      <c r="D693" s="163"/>
      <c r="E693" s="164"/>
      <c r="F693" s="164"/>
      <c r="G693" s="164"/>
      <c r="H693" s="164"/>
      <c r="I693" s="162"/>
      <c r="J693" s="144"/>
      <c r="K693" s="144"/>
      <c r="L693" s="144"/>
      <c r="M693" s="145">
        <f t="shared" si="66"/>
        <v>0</v>
      </c>
      <c r="N693" s="145">
        <f t="shared" si="67"/>
        <v>0</v>
      </c>
      <c r="O693" s="146">
        <f t="shared" si="68"/>
        <v>0</v>
      </c>
      <c r="P693" s="146">
        <f>IF(B693="",0,SUMIF('NHAP XUAT'!$G$10:$J$1011,'Ghi So'!B693,'NHAP XUAT'!$J$10:$J$1011))</f>
        <v>0</v>
      </c>
      <c r="Q693" s="146">
        <f t="shared" si="69"/>
        <v>0</v>
      </c>
      <c r="R693" s="169"/>
      <c r="S693" s="169"/>
      <c r="T693" s="146">
        <f t="shared" si="70"/>
        <v>0</v>
      </c>
      <c r="U693" s="121" t="str">
        <f t="shared" si="71"/>
        <v>Close</v>
      </c>
      <c r="V693" s="117"/>
    </row>
    <row r="694" spans="1:22" ht="15" customHeight="1">
      <c r="A694" s="117"/>
      <c r="B694" s="144" t="str">
        <f>IF(D694="","","P"&amp;D694&amp;"MA"&amp;COUNTIF($D$14:D694,D694))</f>
        <v/>
      </c>
      <c r="C694" s="162"/>
      <c r="D694" s="163"/>
      <c r="E694" s="164"/>
      <c r="F694" s="164"/>
      <c r="G694" s="164"/>
      <c r="H694" s="164"/>
      <c r="I694" s="162"/>
      <c r="J694" s="144"/>
      <c r="K694" s="144"/>
      <c r="L694" s="144"/>
      <c r="M694" s="145">
        <f t="shared" si="66"/>
        <v>0</v>
      </c>
      <c r="N694" s="145">
        <f t="shared" si="67"/>
        <v>0</v>
      </c>
      <c r="O694" s="146">
        <f t="shared" si="68"/>
        <v>0</v>
      </c>
      <c r="P694" s="146">
        <f>IF(B694="",0,SUMIF('NHAP XUAT'!$G$10:$J$1011,'Ghi So'!B694,'NHAP XUAT'!$J$10:$J$1011))</f>
        <v>0</v>
      </c>
      <c r="Q694" s="146">
        <f t="shared" si="69"/>
        <v>0</v>
      </c>
      <c r="R694" s="169"/>
      <c r="S694" s="169"/>
      <c r="T694" s="146">
        <f t="shared" si="70"/>
        <v>0</v>
      </c>
      <c r="U694" s="121" t="str">
        <f t="shared" si="71"/>
        <v>Close</v>
      </c>
      <c r="V694" s="117"/>
    </row>
    <row r="695" spans="1:22" ht="15" customHeight="1">
      <c r="A695" s="117"/>
      <c r="B695" s="144" t="str">
        <f>IF(D695="","","P"&amp;D695&amp;"MA"&amp;COUNTIF($D$14:D695,D695))</f>
        <v/>
      </c>
      <c r="C695" s="162"/>
      <c r="D695" s="163"/>
      <c r="E695" s="164"/>
      <c r="F695" s="164"/>
      <c r="G695" s="164"/>
      <c r="H695" s="164"/>
      <c r="I695" s="162"/>
      <c r="J695" s="144"/>
      <c r="K695" s="144"/>
      <c r="L695" s="144"/>
      <c r="M695" s="145">
        <f t="shared" si="66"/>
        <v>0</v>
      </c>
      <c r="N695" s="145">
        <f t="shared" si="67"/>
        <v>0</v>
      </c>
      <c r="O695" s="146">
        <f t="shared" si="68"/>
        <v>0</v>
      </c>
      <c r="P695" s="146">
        <f>IF(B695="",0,SUMIF('NHAP XUAT'!$G$10:$J$1011,'Ghi So'!B695,'NHAP XUAT'!$J$10:$J$1011))</f>
        <v>0</v>
      </c>
      <c r="Q695" s="146">
        <f t="shared" si="69"/>
        <v>0</v>
      </c>
      <c r="R695" s="169"/>
      <c r="S695" s="169"/>
      <c r="T695" s="146">
        <f t="shared" si="70"/>
        <v>0</v>
      </c>
      <c r="U695" s="121" t="str">
        <f t="shared" si="71"/>
        <v>Close</v>
      </c>
      <c r="V695" s="117"/>
    </row>
    <row r="696" spans="1:22" ht="15" customHeight="1">
      <c r="A696" s="117"/>
      <c r="B696" s="144" t="str">
        <f>IF(D696="","","P"&amp;D696&amp;"MA"&amp;COUNTIF($D$14:D696,D696))</f>
        <v/>
      </c>
      <c r="C696" s="162"/>
      <c r="D696" s="163"/>
      <c r="E696" s="164"/>
      <c r="F696" s="164"/>
      <c r="G696" s="164"/>
      <c r="H696" s="164"/>
      <c r="I696" s="162"/>
      <c r="J696" s="144"/>
      <c r="K696" s="144"/>
      <c r="L696" s="144"/>
      <c r="M696" s="145">
        <f t="shared" si="66"/>
        <v>0</v>
      </c>
      <c r="N696" s="145">
        <f t="shared" si="67"/>
        <v>0</v>
      </c>
      <c r="O696" s="146">
        <f t="shared" si="68"/>
        <v>0</v>
      </c>
      <c r="P696" s="146">
        <f>IF(B696="",0,SUMIF('NHAP XUAT'!$G$10:$J$1011,'Ghi So'!B696,'NHAP XUAT'!$J$10:$J$1011))</f>
        <v>0</v>
      </c>
      <c r="Q696" s="146">
        <f t="shared" si="69"/>
        <v>0</v>
      </c>
      <c r="R696" s="169"/>
      <c r="S696" s="169"/>
      <c r="T696" s="146">
        <f t="shared" si="70"/>
        <v>0</v>
      </c>
      <c r="U696" s="121" t="str">
        <f t="shared" si="71"/>
        <v>Close</v>
      </c>
      <c r="V696" s="117"/>
    </row>
    <row r="697" spans="1:22" ht="15" customHeight="1">
      <c r="A697" s="117"/>
      <c r="B697" s="144" t="str">
        <f>IF(D697="","","P"&amp;D697&amp;"MA"&amp;COUNTIF($D$14:D697,D697))</f>
        <v/>
      </c>
      <c r="C697" s="162"/>
      <c r="D697" s="163"/>
      <c r="E697" s="164"/>
      <c r="F697" s="164"/>
      <c r="G697" s="164"/>
      <c r="H697" s="164"/>
      <c r="I697" s="162"/>
      <c r="J697" s="144"/>
      <c r="K697" s="144"/>
      <c r="L697" s="144"/>
      <c r="M697" s="145">
        <f t="shared" si="66"/>
        <v>0</v>
      </c>
      <c r="N697" s="145">
        <f t="shared" si="67"/>
        <v>0</v>
      </c>
      <c r="O697" s="146">
        <f t="shared" si="68"/>
        <v>0</v>
      </c>
      <c r="P697" s="146">
        <f>IF(B697="",0,SUMIF('NHAP XUAT'!$G$10:$J$1011,'Ghi So'!B697,'NHAP XUAT'!$J$10:$J$1011))</f>
        <v>0</v>
      </c>
      <c r="Q697" s="146">
        <f t="shared" si="69"/>
        <v>0</v>
      </c>
      <c r="R697" s="169"/>
      <c r="S697" s="169"/>
      <c r="T697" s="146">
        <f t="shared" si="70"/>
        <v>0</v>
      </c>
      <c r="U697" s="121" t="str">
        <f t="shared" si="71"/>
        <v>Close</v>
      </c>
      <c r="V697" s="117"/>
    </row>
    <row r="698" spans="1:22" ht="15" customHeight="1">
      <c r="A698" s="117"/>
      <c r="B698" s="144" t="str">
        <f>IF(D698="","","P"&amp;D698&amp;"MA"&amp;COUNTIF($D$14:D698,D698))</f>
        <v/>
      </c>
      <c r="C698" s="162"/>
      <c r="D698" s="163"/>
      <c r="E698" s="164"/>
      <c r="F698" s="164"/>
      <c r="G698" s="164"/>
      <c r="H698" s="164"/>
      <c r="I698" s="162"/>
      <c r="J698" s="144"/>
      <c r="K698" s="144"/>
      <c r="L698" s="144"/>
      <c r="M698" s="145">
        <f t="shared" si="66"/>
        <v>0</v>
      </c>
      <c r="N698" s="145">
        <f t="shared" si="67"/>
        <v>0</v>
      </c>
      <c r="O698" s="146">
        <f t="shared" si="68"/>
        <v>0</v>
      </c>
      <c r="P698" s="146">
        <f>IF(B698="",0,SUMIF('NHAP XUAT'!$G$10:$J$1011,'Ghi So'!B698,'NHAP XUAT'!$J$10:$J$1011))</f>
        <v>0</v>
      </c>
      <c r="Q698" s="146">
        <f t="shared" si="69"/>
        <v>0</v>
      </c>
      <c r="R698" s="169"/>
      <c r="S698" s="169"/>
      <c r="T698" s="146">
        <f t="shared" si="70"/>
        <v>0</v>
      </c>
      <c r="U698" s="121" t="str">
        <f t="shared" si="71"/>
        <v>Close</v>
      </c>
      <c r="V698" s="117"/>
    </row>
    <row r="699" spans="1:22" ht="15" customHeight="1">
      <c r="A699" s="117"/>
      <c r="B699" s="144" t="str">
        <f>IF(D699="","","P"&amp;D699&amp;"MA"&amp;COUNTIF($D$14:D699,D699))</f>
        <v/>
      </c>
      <c r="C699" s="162"/>
      <c r="D699" s="163"/>
      <c r="E699" s="164"/>
      <c r="F699" s="164"/>
      <c r="G699" s="164"/>
      <c r="H699" s="164"/>
      <c r="I699" s="162"/>
      <c r="J699" s="144"/>
      <c r="K699" s="144"/>
      <c r="L699" s="144"/>
      <c r="M699" s="145">
        <f t="shared" si="66"/>
        <v>0</v>
      </c>
      <c r="N699" s="145">
        <f t="shared" si="67"/>
        <v>0</v>
      </c>
      <c r="O699" s="146">
        <f t="shared" si="68"/>
        <v>0</v>
      </c>
      <c r="P699" s="146">
        <f>IF(B699="",0,SUMIF('NHAP XUAT'!$G$10:$J$1011,'Ghi So'!B699,'NHAP XUAT'!$J$10:$J$1011))</f>
        <v>0</v>
      </c>
      <c r="Q699" s="146">
        <f t="shared" si="69"/>
        <v>0</v>
      </c>
      <c r="R699" s="169"/>
      <c r="S699" s="169"/>
      <c r="T699" s="146">
        <f t="shared" si="70"/>
        <v>0</v>
      </c>
      <c r="U699" s="121" t="str">
        <f t="shared" si="71"/>
        <v>Close</v>
      </c>
      <c r="V699" s="117"/>
    </row>
    <row r="700" spans="1:22" ht="15" customHeight="1">
      <c r="A700" s="117"/>
      <c r="B700" s="144" t="str">
        <f>IF(D700="","","P"&amp;D700&amp;"MA"&amp;COUNTIF($D$14:D700,D700))</f>
        <v/>
      </c>
      <c r="C700" s="162"/>
      <c r="D700" s="163"/>
      <c r="E700" s="164"/>
      <c r="F700" s="164"/>
      <c r="G700" s="164"/>
      <c r="H700" s="164"/>
      <c r="I700" s="162"/>
      <c r="J700" s="144"/>
      <c r="K700" s="144"/>
      <c r="L700" s="144"/>
      <c r="M700" s="145">
        <f t="shared" si="66"/>
        <v>0</v>
      </c>
      <c r="N700" s="145">
        <f t="shared" si="67"/>
        <v>0</v>
      </c>
      <c r="O700" s="146">
        <f t="shared" si="68"/>
        <v>0</v>
      </c>
      <c r="P700" s="146">
        <f>IF(B700="",0,SUMIF('NHAP XUAT'!$G$10:$J$1011,'Ghi So'!B700,'NHAP XUAT'!$J$10:$J$1011))</f>
        <v>0</v>
      </c>
      <c r="Q700" s="146">
        <f t="shared" si="69"/>
        <v>0</v>
      </c>
      <c r="R700" s="169"/>
      <c r="S700" s="169"/>
      <c r="T700" s="146">
        <f t="shared" si="70"/>
        <v>0</v>
      </c>
      <c r="U700" s="121" t="str">
        <f t="shared" si="71"/>
        <v>Close</v>
      </c>
      <c r="V700" s="117"/>
    </row>
    <row r="701" spans="1:22" ht="15" customHeight="1">
      <c r="A701" s="117"/>
      <c r="B701" s="144" t="str">
        <f>IF(D701="","","P"&amp;D701&amp;"MA"&amp;COUNTIF($D$14:D701,D701))</f>
        <v/>
      </c>
      <c r="C701" s="162"/>
      <c r="D701" s="163"/>
      <c r="E701" s="164"/>
      <c r="F701" s="164"/>
      <c r="G701" s="164"/>
      <c r="H701" s="164"/>
      <c r="I701" s="162"/>
      <c r="J701" s="144"/>
      <c r="K701" s="144"/>
      <c r="L701" s="144"/>
      <c r="M701" s="145">
        <f t="shared" si="66"/>
        <v>0</v>
      </c>
      <c r="N701" s="145">
        <f t="shared" si="67"/>
        <v>0</v>
      </c>
      <c r="O701" s="146">
        <f t="shared" si="68"/>
        <v>0</v>
      </c>
      <c r="P701" s="146">
        <f>IF(B701="",0,SUMIF('NHAP XUAT'!$G$10:$J$1011,'Ghi So'!B701,'NHAP XUAT'!$J$10:$J$1011))</f>
        <v>0</v>
      </c>
      <c r="Q701" s="146">
        <f t="shared" si="69"/>
        <v>0</v>
      </c>
      <c r="R701" s="169"/>
      <c r="S701" s="169"/>
      <c r="T701" s="146">
        <f t="shared" si="70"/>
        <v>0</v>
      </c>
      <c r="U701" s="121" t="str">
        <f t="shared" si="71"/>
        <v>Close</v>
      </c>
      <c r="V701" s="117"/>
    </row>
    <row r="702" spans="1:22" ht="15" customHeight="1">
      <c r="A702" s="117"/>
      <c r="B702" s="144" t="str">
        <f>IF(D702="","","P"&amp;D702&amp;"MA"&amp;COUNTIF($D$14:D702,D702))</f>
        <v/>
      </c>
      <c r="C702" s="162"/>
      <c r="D702" s="163"/>
      <c r="E702" s="164"/>
      <c r="F702" s="164"/>
      <c r="G702" s="164"/>
      <c r="H702" s="164"/>
      <c r="I702" s="162"/>
      <c r="J702" s="144"/>
      <c r="K702" s="144"/>
      <c r="L702" s="144"/>
      <c r="M702" s="145">
        <f t="shared" si="66"/>
        <v>0</v>
      </c>
      <c r="N702" s="145">
        <f t="shared" si="67"/>
        <v>0</v>
      </c>
      <c r="O702" s="146">
        <f t="shared" si="68"/>
        <v>0</v>
      </c>
      <c r="P702" s="146">
        <f>IF(B702="",0,SUMIF('NHAP XUAT'!$G$10:$J$1011,'Ghi So'!B702,'NHAP XUAT'!$J$10:$J$1011))</f>
        <v>0</v>
      </c>
      <c r="Q702" s="146">
        <f t="shared" si="69"/>
        <v>0</v>
      </c>
      <c r="R702" s="169"/>
      <c r="S702" s="169"/>
      <c r="T702" s="146">
        <f t="shared" si="70"/>
        <v>0</v>
      </c>
      <c r="U702" s="121" t="str">
        <f t="shared" si="71"/>
        <v>Close</v>
      </c>
      <c r="V702" s="117"/>
    </row>
    <row r="703" spans="1:22" ht="15" customHeight="1">
      <c r="A703" s="117"/>
      <c r="B703" s="144" t="str">
        <f>IF(D703="","","P"&amp;D703&amp;"MA"&amp;COUNTIF($D$14:D703,D703))</f>
        <v/>
      </c>
      <c r="C703" s="162"/>
      <c r="D703" s="163"/>
      <c r="E703" s="164"/>
      <c r="F703" s="164"/>
      <c r="G703" s="164"/>
      <c r="H703" s="164"/>
      <c r="I703" s="162"/>
      <c r="J703" s="144"/>
      <c r="K703" s="144"/>
      <c r="L703" s="144"/>
      <c r="M703" s="145">
        <f t="shared" si="66"/>
        <v>0</v>
      </c>
      <c r="N703" s="145">
        <f t="shared" si="67"/>
        <v>0</v>
      </c>
      <c r="O703" s="146">
        <f t="shared" si="68"/>
        <v>0</v>
      </c>
      <c r="P703" s="146">
        <f>IF(B703="",0,SUMIF('NHAP XUAT'!$G$10:$J$1011,'Ghi So'!B703,'NHAP XUAT'!$J$10:$J$1011))</f>
        <v>0</v>
      </c>
      <c r="Q703" s="146">
        <f t="shared" si="69"/>
        <v>0</v>
      </c>
      <c r="R703" s="169"/>
      <c r="S703" s="169"/>
      <c r="T703" s="146">
        <f t="shared" si="70"/>
        <v>0</v>
      </c>
      <c r="U703" s="121" t="str">
        <f t="shared" si="71"/>
        <v>Close</v>
      </c>
      <c r="V703" s="117"/>
    </row>
    <row r="704" spans="1:22" ht="15" customHeight="1">
      <c r="A704" s="117"/>
      <c r="B704" s="144" t="str">
        <f>IF(D704="","","P"&amp;D704&amp;"MA"&amp;COUNTIF($D$14:D704,D704))</f>
        <v/>
      </c>
      <c r="C704" s="162"/>
      <c r="D704" s="163"/>
      <c r="E704" s="164"/>
      <c r="F704" s="164"/>
      <c r="G704" s="164"/>
      <c r="H704" s="164"/>
      <c r="I704" s="162"/>
      <c r="J704" s="144"/>
      <c r="K704" s="144"/>
      <c r="L704" s="144"/>
      <c r="M704" s="145">
        <f t="shared" si="66"/>
        <v>0</v>
      </c>
      <c r="N704" s="145">
        <f t="shared" si="67"/>
        <v>0</v>
      </c>
      <c r="O704" s="146">
        <f t="shared" si="68"/>
        <v>0</v>
      </c>
      <c r="P704" s="146">
        <f>IF(B704="",0,SUMIF('NHAP XUAT'!$G$10:$J$1011,'Ghi So'!B704,'NHAP XUAT'!$J$10:$J$1011))</f>
        <v>0</v>
      </c>
      <c r="Q704" s="146">
        <f t="shared" si="69"/>
        <v>0</v>
      </c>
      <c r="R704" s="169"/>
      <c r="S704" s="169"/>
      <c r="T704" s="146">
        <f t="shared" si="70"/>
        <v>0</v>
      </c>
      <c r="U704" s="121" t="str">
        <f t="shared" si="71"/>
        <v>Close</v>
      </c>
      <c r="V704" s="117"/>
    </row>
    <row r="705" spans="1:22" ht="15" customHeight="1">
      <c r="A705" s="117"/>
      <c r="B705" s="144" t="str">
        <f>IF(D705="","","P"&amp;D705&amp;"MA"&amp;COUNTIF($D$14:D705,D705))</f>
        <v/>
      </c>
      <c r="C705" s="162"/>
      <c r="D705" s="163"/>
      <c r="E705" s="164"/>
      <c r="F705" s="164"/>
      <c r="G705" s="164"/>
      <c r="H705" s="164"/>
      <c r="I705" s="162"/>
      <c r="J705" s="144"/>
      <c r="K705" s="144"/>
      <c r="L705" s="144"/>
      <c r="M705" s="145">
        <f t="shared" si="66"/>
        <v>0</v>
      </c>
      <c r="N705" s="145">
        <f t="shared" si="67"/>
        <v>0</v>
      </c>
      <c r="O705" s="146">
        <f t="shared" si="68"/>
        <v>0</v>
      </c>
      <c r="P705" s="146">
        <f>IF(B705="",0,SUMIF('NHAP XUAT'!$G$10:$J$1011,'Ghi So'!B705,'NHAP XUAT'!$J$10:$J$1011))</f>
        <v>0</v>
      </c>
      <c r="Q705" s="146">
        <f t="shared" si="69"/>
        <v>0</v>
      </c>
      <c r="R705" s="169"/>
      <c r="S705" s="169"/>
      <c r="T705" s="146">
        <f t="shared" si="70"/>
        <v>0</v>
      </c>
      <c r="U705" s="121" t="str">
        <f t="shared" si="71"/>
        <v>Close</v>
      </c>
      <c r="V705" s="117"/>
    </row>
    <row r="706" spans="1:22" ht="15" customHeight="1">
      <c r="A706" s="117"/>
      <c r="B706" s="144" t="str">
        <f>IF(D706="","","P"&amp;D706&amp;"MA"&amp;COUNTIF($D$14:D706,D706))</f>
        <v/>
      </c>
      <c r="C706" s="162"/>
      <c r="D706" s="163"/>
      <c r="E706" s="164"/>
      <c r="F706" s="164"/>
      <c r="G706" s="164"/>
      <c r="H706" s="164"/>
      <c r="I706" s="162"/>
      <c r="J706" s="144"/>
      <c r="K706" s="144"/>
      <c r="L706" s="144"/>
      <c r="M706" s="145">
        <f t="shared" si="66"/>
        <v>0</v>
      </c>
      <c r="N706" s="145">
        <f t="shared" si="67"/>
        <v>0</v>
      </c>
      <c r="O706" s="146">
        <f t="shared" si="68"/>
        <v>0</v>
      </c>
      <c r="P706" s="146">
        <f>IF(B706="",0,SUMIF('NHAP XUAT'!$G$10:$J$1011,'Ghi So'!B706,'NHAP XUAT'!$J$10:$J$1011))</f>
        <v>0</v>
      </c>
      <c r="Q706" s="146">
        <f t="shared" si="69"/>
        <v>0</v>
      </c>
      <c r="R706" s="169"/>
      <c r="S706" s="169"/>
      <c r="T706" s="146">
        <f t="shared" si="70"/>
        <v>0</v>
      </c>
      <c r="U706" s="121" t="str">
        <f t="shared" si="71"/>
        <v>Close</v>
      </c>
      <c r="V706" s="117"/>
    </row>
    <row r="707" spans="1:22" ht="15" customHeight="1">
      <c r="A707" s="117"/>
      <c r="B707" s="144" t="str">
        <f>IF(D707="","","P"&amp;D707&amp;"MA"&amp;COUNTIF($D$14:D707,D707))</f>
        <v/>
      </c>
      <c r="C707" s="162"/>
      <c r="D707" s="163"/>
      <c r="E707" s="164"/>
      <c r="F707" s="164"/>
      <c r="G707" s="164"/>
      <c r="H707" s="164"/>
      <c r="I707" s="162"/>
      <c r="J707" s="144"/>
      <c r="K707" s="144"/>
      <c r="L707" s="144"/>
      <c r="M707" s="145">
        <f t="shared" si="66"/>
        <v>0</v>
      </c>
      <c r="N707" s="145">
        <f t="shared" si="67"/>
        <v>0</v>
      </c>
      <c r="O707" s="146">
        <f t="shared" si="68"/>
        <v>0</v>
      </c>
      <c r="P707" s="146">
        <f>IF(B707="",0,SUMIF('NHAP XUAT'!$G$10:$J$1011,'Ghi So'!B707,'NHAP XUAT'!$J$10:$J$1011))</f>
        <v>0</v>
      </c>
      <c r="Q707" s="146">
        <f t="shared" si="69"/>
        <v>0</v>
      </c>
      <c r="R707" s="169"/>
      <c r="S707" s="169"/>
      <c r="T707" s="146">
        <f t="shared" si="70"/>
        <v>0</v>
      </c>
      <c r="U707" s="121" t="str">
        <f t="shared" si="71"/>
        <v>Close</v>
      </c>
      <c r="V707" s="117"/>
    </row>
    <row r="708" spans="1:22" ht="15" customHeight="1">
      <c r="A708" s="117"/>
      <c r="B708" s="144" t="str">
        <f>IF(D708="","","P"&amp;D708&amp;"MA"&amp;COUNTIF($D$14:D708,D708))</f>
        <v/>
      </c>
      <c r="C708" s="162"/>
      <c r="D708" s="163"/>
      <c r="E708" s="164"/>
      <c r="F708" s="164"/>
      <c r="G708" s="164"/>
      <c r="H708" s="164"/>
      <c r="I708" s="162"/>
      <c r="J708" s="144"/>
      <c r="K708" s="144"/>
      <c r="L708" s="144"/>
      <c r="M708" s="145">
        <f t="shared" si="66"/>
        <v>0</v>
      </c>
      <c r="N708" s="145">
        <f t="shared" si="67"/>
        <v>0</v>
      </c>
      <c r="O708" s="146">
        <f t="shared" si="68"/>
        <v>0</v>
      </c>
      <c r="P708" s="146">
        <f>IF(B708="",0,SUMIF('NHAP XUAT'!$G$10:$J$1011,'Ghi So'!B708,'NHAP XUAT'!$J$10:$J$1011))</f>
        <v>0</v>
      </c>
      <c r="Q708" s="146">
        <f t="shared" si="69"/>
        <v>0</v>
      </c>
      <c r="R708" s="169"/>
      <c r="S708" s="169"/>
      <c r="T708" s="146">
        <f t="shared" si="70"/>
        <v>0</v>
      </c>
      <c r="U708" s="121" t="str">
        <f t="shared" si="71"/>
        <v>Close</v>
      </c>
      <c r="V708" s="117"/>
    </row>
    <row r="709" spans="1:22" ht="15" customHeight="1">
      <c r="A709" s="117"/>
      <c r="B709" s="144" t="str">
        <f>IF(D709="","","P"&amp;D709&amp;"MA"&amp;COUNTIF($D$14:D709,D709))</f>
        <v/>
      </c>
      <c r="C709" s="162"/>
      <c r="D709" s="163"/>
      <c r="E709" s="164"/>
      <c r="F709" s="164"/>
      <c r="G709" s="164"/>
      <c r="H709" s="164"/>
      <c r="I709" s="162"/>
      <c r="J709" s="144"/>
      <c r="K709" s="144"/>
      <c r="L709" s="144"/>
      <c r="M709" s="145">
        <f t="shared" si="66"/>
        <v>0</v>
      </c>
      <c r="N709" s="145">
        <f t="shared" si="67"/>
        <v>0</v>
      </c>
      <c r="O709" s="146">
        <f t="shared" si="68"/>
        <v>0</v>
      </c>
      <c r="P709" s="146">
        <f>IF(B709="",0,SUMIF('NHAP XUAT'!$G$10:$J$1011,'Ghi So'!B709,'NHAP XUAT'!$J$10:$J$1011))</f>
        <v>0</v>
      </c>
      <c r="Q709" s="146">
        <f t="shared" si="69"/>
        <v>0</v>
      </c>
      <c r="R709" s="169"/>
      <c r="S709" s="169"/>
      <c r="T709" s="146">
        <f t="shared" si="70"/>
        <v>0</v>
      </c>
      <c r="U709" s="121" t="str">
        <f t="shared" si="71"/>
        <v>Close</v>
      </c>
      <c r="V709" s="117"/>
    </row>
    <row r="710" spans="1:22" ht="15" customHeight="1">
      <c r="A710" s="117"/>
      <c r="B710" s="144" t="str">
        <f>IF(D710="","","P"&amp;D710&amp;"MA"&amp;COUNTIF($D$14:D710,D710))</f>
        <v/>
      </c>
      <c r="C710" s="162"/>
      <c r="D710" s="163"/>
      <c r="E710" s="164"/>
      <c r="F710" s="164"/>
      <c r="G710" s="164"/>
      <c r="H710" s="164"/>
      <c r="I710" s="162"/>
      <c r="J710" s="144"/>
      <c r="K710" s="144"/>
      <c r="L710" s="144"/>
      <c r="M710" s="145">
        <f t="shared" si="66"/>
        <v>0</v>
      </c>
      <c r="N710" s="145">
        <f t="shared" si="67"/>
        <v>0</v>
      </c>
      <c r="O710" s="146">
        <f t="shared" si="68"/>
        <v>0</v>
      </c>
      <c r="P710" s="146">
        <f>IF(B710="",0,SUMIF('NHAP XUAT'!$G$10:$J$1011,'Ghi So'!B710,'NHAP XUAT'!$J$10:$J$1011))</f>
        <v>0</v>
      </c>
      <c r="Q710" s="146">
        <f t="shared" si="69"/>
        <v>0</v>
      </c>
      <c r="R710" s="169"/>
      <c r="S710" s="169"/>
      <c r="T710" s="146">
        <f t="shared" si="70"/>
        <v>0</v>
      </c>
      <c r="U710" s="121" t="str">
        <f t="shared" si="71"/>
        <v>Close</v>
      </c>
      <c r="V710" s="117"/>
    </row>
    <row r="711" spans="1:22" ht="15" customHeight="1">
      <c r="A711" s="117"/>
      <c r="B711" s="144" t="str">
        <f>IF(D711="","","P"&amp;D711&amp;"MA"&amp;COUNTIF($D$14:D711,D711))</f>
        <v/>
      </c>
      <c r="C711" s="162"/>
      <c r="D711" s="163"/>
      <c r="E711" s="164"/>
      <c r="F711" s="164"/>
      <c r="G711" s="164"/>
      <c r="H711" s="164"/>
      <c r="I711" s="162"/>
      <c r="J711" s="144"/>
      <c r="K711" s="144"/>
      <c r="L711" s="144"/>
      <c r="M711" s="145">
        <f t="shared" si="66"/>
        <v>0</v>
      </c>
      <c r="N711" s="145">
        <f t="shared" si="67"/>
        <v>0</v>
      </c>
      <c r="O711" s="146">
        <f t="shared" si="68"/>
        <v>0</v>
      </c>
      <c r="P711" s="146">
        <f>IF(B711="",0,SUMIF('NHAP XUAT'!$G$10:$J$1011,'Ghi So'!B711,'NHAP XUAT'!$J$10:$J$1011))</f>
        <v>0</v>
      </c>
      <c r="Q711" s="146">
        <f t="shared" si="69"/>
        <v>0</v>
      </c>
      <c r="R711" s="169"/>
      <c r="S711" s="169"/>
      <c r="T711" s="146">
        <f t="shared" si="70"/>
        <v>0</v>
      </c>
      <c r="U711" s="121" t="str">
        <f t="shared" si="71"/>
        <v>Close</v>
      </c>
      <c r="V711" s="117"/>
    </row>
    <row r="712" spans="1:22" ht="15" customHeight="1">
      <c r="A712" s="117"/>
      <c r="B712" s="144" t="str">
        <f>IF(D712="","","P"&amp;D712&amp;"MA"&amp;COUNTIF($D$14:D712,D712))</f>
        <v/>
      </c>
      <c r="C712" s="162"/>
      <c r="D712" s="163"/>
      <c r="E712" s="164"/>
      <c r="F712" s="164"/>
      <c r="G712" s="164"/>
      <c r="H712" s="164"/>
      <c r="I712" s="162"/>
      <c r="J712" s="144"/>
      <c r="K712" s="144"/>
      <c r="L712" s="144"/>
      <c r="M712" s="145">
        <f t="shared" si="66"/>
        <v>0</v>
      </c>
      <c r="N712" s="145">
        <f t="shared" si="67"/>
        <v>0</v>
      </c>
      <c r="O712" s="146">
        <f t="shared" si="68"/>
        <v>0</v>
      </c>
      <c r="P712" s="146">
        <f>IF(B712="",0,SUMIF('NHAP XUAT'!$G$10:$J$1011,'Ghi So'!B712,'NHAP XUAT'!$J$10:$J$1011))</f>
        <v>0</v>
      </c>
      <c r="Q712" s="146">
        <f t="shared" si="69"/>
        <v>0</v>
      </c>
      <c r="R712" s="169"/>
      <c r="S712" s="169"/>
      <c r="T712" s="146">
        <f t="shared" si="70"/>
        <v>0</v>
      </c>
      <c r="U712" s="121" t="str">
        <f t="shared" si="71"/>
        <v>Close</v>
      </c>
      <c r="V712" s="117"/>
    </row>
    <row r="713" spans="1:22" ht="15" customHeight="1">
      <c r="A713" s="117"/>
      <c r="B713" s="144" t="str">
        <f>IF(D713="","","P"&amp;D713&amp;"MA"&amp;COUNTIF($D$14:D713,D713))</f>
        <v/>
      </c>
      <c r="C713" s="162"/>
      <c r="D713" s="163"/>
      <c r="E713" s="164"/>
      <c r="F713" s="164"/>
      <c r="G713" s="164"/>
      <c r="H713" s="164"/>
      <c r="I713" s="162"/>
      <c r="J713" s="144"/>
      <c r="K713" s="144"/>
      <c r="L713" s="144"/>
      <c r="M713" s="145">
        <f t="shared" si="66"/>
        <v>0</v>
      </c>
      <c r="N713" s="145">
        <f t="shared" si="67"/>
        <v>0</v>
      </c>
      <c r="O713" s="146">
        <f t="shared" si="68"/>
        <v>0</v>
      </c>
      <c r="P713" s="146">
        <f>IF(B713="",0,SUMIF('NHAP XUAT'!$G$10:$J$1011,'Ghi So'!B713,'NHAP XUAT'!$J$10:$J$1011))</f>
        <v>0</v>
      </c>
      <c r="Q713" s="146">
        <f t="shared" si="69"/>
        <v>0</v>
      </c>
      <c r="R713" s="169"/>
      <c r="S713" s="169"/>
      <c r="T713" s="146">
        <f t="shared" si="70"/>
        <v>0</v>
      </c>
      <c r="U713" s="121" t="str">
        <f t="shared" si="71"/>
        <v>Close</v>
      </c>
      <c r="V713" s="117"/>
    </row>
    <row r="714" spans="1:22" ht="15" customHeight="1">
      <c r="A714" s="117"/>
      <c r="B714" s="144" t="str">
        <f>IF(D714="","","P"&amp;D714&amp;"MA"&amp;COUNTIF($D$14:D714,D714))</f>
        <v/>
      </c>
      <c r="C714" s="162"/>
      <c r="D714" s="163"/>
      <c r="E714" s="164"/>
      <c r="F714" s="164"/>
      <c r="G714" s="164"/>
      <c r="H714" s="164"/>
      <c r="I714" s="162"/>
      <c r="J714" s="144"/>
      <c r="K714" s="144"/>
      <c r="L714" s="144"/>
      <c r="M714" s="145">
        <f t="shared" si="66"/>
        <v>0</v>
      </c>
      <c r="N714" s="145">
        <f t="shared" si="67"/>
        <v>0</v>
      </c>
      <c r="O714" s="146">
        <f t="shared" si="68"/>
        <v>0</v>
      </c>
      <c r="P714" s="146">
        <f>IF(B714="",0,SUMIF('NHAP XUAT'!$G$10:$J$1011,'Ghi So'!B714,'NHAP XUAT'!$J$10:$J$1011))</f>
        <v>0</v>
      </c>
      <c r="Q714" s="146">
        <f t="shared" si="69"/>
        <v>0</v>
      </c>
      <c r="R714" s="169"/>
      <c r="S714" s="169"/>
      <c r="T714" s="146">
        <f t="shared" si="70"/>
        <v>0</v>
      </c>
      <c r="U714" s="121" t="str">
        <f t="shared" si="71"/>
        <v>Close</v>
      </c>
      <c r="V714" s="117"/>
    </row>
    <row r="715" spans="1:22" ht="15" customHeight="1">
      <c r="A715" s="117"/>
      <c r="B715" s="144" t="str">
        <f>IF(D715="","","P"&amp;D715&amp;"MA"&amp;COUNTIF($D$14:D715,D715))</f>
        <v/>
      </c>
      <c r="C715" s="162"/>
      <c r="D715" s="163"/>
      <c r="E715" s="164"/>
      <c r="F715" s="164"/>
      <c r="G715" s="164"/>
      <c r="H715" s="164"/>
      <c r="I715" s="162"/>
      <c r="J715" s="144"/>
      <c r="K715" s="144"/>
      <c r="L715" s="144"/>
      <c r="M715" s="145">
        <f t="shared" si="66"/>
        <v>0</v>
      </c>
      <c r="N715" s="145">
        <f t="shared" si="67"/>
        <v>0</v>
      </c>
      <c r="O715" s="146">
        <f t="shared" si="68"/>
        <v>0</v>
      </c>
      <c r="P715" s="146">
        <f>IF(B715="",0,SUMIF('NHAP XUAT'!$G$10:$J$1011,'Ghi So'!B715,'NHAP XUAT'!$J$10:$J$1011))</f>
        <v>0</v>
      </c>
      <c r="Q715" s="146">
        <f t="shared" si="69"/>
        <v>0</v>
      </c>
      <c r="R715" s="169"/>
      <c r="S715" s="169"/>
      <c r="T715" s="146">
        <f t="shared" si="70"/>
        <v>0</v>
      </c>
      <c r="U715" s="121" t="str">
        <f t="shared" si="71"/>
        <v>Close</v>
      </c>
      <c r="V715" s="117"/>
    </row>
    <row r="716" spans="1:22" ht="15" customHeight="1">
      <c r="A716" s="117"/>
      <c r="B716" s="144" t="str">
        <f>IF(D716="","","P"&amp;D716&amp;"MA"&amp;COUNTIF($D$14:D716,D716))</f>
        <v/>
      </c>
      <c r="C716" s="162"/>
      <c r="D716" s="163"/>
      <c r="E716" s="164"/>
      <c r="F716" s="164"/>
      <c r="G716" s="164"/>
      <c r="H716" s="164"/>
      <c r="I716" s="162"/>
      <c r="J716" s="144"/>
      <c r="K716" s="144"/>
      <c r="L716" s="144"/>
      <c r="M716" s="145">
        <f t="shared" si="66"/>
        <v>0</v>
      </c>
      <c r="N716" s="145">
        <f t="shared" si="67"/>
        <v>0</v>
      </c>
      <c r="O716" s="146">
        <f t="shared" si="68"/>
        <v>0</v>
      </c>
      <c r="P716" s="146">
        <f>IF(B716="",0,SUMIF('NHAP XUAT'!$G$10:$J$1011,'Ghi So'!B716,'NHAP XUAT'!$J$10:$J$1011))</f>
        <v>0</v>
      </c>
      <c r="Q716" s="146">
        <f t="shared" si="69"/>
        <v>0</v>
      </c>
      <c r="R716" s="169"/>
      <c r="S716" s="169"/>
      <c r="T716" s="146">
        <f t="shared" si="70"/>
        <v>0</v>
      </c>
      <c r="U716" s="121" t="str">
        <f t="shared" si="71"/>
        <v>Close</v>
      </c>
      <c r="V716" s="117"/>
    </row>
    <row r="717" spans="1:22" ht="15" customHeight="1">
      <c r="A717" s="117"/>
      <c r="B717" s="144" t="str">
        <f>IF(D717="","","P"&amp;D717&amp;"MA"&amp;COUNTIF($D$14:D717,D717))</f>
        <v/>
      </c>
      <c r="C717" s="162"/>
      <c r="D717" s="163"/>
      <c r="E717" s="164"/>
      <c r="F717" s="164"/>
      <c r="G717" s="164"/>
      <c r="H717" s="164"/>
      <c r="I717" s="162"/>
      <c r="J717" s="144"/>
      <c r="K717" s="144"/>
      <c r="L717" s="144"/>
      <c r="M717" s="145">
        <f t="shared" si="66"/>
        <v>0</v>
      </c>
      <c r="N717" s="145">
        <f t="shared" si="67"/>
        <v>0</v>
      </c>
      <c r="O717" s="146">
        <f t="shared" si="68"/>
        <v>0</v>
      </c>
      <c r="P717" s="146">
        <f>IF(B717="",0,SUMIF('NHAP XUAT'!$G$10:$J$1011,'Ghi So'!B717,'NHAP XUAT'!$J$10:$J$1011))</f>
        <v>0</v>
      </c>
      <c r="Q717" s="146">
        <f t="shared" si="69"/>
        <v>0</v>
      </c>
      <c r="R717" s="169"/>
      <c r="S717" s="169"/>
      <c r="T717" s="146">
        <f t="shared" si="70"/>
        <v>0</v>
      </c>
      <c r="U717" s="121" t="str">
        <f t="shared" si="71"/>
        <v>Close</v>
      </c>
      <c r="V717" s="117"/>
    </row>
    <row r="718" spans="1:22" ht="15" customHeight="1">
      <c r="A718" s="117"/>
      <c r="B718" s="144" t="str">
        <f>IF(D718="","","P"&amp;D718&amp;"MA"&amp;COUNTIF($D$14:D718,D718))</f>
        <v/>
      </c>
      <c r="C718" s="162"/>
      <c r="D718" s="163"/>
      <c r="E718" s="164"/>
      <c r="F718" s="164"/>
      <c r="G718" s="164"/>
      <c r="H718" s="164"/>
      <c r="I718" s="162"/>
      <c r="J718" s="144"/>
      <c r="K718" s="144"/>
      <c r="L718" s="144"/>
      <c r="M718" s="145">
        <f t="shared" si="66"/>
        <v>0</v>
      </c>
      <c r="N718" s="145">
        <f t="shared" si="67"/>
        <v>0</v>
      </c>
      <c r="O718" s="146">
        <f t="shared" si="68"/>
        <v>0</v>
      </c>
      <c r="P718" s="146">
        <f>IF(B718="",0,SUMIF('NHAP XUAT'!$G$10:$J$1011,'Ghi So'!B718,'NHAP XUAT'!$J$10:$J$1011))</f>
        <v>0</v>
      </c>
      <c r="Q718" s="146">
        <f t="shared" si="69"/>
        <v>0</v>
      </c>
      <c r="R718" s="169"/>
      <c r="S718" s="169"/>
      <c r="T718" s="146">
        <f t="shared" si="70"/>
        <v>0</v>
      </c>
      <c r="U718" s="121" t="str">
        <f t="shared" si="71"/>
        <v>Close</v>
      </c>
      <c r="V718" s="117"/>
    </row>
    <row r="719" spans="1:22" ht="15" customHeight="1">
      <c r="A719" s="117"/>
      <c r="B719" s="144" t="str">
        <f>IF(D719="","","P"&amp;D719&amp;"MA"&amp;COUNTIF($D$14:D719,D719))</f>
        <v/>
      </c>
      <c r="C719" s="162"/>
      <c r="D719" s="163"/>
      <c r="E719" s="164"/>
      <c r="F719" s="164"/>
      <c r="G719" s="164"/>
      <c r="H719" s="164"/>
      <c r="I719" s="162"/>
      <c r="J719" s="144"/>
      <c r="K719" s="144"/>
      <c r="L719" s="144"/>
      <c r="M719" s="145">
        <f t="shared" si="66"/>
        <v>0</v>
      </c>
      <c r="N719" s="145">
        <f t="shared" si="67"/>
        <v>0</v>
      </c>
      <c r="O719" s="146">
        <f t="shared" si="68"/>
        <v>0</v>
      </c>
      <c r="P719" s="146">
        <f>IF(B719="",0,SUMIF('NHAP XUAT'!$G$10:$J$1011,'Ghi So'!B719,'NHAP XUAT'!$J$10:$J$1011))</f>
        <v>0</v>
      </c>
      <c r="Q719" s="146">
        <f t="shared" si="69"/>
        <v>0</v>
      </c>
      <c r="R719" s="169"/>
      <c r="S719" s="169"/>
      <c r="T719" s="146">
        <f t="shared" si="70"/>
        <v>0</v>
      </c>
      <c r="U719" s="121" t="str">
        <f t="shared" si="71"/>
        <v>Close</v>
      </c>
      <c r="V719" s="117"/>
    </row>
    <row r="720" spans="1:22" ht="15" customHeight="1">
      <c r="A720" s="117"/>
      <c r="B720" s="144" t="str">
        <f>IF(D720="","","P"&amp;D720&amp;"MA"&amp;COUNTIF($D$14:D720,D720))</f>
        <v/>
      </c>
      <c r="C720" s="162"/>
      <c r="D720" s="163"/>
      <c r="E720" s="164"/>
      <c r="F720" s="164"/>
      <c r="G720" s="164"/>
      <c r="H720" s="164"/>
      <c r="I720" s="162"/>
      <c r="J720" s="144"/>
      <c r="K720" s="144"/>
      <c r="L720" s="144"/>
      <c r="M720" s="145">
        <f t="shared" si="66"/>
        <v>0</v>
      </c>
      <c r="N720" s="145">
        <f t="shared" si="67"/>
        <v>0</v>
      </c>
      <c r="O720" s="146">
        <f t="shared" si="68"/>
        <v>0</v>
      </c>
      <c r="P720" s="146">
        <f>IF(B720="",0,SUMIF('NHAP XUAT'!$G$10:$J$1011,'Ghi So'!B720,'NHAP XUAT'!$J$10:$J$1011))</f>
        <v>0</v>
      </c>
      <c r="Q720" s="146">
        <f t="shared" si="69"/>
        <v>0</v>
      </c>
      <c r="R720" s="169"/>
      <c r="S720" s="169"/>
      <c r="T720" s="146">
        <f t="shared" si="70"/>
        <v>0</v>
      </c>
      <c r="U720" s="121" t="str">
        <f t="shared" si="71"/>
        <v>Close</v>
      </c>
      <c r="V720" s="117"/>
    </row>
    <row r="721" spans="1:22" ht="15" customHeight="1">
      <c r="A721" s="117"/>
      <c r="B721" s="144" t="str">
        <f>IF(D721="","","P"&amp;D721&amp;"MA"&amp;COUNTIF($D$14:D721,D721))</f>
        <v/>
      </c>
      <c r="C721" s="162"/>
      <c r="D721" s="163"/>
      <c r="E721" s="164"/>
      <c r="F721" s="164"/>
      <c r="G721" s="164"/>
      <c r="H721" s="164"/>
      <c r="I721" s="162"/>
      <c r="J721" s="144"/>
      <c r="K721" s="144"/>
      <c r="L721" s="144"/>
      <c r="M721" s="145">
        <f t="shared" si="66"/>
        <v>0</v>
      </c>
      <c r="N721" s="145">
        <f t="shared" si="67"/>
        <v>0</v>
      </c>
      <c r="O721" s="146">
        <f t="shared" si="68"/>
        <v>0</v>
      </c>
      <c r="P721" s="146">
        <f>IF(B721="",0,SUMIF('NHAP XUAT'!$G$10:$J$1011,'Ghi So'!B721,'NHAP XUAT'!$J$10:$J$1011))</f>
        <v>0</v>
      </c>
      <c r="Q721" s="146">
        <f t="shared" si="69"/>
        <v>0</v>
      </c>
      <c r="R721" s="169"/>
      <c r="S721" s="169"/>
      <c r="T721" s="146">
        <f t="shared" si="70"/>
        <v>0</v>
      </c>
      <c r="U721" s="121" t="str">
        <f t="shared" si="71"/>
        <v>Close</v>
      </c>
      <c r="V721" s="117"/>
    </row>
    <row r="722" spans="1:22" ht="15" customHeight="1">
      <c r="A722" s="117"/>
      <c r="B722" s="144" t="str">
        <f>IF(D722="","","P"&amp;D722&amp;"MA"&amp;COUNTIF($D$14:D722,D722))</f>
        <v/>
      </c>
      <c r="C722" s="162"/>
      <c r="D722" s="163"/>
      <c r="E722" s="164"/>
      <c r="F722" s="164"/>
      <c r="G722" s="164"/>
      <c r="H722" s="164"/>
      <c r="I722" s="162"/>
      <c r="J722" s="144"/>
      <c r="K722" s="144"/>
      <c r="L722" s="144"/>
      <c r="M722" s="145">
        <f t="shared" si="66"/>
        <v>0</v>
      </c>
      <c r="N722" s="145">
        <f t="shared" si="67"/>
        <v>0</v>
      </c>
      <c r="O722" s="146">
        <f t="shared" si="68"/>
        <v>0</v>
      </c>
      <c r="P722" s="146">
        <f>IF(B722="",0,SUMIF('NHAP XUAT'!$G$10:$J$1011,'Ghi So'!B722,'NHAP XUAT'!$J$10:$J$1011))</f>
        <v>0</v>
      </c>
      <c r="Q722" s="146">
        <f t="shared" si="69"/>
        <v>0</v>
      </c>
      <c r="R722" s="169"/>
      <c r="S722" s="169"/>
      <c r="T722" s="146">
        <f t="shared" si="70"/>
        <v>0</v>
      </c>
      <c r="U722" s="121" t="str">
        <f t="shared" si="71"/>
        <v>Close</v>
      </c>
      <c r="V722" s="117"/>
    </row>
    <row r="723" spans="1:22" ht="15" customHeight="1">
      <c r="A723" s="117"/>
      <c r="B723" s="144" t="str">
        <f>IF(D723="","","P"&amp;D723&amp;"MA"&amp;COUNTIF($D$14:D723,D723))</f>
        <v/>
      </c>
      <c r="C723" s="162"/>
      <c r="D723" s="163"/>
      <c r="E723" s="164"/>
      <c r="F723" s="164"/>
      <c r="G723" s="164"/>
      <c r="H723" s="164"/>
      <c r="I723" s="162"/>
      <c r="J723" s="144"/>
      <c r="K723" s="144"/>
      <c r="L723" s="144"/>
      <c r="M723" s="145">
        <f t="shared" si="66"/>
        <v>0</v>
      </c>
      <c r="N723" s="145">
        <f t="shared" si="67"/>
        <v>0</v>
      </c>
      <c r="O723" s="146">
        <f t="shared" si="68"/>
        <v>0</v>
      </c>
      <c r="P723" s="146">
        <f>IF(B723="",0,SUMIF('NHAP XUAT'!$G$10:$J$1011,'Ghi So'!B723,'NHAP XUAT'!$J$10:$J$1011))</f>
        <v>0</v>
      </c>
      <c r="Q723" s="146">
        <f t="shared" si="69"/>
        <v>0</v>
      </c>
      <c r="R723" s="169"/>
      <c r="S723" s="169"/>
      <c r="T723" s="146">
        <f t="shared" si="70"/>
        <v>0</v>
      </c>
      <c r="U723" s="121" t="str">
        <f t="shared" si="71"/>
        <v>Close</v>
      </c>
      <c r="V723" s="117"/>
    </row>
    <row r="724" spans="1:22" ht="15" customHeight="1">
      <c r="A724" s="117"/>
      <c r="B724" s="144" t="str">
        <f>IF(D724="","","P"&amp;D724&amp;"MA"&amp;COUNTIF($D$14:D724,D724))</f>
        <v/>
      </c>
      <c r="C724" s="162"/>
      <c r="D724" s="163"/>
      <c r="E724" s="164"/>
      <c r="F724" s="164"/>
      <c r="G724" s="164"/>
      <c r="H724" s="164"/>
      <c r="I724" s="162"/>
      <c r="J724" s="144"/>
      <c r="K724" s="144"/>
      <c r="L724" s="144"/>
      <c r="M724" s="145">
        <f t="shared" si="66"/>
        <v>0</v>
      </c>
      <c r="N724" s="145">
        <f t="shared" si="67"/>
        <v>0</v>
      </c>
      <c r="O724" s="146">
        <f t="shared" si="68"/>
        <v>0</v>
      </c>
      <c r="P724" s="146">
        <f>IF(B724="",0,SUMIF('NHAP XUAT'!$G$10:$J$1011,'Ghi So'!B724,'NHAP XUAT'!$J$10:$J$1011))</f>
        <v>0</v>
      </c>
      <c r="Q724" s="146">
        <f t="shared" si="69"/>
        <v>0</v>
      </c>
      <c r="R724" s="169"/>
      <c r="S724" s="169"/>
      <c r="T724" s="146">
        <f t="shared" si="70"/>
        <v>0</v>
      </c>
      <c r="U724" s="121" t="str">
        <f t="shared" si="71"/>
        <v>Close</v>
      </c>
      <c r="V724" s="117"/>
    </row>
    <row r="725" spans="1:22" ht="15" customHeight="1">
      <c r="A725" s="117"/>
      <c r="B725" s="144" t="str">
        <f>IF(D725="","","P"&amp;D725&amp;"MA"&amp;COUNTIF($D$14:D725,D725))</f>
        <v/>
      </c>
      <c r="C725" s="162"/>
      <c r="D725" s="163"/>
      <c r="E725" s="164"/>
      <c r="F725" s="164"/>
      <c r="G725" s="164"/>
      <c r="H725" s="164"/>
      <c r="I725" s="162"/>
      <c r="J725" s="144"/>
      <c r="K725" s="144"/>
      <c r="L725" s="144"/>
      <c r="M725" s="145">
        <f t="shared" si="66"/>
        <v>0</v>
      </c>
      <c r="N725" s="145">
        <f t="shared" si="67"/>
        <v>0</v>
      </c>
      <c r="O725" s="146">
        <f t="shared" si="68"/>
        <v>0</v>
      </c>
      <c r="P725" s="146">
        <f>IF(B725="",0,SUMIF('NHAP XUAT'!$G$10:$J$1011,'Ghi So'!B725,'NHAP XUAT'!$J$10:$J$1011))</f>
        <v>0</v>
      </c>
      <c r="Q725" s="146">
        <f t="shared" si="69"/>
        <v>0</v>
      </c>
      <c r="R725" s="169"/>
      <c r="S725" s="169"/>
      <c r="T725" s="146">
        <f t="shared" si="70"/>
        <v>0</v>
      </c>
      <c r="U725" s="121" t="str">
        <f t="shared" si="71"/>
        <v>Close</v>
      </c>
      <c r="V725" s="117"/>
    </row>
    <row r="726" spans="1:22" ht="15" customHeight="1">
      <c r="A726" s="117"/>
      <c r="B726" s="144" t="str">
        <f>IF(D726="","","P"&amp;D726&amp;"MA"&amp;COUNTIF($D$14:D726,D726))</f>
        <v/>
      </c>
      <c r="C726" s="162"/>
      <c r="D726" s="163"/>
      <c r="E726" s="164"/>
      <c r="F726" s="164"/>
      <c r="G726" s="164"/>
      <c r="H726" s="164"/>
      <c r="I726" s="162"/>
      <c r="J726" s="144"/>
      <c r="K726" s="144"/>
      <c r="L726" s="144"/>
      <c r="M726" s="145">
        <f t="shared" si="66"/>
        <v>0</v>
      </c>
      <c r="N726" s="145">
        <f t="shared" si="67"/>
        <v>0</v>
      </c>
      <c r="O726" s="146">
        <f t="shared" si="68"/>
        <v>0</v>
      </c>
      <c r="P726" s="146">
        <f>IF(B726="",0,SUMIF('NHAP XUAT'!$G$10:$J$1011,'Ghi So'!B726,'NHAP XUAT'!$J$10:$J$1011))</f>
        <v>0</v>
      </c>
      <c r="Q726" s="146">
        <f t="shared" si="69"/>
        <v>0</v>
      </c>
      <c r="R726" s="169"/>
      <c r="S726" s="169"/>
      <c r="T726" s="146">
        <f t="shared" si="70"/>
        <v>0</v>
      </c>
      <c r="U726" s="121" t="str">
        <f t="shared" si="71"/>
        <v>Close</v>
      </c>
      <c r="V726" s="117"/>
    </row>
    <row r="727" spans="1:22" ht="15" customHeight="1">
      <c r="A727" s="117"/>
      <c r="B727" s="144" t="str">
        <f>IF(D727="","","P"&amp;D727&amp;"MA"&amp;COUNTIF($D$14:D727,D727))</f>
        <v/>
      </c>
      <c r="C727" s="162"/>
      <c r="D727" s="163"/>
      <c r="E727" s="164"/>
      <c r="F727" s="164"/>
      <c r="G727" s="164"/>
      <c r="H727" s="164"/>
      <c r="I727" s="162"/>
      <c r="J727" s="144"/>
      <c r="K727" s="144"/>
      <c r="L727" s="144"/>
      <c r="M727" s="145">
        <f t="shared" si="66"/>
        <v>0</v>
      </c>
      <c r="N727" s="145">
        <f t="shared" si="67"/>
        <v>0</v>
      </c>
      <c r="O727" s="146">
        <f t="shared" si="68"/>
        <v>0</v>
      </c>
      <c r="P727" s="146">
        <f>IF(B727="",0,SUMIF('NHAP XUAT'!$G$10:$J$1011,'Ghi So'!B727,'NHAP XUAT'!$J$10:$J$1011))</f>
        <v>0</v>
      </c>
      <c r="Q727" s="146">
        <f t="shared" si="69"/>
        <v>0</v>
      </c>
      <c r="R727" s="169"/>
      <c r="S727" s="169"/>
      <c r="T727" s="146">
        <f t="shared" si="70"/>
        <v>0</v>
      </c>
      <c r="U727" s="121" t="str">
        <f t="shared" si="71"/>
        <v>Close</v>
      </c>
      <c r="V727" s="117"/>
    </row>
    <row r="728" spans="1:22" ht="15" customHeight="1">
      <c r="A728" s="117"/>
      <c r="B728" s="144" t="str">
        <f>IF(D728="","","P"&amp;D728&amp;"MA"&amp;COUNTIF($D$14:D728,D728))</f>
        <v/>
      </c>
      <c r="C728" s="162"/>
      <c r="D728" s="163"/>
      <c r="E728" s="164"/>
      <c r="F728" s="164"/>
      <c r="G728" s="164"/>
      <c r="H728" s="164"/>
      <c r="I728" s="162"/>
      <c r="J728" s="144"/>
      <c r="K728" s="144"/>
      <c r="L728" s="144"/>
      <c r="M728" s="145">
        <f t="shared" si="66"/>
        <v>0</v>
      </c>
      <c r="N728" s="145">
        <f t="shared" si="67"/>
        <v>0</v>
      </c>
      <c r="O728" s="146">
        <f t="shared" si="68"/>
        <v>0</v>
      </c>
      <c r="P728" s="146">
        <f>IF(B728="",0,SUMIF('NHAP XUAT'!$G$10:$J$1011,'Ghi So'!B728,'NHAP XUAT'!$J$10:$J$1011))</f>
        <v>0</v>
      </c>
      <c r="Q728" s="146">
        <f t="shared" si="69"/>
        <v>0</v>
      </c>
      <c r="R728" s="169"/>
      <c r="S728" s="169"/>
      <c r="T728" s="146">
        <f t="shared" si="70"/>
        <v>0</v>
      </c>
      <c r="U728" s="121" t="str">
        <f t="shared" si="71"/>
        <v>Close</v>
      </c>
      <c r="V728" s="117"/>
    </row>
    <row r="729" spans="1:22" ht="15" customHeight="1">
      <c r="A729" s="117"/>
      <c r="B729" s="144" t="str">
        <f>IF(D729="","","P"&amp;D729&amp;"MA"&amp;COUNTIF($D$14:D729,D729))</f>
        <v/>
      </c>
      <c r="C729" s="162"/>
      <c r="D729" s="163"/>
      <c r="E729" s="164"/>
      <c r="F729" s="164"/>
      <c r="G729" s="164"/>
      <c r="H729" s="164"/>
      <c r="I729" s="162"/>
      <c r="J729" s="144"/>
      <c r="K729" s="144"/>
      <c r="L729" s="144"/>
      <c r="M729" s="145">
        <f t="shared" si="66"/>
        <v>0</v>
      </c>
      <c r="N729" s="145">
        <f t="shared" si="67"/>
        <v>0</v>
      </c>
      <c r="O729" s="146">
        <f t="shared" si="68"/>
        <v>0</v>
      </c>
      <c r="P729" s="146">
        <f>IF(B729="",0,SUMIF('NHAP XUAT'!$G$10:$J$1011,'Ghi So'!B729,'NHAP XUAT'!$J$10:$J$1011))</f>
        <v>0</v>
      </c>
      <c r="Q729" s="146">
        <f t="shared" si="69"/>
        <v>0</v>
      </c>
      <c r="R729" s="169"/>
      <c r="S729" s="169"/>
      <c r="T729" s="146">
        <f t="shared" si="70"/>
        <v>0</v>
      </c>
      <c r="U729" s="121" t="str">
        <f t="shared" si="71"/>
        <v>Close</v>
      </c>
      <c r="V729" s="117"/>
    </row>
    <row r="730" spans="1:22" ht="15" customHeight="1">
      <c r="A730" s="117"/>
      <c r="B730" s="144" t="str">
        <f>IF(D730="","","P"&amp;D730&amp;"MA"&amp;COUNTIF($D$14:D730,D730))</f>
        <v/>
      </c>
      <c r="C730" s="162"/>
      <c r="D730" s="163"/>
      <c r="E730" s="164"/>
      <c r="F730" s="164"/>
      <c r="G730" s="164"/>
      <c r="H730" s="164"/>
      <c r="I730" s="162"/>
      <c r="J730" s="144"/>
      <c r="K730" s="144"/>
      <c r="L730" s="144"/>
      <c r="M730" s="145">
        <f t="shared" si="66"/>
        <v>0</v>
      </c>
      <c r="N730" s="145">
        <f t="shared" si="67"/>
        <v>0</v>
      </c>
      <c r="O730" s="146">
        <f t="shared" si="68"/>
        <v>0</v>
      </c>
      <c r="P730" s="146">
        <f>IF(B730="",0,SUMIF('NHAP XUAT'!$G$10:$J$1011,'Ghi So'!B730,'NHAP XUAT'!$J$10:$J$1011))</f>
        <v>0</v>
      </c>
      <c r="Q730" s="146">
        <f t="shared" si="69"/>
        <v>0</v>
      </c>
      <c r="R730" s="169"/>
      <c r="S730" s="169"/>
      <c r="T730" s="146">
        <f t="shared" si="70"/>
        <v>0</v>
      </c>
      <c r="U730" s="121" t="str">
        <f t="shared" si="71"/>
        <v>Close</v>
      </c>
      <c r="V730" s="117"/>
    </row>
    <row r="731" spans="1:22" ht="15" customHeight="1">
      <c r="A731" s="117"/>
      <c r="B731" s="144" t="str">
        <f>IF(D731="","","P"&amp;D731&amp;"MA"&amp;COUNTIF($D$14:D731,D731))</f>
        <v/>
      </c>
      <c r="C731" s="162"/>
      <c r="D731" s="163"/>
      <c r="E731" s="164"/>
      <c r="F731" s="164"/>
      <c r="G731" s="164"/>
      <c r="H731" s="164"/>
      <c r="I731" s="162"/>
      <c r="J731" s="144"/>
      <c r="K731" s="144"/>
      <c r="L731" s="144"/>
      <c r="M731" s="145">
        <f t="shared" si="66"/>
        <v>0</v>
      </c>
      <c r="N731" s="145">
        <f t="shared" si="67"/>
        <v>0</v>
      </c>
      <c r="O731" s="146">
        <f t="shared" si="68"/>
        <v>0</v>
      </c>
      <c r="P731" s="146">
        <f>IF(B731="",0,SUMIF('NHAP XUAT'!$G$10:$J$1011,'Ghi So'!B731,'NHAP XUAT'!$J$10:$J$1011))</f>
        <v>0</v>
      </c>
      <c r="Q731" s="146">
        <f t="shared" si="69"/>
        <v>0</v>
      </c>
      <c r="R731" s="169"/>
      <c r="S731" s="169"/>
      <c r="T731" s="146">
        <f t="shared" si="70"/>
        <v>0</v>
      </c>
      <c r="U731" s="121" t="str">
        <f t="shared" si="71"/>
        <v>Close</v>
      </c>
      <c r="V731" s="117"/>
    </row>
    <row r="732" spans="1:22" ht="15" customHeight="1">
      <c r="A732" s="117"/>
      <c r="B732" s="144" t="str">
        <f>IF(D732="","","P"&amp;D732&amp;"MA"&amp;COUNTIF($D$14:D732,D732))</f>
        <v/>
      </c>
      <c r="C732" s="162"/>
      <c r="D732" s="163"/>
      <c r="E732" s="164"/>
      <c r="F732" s="164"/>
      <c r="G732" s="164"/>
      <c r="H732" s="164"/>
      <c r="I732" s="162"/>
      <c r="J732" s="144"/>
      <c r="K732" s="144"/>
      <c r="L732" s="144"/>
      <c r="M732" s="145">
        <f t="shared" si="66"/>
        <v>0</v>
      </c>
      <c r="N732" s="145">
        <f t="shared" si="67"/>
        <v>0</v>
      </c>
      <c r="O732" s="146">
        <f t="shared" si="68"/>
        <v>0</v>
      </c>
      <c r="P732" s="146">
        <f>IF(B732="",0,SUMIF('NHAP XUAT'!$G$10:$J$1011,'Ghi So'!B732,'NHAP XUAT'!$J$10:$J$1011))</f>
        <v>0</v>
      </c>
      <c r="Q732" s="146">
        <f t="shared" si="69"/>
        <v>0</v>
      </c>
      <c r="R732" s="169"/>
      <c r="S732" s="169"/>
      <c r="T732" s="146">
        <f t="shared" si="70"/>
        <v>0</v>
      </c>
      <c r="U732" s="121" t="str">
        <f t="shared" si="71"/>
        <v>Close</v>
      </c>
      <c r="V732" s="117"/>
    </row>
    <row r="733" spans="1:22" ht="15" customHeight="1">
      <c r="A733" s="117"/>
      <c r="B733" s="144" t="str">
        <f>IF(D733="","","P"&amp;D733&amp;"MA"&amp;COUNTIF($D$14:D733,D733))</f>
        <v/>
      </c>
      <c r="C733" s="162"/>
      <c r="D733" s="163"/>
      <c r="E733" s="164"/>
      <c r="F733" s="164"/>
      <c r="G733" s="164"/>
      <c r="H733" s="164"/>
      <c r="I733" s="162"/>
      <c r="J733" s="144"/>
      <c r="K733" s="144"/>
      <c r="L733" s="144"/>
      <c r="M733" s="145">
        <f t="shared" ref="M733:M796" si="72">(IF(I733&lt;&gt;"",(I733-C733)*24*60,0)+G733*60+H733-E733*60-F733)/60</f>
        <v>0</v>
      </c>
      <c r="N733" s="145">
        <f t="shared" ref="N733:N796" si="73">INT(M733)+IF(MOD(M733,2)&gt;0.25,1,0)</f>
        <v>0</v>
      </c>
      <c r="O733" s="146">
        <f t="shared" ref="O733:O796" si="74">IF(J733&lt;&gt;"",DG_nghigio+DG_themgio*(N733-1),IF(K733&lt;&gt;"",DG_quadem+DG_themgio*(N733-12),DG_ngay*L733))</f>
        <v>0</v>
      </c>
      <c r="P733" s="146">
        <f>IF(B733="",0,SUMIF('NHAP XUAT'!$G$10:$J$1011,'Ghi So'!B733,'NHAP XUAT'!$J$10:$J$1011))</f>
        <v>0</v>
      </c>
      <c r="Q733" s="146">
        <f t="shared" ref="Q733:Q796" si="75">O733+P733</f>
        <v>0</v>
      </c>
      <c r="R733" s="169"/>
      <c r="S733" s="169"/>
      <c r="T733" s="146">
        <f t="shared" ref="T733:T796" si="76">R733*S733</f>
        <v>0</v>
      </c>
      <c r="U733" s="121" t="str">
        <f t="shared" ref="U733:U796" si="77">D733&amp;IF(AND(G733="",H733="",I733=""),"Close","Open")</f>
        <v>Close</v>
      </c>
      <c r="V733" s="117"/>
    </row>
    <row r="734" spans="1:22" ht="15" customHeight="1">
      <c r="A734" s="117"/>
      <c r="B734" s="144" t="str">
        <f>IF(D734="","","P"&amp;D734&amp;"MA"&amp;COUNTIF($D$14:D734,D734))</f>
        <v/>
      </c>
      <c r="C734" s="162"/>
      <c r="D734" s="163"/>
      <c r="E734" s="164"/>
      <c r="F734" s="164"/>
      <c r="G734" s="164"/>
      <c r="H734" s="164"/>
      <c r="I734" s="162"/>
      <c r="J734" s="144"/>
      <c r="K734" s="144"/>
      <c r="L734" s="144"/>
      <c r="M734" s="145">
        <f t="shared" si="72"/>
        <v>0</v>
      </c>
      <c r="N734" s="145">
        <f t="shared" si="73"/>
        <v>0</v>
      </c>
      <c r="O734" s="146">
        <f t="shared" si="74"/>
        <v>0</v>
      </c>
      <c r="P734" s="146">
        <f>IF(B734="",0,SUMIF('NHAP XUAT'!$G$10:$J$1011,'Ghi So'!B734,'NHAP XUAT'!$J$10:$J$1011))</f>
        <v>0</v>
      </c>
      <c r="Q734" s="146">
        <f t="shared" si="75"/>
        <v>0</v>
      </c>
      <c r="R734" s="169"/>
      <c r="S734" s="169"/>
      <c r="T734" s="146">
        <f t="shared" si="76"/>
        <v>0</v>
      </c>
      <c r="U734" s="121" t="str">
        <f t="shared" si="77"/>
        <v>Close</v>
      </c>
      <c r="V734" s="117"/>
    </row>
    <row r="735" spans="1:22" ht="15" customHeight="1">
      <c r="A735" s="117"/>
      <c r="B735" s="144" t="str">
        <f>IF(D735="","","P"&amp;D735&amp;"MA"&amp;COUNTIF($D$14:D735,D735))</f>
        <v/>
      </c>
      <c r="C735" s="162"/>
      <c r="D735" s="163"/>
      <c r="E735" s="164"/>
      <c r="F735" s="164"/>
      <c r="G735" s="164"/>
      <c r="H735" s="164"/>
      <c r="I735" s="162"/>
      <c r="J735" s="144"/>
      <c r="K735" s="144"/>
      <c r="L735" s="144"/>
      <c r="M735" s="145">
        <f t="shared" si="72"/>
        <v>0</v>
      </c>
      <c r="N735" s="145">
        <f t="shared" si="73"/>
        <v>0</v>
      </c>
      <c r="O735" s="146">
        <f t="shared" si="74"/>
        <v>0</v>
      </c>
      <c r="P735" s="146">
        <f>IF(B735="",0,SUMIF('NHAP XUAT'!$G$10:$J$1011,'Ghi So'!B735,'NHAP XUAT'!$J$10:$J$1011))</f>
        <v>0</v>
      </c>
      <c r="Q735" s="146">
        <f t="shared" si="75"/>
        <v>0</v>
      </c>
      <c r="R735" s="169"/>
      <c r="S735" s="169"/>
      <c r="T735" s="146">
        <f t="shared" si="76"/>
        <v>0</v>
      </c>
      <c r="U735" s="121" t="str">
        <f t="shared" si="77"/>
        <v>Close</v>
      </c>
      <c r="V735" s="117"/>
    </row>
    <row r="736" spans="1:22" ht="15" customHeight="1">
      <c r="A736" s="117"/>
      <c r="B736" s="144" t="str">
        <f>IF(D736="","","P"&amp;D736&amp;"MA"&amp;COUNTIF($D$14:D736,D736))</f>
        <v/>
      </c>
      <c r="C736" s="162"/>
      <c r="D736" s="163"/>
      <c r="E736" s="164"/>
      <c r="F736" s="164"/>
      <c r="G736" s="164"/>
      <c r="H736" s="164"/>
      <c r="I736" s="162"/>
      <c r="J736" s="144"/>
      <c r="K736" s="144"/>
      <c r="L736" s="144"/>
      <c r="M736" s="145">
        <f t="shared" si="72"/>
        <v>0</v>
      </c>
      <c r="N736" s="145">
        <f t="shared" si="73"/>
        <v>0</v>
      </c>
      <c r="O736" s="146">
        <f t="shared" si="74"/>
        <v>0</v>
      </c>
      <c r="P736" s="146">
        <f>IF(B736="",0,SUMIF('NHAP XUAT'!$G$10:$J$1011,'Ghi So'!B736,'NHAP XUAT'!$J$10:$J$1011))</f>
        <v>0</v>
      </c>
      <c r="Q736" s="146">
        <f t="shared" si="75"/>
        <v>0</v>
      </c>
      <c r="R736" s="169"/>
      <c r="S736" s="169"/>
      <c r="T736" s="146">
        <f t="shared" si="76"/>
        <v>0</v>
      </c>
      <c r="U736" s="121" t="str">
        <f t="shared" si="77"/>
        <v>Close</v>
      </c>
      <c r="V736" s="117"/>
    </row>
    <row r="737" spans="1:22" ht="15" customHeight="1">
      <c r="A737" s="117"/>
      <c r="B737" s="144" t="str">
        <f>IF(D737="","","P"&amp;D737&amp;"MA"&amp;COUNTIF($D$14:D737,D737))</f>
        <v/>
      </c>
      <c r="C737" s="162"/>
      <c r="D737" s="163"/>
      <c r="E737" s="164"/>
      <c r="F737" s="164"/>
      <c r="G737" s="164"/>
      <c r="H737" s="164"/>
      <c r="I737" s="162"/>
      <c r="J737" s="144"/>
      <c r="K737" s="144"/>
      <c r="L737" s="144"/>
      <c r="M737" s="145">
        <f t="shared" si="72"/>
        <v>0</v>
      </c>
      <c r="N737" s="145">
        <f t="shared" si="73"/>
        <v>0</v>
      </c>
      <c r="O737" s="146">
        <f t="shared" si="74"/>
        <v>0</v>
      </c>
      <c r="P737" s="146">
        <f>IF(B737="",0,SUMIF('NHAP XUAT'!$G$10:$J$1011,'Ghi So'!B737,'NHAP XUAT'!$J$10:$J$1011))</f>
        <v>0</v>
      </c>
      <c r="Q737" s="146">
        <f t="shared" si="75"/>
        <v>0</v>
      </c>
      <c r="R737" s="169"/>
      <c r="S737" s="169"/>
      <c r="T737" s="146">
        <f t="shared" si="76"/>
        <v>0</v>
      </c>
      <c r="U737" s="121" t="str">
        <f t="shared" si="77"/>
        <v>Close</v>
      </c>
      <c r="V737" s="117"/>
    </row>
    <row r="738" spans="1:22" ht="15" customHeight="1">
      <c r="A738" s="117"/>
      <c r="B738" s="144" t="str">
        <f>IF(D738="","","P"&amp;D738&amp;"MA"&amp;COUNTIF($D$14:D738,D738))</f>
        <v/>
      </c>
      <c r="C738" s="162"/>
      <c r="D738" s="163"/>
      <c r="E738" s="164"/>
      <c r="F738" s="164"/>
      <c r="G738" s="164"/>
      <c r="H738" s="164"/>
      <c r="I738" s="162"/>
      <c r="J738" s="144"/>
      <c r="K738" s="144"/>
      <c r="L738" s="144"/>
      <c r="M738" s="145">
        <f t="shared" si="72"/>
        <v>0</v>
      </c>
      <c r="N738" s="145">
        <f t="shared" si="73"/>
        <v>0</v>
      </c>
      <c r="O738" s="146">
        <f t="shared" si="74"/>
        <v>0</v>
      </c>
      <c r="P738" s="146">
        <f>IF(B738="",0,SUMIF('NHAP XUAT'!$G$10:$J$1011,'Ghi So'!B738,'NHAP XUAT'!$J$10:$J$1011))</f>
        <v>0</v>
      </c>
      <c r="Q738" s="146">
        <f t="shared" si="75"/>
        <v>0</v>
      </c>
      <c r="R738" s="169"/>
      <c r="S738" s="169"/>
      <c r="T738" s="146">
        <f t="shared" si="76"/>
        <v>0</v>
      </c>
      <c r="U738" s="121" t="str">
        <f t="shared" si="77"/>
        <v>Close</v>
      </c>
      <c r="V738" s="117"/>
    </row>
    <row r="739" spans="1:22" ht="15" customHeight="1">
      <c r="A739" s="117"/>
      <c r="B739" s="144" t="str">
        <f>IF(D739="","","P"&amp;D739&amp;"MA"&amp;COUNTIF($D$14:D739,D739))</f>
        <v/>
      </c>
      <c r="C739" s="162"/>
      <c r="D739" s="163"/>
      <c r="E739" s="164"/>
      <c r="F739" s="164"/>
      <c r="G739" s="164"/>
      <c r="H739" s="164"/>
      <c r="I739" s="162"/>
      <c r="J739" s="144"/>
      <c r="K739" s="144"/>
      <c r="L739" s="144"/>
      <c r="M739" s="145">
        <f t="shared" si="72"/>
        <v>0</v>
      </c>
      <c r="N739" s="145">
        <f t="shared" si="73"/>
        <v>0</v>
      </c>
      <c r="O739" s="146">
        <f t="shared" si="74"/>
        <v>0</v>
      </c>
      <c r="P739" s="146">
        <f>IF(B739="",0,SUMIF('NHAP XUAT'!$G$10:$J$1011,'Ghi So'!B739,'NHAP XUAT'!$J$10:$J$1011))</f>
        <v>0</v>
      </c>
      <c r="Q739" s="146">
        <f t="shared" si="75"/>
        <v>0</v>
      </c>
      <c r="R739" s="169"/>
      <c r="S739" s="169"/>
      <c r="T739" s="146">
        <f t="shared" si="76"/>
        <v>0</v>
      </c>
      <c r="U739" s="121" t="str">
        <f t="shared" si="77"/>
        <v>Close</v>
      </c>
      <c r="V739" s="117"/>
    </row>
    <row r="740" spans="1:22" ht="15" customHeight="1">
      <c r="A740" s="117"/>
      <c r="B740" s="144" t="str">
        <f>IF(D740="","","P"&amp;D740&amp;"MA"&amp;COUNTIF($D$14:D740,D740))</f>
        <v/>
      </c>
      <c r="C740" s="162"/>
      <c r="D740" s="163"/>
      <c r="E740" s="164"/>
      <c r="F740" s="164"/>
      <c r="G740" s="164"/>
      <c r="H740" s="164"/>
      <c r="I740" s="162"/>
      <c r="J740" s="144"/>
      <c r="K740" s="144"/>
      <c r="L740" s="144"/>
      <c r="M740" s="145">
        <f t="shared" si="72"/>
        <v>0</v>
      </c>
      <c r="N740" s="145">
        <f t="shared" si="73"/>
        <v>0</v>
      </c>
      <c r="O740" s="146">
        <f t="shared" si="74"/>
        <v>0</v>
      </c>
      <c r="P740" s="146">
        <f>IF(B740="",0,SUMIF('NHAP XUAT'!$G$10:$J$1011,'Ghi So'!B740,'NHAP XUAT'!$J$10:$J$1011))</f>
        <v>0</v>
      </c>
      <c r="Q740" s="146">
        <f t="shared" si="75"/>
        <v>0</v>
      </c>
      <c r="R740" s="169"/>
      <c r="S740" s="169"/>
      <c r="T740" s="146">
        <f t="shared" si="76"/>
        <v>0</v>
      </c>
      <c r="U740" s="121" t="str">
        <f t="shared" si="77"/>
        <v>Close</v>
      </c>
      <c r="V740" s="117"/>
    </row>
    <row r="741" spans="1:22" ht="15" customHeight="1">
      <c r="A741" s="117"/>
      <c r="B741" s="144" t="str">
        <f>IF(D741="","","P"&amp;D741&amp;"MA"&amp;COUNTIF($D$14:D741,D741))</f>
        <v/>
      </c>
      <c r="C741" s="162"/>
      <c r="D741" s="163"/>
      <c r="E741" s="164"/>
      <c r="F741" s="164"/>
      <c r="G741" s="164"/>
      <c r="H741" s="164"/>
      <c r="I741" s="162"/>
      <c r="J741" s="144"/>
      <c r="K741" s="144"/>
      <c r="L741" s="144"/>
      <c r="M741" s="145">
        <f t="shared" si="72"/>
        <v>0</v>
      </c>
      <c r="N741" s="145">
        <f t="shared" si="73"/>
        <v>0</v>
      </c>
      <c r="O741" s="146">
        <f t="shared" si="74"/>
        <v>0</v>
      </c>
      <c r="P741" s="146">
        <f>IF(B741="",0,SUMIF('NHAP XUAT'!$G$10:$J$1011,'Ghi So'!B741,'NHAP XUAT'!$J$10:$J$1011))</f>
        <v>0</v>
      </c>
      <c r="Q741" s="146">
        <f t="shared" si="75"/>
        <v>0</v>
      </c>
      <c r="R741" s="169"/>
      <c r="S741" s="169"/>
      <c r="T741" s="146">
        <f t="shared" si="76"/>
        <v>0</v>
      </c>
      <c r="U741" s="121" t="str">
        <f t="shared" si="77"/>
        <v>Close</v>
      </c>
      <c r="V741" s="117"/>
    </row>
    <row r="742" spans="1:22" ht="15" customHeight="1">
      <c r="A742" s="117"/>
      <c r="B742" s="144" t="str">
        <f>IF(D742="","","P"&amp;D742&amp;"MA"&amp;COUNTIF($D$14:D742,D742))</f>
        <v/>
      </c>
      <c r="C742" s="162"/>
      <c r="D742" s="163"/>
      <c r="E742" s="164"/>
      <c r="F742" s="164"/>
      <c r="G742" s="164"/>
      <c r="H742" s="164"/>
      <c r="I742" s="162"/>
      <c r="J742" s="144"/>
      <c r="K742" s="144"/>
      <c r="L742" s="144"/>
      <c r="M742" s="145">
        <f t="shared" si="72"/>
        <v>0</v>
      </c>
      <c r="N742" s="145">
        <f t="shared" si="73"/>
        <v>0</v>
      </c>
      <c r="O742" s="146">
        <f t="shared" si="74"/>
        <v>0</v>
      </c>
      <c r="P742" s="146">
        <f>IF(B742="",0,SUMIF('NHAP XUAT'!$G$10:$J$1011,'Ghi So'!B742,'NHAP XUAT'!$J$10:$J$1011))</f>
        <v>0</v>
      </c>
      <c r="Q742" s="146">
        <f t="shared" si="75"/>
        <v>0</v>
      </c>
      <c r="R742" s="169"/>
      <c r="S742" s="169"/>
      <c r="T742" s="146">
        <f t="shared" si="76"/>
        <v>0</v>
      </c>
      <c r="U742" s="121" t="str">
        <f t="shared" si="77"/>
        <v>Close</v>
      </c>
      <c r="V742" s="117"/>
    </row>
    <row r="743" spans="1:22" ht="15" customHeight="1">
      <c r="A743" s="117"/>
      <c r="B743" s="144" t="str">
        <f>IF(D743="","","P"&amp;D743&amp;"MA"&amp;COUNTIF($D$14:D743,D743))</f>
        <v/>
      </c>
      <c r="C743" s="162"/>
      <c r="D743" s="163"/>
      <c r="E743" s="164"/>
      <c r="F743" s="164"/>
      <c r="G743" s="164"/>
      <c r="H743" s="164"/>
      <c r="I743" s="162"/>
      <c r="J743" s="144"/>
      <c r="K743" s="144"/>
      <c r="L743" s="144"/>
      <c r="M743" s="145">
        <f t="shared" si="72"/>
        <v>0</v>
      </c>
      <c r="N743" s="145">
        <f t="shared" si="73"/>
        <v>0</v>
      </c>
      <c r="O743" s="146">
        <f t="shared" si="74"/>
        <v>0</v>
      </c>
      <c r="P743" s="146">
        <f>IF(B743="",0,SUMIF('NHAP XUAT'!$G$10:$J$1011,'Ghi So'!B743,'NHAP XUAT'!$J$10:$J$1011))</f>
        <v>0</v>
      </c>
      <c r="Q743" s="146">
        <f t="shared" si="75"/>
        <v>0</v>
      </c>
      <c r="R743" s="169"/>
      <c r="S743" s="169"/>
      <c r="T743" s="146">
        <f t="shared" si="76"/>
        <v>0</v>
      </c>
      <c r="U743" s="121" t="str">
        <f t="shared" si="77"/>
        <v>Close</v>
      </c>
      <c r="V743" s="117"/>
    </row>
    <row r="744" spans="1:22" ht="15" customHeight="1">
      <c r="A744" s="117"/>
      <c r="B744" s="144" t="str">
        <f>IF(D744="","","P"&amp;D744&amp;"MA"&amp;COUNTIF($D$14:D744,D744))</f>
        <v/>
      </c>
      <c r="C744" s="162"/>
      <c r="D744" s="163"/>
      <c r="E744" s="164"/>
      <c r="F744" s="164"/>
      <c r="G744" s="164"/>
      <c r="H744" s="164"/>
      <c r="I744" s="162"/>
      <c r="J744" s="144"/>
      <c r="K744" s="144"/>
      <c r="L744" s="144"/>
      <c r="M744" s="145">
        <f t="shared" si="72"/>
        <v>0</v>
      </c>
      <c r="N744" s="145">
        <f t="shared" si="73"/>
        <v>0</v>
      </c>
      <c r="O744" s="146">
        <f t="shared" si="74"/>
        <v>0</v>
      </c>
      <c r="P744" s="146">
        <f>IF(B744="",0,SUMIF('NHAP XUAT'!$G$10:$J$1011,'Ghi So'!B744,'NHAP XUAT'!$J$10:$J$1011))</f>
        <v>0</v>
      </c>
      <c r="Q744" s="146">
        <f t="shared" si="75"/>
        <v>0</v>
      </c>
      <c r="R744" s="169"/>
      <c r="S744" s="169"/>
      <c r="T744" s="146">
        <f t="shared" si="76"/>
        <v>0</v>
      </c>
      <c r="U744" s="121" t="str">
        <f t="shared" si="77"/>
        <v>Close</v>
      </c>
      <c r="V744" s="117"/>
    </row>
    <row r="745" spans="1:22" ht="15" customHeight="1">
      <c r="A745" s="117"/>
      <c r="B745" s="144" t="str">
        <f>IF(D745="","","P"&amp;D745&amp;"MA"&amp;COUNTIF($D$14:D745,D745))</f>
        <v/>
      </c>
      <c r="C745" s="162"/>
      <c r="D745" s="163"/>
      <c r="E745" s="164"/>
      <c r="F745" s="164"/>
      <c r="G745" s="164"/>
      <c r="H745" s="164"/>
      <c r="I745" s="162"/>
      <c r="J745" s="144"/>
      <c r="K745" s="144"/>
      <c r="L745" s="144"/>
      <c r="M745" s="145">
        <f t="shared" si="72"/>
        <v>0</v>
      </c>
      <c r="N745" s="145">
        <f t="shared" si="73"/>
        <v>0</v>
      </c>
      <c r="O745" s="146">
        <f t="shared" si="74"/>
        <v>0</v>
      </c>
      <c r="P745" s="146">
        <f>IF(B745="",0,SUMIF('NHAP XUAT'!$G$10:$J$1011,'Ghi So'!B745,'NHAP XUAT'!$J$10:$J$1011))</f>
        <v>0</v>
      </c>
      <c r="Q745" s="146">
        <f t="shared" si="75"/>
        <v>0</v>
      </c>
      <c r="R745" s="169"/>
      <c r="S745" s="169"/>
      <c r="T745" s="146">
        <f t="shared" si="76"/>
        <v>0</v>
      </c>
      <c r="U745" s="121" t="str">
        <f t="shared" si="77"/>
        <v>Close</v>
      </c>
      <c r="V745" s="117"/>
    </row>
    <row r="746" spans="1:22" ht="15" customHeight="1">
      <c r="A746" s="117"/>
      <c r="B746" s="144" t="str">
        <f>IF(D746="","","P"&amp;D746&amp;"MA"&amp;COUNTIF($D$14:D746,D746))</f>
        <v/>
      </c>
      <c r="C746" s="162"/>
      <c r="D746" s="163"/>
      <c r="E746" s="164"/>
      <c r="F746" s="164"/>
      <c r="G746" s="164"/>
      <c r="H746" s="164"/>
      <c r="I746" s="162"/>
      <c r="J746" s="144"/>
      <c r="K746" s="144"/>
      <c r="L746" s="144"/>
      <c r="M746" s="145">
        <f t="shared" si="72"/>
        <v>0</v>
      </c>
      <c r="N746" s="145">
        <f t="shared" si="73"/>
        <v>0</v>
      </c>
      <c r="O746" s="146">
        <f t="shared" si="74"/>
        <v>0</v>
      </c>
      <c r="P746" s="146">
        <f>IF(B746="",0,SUMIF('NHAP XUAT'!$G$10:$J$1011,'Ghi So'!B746,'NHAP XUAT'!$J$10:$J$1011))</f>
        <v>0</v>
      </c>
      <c r="Q746" s="146">
        <f t="shared" si="75"/>
        <v>0</v>
      </c>
      <c r="R746" s="169"/>
      <c r="S746" s="169"/>
      <c r="T746" s="146">
        <f t="shared" si="76"/>
        <v>0</v>
      </c>
      <c r="U746" s="121" t="str">
        <f t="shared" si="77"/>
        <v>Close</v>
      </c>
      <c r="V746" s="117"/>
    </row>
    <row r="747" spans="1:22" ht="15" customHeight="1">
      <c r="A747" s="117"/>
      <c r="B747" s="144" t="str">
        <f>IF(D747="","","P"&amp;D747&amp;"MA"&amp;COUNTIF($D$14:D747,D747))</f>
        <v/>
      </c>
      <c r="C747" s="162"/>
      <c r="D747" s="163"/>
      <c r="E747" s="164"/>
      <c r="F747" s="164"/>
      <c r="G747" s="164"/>
      <c r="H747" s="164"/>
      <c r="I747" s="162"/>
      <c r="J747" s="144"/>
      <c r="K747" s="144"/>
      <c r="L747" s="144"/>
      <c r="M747" s="145">
        <f t="shared" si="72"/>
        <v>0</v>
      </c>
      <c r="N747" s="145">
        <f t="shared" si="73"/>
        <v>0</v>
      </c>
      <c r="O747" s="146">
        <f t="shared" si="74"/>
        <v>0</v>
      </c>
      <c r="P747" s="146">
        <f>IF(B747="",0,SUMIF('NHAP XUAT'!$G$10:$J$1011,'Ghi So'!B747,'NHAP XUAT'!$J$10:$J$1011))</f>
        <v>0</v>
      </c>
      <c r="Q747" s="146">
        <f t="shared" si="75"/>
        <v>0</v>
      </c>
      <c r="R747" s="169"/>
      <c r="S747" s="169"/>
      <c r="T747" s="146">
        <f t="shared" si="76"/>
        <v>0</v>
      </c>
      <c r="U747" s="121" t="str">
        <f t="shared" si="77"/>
        <v>Close</v>
      </c>
      <c r="V747" s="117"/>
    </row>
    <row r="748" spans="1:22" ht="15" customHeight="1">
      <c r="A748" s="117"/>
      <c r="B748" s="144" t="str">
        <f>IF(D748="","","P"&amp;D748&amp;"MA"&amp;COUNTIF($D$14:D748,D748))</f>
        <v/>
      </c>
      <c r="C748" s="162"/>
      <c r="D748" s="163"/>
      <c r="E748" s="164"/>
      <c r="F748" s="164"/>
      <c r="G748" s="164"/>
      <c r="H748" s="164"/>
      <c r="I748" s="162"/>
      <c r="J748" s="144"/>
      <c r="K748" s="144"/>
      <c r="L748" s="144"/>
      <c r="M748" s="145">
        <f t="shared" si="72"/>
        <v>0</v>
      </c>
      <c r="N748" s="145">
        <f t="shared" si="73"/>
        <v>0</v>
      </c>
      <c r="O748" s="146">
        <f t="shared" si="74"/>
        <v>0</v>
      </c>
      <c r="P748" s="146">
        <f>IF(B748="",0,SUMIF('NHAP XUAT'!$G$10:$J$1011,'Ghi So'!B748,'NHAP XUAT'!$J$10:$J$1011))</f>
        <v>0</v>
      </c>
      <c r="Q748" s="146">
        <f t="shared" si="75"/>
        <v>0</v>
      </c>
      <c r="R748" s="169"/>
      <c r="S748" s="169"/>
      <c r="T748" s="146">
        <f t="shared" si="76"/>
        <v>0</v>
      </c>
      <c r="U748" s="121" t="str">
        <f t="shared" si="77"/>
        <v>Close</v>
      </c>
      <c r="V748" s="117"/>
    </row>
    <row r="749" spans="1:22" ht="15" customHeight="1">
      <c r="A749" s="117"/>
      <c r="B749" s="144" t="str">
        <f>IF(D749="","","P"&amp;D749&amp;"MA"&amp;COUNTIF($D$14:D749,D749))</f>
        <v/>
      </c>
      <c r="C749" s="162"/>
      <c r="D749" s="163"/>
      <c r="E749" s="164"/>
      <c r="F749" s="164"/>
      <c r="G749" s="164"/>
      <c r="H749" s="164"/>
      <c r="I749" s="162"/>
      <c r="J749" s="144"/>
      <c r="K749" s="144"/>
      <c r="L749" s="144"/>
      <c r="M749" s="145">
        <f t="shared" si="72"/>
        <v>0</v>
      </c>
      <c r="N749" s="145">
        <f t="shared" si="73"/>
        <v>0</v>
      </c>
      <c r="O749" s="146">
        <f t="shared" si="74"/>
        <v>0</v>
      </c>
      <c r="P749" s="146">
        <f>IF(B749="",0,SUMIF('NHAP XUAT'!$G$10:$J$1011,'Ghi So'!B749,'NHAP XUAT'!$J$10:$J$1011))</f>
        <v>0</v>
      </c>
      <c r="Q749" s="146">
        <f t="shared" si="75"/>
        <v>0</v>
      </c>
      <c r="R749" s="169"/>
      <c r="S749" s="169"/>
      <c r="T749" s="146">
        <f t="shared" si="76"/>
        <v>0</v>
      </c>
      <c r="U749" s="121" t="str">
        <f t="shared" si="77"/>
        <v>Close</v>
      </c>
      <c r="V749" s="117"/>
    </row>
    <row r="750" spans="1:22" ht="15" customHeight="1">
      <c r="A750" s="117"/>
      <c r="B750" s="144" t="str">
        <f>IF(D750="","","P"&amp;D750&amp;"MA"&amp;COUNTIF($D$14:D750,D750))</f>
        <v/>
      </c>
      <c r="C750" s="162"/>
      <c r="D750" s="163"/>
      <c r="E750" s="164"/>
      <c r="F750" s="164"/>
      <c r="G750" s="164"/>
      <c r="H750" s="164"/>
      <c r="I750" s="162"/>
      <c r="J750" s="144"/>
      <c r="K750" s="144"/>
      <c r="L750" s="144"/>
      <c r="M750" s="145">
        <f t="shared" si="72"/>
        <v>0</v>
      </c>
      <c r="N750" s="145">
        <f t="shared" si="73"/>
        <v>0</v>
      </c>
      <c r="O750" s="146">
        <f t="shared" si="74"/>
        <v>0</v>
      </c>
      <c r="P750" s="146">
        <f>IF(B750="",0,SUMIF('NHAP XUAT'!$G$10:$J$1011,'Ghi So'!B750,'NHAP XUAT'!$J$10:$J$1011))</f>
        <v>0</v>
      </c>
      <c r="Q750" s="146">
        <f t="shared" si="75"/>
        <v>0</v>
      </c>
      <c r="R750" s="169"/>
      <c r="S750" s="169"/>
      <c r="T750" s="146">
        <f t="shared" si="76"/>
        <v>0</v>
      </c>
      <c r="U750" s="121" t="str">
        <f t="shared" si="77"/>
        <v>Close</v>
      </c>
      <c r="V750" s="117"/>
    </row>
    <row r="751" spans="1:22" ht="15" customHeight="1">
      <c r="A751" s="117"/>
      <c r="B751" s="144" t="str">
        <f>IF(D751="","","P"&amp;D751&amp;"MA"&amp;COUNTIF($D$14:D751,D751))</f>
        <v/>
      </c>
      <c r="C751" s="162"/>
      <c r="D751" s="163"/>
      <c r="E751" s="164"/>
      <c r="F751" s="164"/>
      <c r="G751" s="164"/>
      <c r="H751" s="164"/>
      <c r="I751" s="162"/>
      <c r="J751" s="144"/>
      <c r="K751" s="144"/>
      <c r="L751" s="144"/>
      <c r="M751" s="145">
        <f t="shared" si="72"/>
        <v>0</v>
      </c>
      <c r="N751" s="145">
        <f t="shared" si="73"/>
        <v>0</v>
      </c>
      <c r="O751" s="146">
        <f t="shared" si="74"/>
        <v>0</v>
      </c>
      <c r="P751" s="146">
        <f>IF(B751="",0,SUMIF('NHAP XUAT'!$G$10:$J$1011,'Ghi So'!B751,'NHAP XUAT'!$J$10:$J$1011))</f>
        <v>0</v>
      </c>
      <c r="Q751" s="146">
        <f t="shared" si="75"/>
        <v>0</v>
      </c>
      <c r="R751" s="169"/>
      <c r="S751" s="169"/>
      <c r="T751" s="146">
        <f t="shared" si="76"/>
        <v>0</v>
      </c>
      <c r="U751" s="121" t="str">
        <f t="shared" si="77"/>
        <v>Close</v>
      </c>
      <c r="V751" s="117"/>
    </row>
    <row r="752" spans="1:22" ht="15" customHeight="1">
      <c r="A752" s="117"/>
      <c r="B752" s="144" t="str">
        <f>IF(D752="","","P"&amp;D752&amp;"MA"&amp;COUNTIF($D$14:D752,D752))</f>
        <v/>
      </c>
      <c r="C752" s="162"/>
      <c r="D752" s="163"/>
      <c r="E752" s="164"/>
      <c r="F752" s="164"/>
      <c r="G752" s="164"/>
      <c r="H752" s="164"/>
      <c r="I752" s="162"/>
      <c r="J752" s="144"/>
      <c r="K752" s="144"/>
      <c r="L752" s="144"/>
      <c r="M752" s="145">
        <f t="shared" si="72"/>
        <v>0</v>
      </c>
      <c r="N752" s="145">
        <f t="shared" si="73"/>
        <v>0</v>
      </c>
      <c r="O752" s="146">
        <f t="shared" si="74"/>
        <v>0</v>
      </c>
      <c r="P752" s="146">
        <f>IF(B752="",0,SUMIF('NHAP XUAT'!$G$10:$J$1011,'Ghi So'!B752,'NHAP XUAT'!$J$10:$J$1011))</f>
        <v>0</v>
      </c>
      <c r="Q752" s="146">
        <f t="shared" si="75"/>
        <v>0</v>
      </c>
      <c r="R752" s="169"/>
      <c r="S752" s="169"/>
      <c r="T752" s="146">
        <f t="shared" si="76"/>
        <v>0</v>
      </c>
      <c r="U752" s="121" t="str">
        <f t="shared" si="77"/>
        <v>Close</v>
      </c>
      <c r="V752" s="117"/>
    </row>
    <row r="753" spans="1:22" ht="15" customHeight="1">
      <c r="A753" s="117"/>
      <c r="B753" s="144" t="str">
        <f>IF(D753="","","P"&amp;D753&amp;"MA"&amp;COUNTIF($D$14:D753,D753))</f>
        <v/>
      </c>
      <c r="C753" s="162"/>
      <c r="D753" s="163"/>
      <c r="E753" s="164"/>
      <c r="F753" s="164"/>
      <c r="G753" s="164"/>
      <c r="H753" s="164"/>
      <c r="I753" s="162"/>
      <c r="J753" s="144"/>
      <c r="K753" s="144"/>
      <c r="L753" s="144"/>
      <c r="M753" s="145">
        <f t="shared" si="72"/>
        <v>0</v>
      </c>
      <c r="N753" s="145">
        <f t="shared" si="73"/>
        <v>0</v>
      </c>
      <c r="O753" s="146">
        <f t="shared" si="74"/>
        <v>0</v>
      </c>
      <c r="P753" s="146">
        <f>IF(B753="",0,SUMIF('NHAP XUAT'!$G$10:$J$1011,'Ghi So'!B753,'NHAP XUAT'!$J$10:$J$1011))</f>
        <v>0</v>
      </c>
      <c r="Q753" s="146">
        <f t="shared" si="75"/>
        <v>0</v>
      </c>
      <c r="R753" s="169"/>
      <c r="S753" s="169"/>
      <c r="T753" s="146">
        <f t="shared" si="76"/>
        <v>0</v>
      </c>
      <c r="U753" s="121" t="str">
        <f t="shared" si="77"/>
        <v>Close</v>
      </c>
      <c r="V753" s="117"/>
    </row>
    <row r="754" spans="1:22" ht="15" customHeight="1">
      <c r="A754" s="117"/>
      <c r="B754" s="144" t="str">
        <f>IF(D754="","","P"&amp;D754&amp;"MA"&amp;COUNTIF($D$14:D754,D754))</f>
        <v/>
      </c>
      <c r="C754" s="162"/>
      <c r="D754" s="163"/>
      <c r="E754" s="164"/>
      <c r="F754" s="164"/>
      <c r="G754" s="164"/>
      <c r="H754" s="164"/>
      <c r="I754" s="162"/>
      <c r="J754" s="144"/>
      <c r="K754" s="144"/>
      <c r="L754" s="144"/>
      <c r="M754" s="145">
        <f t="shared" si="72"/>
        <v>0</v>
      </c>
      <c r="N754" s="145">
        <f t="shared" si="73"/>
        <v>0</v>
      </c>
      <c r="O754" s="146">
        <f t="shared" si="74"/>
        <v>0</v>
      </c>
      <c r="P754" s="146">
        <f>IF(B754="",0,SUMIF('NHAP XUAT'!$G$10:$J$1011,'Ghi So'!B754,'NHAP XUAT'!$J$10:$J$1011))</f>
        <v>0</v>
      </c>
      <c r="Q754" s="146">
        <f t="shared" si="75"/>
        <v>0</v>
      </c>
      <c r="R754" s="169"/>
      <c r="S754" s="169"/>
      <c r="T754" s="146">
        <f t="shared" si="76"/>
        <v>0</v>
      </c>
      <c r="U754" s="121" t="str">
        <f t="shared" si="77"/>
        <v>Close</v>
      </c>
      <c r="V754" s="117"/>
    </row>
    <row r="755" spans="1:22" ht="15" customHeight="1">
      <c r="A755" s="117"/>
      <c r="B755" s="144" t="str">
        <f>IF(D755="","","P"&amp;D755&amp;"MA"&amp;COUNTIF($D$14:D755,D755))</f>
        <v/>
      </c>
      <c r="C755" s="162"/>
      <c r="D755" s="163"/>
      <c r="E755" s="164"/>
      <c r="F755" s="164"/>
      <c r="G755" s="164"/>
      <c r="H755" s="164"/>
      <c r="I755" s="162"/>
      <c r="J755" s="144"/>
      <c r="K755" s="144"/>
      <c r="L755" s="144"/>
      <c r="M755" s="145">
        <f t="shared" si="72"/>
        <v>0</v>
      </c>
      <c r="N755" s="145">
        <f t="shared" si="73"/>
        <v>0</v>
      </c>
      <c r="O755" s="146">
        <f t="shared" si="74"/>
        <v>0</v>
      </c>
      <c r="P755" s="146">
        <f>IF(B755="",0,SUMIF('NHAP XUAT'!$G$10:$J$1011,'Ghi So'!B755,'NHAP XUAT'!$J$10:$J$1011))</f>
        <v>0</v>
      </c>
      <c r="Q755" s="146">
        <f t="shared" si="75"/>
        <v>0</v>
      </c>
      <c r="R755" s="169"/>
      <c r="S755" s="169"/>
      <c r="T755" s="146">
        <f t="shared" si="76"/>
        <v>0</v>
      </c>
      <c r="U755" s="121" t="str">
        <f t="shared" si="77"/>
        <v>Close</v>
      </c>
      <c r="V755" s="117"/>
    </row>
    <row r="756" spans="1:22" ht="15" customHeight="1">
      <c r="A756" s="117"/>
      <c r="B756" s="144" t="str">
        <f>IF(D756="","","P"&amp;D756&amp;"MA"&amp;COUNTIF($D$14:D756,D756))</f>
        <v/>
      </c>
      <c r="C756" s="162"/>
      <c r="D756" s="163"/>
      <c r="E756" s="164"/>
      <c r="F756" s="164"/>
      <c r="G756" s="164"/>
      <c r="H756" s="164"/>
      <c r="I756" s="162"/>
      <c r="J756" s="144"/>
      <c r="K756" s="144"/>
      <c r="L756" s="144"/>
      <c r="M756" s="145">
        <f t="shared" si="72"/>
        <v>0</v>
      </c>
      <c r="N756" s="145">
        <f t="shared" si="73"/>
        <v>0</v>
      </c>
      <c r="O756" s="146">
        <f t="shared" si="74"/>
        <v>0</v>
      </c>
      <c r="P756" s="146">
        <f>IF(B756="",0,SUMIF('NHAP XUAT'!$G$10:$J$1011,'Ghi So'!B756,'NHAP XUAT'!$J$10:$J$1011))</f>
        <v>0</v>
      </c>
      <c r="Q756" s="146">
        <f t="shared" si="75"/>
        <v>0</v>
      </c>
      <c r="R756" s="169"/>
      <c r="S756" s="169"/>
      <c r="T756" s="146">
        <f t="shared" si="76"/>
        <v>0</v>
      </c>
      <c r="U756" s="121" t="str">
        <f t="shared" si="77"/>
        <v>Close</v>
      </c>
      <c r="V756" s="117"/>
    </row>
    <row r="757" spans="1:22" ht="15" customHeight="1">
      <c r="A757" s="117"/>
      <c r="B757" s="144" t="str">
        <f>IF(D757="","","P"&amp;D757&amp;"MA"&amp;COUNTIF($D$14:D757,D757))</f>
        <v/>
      </c>
      <c r="C757" s="162"/>
      <c r="D757" s="163"/>
      <c r="E757" s="164"/>
      <c r="F757" s="164"/>
      <c r="G757" s="164"/>
      <c r="H757" s="164"/>
      <c r="I757" s="162"/>
      <c r="J757" s="144"/>
      <c r="K757" s="144"/>
      <c r="L757" s="144"/>
      <c r="M757" s="145">
        <f t="shared" si="72"/>
        <v>0</v>
      </c>
      <c r="N757" s="145">
        <f t="shared" si="73"/>
        <v>0</v>
      </c>
      <c r="O757" s="146">
        <f t="shared" si="74"/>
        <v>0</v>
      </c>
      <c r="P757" s="146">
        <f>IF(B757="",0,SUMIF('NHAP XUAT'!$G$10:$J$1011,'Ghi So'!B757,'NHAP XUAT'!$J$10:$J$1011))</f>
        <v>0</v>
      </c>
      <c r="Q757" s="146">
        <f t="shared" si="75"/>
        <v>0</v>
      </c>
      <c r="R757" s="169"/>
      <c r="S757" s="169"/>
      <c r="T757" s="146">
        <f t="shared" si="76"/>
        <v>0</v>
      </c>
      <c r="U757" s="121" t="str">
        <f t="shared" si="77"/>
        <v>Close</v>
      </c>
      <c r="V757" s="117"/>
    </row>
    <row r="758" spans="1:22" ht="15" customHeight="1">
      <c r="A758" s="117"/>
      <c r="B758" s="144" t="str">
        <f>IF(D758="","","P"&amp;D758&amp;"MA"&amp;COUNTIF($D$14:D758,D758))</f>
        <v/>
      </c>
      <c r="C758" s="162"/>
      <c r="D758" s="163"/>
      <c r="E758" s="164"/>
      <c r="F758" s="164"/>
      <c r="G758" s="164"/>
      <c r="H758" s="164"/>
      <c r="I758" s="162"/>
      <c r="J758" s="144"/>
      <c r="K758" s="144"/>
      <c r="L758" s="144"/>
      <c r="M758" s="145">
        <f t="shared" si="72"/>
        <v>0</v>
      </c>
      <c r="N758" s="145">
        <f t="shared" si="73"/>
        <v>0</v>
      </c>
      <c r="O758" s="146">
        <f t="shared" si="74"/>
        <v>0</v>
      </c>
      <c r="P758" s="146">
        <f>IF(B758="",0,SUMIF('NHAP XUAT'!$G$10:$J$1011,'Ghi So'!B758,'NHAP XUAT'!$J$10:$J$1011))</f>
        <v>0</v>
      </c>
      <c r="Q758" s="146">
        <f t="shared" si="75"/>
        <v>0</v>
      </c>
      <c r="R758" s="169"/>
      <c r="S758" s="169"/>
      <c r="T758" s="146">
        <f t="shared" si="76"/>
        <v>0</v>
      </c>
      <c r="U758" s="121" t="str">
        <f t="shared" si="77"/>
        <v>Close</v>
      </c>
      <c r="V758" s="117"/>
    </row>
    <row r="759" spans="1:22" ht="15" customHeight="1">
      <c r="A759" s="117"/>
      <c r="B759" s="144" t="str">
        <f>IF(D759="","","P"&amp;D759&amp;"MA"&amp;COUNTIF($D$14:D759,D759))</f>
        <v/>
      </c>
      <c r="C759" s="162"/>
      <c r="D759" s="163"/>
      <c r="E759" s="164"/>
      <c r="F759" s="164"/>
      <c r="G759" s="164"/>
      <c r="H759" s="164"/>
      <c r="I759" s="162"/>
      <c r="J759" s="144"/>
      <c r="K759" s="144"/>
      <c r="L759" s="144"/>
      <c r="M759" s="145">
        <f t="shared" si="72"/>
        <v>0</v>
      </c>
      <c r="N759" s="145">
        <f t="shared" si="73"/>
        <v>0</v>
      </c>
      <c r="O759" s="146">
        <f t="shared" si="74"/>
        <v>0</v>
      </c>
      <c r="P759" s="146">
        <f>IF(B759="",0,SUMIF('NHAP XUAT'!$G$10:$J$1011,'Ghi So'!B759,'NHAP XUAT'!$J$10:$J$1011))</f>
        <v>0</v>
      </c>
      <c r="Q759" s="146">
        <f t="shared" si="75"/>
        <v>0</v>
      </c>
      <c r="R759" s="169"/>
      <c r="S759" s="169"/>
      <c r="T759" s="146">
        <f t="shared" si="76"/>
        <v>0</v>
      </c>
      <c r="U759" s="121" t="str">
        <f t="shared" si="77"/>
        <v>Close</v>
      </c>
      <c r="V759" s="117"/>
    </row>
    <row r="760" spans="1:22" ht="15" customHeight="1">
      <c r="A760" s="117"/>
      <c r="B760" s="144" t="str">
        <f>IF(D760="","","P"&amp;D760&amp;"MA"&amp;COUNTIF($D$14:D760,D760))</f>
        <v/>
      </c>
      <c r="C760" s="162"/>
      <c r="D760" s="163"/>
      <c r="E760" s="164"/>
      <c r="F760" s="164"/>
      <c r="G760" s="164"/>
      <c r="H760" s="164"/>
      <c r="I760" s="162"/>
      <c r="J760" s="144"/>
      <c r="K760" s="144"/>
      <c r="L760" s="144"/>
      <c r="M760" s="145">
        <f t="shared" si="72"/>
        <v>0</v>
      </c>
      <c r="N760" s="145">
        <f t="shared" si="73"/>
        <v>0</v>
      </c>
      <c r="O760" s="146">
        <f t="shared" si="74"/>
        <v>0</v>
      </c>
      <c r="P760" s="146">
        <f>IF(B760="",0,SUMIF('NHAP XUAT'!$G$10:$J$1011,'Ghi So'!B760,'NHAP XUAT'!$J$10:$J$1011))</f>
        <v>0</v>
      </c>
      <c r="Q760" s="146">
        <f t="shared" si="75"/>
        <v>0</v>
      </c>
      <c r="R760" s="169"/>
      <c r="S760" s="169"/>
      <c r="T760" s="146">
        <f t="shared" si="76"/>
        <v>0</v>
      </c>
      <c r="U760" s="121" t="str">
        <f t="shared" si="77"/>
        <v>Close</v>
      </c>
      <c r="V760" s="117"/>
    </row>
    <row r="761" spans="1:22" ht="15" customHeight="1">
      <c r="A761" s="117"/>
      <c r="B761" s="144" t="str">
        <f>IF(D761="","","P"&amp;D761&amp;"MA"&amp;COUNTIF($D$14:D761,D761))</f>
        <v/>
      </c>
      <c r="C761" s="162"/>
      <c r="D761" s="163"/>
      <c r="E761" s="164"/>
      <c r="F761" s="164"/>
      <c r="G761" s="164"/>
      <c r="H761" s="164"/>
      <c r="I761" s="162"/>
      <c r="J761" s="144"/>
      <c r="K761" s="144"/>
      <c r="L761" s="144"/>
      <c r="M761" s="145">
        <f t="shared" si="72"/>
        <v>0</v>
      </c>
      <c r="N761" s="145">
        <f t="shared" si="73"/>
        <v>0</v>
      </c>
      <c r="O761" s="146">
        <f t="shared" si="74"/>
        <v>0</v>
      </c>
      <c r="P761" s="146">
        <f>IF(B761="",0,SUMIF('NHAP XUAT'!$G$10:$J$1011,'Ghi So'!B761,'NHAP XUAT'!$J$10:$J$1011))</f>
        <v>0</v>
      </c>
      <c r="Q761" s="146">
        <f t="shared" si="75"/>
        <v>0</v>
      </c>
      <c r="R761" s="169"/>
      <c r="S761" s="169"/>
      <c r="T761" s="146">
        <f t="shared" si="76"/>
        <v>0</v>
      </c>
      <c r="U761" s="121" t="str">
        <f t="shared" si="77"/>
        <v>Close</v>
      </c>
      <c r="V761" s="117"/>
    </row>
    <row r="762" spans="1:22" ht="15" customHeight="1">
      <c r="A762" s="117"/>
      <c r="B762" s="144" t="str">
        <f>IF(D762="","","P"&amp;D762&amp;"MA"&amp;COUNTIF($D$14:D762,D762))</f>
        <v/>
      </c>
      <c r="C762" s="162"/>
      <c r="D762" s="163"/>
      <c r="E762" s="164"/>
      <c r="F762" s="164"/>
      <c r="G762" s="164"/>
      <c r="H762" s="164"/>
      <c r="I762" s="162"/>
      <c r="J762" s="144"/>
      <c r="K762" s="144"/>
      <c r="L762" s="144"/>
      <c r="M762" s="145">
        <f t="shared" si="72"/>
        <v>0</v>
      </c>
      <c r="N762" s="145">
        <f t="shared" si="73"/>
        <v>0</v>
      </c>
      <c r="O762" s="146">
        <f t="shared" si="74"/>
        <v>0</v>
      </c>
      <c r="P762" s="146">
        <f>IF(B762="",0,SUMIF('NHAP XUAT'!$G$10:$J$1011,'Ghi So'!B762,'NHAP XUAT'!$J$10:$J$1011))</f>
        <v>0</v>
      </c>
      <c r="Q762" s="146">
        <f t="shared" si="75"/>
        <v>0</v>
      </c>
      <c r="R762" s="169"/>
      <c r="S762" s="169"/>
      <c r="T762" s="146">
        <f t="shared" si="76"/>
        <v>0</v>
      </c>
      <c r="U762" s="121" t="str">
        <f t="shared" si="77"/>
        <v>Close</v>
      </c>
      <c r="V762" s="117"/>
    </row>
    <row r="763" spans="1:22" ht="15" customHeight="1">
      <c r="A763" s="117"/>
      <c r="B763" s="144" t="str">
        <f>IF(D763="","","P"&amp;D763&amp;"MA"&amp;COUNTIF($D$14:D763,D763))</f>
        <v/>
      </c>
      <c r="C763" s="162"/>
      <c r="D763" s="163"/>
      <c r="E763" s="164"/>
      <c r="F763" s="164"/>
      <c r="G763" s="164"/>
      <c r="H763" s="164"/>
      <c r="I763" s="162"/>
      <c r="J763" s="144"/>
      <c r="K763" s="144"/>
      <c r="L763" s="144"/>
      <c r="M763" s="145">
        <f t="shared" si="72"/>
        <v>0</v>
      </c>
      <c r="N763" s="145">
        <f t="shared" si="73"/>
        <v>0</v>
      </c>
      <c r="O763" s="146">
        <f t="shared" si="74"/>
        <v>0</v>
      </c>
      <c r="P763" s="146">
        <f>IF(B763="",0,SUMIF('NHAP XUAT'!$G$10:$J$1011,'Ghi So'!B763,'NHAP XUAT'!$J$10:$J$1011))</f>
        <v>0</v>
      </c>
      <c r="Q763" s="146">
        <f t="shared" si="75"/>
        <v>0</v>
      </c>
      <c r="R763" s="169"/>
      <c r="S763" s="169"/>
      <c r="T763" s="146">
        <f t="shared" si="76"/>
        <v>0</v>
      </c>
      <c r="U763" s="121" t="str">
        <f t="shared" si="77"/>
        <v>Close</v>
      </c>
      <c r="V763" s="117"/>
    </row>
    <row r="764" spans="1:22" ht="15" customHeight="1">
      <c r="A764" s="117"/>
      <c r="B764" s="144" t="str">
        <f>IF(D764="","","P"&amp;D764&amp;"MA"&amp;COUNTIF($D$14:D764,D764))</f>
        <v/>
      </c>
      <c r="C764" s="162"/>
      <c r="D764" s="163"/>
      <c r="E764" s="164"/>
      <c r="F764" s="164"/>
      <c r="G764" s="164"/>
      <c r="H764" s="164"/>
      <c r="I764" s="162"/>
      <c r="J764" s="144"/>
      <c r="K764" s="144"/>
      <c r="L764" s="144"/>
      <c r="M764" s="145">
        <f t="shared" si="72"/>
        <v>0</v>
      </c>
      <c r="N764" s="145">
        <f t="shared" si="73"/>
        <v>0</v>
      </c>
      <c r="O764" s="146">
        <f t="shared" si="74"/>
        <v>0</v>
      </c>
      <c r="P764" s="146">
        <f>IF(B764="",0,SUMIF('NHAP XUAT'!$G$10:$J$1011,'Ghi So'!B764,'NHAP XUAT'!$J$10:$J$1011))</f>
        <v>0</v>
      </c>
      <c r="Q764" s="146">
        <f t="shared" si="75"/>
        <v>0</v>
      </c>
      <c r="R764" s="169"/>
      <c r="S764" s="169"/>
      <c r="T764" s="146">
        <f t="shared" si="76"/>
        <v>0</v>
      </c>
      <c r="U764" s="121" t="str">
        <f t="shared" si="77"/>
        <v>Close</v>
      </c>
      <c r="V764" s="117"/>
    </row>
    <row r="765" spans="1:22" ht="15" customHeight="1">
      <c r="A765" s="117"/>
      <c r="B765" s="144" t="str">
        <f>IF(D765="","","P"&amp;D765&amp;"MA"&amp;COUNTIF($D$14:D765,D765))</f>
        <v/>
      </c>
      <c r="C765" s="162"/>
      <c r="D765" s="163"/>
      <c r="E765" s="164"/>
      <c r="F765" s="164"/>
      <c r="G765" s="164"/>
      <c r="H765" s="164"/>
      <c r="I765" s="162"/>
      <c r="J765" s="144"/>
      <c r="K765" s="144"/>
      <c r="L765" s="144"/>
      <c r="M765" s="145">
        <f t="shared" si="72"/>
        <v>0</v>
      </c>
      <c r="N765" s="145">
        <f t="shared" si="73"/>
        <v>0</v>
      </c>
      <c r="O765" s="146">
        <f t="shared" si="74"/>
        <v>0</v>
      </c>
      <c r="P765" s="146">
        <f>IF(B765="",0,SUMIF('NHAP XUAT'!$G$10:$J$1011,'Ghi So'!B765,'NHAP XUAT'!$J$10:$J$1011))</f>
        <v>0</v>
      </c>
      <c r="Q765" s="146">
        <f t="shared" si="75"/>
        <v>0</v>
      </c>
      <c r="R765" s="169"/>
      <c r="S765" s="169"/>
      <c r="T765" s="146">
        <f t="shared" si="76"/>
        <v>0</v>
      </c>
      <c r="U765" s="121" t="str">
        <f t="shared" si="77"/>
        <v>Close</v>
      </c>
      <c r="V765" s="117"/>
    </row>
    <row r="766" spans="1:22" ht="15" customHeight="1">
      <c r="A766" s="117"/>
      <c r="B766" s="144" t="str">
        <f>IF(D766="","","P"&amp;D766&amp;"MA"&amp;COUNTIF($D$14:D766,D766))</f>
        <v/>
      </c>
      <c r="C766" s="162"/>
      <c r="D766" s="163"/>
      <c r="E766" s="164"/>
      <c r="F766" s="164"/>
      <c r="G766" s="164"/>
      <c r="H766" s="164"/>
      <c r="I766" s="162"/>
      <c r="J766" s="144"/>
      <c r="K766" s="144"/>
      <c r="L766" s="144"/>
      <c r="M766" s="145">
        <f t="shared" si="72"/>
        <v>0</v>
      </c>
      <c r="N766" s="145">
        <f t="shared" si="73"/>
        <v>0</v>
      </c>
      <c r="O766" s="146">
        <f t="shared" si="74"/>
        <v>0</v>
      </c>
      <c r="P766" s="146">
        <f>IF(B766="",0,SUMIF('NHAP XUAT'!$G$10:$J$1011,'Ghi So'!B766,'NHAP XUAT'!$J$10:$J$1011))</f>
        <v>0</v>
      </c>
      <c r="Q766" s="146">
        <f t="shared" si="75"/>
        <v>0</v>
      </c>
      <c r="R766" s="169"/>
      <c r="S766" s="169"/>
      <c r="T766" s="146">
        <f t="shared" si="76"/>
        <v>0</v>
      </c>
      <c r="U766" s="121" t="str">
        <f t="shared" si="77"/>
        <v>Close</v>
      </c>
      <c r="V766" s="117"/>
    </row>
    <row r="767" spans="1:22" ht="15" customHeight="1">
      <c r="A767" s="117"/>
      <c r="B767" s="144" t="str">
        <f>IF(D767="","","P"&amp;D767&amp;"MA"&amp;COUNTIF($D$14:D767,D767))</f>
        <v/>
      </c>
      <c r="C767" s="162"/>
      <c r="D767" s="163"/>
      <c r="E767" s="164"/>
      <c r="F767" s="164"/>
      <c r="G767" s="164"/>
      <c r="H767" s="164"/>
      <c r="I767" s="162"/>
      <c r="J767" s="144"/>
      <c r="K767" s="144"/>
      <c r="L767" s="144"/>
      <c r="M767" s="145">
        <f t="shared" si="72"/>
        <v>0</v>
      </c>
      <c r="N767" s="145">
        <f t="shared" si="73"/>
        <v>0</v>
      </c>
      <c r="O767" s="146">
        <f t="shared" si="74"/>
        <v>0</v>
      </c>
      <c r="P767" s="146">
        <f>IF(B767="",0,SUMIF('NHAP XUAT'!$G$10:$J$1011,'Ghi So'!B767,'NHAP XUAT'!$J$10:$J$1011))</f>
        <v>0</v>
      </c>
      <c r="Q767" s="146">
        <f t="shared" si="75"/>
        <v>0</v>
      </c>
      <c r="R767" s="169"/>
      <c r="S767" s="169"/>
      <c r="T767" s="146">
        <f t="shared" si="76"/>
        <v>0</v>
      </c>
      <c r="U767" s="121" t="str">
        <f t="shared" si="77"/>
        <v>Close</v>
      </c>
      <c r="V767" s="117"/>
    </row>
    <row r="768" spans="1:22" ht="15" customHeight="1">
      <c r="A768" s="117"/>
      <c r="B768" s="144" t="str">
        <f>IF(D768="","","P"&amp;D768&amp;"MA"&amp;COUNTIF($D$14:D768,D768))</f>
        <v/>
      </c>
      <c r="C768" s="162"/>
      <c r="D768" s="163"/>
      <c r="E768" s="164"/>
      <c r="F768" s="164"/>
      <c r="G768" s="164"/>
      <c r="H768" s="164"/>
      <c r="I768" s="162"/>
      <c r="J768" s="144"/>
      <c r="K768" s="144"/>
      <c r="L768" s="144"/>
      <c r="M768" s="145">
        <f t="shared" si="72"/>
        <v>0</v>
      </c>
      <c r="N768" s="145">
        <f t="shared" si="73"/>
        <v>0</v>
      </c>
      <c r="O768" s="146">
        <f t="shared" si="74"/>
        <v>0</v>
      </c>
      <c r="P768" s="146">
        <f>IF(B768="",0,SUMIF('NHAP XUAT'!$G$10:$J$1011,'Ghi So'!B768,'NHAP XUAT'!$J$10:$J$1011))</f>
        <v>0</v>
      </c>
      <c r="Q768" s="146">
        <f t="shared" si="75"/>
        <v>0</v>
      </c>
      <c r="R768" s="169"/>
      <c r="S768" s="169"/>
      <c r="T768" s="146">
        <f t="shared" si="76"/>
        <v>0</v>
      </c>
      <c r="U768" s="121" t="str">
        <f t="shared" si="77"/>
        <v>Close</v>
      </c>
      <c r="V768" s="117"/>
    </row>
    <row r="769" spans="1:22" ht="15" customHeight="1">
      <c r="A769" s="117"/>
      <c r="B769" s="144" t="str">
        <f>IF(D769="","","P"&amp;D769&amp;"MA"&amp;COUNTIF($D$14:D769,D769))</f>
        <v/>
      </c>
      <c r="C769" s="162"/>
      <c r="D769" s="163"/>
      <c r="E769" s="164"/>
      <c r="F769" s="164"/>
      <c r="G769" s="164"/>
      <c r="H769" s="164"/>
      <c r="I769" s="162"/>
      <c r="J769" s="144"/>
      <c r="K769" s="144"/>
      <c r="L769" s="144"/>
      <c r="M769" s="145">
        <f t="shared" si="72"/>
        <v>0</v>
      </c>
      <c r="N769" s="145">
        <f t="shared" si="73"/>
        <v>0</v>
      </c>
      <c r="O769" s="146">
        <f t="shared" si="74"/>
        <v>0</v>
      </c>
      <c r="P769" s="146">
        <f>IF(B769="",0,SUMIF('NHAP XUAT'!$G$10:$J$1011,'Ghi So'!B769,'NHAP XUAT'!$J$10:$J$1011))</f>
        <v>0</v>
      </c>
      <c r="Q769" s="146">
        <f t="shared" si="75"/>
        <v>0</v>
      </c>
      <c r="R769" s="169"/>
      <c r="S769" s="169"/>
      <c r="T769" s="146">
        <f t="shared" si="76"/>
        <v>0</v>
      </c>
      <c r="U769" s="121" t="str">
        <f t="shared" si="77"/>
        <v>Close</v>
      </c>
      <c r="V769" s="117"/>
    </row>
    <row r="770" spans="1:22" ht="15" customHeight="1">
      <c r="A770" s="117"/>
      <c r="B770" s="144" t="str">
        <f>IF(D770="","","P"&amp;D770&amp;"MA"&amp;COUNTIF($D$14:D770,D770))</f>
        <v/>
      </c>
      <c r="C770" s="162"/>
      <c r="D770" s="163"/>
      <c r="E770" s="164"/>
      <c r="F770" s="164"/>
      <c r="G770" s="164"/>
      <c r="H770" s="164"/>
      <c r="I770" s="162"/>
      <c r="J770" s="144"/>
      <c r="K770" s="144"/>
      <c r="L770" s="144"/>
      <c r="M770" s="145">
        <f t="shared" si="72"/>
        <v>0</v>
      </c>
      <c r="N770" s="145">
        <f t="shared" si="73"/>
        <v>0</v>
      </c>
      <c r="O770" s="146">
        <f t="shared" si="74"/>
        <v>0</v>
      </c>
      <c r="P770" s="146">
        <f>IF(B770="",0,SUMIF('NHAP XUAT'!$G$10:$J$1011,'Ghi So'!B770,'NHAP XUAT'!$J$10:$J$1011))</f>
        <v>0</v>
      </c>
      <c r="Q770" s="146">
        <f t="shared" si="75"/>
        <v>0</v>
      </c>
      <c r="R770" s="169"/>
      <c r="S770" s="169"/>
      <c r="T770" s="146">
        <f t="shared" si="76"/>
        <v>0</v>
      </c>
      <c r="U770" s="121" t="str">
        <f t="shared" si="77"/>
        <v>Close</v>
      </c>
      <c r="V770" s="117"/>
    </row>
    <row r="771" spans="1:22" ht="15" customHeight="1">
      <c r="A771" s="117"/>
      <c r="B771" s="144" t="str">
        <f>IF(D771="","","P"&amp;D771&amp;"MA"&amp;COUNTIF($D$14:D771,D771))</f>
        <v/>
      </c>
      <c r="C771" s="162"/>
      <c r="D771" s="163"/>
      <c r="E771" s="164"/>
      <c r="F771" s="164"/>
      <c r="G771" s="164"/>
      <c r="H771" s="164"/>
      <c r="I771" s="162"/>
      <c r="J771" s="144"/>
      <c r="K771" s="144"/>
      <c r="L771" s="144"/>
      <c r="M771" s="145">
        <f t="shared" si="72"/>
        <v>0</v>
      </c>
      <c r="N771" s="145">
        <f t="shared" si="73"/>
        <v>0</v>
      </c>
      <c r="O771" s="146">
        <f t="shared" si="74"/>
        <v>0</v>
      </c>
      <c r="P771" s="146">
        <f>IF(B771="",0,SUMIF('NHAP XUAT'!$G$10:$J$1011,'Ghi So'!B771,'NHAP XUAT'!$J$10:$J$1011))</f>
        <v>0</v>
      </c>
      <c r="Q771" s="146">
        <f t="shared" si="75"/>
        <v>0</v>
      </c>
      <c r="R771" s="169"/>
      <c r="S771" s="169"/>
      <c r="T771" s="146">
        <f t="shared" si="76"/>
        <v>0</v>
      </c>
      <c r="U771" s="121" t="str">
        <f t="shared" si="77"/>
        <v>Close</v>
      </c>
      <c r="V771" s="117"/>
    </row>
    <row r="772" spans="1:22" ht="15" customHeight="1">
      <c r="A772" s="117"/>
      <c r="B772" s="144" t="str">
        <f>IF(D772="","","P"&amp;D772&amp;"MA"&amp;COUNTIF($D$14:D772,D772))</f>
        <v/>
      </c>
      <c r="C772" s="162"/>
      <c r="D772" s="163"/>
      <c r="E772" s="164"/>
      <c r="F772" s="164"/>
      <c r="G772" s="164"/>
      <c r="H772" s="164"/>
      <c r="I772" s="162"/>
      <c r="J772" s="144"/>
      <c r="K772" s="144"/>
      <c r="L772" s="144"/>
      <c r="M772" s="145">
        <f t="shared" si="72"/>
        <v>0</v>
      </c>
      <c r="N772" s="145">
        <f t="shared" si="73"/>
        <v>0</v>
      </c>
      <c r="O772" s="146">
        <f t="shared" si="74"/>
        <v>0</v>
      </c>
      <c r="P772" s="146">
        <f>IF(B772="",0,SUMIF('NHAP XUAT'!$G$10:$J$1011,'Ghi So'!B772,'NHAP XUAT'!$J$10:$J$1011))</f>
        <v>0</v>
      </c>
      <c r="Q772" s="146">
        <f t="shared" si="75"/>
        <v>0</v>
      </c>
      <c r="R772" s="169"/>
      <c r="S772" s="169"/>
      <c r="T772" s="146">
        <f t="shared" si="76"/>
        <v>0</v>
      </c>
      <c r="U772" s="121" t="str">
        <f t="shared" si="77"/>
        <v>Close</v>
      </c>
      <c r="V772" s="117"/>
    </row>
    <row r="773" spans="1:22" ht="15" customHeight="1">
      <c r="A773" s="117"/>
      <c r="B773" s="144" t="str">
        <f>IF(D773="","","P"&amp;D773&amp;"MA"&amp;COUNTIF($D$14:D773,D773))</f>
        <v/>
      </c>
      <c r="C773" s="162"/>
      <c r="D773" s="163"/>
      <c r="E773" s="164"/>
      <c r="F773" s="164"/>
      <c r="G773" s="164"/>
      <c r="H773" s="164"/>
      <c r="I773" s="162"/>
      <c r="J773" s="144"/>
      <c r="K773" s="144"/>
      <c r="L773" s="144"/>
      <c r="M773" s="145">
        <f t="shared" si="72"/>
        <v>0</v>
      </c>
      <c r="N773" s="145">
        <f t="shared" si="73"/>
        <v>0</v>
      </c>
      <c r="O773" s="146">
        <f t="shared" si="74"/>
        <v>0</v>
      </c>
      <c r="P773" s="146">
        <f>IF(B773="",0,SUMIF('NHAP XUAT'!$G$10:$J$1011,'Ghi So'!B773,'NHAP XUAT'!$J$10:$J$1011))</f>
        <v>0</v>
      </c>
      <c r="Q773" s="146">
        <f t="shared" si="75"/>
        <v>0</v>
      </c>
      <c r="R773" s="169"/>
      <c r="S773" s="169"/>
      <c r="T773" s="146">
        <f t="shared" si="76"/>
        <v>0</v>
      </c>
      <c r="U773" s="121" t="str">
        <f t="shared" si="77"/>
        <v>Close</v>
      </c>
      <c r="V773" s="117"/>
    </row>
    <row r="774" spans="1:22" ht="15" customHeight="1">
      <c r="A774" s="117"/>
      <c r="B774" s="144" t="str">
        <f>IF(D774="","","P"&amp;D774&amp;"MA"&amp;COUNTIF($D$14:D774,D774))</f>
        <v/>
      </c>
      <c r="C774" s="162"/>
      <c r="D774" s="163"/>
      <c r="E774" s="164"/>
      <c r="F774" s="164"/>
      <c r="G774" s="164"/>
      <c r="H774" s="164"/>
      <c r="I774" s="162"/>
      <c r="J774" s="144"/>
      <c r="K774" s="144"/>
      <c r="L774" s="144"/>
      <c r="M774" s="145">
        <f t="shared" si="72"/>
        <v>0</v>
      </c>
      <c r="N774" s="145">
        <f t="shared" si="73"/>
        <v>0</v>
      </c>
      <c r="O774" s="146">
        <f t="shared" si="74"/>
        <v>0</v>
      </c>
      <c r="P774" s="146">
        <f>IF(B774="",0,SUMIF('NHAP XUAT'!$G$10:$J$1011,'Ghi So'!B774,'NHAP XUAT'!$J$10:$J$1011))</f>
        <v>0</v>
      </c>
      <c r="Q774" s="146">
        <f t="shared" si="75"/>
        <v>0</v>
      </c>
      <c r="R774" s="169"/>
      <c r="S774" s="169"/>
      <c r="T774" s="146">
        <f t="shared" si="76"/>
        <v>0</v>
      </c>
      <c r="U774" s="121" t="str">
        <f t="shared" si="77"/>
        <v>Close</v>
      </c>
      <c r="V774" s="117"/>
    </row>
    <row r="775" spans="1:22" ht="15" customHeight="1">
      <c r="A775" s="117"/>
      <c r="B775" s="144" t="str">
        <f>IF(D775="","","P"&amp;D775&amp;"MA"&amp;COUNTIF($D$14:D775,D775))</f>
        <v/>
      </c>
      <c r="C775" s="162"/>
      <c r="D775" s="163"/>
      <c r="E775" s="164"/>
      <c r="F775" s="164"/>
      <c r="G775" s="164"/>
      <c r="H775" s="164"/>
      <c r="I775" s="162"/>
      <c r="J775" s="144"/>
      <c r="K775" s="144"/>
      <c r="L775" s="144"/>
      <c r="M775" s="145">
        <f t="shared" si="72"/>
        <v>0</v>
      </c>
      <c r="N775" s="145">
        <f t="shared" si="73"/>
        <v>0</v>
      </c>
      <c r="O775" s="146">
        <f t="shared" si="74"/>
        <v>0</v>
      </c>
      <c r="P775" s="146">
        <f>IF(B775="",0,SUMIF('NHAP XUAT'!$G$10:$J$1011,'Ghi So'!B775,'NHAP XUAT'!$J$10:$J$1011))</f>
        <v>0</v>
      </c>
      <c r="Q775" s="146">
        <f t="shared" si="75"/>
        <v>0</v>
      </c>
      <c r="R775" s="169"/>
      <c r="S775" s="169"/>
      <c r="T775" s="146">
        <f t="shared" si="76"/>
        <v>0</v>
      </c>
      <c r="U775" s="121" t="str">
        <f t="shared" si="77"/>
        <v>Close</v>
      </c>
      <c r="V775" s="117"/>
    </row>
    <row r="776" spans="1:22" ht="15" customHeight="1">
      <c r="A776" s="117"/>
      <c r="B776" s="144" t="str">
        <f>IF(D776="","","P"&amp;D776&amp;"MA"&amp;COUNTIF($D$14:D776,D776))</f>
        <v/>
      </c>
      <c r="C776" s="162"/>
      <c r="D776" s="163"/>
      <c r="E776" s="164"/>
      <c r="F776" s="164"/>
      <c r="G776" s="164"/>
      <c r="H776" s="164"/>
      <c r="I776" s="162"/>
      <c r="J776" s="144"/>
      <c r="K776" s="144"/>
      <c r="L776" s="144"/>
      <c r="M776" s="145">
        <f t="shared" si="72"/>
        <v>0</v>
      </c>
      <c r="N776" s="145">
        <f t="shared" si="73"/>
        <v>0</v>
      </c>
      <c r="O776" s="146">
        <f t="shared" si="74"/>
        <v>0</v>
      </c>
      <c r="P776" s="146">
        <f>IF(B776="",0,SUMIF('NHAP XUAT'!$G$10:$J$1011,'Ghi So'!B776,'NHAP XUAT'!$J$10:$J$1011))</f>
        <v>0</v>
      </c>
      <c r="Q776" s="146">
        <f t="shared" si="75"/>
        <v>0</v>
      </c>
      <c r="R776" s="169"/>
      <c r="S776" s="169"/>
      <c r="T776" s="146">
        <f t="shared" si="76"/>
        <v>0</v>
      </c>
      <c r="U776" s="121" t="str">
        <f t="shared" si="77"/>
        <v>Close</v>
      </c>
      <c r="V776" s="117"/>
    </row>
    <row r="777" spans="1:22" ht="15" customHeight="1">
      <c r="A777" s="117"/>
      <c r="B777" s="144" t="str">
        <f>IF(D777="","","P"&amp;D777&amp;"MA"&amp;COUNTIF($D$14:D777,D777))</f>
        <v/>
      </c>
      <c r="C777" s="162"/>
      <c r="D777" s="163"/>
      <c r="E777" s="164"/>
      <c r="F777" s="164"/>
      <c r="G777" s="164"/>
      <c r="H777" s="164"/>
      <c r="I777" s="162"/>
      <c r="J777" s="144"/>
      <c r="K777" s="144"/>
      <c r="L777" s="144"/>
      <c r="M777" s="145">
        <f t="shared" si="72"/>
        <v>0</v>
      </c>
      <c r="N777" s="145">
        <f t="shared" si="73"/>
        <v>0</v>
      </c>
      <c r="O777" s="146">
        <f t="shared" si="74"/>
        <v>0</v>
      </c>
      <c r="P777" s="146">
        <f>IF(B777="",0,SUMIF('NHAP XUAT'!$G$10:$J$1011,'Ghi So'!B777,'NHAP XUAT'!$J$10:$J$1011))</f>
        <v>0</v>
      </c>
      <c r="Q777" s="146">
        <f t="shared" si="75"/>
        <v>0</v>
      </c>
      <c r="R777" s="169"/>
      <c r="S777" s="169"/>
      <c r="T777" s="146">
        <f t="shared" si="76"/>
        <v>0</v>
      </c>
      <c r="U777" s="121" t="str">
        <f t="shared" si="77"/>
        <v>Close</v>
      </c>
      <c r="V777" s="117"/>
    </row>
    <row r="778" spans="1:22" ht="15" customHeight="1">
      <c r="A778" s="117"/>
      <c r="B778" s="144" t="str">
        <f>IF(D778="","","P"&amp;D778&amp;"MA"&amp;COUNTIF($D$14:D778,D778))</f>
        <v/>
      </c>
      <c r="C778" s="162"/>
      <c r="D778" s="163"/>
      <c r="E778" s="164"/>
      <c r="F778" s="164"/>
      <c r="G778" s="164"/>
      <c r="H778" s="164"/>
      <c r="I778" s="162"/>
      <c r="J778" s="144"/>
      <c r="K778" s="144"/>
      <c r="L778" s="144"/>
      <c r="M778" s="145">
        <f t="shared" si="72"/>
        <v>0</v>
      </c>
      <c r="N778" s="145">
        <f t="shared" si="73"/>
        <v>0</v>
      </c>
      <c r="O778" s="146">
        <f t="shared" si="74"/>
        <v>0</v>
      </c>
      <c r="P778" s="146">
        <f>IF(B778="",0,SUMIF('NHAP XUAT'!$G$10:$J$1011,'Ghi So'!B778,'NHAP XUAT'!$J$10:$J$1011))</f>
        <v>0</v>
      </c>
      <c r="Q778" s="146">
        <f t="shared" si="75"/>
        <v>0</v>
      </c>
      <c r="R778" s="169"/>
      <c r="S778" s="169"/>
      <c r="T778" s="146">
        <f t="shared" si="76"/>
        <v>0</v>
      </c>
      <c r="U778" s="121" t="str">
        <f t="shared" si="77"/>
        <v>Close</v>
      </c>
      <c r="V778" s="117"/>
    </row>
    <row r="779" spans="1:22" ht="15" customHeight="1">
      <c r="A779" s="117"/>
      <c r="B779" s="144" t="str">
        <f>IF(D779="","","P"&amp;D779&amp;"MA"&amp;COUNTIF($D$14:D779,D779))</f>
        <v/>
      </c>
      <c r="C779" s="162"/>
      <c r="D779" s="163"/>
      <c r="E779" s="164"/>
      <c r="F779" s="164"/>
      <c r="G779" s="164"/>
      <c r="H779" s="164"/>
      <c r="I779" s="162"/>
      <c r="J779" s="144"/>
      <c r="K779" s="144"/>
      <c r="L779" s="144"/>
      <c r="M779" s="145">
        <f t="shared" si="72"/>
        <v>0</v>
      </c>
      <c r="N779" s="145">
        <f t="shared" si="73"/>
        <v>0</v>
      </c>
      <c r="O779" s="146">
        <f t="shared" si="74"/>
        <v>0</v>
      </c>
      <c r="P779" s="146">
        <f>IF(B779="",0,SUMIF('NHAP XUAT'!$G$10:$J$1011,'Ghi So'!B779,'NHAP XUAT'!$J$10:$J$1011))</f>
        <v>0</v>
      </c>
      <c r="Q779" s="146">
        <f t="shared" si="75"/>
        <v>0</v>
      </c>
      <c r="R779" s="169"/>
      <c r="S779" s="169"/>
      <c r="T779" s="146">
        <f t="shared" si="76"/>
        <v>0</v>
      </c>
      <c r="U779" s="121" t="str">
        <f t="shared" si="77"/>
        <v>Close</v>
      </c>
      <c r="V779" s="117"/>
    </row>
    <row r="780" spans="1:22" ht="15" customHeight="1">
      <c r="A780" s="117"/>
      <c r="B780" s="144" t="str">
        <f>IF(D780="","","P"&amp;D780&amp;"MA"&amp;COUNTIF($D$14:D780,D780))</f>
        <v/>
      </c>
      <c r="C780" s="162"/>
      <c r="D780" s="163"/>
      <c r="E780" s="164"/>
      <c r="F780" s="164"/>
      <c r="G780" s="164"/>
      <c r="H780" s="164"/>
      <c r="I780" s="162"/>
      <c r="J780" s="144"/>
      <c r="K780" s="144"/>
      <c r="L780" s="144"/>
      <c r="M780" s="145">
        <f t="shared" si="72"/>
        <v>0</v>
      </c>
      <c r="N780" s="145">
        <f t="shared" si="73"/>
        <v>0</v>
      </c>
      <c r="O780" s="146">
        <f t="shared" si="74"/>
        <v>0</v>
      </c>
      <c r="P780" s="146">
        <f>IF(B780="",0,SUMIF('NHAP XUAT'!$G$10:$J$1011,'Ghi So'!B780,'NHAP XUAT'!$J$10:$J$1011))</f>
        <v>0</v>
      </c>
      <c r="Q780" s="146">
        <f t="shared" si="75"/>
        <v>0</v>
      </c>
      <c r="R780" s="169"/>
      <c r="S780" s="169"/>
      <c r="T780" s="146">
        <f t="shared" si="76"/>
        <v>0</v>
      </c>
      <c r="U780" s="121" t="str">
        <f t="shared" si="77"/>
        <v>Close</v>
      </c>
      <c r="V780" s="117"/>
    </row>
    <row r="781" spans="1:22" ht="15" customHeight="1">
      <c r="A781" s="117"/>
      <c r="B781" s="144" t="str">
        <f>IF(D781="","","P"&amp;D781&amp;"MA"&amp;COUNTIF($D$14:D781,D781))</f>
        <v/>
      </c>
      <c r="C781" s="162"/>
      <c r="D781" s="163"/>
      <c r="E781" s="164"/>
      <c r="F781" s="164"/>
      <c r="G781" s="164"/>
      <c r="H781" s="164"/>
      <c r="I781" s="162"/>
      <c r="J781" s="144"/>
      <c r="K781" s="144"/>
      <c r="L781" s="144"/>
      <c r="M781" s="145">
        <f t="shared" si="72"/>
        <v>0</v>
      </c>
      <c r="N781" s="145">
        <f t="shared" si="73"/>
        <v>0</v>
      </c>
      <c r="O781" s="146">
        <f t="shared" si="74"/>
        <v>0</v>
      </c>
      <c r="P781" s="146">
        <f>IF(B781="",0,SUMIF('NHAP XUAT'!$G$10:$J$1011,'Ghi So'!B781,'NHAP XUAT'!$J$10:$J$1011))</f>
        <v>0</v>
      </c>
      <c r="Q781" s="146">
        <f t="shared" si="75"/>
        <v>0</v>
      </c>
      <c r="R781" s="169"/>
      <c r="S781" s="169"/>
      <c r="T781" s="146">
        <f t="shared" si="76"/>
        <v>0</v>
      </c>
      <c r="U781" s="121" t="str">
        <f t="shared" si="77"/>
        <v>Close</v>
      </c>
      <c r="V781" s="117"/>
    </row>
    <row r="782" spans="1:22" ht="15" customHeight="1">
      <c r="A782" s="117"/>
      <c r="B782" s="144" t="str">
        <f>IF(D782="","","P"&amp;D782&amp;"MA"&amp;COUNTIF($D$14:D782,D782))</f>
        <v/>
      </c>
      <c r="C782" s="162"/>
      <c r="D782" s="163"/>
      <c r="E782" s="164"/>
      <c r="F782" s="164"/>
      <c r="G782" s="164"/>
      <c r="H782" s="164"/>
      <c r="I782" s="162"/>
      <c r="J782" s="144"/>
      <c r="K782" s="144"/>
      <c r="L782" s="144"/>
      <c r="M782" s="145">
        <f t="shared" si="72"/>
        <v>0</v>
      </c>
      <c r="N782" s="145">
        <f t="shared" si="73"/>
        <v>0</v>
      </c>
      <c r="O782" s="146">
        <f t="shared" si="74"/>
        <v>0</v>
      </c>
      <c r="P782" s="146">
        <f>IF(B782="",0,SUMIF('NHAP XUAT'!$G$10:$J$1011,'Ghi So'!B782,'NHAP XUAT'!$J$10:$J$1011))</f>
        <v>0</v>
      </c>
      <c r="Q782" s="146">
        <f t="shared" si="75"/>
        <v>0</v>
      </c>
      <c r="R782" s="169"/>
      <c r="S782" s="169"/>
      <c r="T782" s="146">
        <f t="shared" si="76"/>
        <v>0</v>
      </c>
      <c r="U782" s="121" t="str">
        <f t="shared" si="77"/>
        <v>Close</v>
      </c>
      <c r="V782" s="117"/>
    </row>
    <row r="783" spans="1:22" ht="15" customHeight="1">
      <c r="A783" s="117"/>
      <c r="B783" s="144" t="str">
        <f>IF(D783="","","P"&amp;D783&amp;"MA"&amp;COUNTIF($D$14:D783,D783))</f>
        <v/>
      </c>
      <c r="C783" s="162"/>
      <c r="D783" s="163"/>
      <c r="E783" s="164"/>
      <c r="F783" s="164"/>
      <c r="G783" s="164"/>
      <c r="H783" s="164"/>
      <c r="I783" s="162"/>
      <c r="J783" s="144"/>
      <c r="K783" s="144"/>
      <c r="L783" s="144"/>
      <c r="M783" s="145">
        <f t="shared" si="72"/>
        <v>0</v>
      </c>
      <c r="N783" s="145">
        <f t="shared" si="73"/>
        <v>0</v>
      </c>
      <c r="O783" s="146">
        <f t="shared" si="74"/>
        <v>0</v>
      </c>
      <c r="P783" s="146">
        <f>IF(B783="",0,SUMIF('NHAP XUAT'!$G$10:$J$1011,'Ghi So'!B783,'NHAP XUAT'!$J$10:$J$1011))</f>
        <v>0</v>
      </c>
      <c r="Q783" s="146">
        <f t="shared" si="75"/>
        <v>0</v>
      </c>
      <c r="R783" s="169"/>
      <c r="S783" s="169"/>
      <c r="T783" s="146">
        <f t="shared" si="76"/>
        <v>0</v>
      </c>
      <c r="U783" s="121" t="str">
        <f t="shared" si="77"/>
        <v>Close</v>
      </c>
      <c r="V783" s="117"/>
    </row>
    <row r="784" spans="1:22" ht="15" customHeight="1">
      <c r="A784" s="117"/>
      <c r="B784" s="144" t="str">
        <f>IF(D784="","","P"&amp;D784&amp;"MA"&amp;COUNTIF($D$14:D784,D784))</f>
        <v/>
      </c>
      <c r="C784" s="162"/>
      <c r="D784" s="163"/>
      <c r="E784" s="164"/>
      <c r="F784" s="164"/>
      <c r="G784" s="164"/>
      <c r="H784" s="164"/>
      <c r="I784" s="162"/>
      <c r="J784" s="144"/>
      <c r="K784" s="144"/>
      <c r="L784" s="144"/>
      <c r="M784" s="145">
        <f t="shared" si="72"/>
        <v>0</v>
      </c>
      <c r="N784" s="145">
        <f t="shared" si="73"/>
        <v>0</v>
      </c>
      <c r="O784" s="146">
        <f t="shared" si="74"/>
        <v>0</v>
      </c>
      <c r="P784" s="146">
        <f>IF(B784="",0,SUMIF('NHAP XUAT'!$G$10:$J$1011,'Ghi So'!B784,'NHAP XUAT'!$J$10:$J$1011))</f>
        <v>0</v>
      </c>
      <c r="Q784" s="146">
        <f t="shared" si="75"/>
        <v>0</v>
      </c>
      <c r="R784" s="169"/>
      <c r="S784" s="169"/>
      <c r="T784" s="146">
        <f t="shared" si="76"/>
        <v>0</v>
      </c>
      <c r="U784" s="121" t="str">
        <f t="shared" si="77"/>
        <v>Close</v>
      </c>
      <c r="V784" s="117"/>
    </row>
    <row r="785" spans="1:22" ht="15" customHeight="1">
      <c r="A785" s="117"/>
      <c r="B785" s="144" t="str">
        <f>IF(D785="","","P"&amp;D785&amp;"MA"&amp;COUNTIF($D$14:D785,D785))</f>
        <v/>
      </c>
      <c r="C785" s="162"/>
      <c r="D785" s="163"/>
      <c r="E785" s="164"/>
      <c r="F785" s="164"/>
      <c r="G785" s="164"/>
      <c r="H785" s="164"/>
      <c r="I785" s="162"/>
      <c r="J785" s="144"/>
      <c r="K785" s="144"/>
      <c r="L785" s="144"/>
      <c r="M785" s="145">
        <f t="shared" si="72"/>
        <v>0</v>
      </c>
      <c r="N785" s="145">
        <f t="shared" si="73"/>
        <v>0</v>
      </c>
      <c r="O785" s="146">
        <f t="shared" si="74"/>
        <v>0</v>
      </c>
      <c r="P785" s="146">
        <f>IF(B785="",0,SUMIF('NHAP XUAT'!$G$10:$J$1011,'Ghi So'!B785,'NHAP XUAT'!$J$10:$J$1011))</f>
        <v>0</v>
      </c>
      <c r="Q785" s="146">
        <f t="shared" si="75"/>
        <v>0</v>
      </c>
      <c r="R785" s="169"/>
      <c r="S785" s="169"/>
      <c r="T785" s="146">
        <f t="shared" si="76"/>
        <v>0</v>
      </c>
      <c r="U785" s="121" t="str">
        <f t="shared" si="77"/>
        <v>Close</v>
      </c>
      <c r="V785" s="117"/>
    </row>
    <row r="786" spans="1:22" ht="15" customHeight="1">
      <c r="A786" s="117"/>
      <c r="B786" s="144" t="str">
        <f>IF(D786="","","P"&amp;D786&amp;"MA"&amp;COUNTIF($D$14:D786,D786))</f>
        <v/>
      </c>
      <c r="C786" s="162"/>
      <c r="D786" s="163"/>
      <c r="E786" s="164"/>
      <c r="F786" s="164"/>
      <c r="G786" s="164"/>
      <c r="H786" s="164"/>
      <c r="I786" s="162"/>
      <c r="J786" s="144"/>
      <c r="K786" s="144"/>
      <c r="L786" s="144"/>
      <c r="M786" s="145">
        <f t="shared" si="72"/>
        <v>0</v>
      </c>
      <c r="N786" s="145">
        <f t="shared" si="73"/>
        <v>0</v>
      </c>
      <c r="O786" s="146">
        <f t="shared" si="74"/>
        <v>0</v>
      </c>
      <c r="P786" s="146">
        <f>IF(B786="",0,SUMIF('NHAP XUAT'!$G$10:$J$1011,'Ghi So'!B786,'NHAP XUAT'!$J$10:$J$1011))</f>
        <v>0</v>
      </c>
      <c r="Q786" s="146">
        <f t="shared" si="75"/>
        <v>0</v>
      </c>
      <c r="R786" s="169"/>
      <c r="S786" s="169"/>
      <c r="T786" s="146">
        <f t="shared" si="76"/>
        <v>0</v>
      </c>
      <c r="U786" s="121" t="str">
        <f t="shared" si="77"/>
        <v>Close</v>
      </c>
      <c r="V786" s="117"/>
    </row>
    <row r="787" spans="1:22" ht="15" customHeight="1">
      <c r="A787" s="117"/>
      <c r="B787" s="144" t="str">
        <f>IF(D787="","","P"&amp;D787&amp;"MA"&amp;COUNTIF($D$14:D787,D787))</f>
        <v/>
      </c>
      <c r="C787" s="162"/>
      <c r="D787" s="163"/>
      <c r="E787" s="164"/>
      <c r="F787" s="164"/>
      <c r="G787" s="164"/>
      <c r="H787" s="164"/>
      <c r="I787" s="162"/>
      <c r="J787" s="144"/>
      <c r="K787" s="144"/>
      <c r="L787" s="144"/>
      <c r="M787" s="145">
        <f t="shared" si="72"/>
        <v>0</v>
      </c>
      <c r="N787" s="145">
        <f t="shared" si="73"/>
        <v>0</v>
      </c>
      <c r="O787" s="146">
        <f t="shared" si="74"/>
        <v>0</v>
      </c>
      <c r="P787" s="146">
        <f>IF(B787="",0,SUMIF('NHAP XUAT'!$G$10:$J$1011,'Ghi So'!B787,'NHAP XUAT'!$J$10:$J$1011))</f>
        <v>0</v>
      </c>
      <c r="Q787" s="146">
        <f t="shared" si="75"/>
        <v>0</v>
      </c>
      <c r="R787" s="169"/>
      <c r="S787" s="169"/>
      <c r="T787" s="146">
        <f t="shared" si="76"/>
        <v>0</v>
      </c>
      <c r="U787" s="121" t="str">
        <f t="shared" si="77"/>
        <v>Close</v>
      </c>
      <c r="V787" s="117"/>
    </row>
    <row r="788" spans="1:22" ht="15" customHeight="1">
      <c r="A788" s="117"/>
      <c r="B788" s="144" t="str">
        <f>IF(D788="","","P"&amp;D788&amp;"MA"&amp;COUNTIF($D$14:D788,D788))</f>
        <v/>
      </c>
      <c r="C788" s="162"/>
      <c r="D788" s="163"/>
      <c r="E788" s="164"/>
      <c r="F788" s="164"/>
      <c r="G788" s="164"/>
      <c r="H788" s="164"/>
      <c r="I788" s="162"/>
      <c r="J788" s="144"/>
      <c r="K788" s="144"/>
      <c r="L788" s="144"/>
      <c r="M788" s="145">
        <f t="shared" si="72"/>
        <v>0</v>
      </c>
      <c r="N788" s="145">
        <f t="shared" si="73"/>
        <v>0</v>
      </c>
      <c r="O788" s="146">
        <f t="shared" si="74"/>
        <v>0</v>
      </c>
      <c r="P788" s="146">
        <f>IF(B788="",0,SUMIF('NHAP XUAT'!$G$10:$J$1011,'Ghi So'!B788,'NHAP XUAT'!$J$10:$J$1011))</f>
        <v>0</v>
      </c>
      <c r="Q788" s="146">
        <f t="shared" si="75"/>
        <v>0</v>
      </c>
      <c r="R788" s="169"/>
      <c r="S788" s="169"/>
      <c r="T788" s="146">
        <f t="shared" si="76"/>
        <v>0</v>
      </c>
      <c r="U788" s="121" t="str">
        <f t="shared" si="77"/>
        <v>Close</v>
      </c>
      <c r="V788" s="117"/>
    </row>
    <row r="789" spans="1:22" ht="15" customHeight="1">
      <c r="A789" s="117"/>
      <c r="B789" s="144" t="str">
        <f>IF(D789="","","P"&amp;D789&amp;"MA"&amp;COUNTIF($D$14:D789,D789))</f>
        <v/>
      </c>
      <c r="C789" s="162"/>
      <c r="D789" s="163"/>
      <c r="E789" s="164"/>
      <c r="F789" s="164"/>
      <c r="G789" s="164"/>
      <c r="H789" s="164"/>
      <c r="I789" s="162"/>
      <c r="J789" s="144"/>
      <c r="K789" s="144"/>
      <c r="L789" s="144"/>
      <c r="M789" s="145">
        <f t="shared" si="72"/>
        <v>0</v>
      </c>
      <c r="N789" s="145">
        <f t="shared" si="73"/>
        <v>0</v>
      </c>
      <c r="O789" s="146">
        <f t="shared" si="74"/>
        <v>0</v>
      </c>
      <c r="P789" s="146">
        <f>IF(B789="",0,SUMIF('NHAP XUAT'!$G$10:$J$1011,'Ghi So'!B789,'NHAP XUAT'!$J$10:$J$1011))</f>
        <v>0</v>
      </c>
      <c r="Q789" s="146">
        <f t="shared" si="75"/>
        <v>0</v>
      </c>
      <c r="R789" s="169"/>
      <c r="S789" s="169"/>
      <c r="T789" s="146">
        <f t="shared" si="76"/>
        <v>0</v>
      </c>
      <c r="U789" s="121" t="str">
        <f t="shared" si="77"/>
        <v>Close</v>
      </c>
      <c r="V789" s="117"/>
    </row>
    <row r="790" spans="1:22" ht="15" customHeight="1">
      <c r="A790" s="117"/>
      <c r="B790" s="144" t="str">
        <f>IF(D790="","","P"&amp;D790&amp;"MA"&amp;COUNTIF($D$14:D790,D790))</f>
        <v/>
      </c>
      <c r="C790" s="162"/>
      <c r="D790" s="163"/>
      <c r="E790" s="164"/>
      <c r="F790" s="164"/>
      <c r="G790" s="164"/>
      <c r="H790" s="164"/>
      <c r="I790" s="162"/>
      <c r="J790" s="144"/>
      <c r="K790" s="144"/>
      <c r="L790" s="144"/>
      <c r="M790" s="145">
        <f t="shared" si="72"/>
        <v>0</v>
      </c>
      <c r="N790" s="145">
        <f t="shared" si="73"/>
        <v>0</v>
      </c>
      <c r="O790" s="146">
        <f t="shared" si="74"/>
        <v>0</v>
      </c>
      <c r="P790" s="146">
        <f>IF(B790="",0,SUMIF('NHAP XUAT'!$G$10:$J$1011,'Ghi So'!B790,'NHAP XUAT'!$J$10:$J$1011))</f>
        <v>0</v>
      </c>
      <c r="Q790" s="146">
        <f t="shared" si="75"/>
        <v>0</v>
      </c>
      <c r="R790" s="169"/>
      <c r="S790" s="169"/>
      <c r="T790" s="146">
        <f t="shared" si="76"/>
        <v>0</v>
      </c>
      <c r="U790" s="121" t="str">
        <f t="shared" si="77"/>
        <v>Close</v>
      </c>
      <c r="V790" s="117"/>
    </row>
    <row r="791" spans="1:22" ht="15" customHeight="1">
      <c r="A791" s="117"/>
      <c r="B791" s="144" t="str">
        <f>IF(D791="","","P"&amp;D791&amp;"MA"&amp;COUNTIF($D$14:D791,D791))</f>
        <v/>
      </c>
      <c r="C791" s="162"/>
      <c r="D791" s="163"/>
      <c r="E791" s="164"/>
      <c r="F791" s="164"/>
      <c r="G791" s="164"/>
      <c r="H791" s="164"/>
      <c r="I791" s="162"/>
      <c r="J791" s="144"/>
      <c r="K791" s="144"/>
      <c r="L791" s="144"/>
      <c r="M791" s="145">
        <f t="shared" si="72"/>
        <v>0</v>
      </c>
      <c r="N791" s="145">
        <f t="shared" si="73"/>
        <v>0</v>
      </c>
      <c r="O791" s="146">
        <f t="shared" si="74"/>
        <v>0</v>
      </c>
      <c r="P791" s="146">
        <f>IF(B791="",0,SUMIF('NHAP XUAT'!$G$10:$J$1011,'Ghi So'!B791,'NHAP XUAT'!$J$10:$J$1011))</f>
        <v>0</v>
      </c>
      <c r="Q791" s="146">
        <f t="shared" si="75"/>
        <v>0</v>
      </c>
      <c r="R791" s="169"/>
      <c r="S791" s="169"/>
      <c r="T791" s="146">
        <f t="shared" si="76"/>
        <v>0</v>
      </c>
      <c r="U791" s="121" t="str">
        <f t="shared" si="77"/>
        <v>Close</v>
      </c>
      <c r="V791" s="117"/>
    </row>
    <row r="792" spans="1:22" ht="15" customHeight="1">
      <c r="A792" s="117"/>
      <c r="B792" s="144" t="str">
        <f>IF(D792="","","P"&amp;D792&amp;"MA"&amp;COUNTIF($D$14:D792,D792))</f>
        <v/>
      </c>
      <c r="C792" s="162"/>
      <c r="D792" s="163"/>
      <c r="E792" s="164"/>
      <c r="F792" s="164"/>
      <c r="G792" s="164"/>
      <c r="H792" s="164"/>
      <c r="I792" s="162"/>
      <c r="J792" s="144"/>
      <c r="K792" s="144"/>
      <c r="L792" s="144"/>
      <c r="M792" s="145">
        <f t="shared" si="72"/>
        <v>0</v>
      </c>
      <c r="N792" s="145">
        <f t="shared" si="73"/>
        <v>0</v>
      </c>
      <c r="O792" s="146">
        <f t="shared" si="74"/>
        <v>0</v>
      </c>
      <c r="P792" s="146">
        <f>IF(B792="",0,SUMIF('NHAP XUAT'!$G$10:$J$1011,'Ghi So'!B792,'NHAP XUAT'!$J$10:$J$1011))</f>
        <v>0</v>
      </c>
      <c r="Q792" s="146">
        <f t="shared" si="75"/>
        <v>0</v>
      </c>
      <c r="R792" s="169"/>
      <c r="S792" s="169"/>
      <c r="T792" s="146">
        <f t="shared" si="76"/>
        <v>0</v>
      </c>
      <c r="U792" s="121" t="str">
        <f t="shared" si="77"/>
        <v>Close</v>
      </c>
      <c r="V792" s="117"/>
    </row>
    <row r="793" spans="1:22" ht="15" customHeight="1">
      <c r="A793" s="117"/>
      <c r="B793" s="144" t="str">
        <f>IF(D793="","","P"&amp;D793&amp;"MA"&amp;COUNTIF($D$14:D793,D793))</f>
        <v/>
      </c>
      <c r="C793" s="162"/>
      <c r="D793" s="163"/>
      <c r="E793" s="164"/>
      <c r="F793" s="164"/>
      <c r="G793" s="164"/>
      <c r="H793" s="164"/>
      <c r="I793" s="162"/>
      <c r="J793" s="144"/>
      <c r="K793" s="144"/>
      <c r="L793" s="144"/>
      <c r="M793" s="145">
        <f t="shared" si="72"/>
        <v>0</v>
      </c>
      <c r="N793" s="145">
        <f t="shared" si="73"/>
        <v>0</v>
      </c>
      <c r="O793" s="146">
        <f t="shared" si="74"/>
        <v>0</v>
      </c>
      <c r="P793" s="146">
        <f>IF(B793="",0,SUMIF('NHAP XUAT'!$G$10:$J$1011,'Ghi So'!B793,'NHAP XUAT'!$J$10:$J$1011))</f>
        <v>0</v>
      </c>
      <c r="Q793" s="146">
        <f t="shared" si="75"/>
        <v>0</v>
      </c>
      <c r="R793" s="169"/>
      <c r="S793" s="169"/>
      <c r="T793" s="146">
        <f t="shared" si="76"/>
        <v>0</v>
      </c>
      <c r="U793" s="121" t="str">
        <f t="shared" si="77"/>
        <v>Close</v>
      </c>
      <c r="V793" s="117"/>
    </row>
    <row r="794" spans="1:22" ht="15" customHeight="1">
      <c r="A794" s="117"/>
      <c r="B794" s="144" t="str">
        <f>IF(D794="","","P"&amp;D794&amp;"MA"&amp;COUNTIF($D$14:D794,D794))</f>
        <v/>
      </c>
      <c r="C794" s="162"/>
      <c r="D794" s="163"/>
      <c r="E794" s="164"/>
      <c r="F794" s="164"/>
      <c r="G794" s="164"/>
      <c r="H794" s="164"/>
      <c r="I794" s="162"/>
      <c r="J794" s="144"/>
      <c r="K794" s="144"/>
      <c r="L794" s="144"/>
      <c r="M794" s="145">
        <f t="shared" si="72"/>
        <v>0</v>
      </c>
      <c r="N794" s="145">
        <f t="shared" si="73"/>
        <v>0</v>
      </c>
      <c r="O794" s="146">
        <f t="shared" si="74"/>
        <v>0</v>
      </c>
      <c r="P794" s="146">
        <f>IF(B794="",0,SUMIF('NHAP XUAT'!$G$10:$J$1011,'Ghi So'!B794,'NHAP XUAT'!$J$10:$J$1011))</f>
        <v>0</v>
      </c>
      <c r="Q794" s="146">
        <f t="shared" si="75"/>
        <v>0</v>
      </c>
      <c r="R794" s="169"/>
      <c r="S794" s="169"/>
      <c r="T794" s="146">
        <f t="shared" si="76"/>
        <v>0</v>
      </c>
      <c r="U794" s="121" t="str">
        <f t="shared" si="77"/>
        <v>Close</v>
      </c>
      <c r="V794" s="117"/>
    </row>
    <row r="795" spans="1:22" ht="15" customHeight="1">
      <c r="A795" s="117"/>
      <c r="B795" s="144" t="str">
        <f>IF(D795="","","P"&amp;D795&amp;"MA"&amp;COUNTIF($D$14:D795,D795))</f>
        <v/>
      </c>
      <c r="C795" s="162"/>
      <c r="D795" s="163"/>
      <c r="E795" s="164"/>
      <c r="F795" s="164"/>
      <c r="G795" s="164"/>
      <c r="H795" s="164"/>
      <c r="I795" s="162"/>
      <c r="J795" s="144"/>
      <c r="K795" s="144"/>
      <c r="L795" s="144"/>
      <c r="M795" s="145">
        <f t="shared" si="72"/>
        <v>0</v>
      </c>
      <c r="N795" s="145">
        <f t="shared" si="73"/>
        <v>0</v>
      </c>
      <c r="O795" s="146">
        <f t="shared" si="74"/>
        <v>0</v>
      </c>
      <c r="P795" s="146">
        <f>IF(B795="",0,SUMIF('NHAP XUAT'!$G$10:$J$1011,'Ghi So'!B795,'NHAP XUAT'!$J$10:$J$1011))</f>
        <v>0</v>
      </c>
      <c r="Q795" s="146">
        <f t="shared" si="75"/>
        <v>0</v>
      </c>
      <c r="R795" s="169"/>
      <c r="S795" s="169"/>
      <c r="T795" s="146">
        <f t="shared" si="76"/>
        <v>0</v>
      </c>
      <c r="U795" s="121" t="str">
        <f t="shared" si="77"/>
        <v>Close</v>
      </c>
      <c r="V795" s="117"/>
    </row>
    <row r="796" spans="1:22" ht="15" customHeight="1">
      <c r="A796" s="117"/>
      <c r="B796" s="144" t="str">
        <f>IF(D796="","","P"&amp;D796&amp;"MA"&amp;COUNTIF($D$14:D796,D796))</f>
        <v/>
      </c>
      <c r="C796" s="162"/>
      <c r="D796" s="163"/>
      <c r="E796" s="164"/>
      <c r="F796" s="164"/>
      <c r="G796" s="164"/>
      <c r="H796" s="164"/>
      <c r="I796" s="162"/>
      <c r="J796" s="144"/>
      <c r="K796" s="144"/>
      <c r="L796" s="144"/>
      <c r="M796" s="145">
        <f t="shared" si="72"/>
        <v>0</v>
      </c>
      <c r="N796" s="145">
        <f t="shared" si="73"/>
        <v>0</v>
      </c>
      <c r="O796" s="146">
        <f t="shared" si="74"/>
        <v>0</v>
      </c>
      <c r="P796" s="146">
        <f>IF(B796="",0,SUMIF('NHAP XUAT'!$G$10:$J$1011,'Ghi So'!B796,'NHAP XUAT'!$J$10:$J$1011))</f>
        <v>0</v>
      </c>
      <c r="Q796" s="146">
        <f t="shared" si="75"/>
        <v>0</v>
      </c>
      <c r="R796" s="169"/>
      <c r="S796" s="169"/>
      <c r="T796" s="146">
        <f t="shared" si="76"/>
        <v>0</v>
      </c>
      <c r="U796" s="121" t="str">
        <f t="shared" si="77"/>
        <v>Close</v>
      </c>
      <c r="V796" s="117"/>
    </row>
    <row r="797" spans="1:22" ht="15" customHeight="1">
      <c r="A797" s="117"/>
      <c r="B797" s="144" t="str">
        <f>IF(D797="","","P"&amp;D797&amp;"MA"&amp;COUNTIF($D$14:D797,D797))</f>
        <v/>
      </c>
      <c r="C797" s="162"/>
      <c r="D797" s="163"/>
      <c r="E797" s="164"/>
      <c r="F797" s="164"/>
      <c r="G797" s="164"/>
      <c r="H797" s="164"/>
      <c r="I797" s="162"/>
      <c r="J797" s="144"/>
      <c r="K797" s="144"/>
      <c r="L797" s="144"/>
      <c r="M797" s="145">
        <f t="shared" ref="M797:M860" si="78">(IF(I797&lt;&gt;"",(I797-C797)*24*60,0)+G797*60+H797-E797*60-F797)/60</f>
        <v>0</v>
      </c>
      <c r="N797" s="145">
        <f t="shared" ref="N797:N860" si="79">INT(M797)+IF(MOD(M797,2)&gt;0.25,1,0)</f>
        <v>0</v>
      </c>
      <c r="O797" s="146">
        <f t="shared" ref="O797:O860" si="80">IF(J797&lt;&gt;"",DG_nghigio+DG_themgio*(N797-1),IF(K797&lt;&gt;"",DG_quadem+DG_themgio*(N797-12),DG_ngay*L797))</f>
        <v>0</v>
      </c>
      <c r="P797" s="146">
        <f>IF(B797="",0,SUMIF('NHAP XUAT'!$G$10:$J$1011,'Ghi So'!B797,'NHAP XUAT'!$J$10:$J$1011))</f>
        <v>0</v>
      </c>
      <c r="Q797" s="146">
        <f t="shared" ref="Q797:Q860" si="81">O797+P797</f>
        <v>0</v>
      </c>
      <c r="R797" s="169"/>
      <c r="S797" s="169"/>
      <c r="T797" s="146">
        <f t="shared" ref="T797:T860" si="82">R797*S797</f>
        <v>0</v>
      </c>
      <c r="U797" s="121" t="str">
        <f t="shared" ref="U797:U860" si="83">D797&amp;IF(AND(G797="",H797="",I797=""),"Close","Open")</f>
        <v>Close</v>
      </c>
      <c r="V797" s="117"/>
    </row>
    <row r="798" spans="1:22" ht="15" customHeight="1">
      <c r="A798" s="117"/>
      <c r="B798" s="144" t="str">
        <f>IF(D798="","","P"&amp;D798&amp;"MA"&amp;COUNTIF($D$14:D798,D798))</f>
        <v/>
      </c>
      <c r="C798" s="162"/>
      <c r="D798" s="163"/>
      <c r="E798" s="164"/>
      <c r="F798" s="164"/>
      <c r="G798" s="164"/>
      <c r="H798" s="164"/>
      <c r="I798" s="162"/>
      <c r="J798" s="144"/>
      <c r="K798" s="144"/>
      <c r="L798" s="144"/>
      <c r="M798" s="145">
        <f t="shared" si="78"/>
        <v>0</v>
      </c>
      <c r="N798" s="145">
        <f t="shared" si="79"/>
        <v>0</v>
      </c>
      <c r="O798" s="146">
        <f t="shared" si="80"/>
        <v>0</v>
      </c>
      <c r="P798" s="146">
        <f>IF(B798="",0,SUMIF('NHAP XUAT'!$G$10:$J$1011,'Ghi So'!B798,'NHAP XUAT'!$J$10:$J$1011))</f>
        <v>0</v>
      </c>
      <c r="Q798" s="146">
        <f t="shared" si="81"/>
        <v>0</v>
      </c>
      <c r="R798" s="169"/>
      <c r="S798" s="169"/>
      <c r="T798" s="146">
        <f t="shared" si="82"/>
        <v>0</v>
      </c>
      <c r="U798" s="121" t="str">
        <f t="shared" si="83"/>
        <v>Close</v>
      </c>
      <c r="V798" s="117"/>
    </row>
    <row r="799" spans="1:22" ht="15" customHeight="1">
      <c r="A799" s="117"/>
      <c r="B799" s="144" t="str">
        <f>IF(D799="","","P"&amp;D799&amp;"MA"&amp;COUNTIF($D$14:D799,D799))</f>
        <v/>
      </c>
      <c r="C799" s="162"/>
      <c r="D799" s="163"/>
      <c r="E799" s="164"/>
      <c r="F799" s="164"/>
      <c r="G799" s="164"/>
      <c r="H799" s="164"/>
      <c r="I799" s="162"/>
      <c r="J799" s="144"/>
      <c r="K799" s="144"/>
      <c r="L799" s="144"/>
      <c r="M799" s="145">
        <f t="shared" si="78"/>
        <v>0</v>
      </c>
      <c r="N799" s="145">
        <f t="shared" si="79"/>
        <v>0</v>
      </c>
      <c r="O799" s="146">
        <f t="shared" si="80"/>
        <v>0</v>
      </c>
      <c r="P799" s="146">
        <f>IF(B799="",0,SUMIF('NHAP XUAT'!$G$10:$J$1011,'Ghi So'!B799,'NHAP XUAT'!$J$10:$J$1011))</f>
        <v>0</v>
      </c>
      <c r="Q799" s="146">
        <f t="shared" si="81"/>
        <v>0</v>
      </c>
      <c r="R799" s="169"/>
      <c r="S799" s="169"/>
      <c r="T799" s="146">
        <f t="shared" si="82"/>
        <v>0</v>
      </c>
      <c r="U799" s="121" t="str">
        <f t="shared" si="83"/>
        <v>Close</v>
      </c>
      <c r="V799" s="117"/>
    </row>
    <row r="800" spans="1:22" ht="15" customHeight="1">
      <c r="A800" s="117"/>
      <c r="B800" s="144" t="str">
        <f>IF(D800="","","P"&amp;D800&amp;"MA"&amp;COUNTIF($D$14:D800,D800))</f>
        <v/>
      </c>
      <c r="C800" s="162"/>
      <c r="D800" s="163"/>
      <c r="E800" s="164"/>
      <c r="F800" s="164"/>
      <c r="G800" s="164"/>
      <c r="H800" s="164"/>
      <c r="I800" s="162"/>
      <c r="J800" s="144"/>
      <c r="K800" s="144"/>
      <c r="L800" s="144"/>
      <c r="M800" s="145">
        <f t="shared" si="78"/>
        <v>0</v>
      </c>
      <c r="N800" s="145">
        <f t="shared" si="79"/>
        <v>0</v>
      </c>
      <c r="O800" s="146">
        <f t="shared" si="80"/>
        <v>0</v>
      </c>
      <c r="P800" s="146">
        <f>IF(B800="",0,SUMIF('NHAP XUAT'!$G$10:$J$1011,'Ghi So'!B800,'NHAP XUAT'!$J$10:$J$1011))</f>
        <v>0</v>
      </c>
      <c r="Q800" s="146">
        <f t="shared" si="81"/>
        <v>0</v>
      </c>
      <c r="R800" s="169"/>
      <c r="S800" s="169"/>
      <c r="T800" s="146">
        <f t="shared" si="82"/>
        <v>0</v>
      </c>
      <c r="U800" s="121" t="str">
        <f t="shared" si="83"/>
        <v>Close</v>
      </c>
      <c r="V800" s="117"/>
    </row>
    <row r="801" spans="1:22" ht="15" customHeight="1">
      <c r="A801" s="117"/>
      <c r="B801" s="144" t="str">
        <f>IF(D801="","","P"&amp;D801&amp;"MA"&amp;COUNTIF($D$14:D801,D801))</f>
        <v/>
      </c>
      <c r="C801" s="162"/>
      <c r="D801" s="163"/>
      <c r="E801" s="164"/>
      <c r="F801" s="164"/>
      <c r="G801" s="164"/>
      <c r="H801" s="164"/>
      <c r="I801" s="162"/>
      <c r="J801" s="144"/>
      <c r="K801" s="144"/>
      <c r="L801" s="144"/>
      <c r="M801" s="145">
        <f t="shared" si="78"/>
        <v>0</v>
      </c>
      <c r="N801" s="145">
        <f t="shared" si="79"/>
        <v>0</v>
      </c>
      <c r="O801" s="146">
        <f t="shared" si="80"/>
        <v>0</v>
      </c>
      <c r="P801" s="146">
        <f>IF(B801="",0,SUMIF('NHAP XUAT'!$G$10:$J$1011,'Ghi So'!B801,'NHAP XUAT'!$J$10:$J$1011))</f>
        <v>0</v>
      </c>
      <c r="Q801" s="146">
        <f t="shared" si="81"/>
        <v>0</v>
      </c>
      <c r="R801" s="169"/>
      <c r="S801" s="169"/>
      <c r="T801" s="146">
        <f t="shared" si="82"/>
        <v>0</v>
      </c>
      <c r="U801" s="121" t="str">
        <f t="shared" si="83"/>
        <v>Close</v>
      </c>
      <c r="V801" s="117"/>
    </row>
    <row r="802" spans="1:22" ht="15" customHeight="1">
      <c r="A802" s="117"/>
      <c r="B802" s="144" t="str">
        <f>IF(D802="","","P"&amp;D802&amp;"MA"&amp;COUNTIF($D$14:D802,D802))</f>
        <v/>
      </c>
      <c r="C802" s="162"/>
      <c r="D802" s="163"/>
      <c r="E802" s="164"/>
      <c r="F802" s="164"/>
      <c r="G802" s="164"/>
      <c r="H802" s="164"/>
      <c r="I802" s="162"/>
      <c r="J802" s="144"/>
      <c r="K802" s="144"/>
      <c r="L802" s="144"/>
      <c r="M802" s="145">
        <f t="shared" si="78"/>
        <v>0</v>
      </c>
      <c r="N802" s="145">
        <f t="shared" si="79"/>
        <v>0</v>
      </c>
      <c r="O802" s="146">
        <f t="shared" si="80"/>
        <v>0</v>
      </c>
      <c r="P802" s="146">
        <f>IF(B802="",0,SUMIF('NHAP XUAT'!$G$10:$J$1011,'Ghi So'!B802,'NHAP XUAT'!$J$10:$J$1011))</f>
        <v>0</v>
      </c>
      <c r="Q802" s="146">
        <f t="shared" si="81"/>
        <v>0</v>
      </c>
      <c r="R802" s="169"/>
      <c r="S802" s="169"/>
      <c r="T802" s="146">
        <f t="shared" si="82"/>
        <v>0</v>
      </c>
      <c r="U802" s="121" t="str">
        <f t="shared" si="83"/>
        <v>Close</v>
      </c>
      <c r="V802" s="117"/>
    </row>
    <row r="803" spans="1:22" ht="15" customHeight="1">
      <c r="A803" s="117"/>
      <c r="B803" s="144" t="str">
        <f>IF(D803="","","P"&amp;D803&amp;"MA"&amp;COUNTIF($D$14:D803,D803))</f>
        <v/>
      </c>
      <c r="C803" s="162"/>
      <c r="D803" s="163"/>
      <c r="E803" s="164"/>
      <c r="F803" s="164"/>
      <c r="G803" s="164"/>
      <c r="H803" s="164"/>
      <c r="I803" s="162"/>
      <c r="J803" s="144"/>
      <c r="K803" s="144"/>
      <c r="L803" s="144"/>
      <c r="M803" s="145">
        <f t="shared" si="78"/>
        <v>0</v>
      </c>
      <c r="N803" s="145">
        <f t="shared" si="79"/>
        <v>0</v>
      </c>
      <c r="O803" s="146">
        <f t="shared" si="80"/>
        <v>0</v>
      </c>
      <c r="P803" s="146">
        <f>IF(B803="",0,SUMIF('NHAP XUAT'!$G$10:$J$1011,'Ghi So'!B803,'NHAP XUAT'!$J$10:$J$1011))</f>
        <v>0</v>
      </c>
      <c r="Q803" s="146">
        <f t="shared" si="81"/>
        <v>0</v>
      </c>
      <c r="R803" s="169"/>
      <c r="S803" s="169"/>
      <c r="T803" s="146">
        <f t="shared" si="82"/>
        <v>0</v>
      </c>
      <c r="U803" s="121" t="str">
        <f t="shared" si="83"/>
        <v>Close</v>
      </c>
      <c r="V803" s="117"/>
    </row>
    <row r="804" spans="1:22" ht="15" customHeight="1">
      <c r="A804" s="117"/>
      <c r="B804" s="144" t="str">
        <f>IF(D804="","","P"&amp;D804&amp;"MA"&amp;COUNTIF($D$14:D804,D804))</f>
        <v/>
      </c>
      <c r="C804" s="162"/>
      <c r="D804" s="163"/>
      <c r="E804" s="164"/>
      <c r="F804" s="164"/>
      <c r="G804" s="164"/>
      <c r="H804" s="164"/>
      <c r="I804" s="162"/>
      <c r="J804" s="144"/>
      <c r="K804" s="144"/>
      <c r="L804" s="144"/>
      <c r="M804" s="145">
        <f t="shared" si="78"/>
        <v>0</v>
      </c>
      <c r="N804" s="145">
        <f t="shared" si="79"/>
        <v>0</v>
      </c>
      <c r="O804" s="146">
        <f t="shared" si="80"/>
        <v>0</v>
      </c>
      <c r="P804" s="146">
        <f>IF(B804="",0,SUMIF('NHAP XUAT'!$G$10:$J$1011,'Ghi So'!B804,'NHAP XUAT'!$J$10:$J$1011))</f>
        <v>0</v>
      </c>
      <c r="Q804" s="146">
        <f t="shared" si="81"/>
        <v>0</v>
      </c>
      <c r="R804" s="169"/>
      <c r="S804" s="169"/>
      <c r="T804" s="146">
        <f t="shared" si="82"/>
        <v>0</v>
      </c>
      <c r="U804" s="121" t="str">
        <f t="shared" si="83"/>
        <v>Close</v>
      </c>
      <c r="V804" s="117"/>
    </row>
    <row r="805" spans="1:22" ht="15" customHeight="1">
      <c r="A805" s="117"/>
      <c r="B805" s="144" t="str">
        <f>IF(D805="","","P"&amp;D805&amp;"MA"&amp;COUNTIF($D$14:D805,D805))</f>
        <v/>
      </c>
      <c r="C805" s="162"/>
      <c r="D805" s="163"/>
      <c r="E805" s="164"/>
      <c r="F805" s="164"/>
      <c r="G805" s="164"/>
      <c r="H805" s="164"/>
      <c r="I805" s="162"/>
      <c r="J805" s="144"/>
      <c r="K805" s="144"/>
      <c r="L805" s="144"/>
      <c r="M805" s="145">
        <f t="shared" si="78"/>
        <v>0</v>
      </c>
      <c r="N805" s="145">
        <f t="shared" si="79"/>
        <v>0</v>
      </c>
      <c r="O805" s="146">
        <f t="shared" si="80"/>
        <v>0</v>
      </c>
      <c r="P805" s="146">
        <f>IF(B805="",0,SUMIF('NHAP XUAT'!$G$10:$J$1011,'Ghi So'!B805,'NHAP XUAT'!$J$10:$J$1011))</f>
        <v>0</v>
      </c>
      <c r="Q805" s="146">
        <f t="shared" si="81"/>
        <v>0</v>
      </c>
      <c r="R805" s="169"/>
      <c r="S805" s="169"/>
      <c r="T805" s="146">
        <f t="shared" si="82"/>
        <v>0</v>
      </c>
      <c r="U805" s="121" t="str">
        <f t="shared" si="83"/>
        <v>Close</v>
      </c>
      <c r="V805" s="117"/>
    </row>
    <row r="806" spans="1:22" ht="15" customHeight="1">
      <c r="A806" s="117"/>
      <c r="B806" s="144" t="str">
        <f>IF(D806="","","P"&amp;D806&amp;"MA"&amp;COUNTIF($D$14:D806,D806))</f>
        <v/>
      </c>
      <c r="C806" s="162"/>
      <c r="D806" s="163"/>
      <c r="E806" s="164"/>
      <c r="F806" s="164"/>
      <c r="G806" s="164"/>
      <c r="H806" s="164"/>
      <c r="I806" s="162"/>
      <c r="J806" s="144"/>
      <c r="K806" s="144"/>
      <c r="L806" s="144"/>
      <c r="M806" s="145">
        <f t="shared" si="78"/>
        <v>0</v>
      </c>
      <c r="N806" s="145">
        <f t="shared" si="79"/>
        <v>0</v>
      </c>
      <c r="O806" s="146">
        <f t="shared" si="80"/>
        <v>0</v>
      </c>
      <c r="P806" s="146">
        <f>IF(B806="",0,SUMIF('NHAP XUAT'!$G$10:$J$1011,'Ghi So'!B806,'NHAP XUAT'!$J$10:$J$1011))</f>
        <v>0</v>
      </c>
      <c r="Q806" s="146">
        <f t="shared" si="81"/>
        <v>0</v>
      </c>
      <c r="R806" s="169"/>
      <c r="S806" s="169"/>
      <c r="T806" s="146">
        <f t="shared" si="82"/>
        <v>0</v>
      </c>
      <c r="U806" s="121" t="str">
        <f t="shared" si="83"/>
        <v>Close</v>
      </c>
      <c r="V806" s="117"/>
    </row>
    <row r="807" spans="1:22" ht="15" customHeight="1">
      <c r="A807" s="117"/>
      <c r="B807" s="144" t="str">
        <f>IF(D807="","","P"&amp;D807&amp;"MA"&amp;COUNTIF($D$14:D807,D807))</f>
        <v/>
      </c>
      <c r="C807" s="162"/>
      <c r="D807" s="163"/>
      <c r="E807" s="164"/>
      <c r="F807" s="164"/>
      <c r="G807" s="164"/>
      <c r="H807" s="164"/>
      <c r="I807" s="162"/>
      <c r="J807" s="144"/>
      <c r="K807" s="144"/>
      <c r="L807" s="144"/>
      <c r="M807" s="145">
        <f t="shared" si="78"/>
        <v>0</v>
      </c>
      <c r="N807" s="145">
        <f t="shared" si="79"/>
        <v>0</v>
      </c>
      <c r="O807" s="146">
        <f t="shared" si="80"/>
        <v>0</v>
      </c>
      <c r="P807" s="146">
        <f>IF(B807="",0,SUMIF('NHAP XUAT'!$G$10:$J$1011,'Ghi So'!B807,'NHAP XUAT'!$J$10:$J$1011))</f>
        <v>0</v>
      </c>
      <c r="Q807" s="146">
        <f t="shared" si="81"/>
        <v>0</v>
      </c>
      <c r="R807" s="169"/>
      <c r="S807" s="169"/>
      <c r="T807" s="146">
        <f t="shared" si="82"/>
        <v>0</v>
      </c>
      <c r="U807" s="121" t="str">
        <f t="shared" si="83"/>
        <v>Close</v>
      </c>
      <c r="V807" s="117"/>
    </row>
    <row r="808" spans="1:22" ht="15" customHeight="1">
      <c r="A808" s="117"/>
      <c r="B808" s="144" t="str">
        <f>IF(D808="","","P"&amp;D808&amp;"MA"&amp;COUNTIF($D$14:D808,D808))</f>
        <v/>
      </c>
      <c r="C808" s="162"/>
      <c r="D808" s="163"/>
      <c r="E808" s="164"/>
      <c r="F808" s="164"/>
      <c r="G808" s="164"/>
      <c r="H808" s="164"/>
      <c r="I808" s="162"/>
      <c r="J808" s="144"/>
      <c r="K808" s="144"/>
      <c r="L808" s="144"/>
      <c r="M808" s="145">
        <f t="shared" si="78"/>
        <v>0</v>
      </c>
      <c r="N808" s="145">
        <f t="shared" si="79"/>
        <v>0</v>
      </c>
      <c r="O808" s="146">
        <f t="shared" si="80"/>
        <v>0</v>
      </c>
      <c r="P808" s="146">
        <f>IF(B808="",0,SUMIF('NHAP XUAT'!$G$10:$J$1011,'Ghi So'!B808,'NHAP XUAT'!$J$10:$J$1011))</f>
        <v>0</v>
      </c>
      <c r="Q808" s="146">
        <f t="shared" si="81"/>
        <v>0</v>
      </c>
      <c r="R808" s="169"/>
      <c r="S808" s="169"/>
      <c r="T808" s="146">
        <f t="shared" si="82"/>
        <v>0</v>
      </c>
      <c r="U808" s="121" t="str">
        <f t="shared" si="83"/>
        <v>Close</v>
      </c>
      <c r="V808" s="117"/>
    </row>
    <row r="809" spans="1:22" ht="15" customHeight="1">
      <c r="A809" s="117"/>
      <c r="B809" s="144" t="str">
        <f>IF(D809="","","P"&amp;D809&amp;"MA"&amp;COUNTIF($D$14:D809,D809))</f>
        <v/>
      </c>
      <c r="C809" s="162"/>
      <c r="D809" s="163"/>
      <c r="E809" s="164"/>
      <c r="F809" s="164"/>
      <c r="G809" s="164"/>
      <c r="H809" s="164"/>
      <c r="I809" s="162"/>
      <c r="J809" s="144"/>
      <c r="K809" s="144"/>
      <c r="L809" s="144"/>
      <c r="M809" s="145">
        <f t="shared" si="78"/>
        <v>0</v>
      </c>
      <c r="N809" s="145">
        <f t="shared" si="79"/>
        <v>0</v>
      </c>
      <c r="O809" s="146">
        <f t="shared" si="80"/>
        <v>0</v>
      </c>
      <c r="P809" s="146">
        <f>IF(B809="",0,SUMIF('NHAP XUAT'!$G$10:$J$1011,'Ghi So'!B809,'NHAP XUAT'!$J$10:$J$1011))</f>
        <v>0</v>
      </c>
      <c r="Q809" s="146">
        <f t="shared" si="81"/>
        <v>0</v>
      </c>
      <c r="R809" s="169"/>
      <c r="S809" s="169"/>
      <c r="T809" s="146">
        <f t="shared" si="82"/>
        <v>0</v>
      </c>
      <c r="U809" s="121" t="str">
        <f t="shared" si="83"/>
        <v>Close</v>
      </c>
      <c r="V809" s="117"/>
    </row>
    <row r="810" spans="1:22" ht="15" customHeight="1">
      <c r="A810" s="117"/>
      <c r="B810" s="144" t="str">
        <f>IF(D810="","","P"&amp;D810&amp;"MA"&amp;COUNTIF($D$14:D810,D810))</f>
        <v/>
      </c>
      <c r="C810" s="162"/>
      <c r="D810" s="163"/>
      <c r="E810" s="164"/>
      <c r="F810" s="164"/>
      <c r="G810" s="164"/>
      <c r="H810" s="164"/>
      <c r="I810" s="162"/>
      <c r="J810" s="144"/>
      <c r="K810" s="144"/>
      <c r="L810" s="144"/>
      <c r="M810" s="145">
        <f t="shared" si="78"/>
        <v>0</v>
      </c>
      <c r="N810" s="145">
        <f t="shared" si="79"/>
        <v>0</v>
      </c>
      <c r="O810" s="146">
        <f t="shared" si="80"/>
        <v>0</v>
      </c>
      <c r="P810" s="146">
        <f>IF(B810="",0,SUMIF('NHAP XUAT'!$G$10:$J$1011,'Ghi So'!B810,'NHAP XUAT'!$J$10:$J$1011))</f>
        <v>0</v>
      </c>
      <c r="Q810" s="146">
        <f t="shared" si="81"/>
        <v>0</v>
      </c>
      <c r="R810" s="169"/>
      <c r="S810" s="169"/>
      <c r="T810" s="146">
        <f t="shared" si="82"/>
        <v>0</v>
      </c>
      <c r="U810" s="121" t="str">
        <f t="shared" si="83"/>
        <v>Close</v>
      </c>
      <c r="V810" s="117"/>
    </row>
    <row r="811" spans="1:22" ht="15" customHeight="1">
      <c r="A811" s="117"/>
      <c r="B811" s="144" t="str">
        <f>IF(D811="","","P"&amp;D811&amp;"MA"&amp;COUNTIF($D$14:D811,D811))</f>
        <v/>
      </c>
      <c r="C811" s="162"/>
      <c r="D811" s="163"/>
      <c r="E811" s="164"/>
      <c r="F811" s="164"/>
      <c r="G811" s="164"/>
      <c r="H811" s="164"/>
      <c r="I811" s="162"/>
      <c r="J811" s="144"/>
      <c r="K811" s="144"/>
      <c r="L811" s="144"/>
      <c r="M811" s="145">
        <f t="shared" si="78"/>
        <v>0</v>
      </c>
      <c r="N811" s="145">
        <f t="shared" si="79"/>
        <v>0</v>
      </c>
      <c r="O811" s="146">
        <f t="shared" si="80"/>
        <v>0</v>
      </c>
      <c r="P811" s="146">
        <f>IF(B811="",0,SUMIF('NHAP XUAT'!$G$10:$J$1011,'Ghi So'!B811,'NHAP XUAT'!$J$10:$J$1011))</f>
        <v>0</v>
      </c>
      <c r="Q811" s="146">
        <f t="shared" si="81"/>
        <v>0</v>
      </c>
      <c r="R811" s="169"/>
      <c r="S811" s="169"/>
      <c r="T811" s="146">
        <f t="shared" si="82"/>
        <v>0</v>
      </c>
      <c r="U811" s="121" t="str">
        <f t="shared" si="83"/>
        <v>Close</v>
      </c>
      <c r="V811" s="117"/>
    </row>
    <row r="812" spans="1:22" ht="15" customHeight="1">
      <c r="A812" s="117"/>
      <c r="B812" s="144" t="str">
        <f>IF(D812="","","P"&amp;D812&amp;"MA"&amp;COUNTIF($D$14:D812,D812))</f>
        <v/>
      </c>
      <c r="C812" s="162"/>
      <c r="D812" s="163"/>
      <c r="E812" s="164"/>
      <c r="F812" s="164"/>
      <c r="G812" s="164"/>
      <c r="H812" s="164"/>
      <c r="I812" s="162"/>
      <c r="J812" s="144"/>
      <c r="K812" s="144"/>
      <c r="L812" s="144"/>
      <c r="M812" s="145">
        <f t="shared" si="78"/>
        <v>0</v>
      </c>
      <c r="N812" s="145">
        <f t="shared" si="79"/>
        <v>0</v>
      </c>
      <c r="O812" s="146">
        <f t="shared" si="80"/>
        <v>0</v>
      </c>
      <c r="P812" s="146">
        <f>IF(B812="",0,SUMIF('NHAP XUAT'!$G$10:$J$1011,'Ghi So'!B812,'NHAP XUAT'!$J$10:$J$1011))</f>
        <v>0</v>
      </c>
      <c r="Q812" s="146">
        <f t="shared" si="81"/>
        <v>0</v>
      </c>
      <c r="R812" s="169"/>
      <c r="S812" s="169"/>
      <c r="T812" s="146">
        <f t="shared" si="82"/>
        <v>0</v>
      </c>
      <c r="U812" s="121" t="str">
        <f t="shared" si="83"/>
        <v>Close</v>
      </c>
      <c r="V812" s="117"/>
    </row>
    <row r="813" spans="1:22" ht="15" customHeight="1">
      <c r="A813" s="117"/>
      <c r="B813" s="144" t="str">
        <f>IF(D813="","","P"&amp;D813&amp;"MA"&amp;COUNTIF($D$14:D813,D813))</f>
        <v/>
      </c>
      <c r="C813" s="162"/>
      <c r="D813" s="163"/>
      <c r="E813" s="164"/>
      <c r="F813" s="164"/>
      <c r="G813" s="164"/>
      <c r="H813" s="164"/>
      <c r="I813" s="162"/>
      <c r="J813" s="144"/>
      <c r="K813" s="144"/>
      <c r="L813" s="144"/>
      <c r="M813" s="145">
        <f t="shared" si="78"/>
        <v>0</v>
      </c>
      <c r="N813" s="145">
        <f t="shared" si="79"/>
        <v>0</v>
      </c>
      <c r="O813" s="146">
        <f t="shared" si="80"/>
        <v>0</v>
      </c>
      <c r="P813" s="146">
        <f>IF(B813="",0,SUMIF('NHAP XUAT'!$G$10:$J$1011,'Ghi So'!B813,'NHAP XUAT'!$J$10:$J$1011))</f>
        <v>0</v>
      </c>
      <c r="Q813" s="146">
        <f t="shared" si="81"/>
        <v>0</v>
      </c>
      <c r="R813" s="169"/>
      <c r="S813" s="169"/>
      <c r="T813" s="146">
        <f t="shared" si="82"/>
        <v>0</v>
      </c>
      <c r="U813" s="121" t="str">
        <f t="shared" si="83"/>
        <v>Close</v>
      </c>
      <c r="V813" s="117"/>
    </row>
    <row r="814" spans="1:22" ht="15" customHeight="1">
      <c r="A814" s="117"/>
      <c r="B814" s="144" t="str">
        <f>IF(D814="","","P"&amp;D814&amp;"MA"&amp;COUNTIF($D$14:D814,D814))</f>
        <v/>
      </c>
      <c r="C814" s="162"/>
      <c r="D814" s="163"/>
      <c r="E814" s="164"/>
      <c r="F814" s="164"/>
      <c r="G814" s="164"/>
      <c r="H814" s="164"/>
      <c r="I814" s="162"/>
      <c r="J814" s="144"/>
      <c r="K814" s="144"/>
      <c r="L814" s="144"/>
      <c r="M814" s="145">
        <f t="shared" si="78"/>
        <v>0</v>
      </c>
      <c r="N814" s="145">
        <f t="shared" si="79"/>
        <v>0</v>
      </c>
      <c r="O814" s="146">
        <f t="shared" si="80"/>
        <v>0</v>
      </c>
      <c r="P814" s="146">
        <f>IF(B814="",0,SUMIF('NHAP XUAT'!$G$10:$J$1011,'Ghi So'!B814,'NHAP XUAT'!$J$10:$J$1011))</f>
        <v>0</v>
      </c>
      <c r="Q814" s="146">
        <f t="shared" si="81"/>
        <v>0</v>
      </c>
      <c r="R814" s="169"/>
      <c r="S814" s="169"/>
      <c r="T814" s="146">
        <f t="shared" si="82"/>
        <v>0</v>
      </c>
      <c r="U814" s="121" t="str">
        <f t="shared" si="83"/>
        <v>Close</v>
      </c>
      <c r="V814" s="117"/>
    </row>
    <row r="815" spans="1:22" ht="15" customHeight="1">
      <c r="A815" s="117"/>
      <c r="B815" s="144" t="str">
        <f>IF(D815="","","P"&amp;D815&amp;"MA"&amp;COUNTIF($D$14:D815,D815))</f>
        <v/>
      </c>
      <c r="C815" s="162"/>
      <c r="D815" s="163"/>
      <c r="E815" s="164"/>
      <c r="F815" s="164"/>
      <c r="G815" s="164"/>
      <c r="H815" s="164"/>
      <c r="I815" s="162"/>
      <c r="J815" s="144"/>
      <c r="K815" s="144"/>
      <c r="L815" s="144"/>
      <c r="M815" s="145">
        <f t="shared" si="78"/>
        <v>0</v>
      </c>
      <c r="N815" s="145">
        <f t="shared" si="79"/>
        <v>0</v>
      </c>
      <c r="O815" s="146">
        <f t="shared" si="80"/>
        <v>0</v>
      </c>
      <c r="P815" s="146">
        <f>IF(B815="",0,SUMIF('NHAP XUAT'!$G$10:$J$1011,'Ghi So'!B815,'NHAP XUAT'!$J$10:$J$1011))</f>
        <v>0</v>
      </c>
      <c r="Q815" s="146">
        <f t="shared" si="81"/>
        <v>0</v>
      </c>
      <c r="R815" s="169"/>
      <c r="S815" s="169"/>
      <c r="T815" s="146">
        <f t="shared" si="82"/>
        <v>0</v>
      </c>
      <c r="U815" s="121" t="str">
        <f t="shared" si="83"/>
        <v>Close</v>
      </c>
      <c r="V815" s="117"/>
    </row>
    <row r="816" spans="1:22" ht="15" customHeight="1">
      <c r="A816" s="117"/>
      <c r="B816" s="144" t="str">
        <f>IF(D816="","","P"&amp;D816&amp;"MA"&amp;COUNTIF($D$14:D816,D816))</f>
        <v/>
      </c>
      <c r="C816" s="162"/>
      <c r="D816" s="163"/>
      <c r="E816" s="164"/>
      <c r="F816" s="164"/>
      <c r="G816" s="164"/>
      <c r="H816" s="164"/>
      <c r="I816" s="162"/>
      <c r="J816" s="144"/>
      <c r="K816" s="144"/>
      <c r="L816" s="144"/>
      <c r="M816" s="145">
        <f t="shared" si="78"/>
        <v>0</v>
      </c>
      <c r="N816" s="145">
        <f t="shared" si="79"/>
        <v>0</v>
      </c>
      <c r="O816" s="146">
        <f t="shared" si="80"/>
        <v>0</v>
      </c>
      <c r="P816" s="146">
        <f>IF(B816="",0,SUMIF('NHAP XUAT'!$G$10:$J$1011,'Ghi So'!B816,'NHAP XUAT'!$J$10:$J$1011))</f>
        <v>0</v>
      </c>
      <c r="Q816" s="146">
        <f t="shared" si="81"/>
        <v>0</v>
      </c>
      <c r="R816" s="169"/>
      <c r="S816" s="169"/>
      <c r="T816" s="146">
        <f t="shared" si="82"/>
        <v>0</v>
      </c>
      <c r="U816" s="121" t="str">
        <f t="shared" si="83"/>
        <v>Close</v>
      </c>
      <c r="V816" s="117"/>
    </row>
    <row r="817" spans="1:22" ht="15" customHeight="1">
      <c r="A817" s="117"/>
      <c r="B817" s="144" t="str">
        <f>IF(D817="","","P"&amp;D817&amp;"MA"&amp;COUNTIF($D$14:D817,D817))</f>
        <v/>
      </c>
      <c r="C817" s="162"/>
      <c r="D817" s="163"/>
      <c r="E817" s="164"/>
      <c r="F817" s="164"/>
      <c r="G817" s="164"/>
      <c r="H817" s="164"/>
      <c r="I817" s="162"/>
      <c r="J817" s="144"/>
      <c r="K817" s="144"/>
      <c r="L817" s="144"/>
      <c r="M817" s="145">
        <f t="shared" si="78"/>
        <v>0</v>
      </c>
      <c r="N817" s="145">
        <f t="shared" si="79"/>
        <v>0</v>
      </c>
      <c r="O817" s="146">
        <f t="shared" si="80"/>
        <v>0</v>
      </c>
      <c r="P817" s="146">
        <f>IF(B817="",0,SUMIF('NHAP XUAT'!$G$10:$J$1011,'Ghi So'!B817,'NHAP XUAT'!$J$10:$J$1011))</f>
        <v>0</v>
      </c>
      <c r="Q817" s="146">
        <f t="shared" si="81"/>
        <v>0</v>
      </c>
      <c r="R817" s="169"/>
      <c r="S817" s="169"/>
      <c r="T817" s="146">
        <f t="shared" si="82"/>
        <v>0</v>
      </c>
      <c r="U817" s="121" t="str">
        <f t="shared" si="83"/>
        <v>Close</v>
      </c>
      <c r="V817" s="117"/>
    </row>
    <row r="818" spans="1:22" ht="15" customHeight="1">
      <c r="A818" s="117"/>
      <c r="B818" s="144" t="str">
        <f>IF(D818="","","P"&amp;D818&amp;"MA"&amp;COUNTIF($D$14:D818,D818))</f>
        <v/>
      </c>
      <c r="C818" s="162"/>
      <c r="D818" s="163"/>
      <c r="E818" s="164"/>
      <c r="F818" s="164"/>
      <c r="G818" s="164"/>
      <c r="H818" s="164"/>
      <c r="I818" s="162"/>
      <c r="J818" s="144"/>
      <c r="K818" s="144"/>
      <c r="L818" s="144"/>
      <c r="M818" s="145">
        <f t="shared" si="78"/>
        <v>0</v>
      </c>
      <c r="N818" s="145">
        <f t="shared" si="79"/>
        <v>0</v>
      </c>
      <c r="O818" s="146">
        <f t="shared" si="80"/>
        <v>0</v>
      </c>
      <c r="P818" s="146">
        <f>IF(B818="",0,SUMIF('NHAP XUAT'!$G$10:$J$1011,'Ghi So'!B818,'NHAP XUAT'!$J$10:$J$1011))</f>
        <v>0</v>
      </c>
      <c r="Q818" s="146">
        <f t="shared" si="81"/>
        <v>0</v>
      </c>
      <c r="R818" s="169"/>
      <c r="S818" s="169"/>
      <c r="T818" s="146">
        <f t="shared" si="82"/>
        <v>0</v>
      </c>
      <c r="U818" s="121" t="str">
        <f t="shared" si="83"/>
        <v>Close</v>
      </c>
      <c r="V818" s="117"/>
    </row>
    <row r="819" spans="1:22" ht="15" customHeight="1">
      <c r="A819" s="117"/>
      <c r="B819" s="144" t="str">
        <f>IF(D819="","","P"&amp;D819&amp;"MA"&amp;COUNTIF($D$14:D819,D819))</f>
        <v/>
      </c>
      <c r="C819" s="162"/>
      <c r="D819" s="163"/>
      <c r="E819" s="164"/>
      <c r="F819" s="164"/>
      <c r="G819" s="164"/>
      <c r="H819" s="164"/>
      <c r="I819" s="162"/>
      <c r="J819" s="144"/>
      <c r="K819" s="144"/>
      <c r="L819" s="144"/>
      <c r="M819" s="145">
        <f t="shared" si="78"/>
        <v>0</v>
      </c>
      <c r="N819" s="145">
        <f t="shared" si="79"/>
        <v>0</v>
      </c>
      <c r="O819" s="146">
        <f t="shared" si="80"/>
        <v>0</v>
      </c>
      <c r="P819" s="146">
        <f>IF(B819="",0,SUMIF('NHAP XUAT'!$G$10:$J$1011,'Ghi So'!B819,'NHAP XUAT'!$J$10:$J$1011))</f>
        <v>0</v>
      </c>
      <c r="Q819" s="146">
        <f t="shared" si="81"/>
        <v>0</v>
      </c>
      <c r="R819" s="169"/>
      <c r="S819" s="169"/>
      <c r="T819" s="146">
        <f t="shared" si="82"/>
        <v>0</v>
      </c>
      <c r="U819" s="121" t="str">
        <f t="shared" si="83"/>
        <v>Close</v>
      </c>
      <c r="V819" s="117"/>
    </row>
    <row r="820" spans="1:22" ht="15" customHeight="1">
      <c r="A820" s="117"/>
      <c r="B820" s="144" t="str">
        <f>IF(D820="","","P"&amp;D820&amp;"MA"&amp;COUNTIF($D$14:D820,D820))</f>
        <v/>
      </c>
      <c r="C820" s="162"/>
      <c r="D820" s="163"/>
      <c r="E820" s="164"/>
      <c r="F820" s="164"/>
      <c r="G820" s="164"/>
      <c r="H820" s="164"/>
      <c r="I820" s="162"/>
      <c r="J820" s="144"/>
      <c r="K820" s="144"/>
      <c r="L820" s="144"/>
      <c r="M820" s="145">
        <f t="shared" si="78"/>
        <v>0</v>
      </c>
      <c r="N820" s="145">
        <f t="shared" si="79"/>
        <v>0</v>
      </c>
      <c r="O820" s="146">
        <f t="shared" si="80"/>
        <v>0</v>
      </c>
      <c r="P820" s="146">
        <f>IF(B820="",0,SUMIF('NHAP XUAT'!$G$10:$J$1011,'Ghi So'!B820,'NHAP XUAT'!$J$10:$J$1011))</f>
        <v>0</v>
      </c>
      <c r="Q820" s="146">
        <f t="shared" si="81"/>
        <v>0</v>
      </c>
      <c r="R820" s="169"/>
      <c r="S820" s="169"/>
      <c r="T820" s="146">
        <f t="shared" si="82"/>
        <v>0</v>
      </c>
      <c r="U820" s="121" t="str">
        <f t="shared" si="83"/>
        <v>Close</v>
      </c>
      <c r="V820" s="117"/>
    </row>
    <row r="821" spans="1:22" ht="15" customHeight="1">
      <c r="A821" s="117"/>
      <c r="B821" s="144" t="str">
        <f>IF(D821="","","P"&amp;D821&amp;"MA"&amp;COUNTIF($D$14:D821,D821))</f>
        <v/>
      </c>
      <c r="C821" s="162"/>
      <c r="D821" s="163"/>
      <c r="E821" s="164"/>
      <c r="F821" s="164"/>
      <c r="G821" s="164"/>
      <c r="H821" s="164"/>
      <c r="I821" s="162"/>
      <c r="J821" s="144"/>
      <c r="K821" s="144"/>
      <c r="L821" s="144"/>
      <c r="M821" s="145">
        <f t="shared" si="78"/>
        <v>0</v>
      </c>
      <c r="N821" s="145">
        <f t="shared" si="79"/>
        <v>0</v>
      </c>
      <c r="O821" s="146">
        <f t="shared" si="80"/>
        <v>0</v>
      </c>
      <c r="P821" s="146">
        <f>IF(B821="",0,SUMIF('NHAP XUAT'!$G$10:$J$1011,'Ghi So'!B821,'NHAP XUAT'!$J$10:$J$1011))</f>
        <v>0</v>
      </c>
      <c r="Q821" s="146">
        <f t="shared" si="81"/>
        <v>0</v>
      </c>
      <c r="R821" s="169"/>
      <c r="S821" s="169"/>
      <c r="T821" s="146">
        <f t="shared" si="82"/>
        <v>0</v>
      </c>
      <c r="U821" s="121" t="str">
        <f t="shared" si="83"/>
        <v>Close</v>
      </c>
      <c r="V821" s="117"/>
    </row>
    <row r="822" spans="1:22" ht="15" customHeight="1">
      <c r="A822" s="117"/>
      <c r="B822" s="144" t="str">
        <f>IF(D822="","","P"&amp;D822&amp;"MA"&amp;COUNTIF($D$14:D822,D822))</f>
        <v/>
      </c>
      <c r="C822" s="162"/>
      <c r="D822" s="163"/>
      <c r="E822" s="164"/>
      <c r="F822" s="164"/>
      <c r="G822" s="164"/>
      <c r="H822" s="164"/>
      <c r="I822" s="162"/>
      <c r="J822" s="144"/>
      <c r="K822" s="144"/>
      <c r="L822" s="144"/>
      <c r="M822" s="145">
        <f t="shared" si="78"/>
        <v>0</v>
      </c>
      <c r="N822" s="145">
        <f t="shared" si="79"/>
        <v>0</v>
      </c>
      <c r="O822" s="146">
        <f t="shared" si="80"/>
        <v>0</v>
      </c>
      <c r="P822" s="146">
        <f>IF(B822="",0,SUMIF('NHAP XUAT'!$G$10:$J$1011,'Ghi So'!B822,'NHAP XUAT'!$J$10:$J$1011))</f>
        <v>0</v>
      </c>
      <c r="Q822" s="146">
        <f t="shared" si="81"/>
        <v>0</v>
      </c>
      <c r="R822" s="169"/>
      <c r="S822" s="169"/>
      <c r="T822" s="146">
        <f t="shared" si="82"/>
        <v>0</v>
      </c>
      <c r="U822" s="121" t="str">
        <f t="shared" si="83"/>
        <v>Close</v>
      </c>
      <c r="V822" s="117"/>
    </row>
    <row r="823" spans="1:22" ht="15" customHeight="1">
      <c r="A823" s="117"/>
      <c r="B823" s="144" t="str">
        <f>IF(D823="","","P"&amp;D823&amp;"MA"&amp;COUNTIF($D$14:D823,D823))</f>
        <v/>
      </c>
      <c r="C823" s="162"/>
      <c r="D823" s="163"/>
      <c r="E823" s="164"/>
      <c r="F823" s="164"/>
      <c r="G823" s="164"/>
      <c r="H823" s="164"/>
      <c r="I823" s="162"/>
      <c r="J823" s="144"/>
      <c r="K823" s="144"/>
      <c r="L823" s="144"/>
      <c r="M823" s="145">
        <f t="shared" si="78"/>
        <v>0</v>
      </c>
      <c r="N823" s="145">
        <f t="shared" si="79"/>
        <v>0</v>
      </c>
      <c r="O823" s="146">
        <f t="shared" si="80"/>
        <v>0</v>
      </c>
      <c r="P823" s="146">
        <f>IF(B823="",0,SUMIF('NHAP XUAT'!$G$10:$J$1011,'Ghi So'!B823,'NHAP XUAT'!$J$10:$J$1011))</f>
        <v>0</v>
      </c>
      <c r="Q823" s="146">
        <f t="shared" si="81"/>
        <v>0</v>
      </c>
      <c r="R823" s="169"/>
      <c r="S823" s="169"/>
      <c r="T823" s="146">
        <f t="shared" si="82"/>
        <v>0</v>
      </c>
      <c r="U823" s="121" t="str">
        <f t="shared" si="83"/>
        <v>Close</v>
      </c>
      <c r="V823" s="117"/>
    </row>
    <row r="824" spans="1:22" ht="15" customHeight="1">
      <c r="A824" s="117"/>
      <c r="B824" s="144" t="str">
        <f>IF(D824="","","P"&amp;D824&amp;"MA"&amp;COUNTIF($D$14:D824,D824))</f>
        <v/>
      </c>
      <c r="C824" s="162"/>
      <c r="D824" s="163"/>
      <c r="E824" s="164"/>
      <c r="F824" s="164"/>
      <c r="G824" s="164"/>
      <c r="H824" s="164"/>
      <c r="I824" s="162"/>
      <c r="J824" s="144"/>
      <c r="K824" s="144"/>
      <c r="L824" s="144"/>
      <c r="M824" s="145">
        <f t="shared" si="78"/>
        <v>0</v>
      </c>
      <c r="N824" s="145">
        <f t="shared" si="79"/>
        <v>0</v>
      </c>
      <c r="O824" s="146">
        <f t="shared" si="80"/>
        <v>0</v>
      </c>
      <c r="P824" s="146">
        <f>IF(B824="",0,SUMIF('NHAP XUAT'!$G$10:$J$1011,'Ghi So'!B824,'NHAP XUAT'!$J$10:$J$1011))</f>
        <v>0</v>
      </c>
      <c r="Q824" s="146">
        <f t="shared" si="81"/>
        <v>0</v>
      </c>
      <c r="R824" s="169"/>
      <c r="S824" s="169"/>
      <c r="T824" s="146">
        <f t="shared" si="82"/>
        <v>0</v>
      </c>
      <c r="U824" s="121" t="str">
        <f t="shared" si="83"/>
        <v>Close</v>
      </c>
      <c r="V824" s="117"/>
    </row>
    <row r="825" spans="1:22" ht="15" customHeight="1">
      <c r="A825" s="117"/>
      <c r="B825" s="144" t="str">
        <f>IF(D825="","","P"&amp;D825&amp;"MA"&amp;COUNTIF($D$14:D825,D825))</f>
        <v/>
      </c>
      <c r="C825" s="162"/>
      <c r="D825" s="163"/>
      <c r="E825" s="164"/>
      <c r="F825" s="164"/>
      <c r="G825" s="164"/>
      <c r="H825" s="164"/>
      <c r="I825" s="162"/>
      <c r="J825" s="144"/>
      <c r="K825" s="144"/>
      <c r="L825" s="144"/>
      <c r="M825" s="145">
        <f t="shared" si="78"/>
        <v>0</v>
      </c>
      <c r="N825" s="145">
        <f t="shared" si="79"/>
        <v>0</v>
      </c>
      <c r="O825" s="146">
        <f t="shared" si="80"/>
        <v>0</v>
      </c>
      <c r="P825" s="146">
        <f>IF(B825="",0,SUMIF('NHAP XUAT'!$G$10:$J$1011,'Ghi So'!B825,'NHAP XUAT'!$J$10:$J$1011))</f>
        <v>0</v>
      </c>
      <c r="Q825" s="146">
        <f t="shared" si="81"/>
        <v>0</v>
      </c>
      <c r="R825" s="169"/>
      <c r="S825" s="169"/>
      <c r="T825" s="146">
        <f t="shared" si="82"/>
        <v>0</v>
      </c>
      <c r="U825" s="121" t="str">
        <f t="shared" si="83"/>
        <v>Close</v>
      </c>
      <c r="V825" s="117"/>
    </row>
    <row r="826" spans="1:22" ht="15" customHeight="1">
      <c r="A826" s="117"/>
      <c r="B826" s="144" t="str">
        <f>IF(D826="","","P"&amp;D826&amp;"MA"&amp;COUNTIF($D$14:D826,D826))</f>
        <v/>
      </c>
      <c r="C826" s="162"/>
      <c r="D826" s="163"/>
      <c r="E826" s="164"/>
      <c r="F826" s="164"/>
      <c r="G826" s="164"/>
      <c r="H826" s="164"/>
      <c r="I826" s="162"/>
      <c r="J826" s="144"/>
      <c r="K826" s="144"/>
      <c r="L826" s="144"/>
      <c r="M826" s="145">
        <f t="shared" si="78"/>
        <v>0</v>
      </c>
      <c r="N826" s="145">
        <f t="shared" si="79"/>
        <v>0</v>
      </c>
      <c r="O826" s="146">
        <f t="shared" si="80"/>
        <v>0</v>
      </c>
      <c r="P826" s="146">
        <f>IF(B826="",0,SUMIF('NHAP XUAT'!$G$10:$J$1011,'Ghi So'!B826,'NHAP XUAT'!$J$10:$J$1011))</f>
        <v>0</v>
      </c>
      <c r="Q826" s="146">
        <f t="shared" si="81"/>
        <v>0</v>
      </c>
      <c r="R826" s="169"/>
      <c r="S826" s="169"/>
      <c r="T826" s="146">
        <f t="shared" si="82"/>
        <v>0</v>
      </c>
      <c r="U826" s="121" t="str">
        <f t="shared" si="83"/>
        <v>Close</v>
      </c>
      <c r="V826" s="117"/>
    </row>
    <row r="827" spans="1:22" ht="15" customHeight="1">
      <c r="A827" s="117"/>
      <c r="B827" s="144" t="str">
        <f>IF(D827="","","P"&amp;D827&amp;"MA"&amp;COUNTIF($D$14:D827,D827))</f>
        <v/>
      </c>
      <c r="C827" s="162"/>
      <c r="D827" s="163"/>
      <c r="E827" s="164"/>
      <c r="F827" s="164"/>
      <c r="G827" s="164"/>
      <c r="H827" s="164"/>
      <c r="I827" s="162"/>
      <c r="J827" s="144"/>
      <c r="K827" s="144"/>
      <c r="L827" s="144"/>
      <c r="M827" s="145">
        <f t="shared" si="78"/>
        <v>0</v>
      </c>
      <c r="N827" s="145">
        <f t="shared" si="79"/>
        <v>0</v>
      </c>
      <c r="O827" s="146">
        <f t="shared" si="80"/>
        <v>0</v>
      </c>
      <c r="P827" s="146">
        <f>IF(B827="",0,SUMIF('NHAP XUAT'!$G$10:$J$1011,'Ghi So'!B827,'NHAP XUAT'!$J$10:$J$1011))</f>
        <v>0</v>
      </c>
      <c r="Q827" s="146">
        <f t="shared" si="81"/>
        <v>0</v>
      </c>
      <c r="R827" s="169"/>
      <c r="S827" s="169"/>
      <c r="T827" s="146">
        <f t="shared" si="82"/>
        <v>0</v>
      </c>
      <c r="U827" s="121" t="str">
        <f t="shared" si="83"/>
        <v>Close</v>
      </c>
      <c r="V827" s="117"/>
    </row>
    <row r="828" spans="1:22" ht="15" customHeight="1">
      <c r="A828" s="117"/>
      <c r="B828" s="144" t="str">
        <f>IF(D828="","","P"&amp;D828&amp;"MA"&amp;COUNTIF($D$14:D828,D828))</f>
        <v/>
      </c>
      <c r="C828" s="162"/>
      <c r="D828" s="163"/>
      <c r="E828" s="164"/>
      <c r="F828" s="164"/>
      <c r="G828" s="164"/>
      <c r="H828" s="164"/>
      <c r="I828" s="162"/>
      <c r="J828" s="144"/>
      <c r="K828" s="144"/>
      <c r="L828" s="144"/>
      <c r="M828" s="145">
        <f t="shared" si="78"/>
        <v>0</v>
      </c>
      <c r="N828" s="145">
        <f t="shared" si="79"/>
        <v>0</v>
      </c>
      <c r="O828" s="146">
        <f t="shared" si="80"/>
        <v>0</v>
      </c>
      <c r="P828" s="146">
        <f>IF(B828="",0,SUMIF('NHAP XUAT'!$G$10:$J$1011,'Ghi So'!B828,'NHAP XUAT'!$J$10:$J$1011))</f>
        <v>0</v>
      </c>
      <c r="Q828" s="146">
        <f t="shared" si="81"/>
        <v>0</v>
      </c>
      <c r="R828" s="169"/>
      <c r="S828" s="169"/>
      <c r="T828" s="146">
        <f t="shared" si="82"/>
        <v>0</v>
      </c>
      <c r="U828" s="121" t="str">
        <f t="shared" si="83"/>
        <v>Close</v>
      </c>
      <c r="V828" s="117"/>
    </row>
    <row r="829" spans="1:22" ht="15" customHeight="1">
      <c r="A829" s="117"/>
      <c r="B829" s="144" t="str">
        <f>IF(D829="","","P"&amp;D829&amp;"MA"&amp;COUNTIF($D$14:D829,D829))</f>
        <v/>
      </c>
      <c r="C829" s="162"/>
      <c r="D829" s="163"/>
      <c r="E829" s="164"/>
      <c r="F829" s="164"/>
      <c r="G829" s="164"/>
      <c r="H829" s="164"/>
      <c r="I829" s="162"/>
      <c r="J829" s="144"/>
      <c r="K829" s="144"/>
      <c r="L829" s="144"/>
      <c r="M829" s="145">
        <f t="shared" si="78"/>
        <v>0</v>
      </c>
      <c r="N829" s="145">
        <f t="shared" si="79"/>
        <v>0</v>
      </c>
      <c r="O829" s="146">
        <f t="shared" si="80"/>
        <v>0</v>
      </c>
      <c r="P829" s="146">
        <f>IF(B829="",0,SUMIF('NHAP XUAT'!$G$10:$J$1011,'Ghi So'!B829,'NHAP XUAT'!$J$10:$J$1011))</f>
        <v>0</v>
      </c>
      <c r="Q829" s="146">
        <f t="shared" si="81"/>
        <v>0</v>
      </c>
      <c r="R829" s="169"/>
      <c r="S829" s="169"/>
      <c r="T829" s="146">
        <f t="shared" si="82"/>
        <v>0</v>
      </c>
      <c r="U829" s="121" t="str">
        <f t="shared" si="83"/>
        <v>Close</v>
      </c>
      <c r="V829" s="117"/>
    </row>
    <row r="830" spans="1:22" ht="15" customHeight="1">
      <c r="A830" s="117"/>
      <c r="B830" s="144" t="str">
        <f>IF(D830="","","P"&amp;D830&amp;"MA"&amp;COUNTIF($D$14:D830,D830))</f>
        <v/>
      </c>
      <c r="C830" s="162"/>
      <c r="D830" s="163"/>
      <c r="E830" s="164"/>
      <c r="F830" s="164"/>
      <c r="G830" s="164"/>
      <c r="H830" s="164"/>
      <c r="I830" s="162"/>
      <c r="J830" s="144"/>
      <c r="K830" s="144"/>
      <c r="L830" s="144"/>
      <c r="M830" s="145">
        <f t="shared" si="78"/>
        <v>0</v>
      </c>
      <c r="N830" s="145">
        <f t="shared" si="79"/>
        <v>0</v>
      </c>
      <c r="O830" s="146">
        <f t="shared" si="80"/>
        <v>0</v>
      </c>
      <c r="P830" s="146">
        <f>IF(B830="",0,SUMIF('NHAP XUAT'!$G$10:$J$1011,'Ghi So'!B830,'NHAP XUAT'!$J$10:$J$1011))</f>
        <v>0</v>
      </c>
      <c r="Q830" s="146">
        <f t="shared" si="81"/>
        <v>0</v>
      </c>
      <c r="R830" s="169"/>
      <c r="S830" s="169"/>
      <c r="T830" s="146">
        <f t="shared" si="82"/>
        <v>0</v>
      </c>
      <c r="U830" s="121" t="str">
        <f t="shared" si="83"/>
        <v>Close</v>
      </c>
      <c r="V830" s="117"/>
    </row>
    <row r="831" spans="1:22" ht="15" customHeight="1">
      <c r="A831" s="117"/>
      <c r="B831" s="144" t="str">
        <f>IF(D831="","","P"&amp;D831&amp;"MA"&amp;COUNTIF($D$14:D831,D831))</f>
        <v/>
      </c>
      <c r="C831" s="162"/>
      <c r="D831" s="163"/>
      <c r="E831" s="164"/>
      <c r="F831" s="164"/>
      <c r="G831" s="164"/>
      <c r="H831" s="164"/>
      <c r="I831" s="162"/>
      <c r="J831" s="144"/>
      <c r="K831" s="144"/>
      <c r="L831" s="144"/>
      <c r="M831" s="145">
        <f t="shared" si="78"/>
        <v>0</v>
      </c>
      <c r="N831" s="145">
        <f t="shared" si="79"/>
        <v>0</v>
      </c>
      <c r="O831" s="146">
        <f t="shared" si="80"/>
        <v>0</v>
      </c>
      <c r="P831" s="146">
        <f>IF(B831="",0,SUMIF('NHAP XUAT'!$G$10:$J$1011,'Ghi So'!B831,'NHAP XUAT'!$J$10:$J$1011))</f>
        <v>0</v>
      </c>
      <c r="Q831" s="146">
        <f t="shared" si="81"/>
        <v>0</v>
      </c>
      <c r="R831" s="169"/>
      <c r="S831" s="169"/>
      <c r="T831" s="146">
        <f t="shared" si="82"/>
        <v>0</v>
      </c>
      <c r="U831" s="121" t="str">
        <f t="shared" si="83"/>
        <v>Close</v>
      </c>
      <c r="V831" s="117"/>
    </row>
    <row r="832" spans="1:22" ht="15" customHeight="1">
      <c r="A832" s="117"/>
      <c r="B832" s="144" t="str">
        <f>IF(D832="","","P"&amp;D832&amp;"MA"&amp;COUNTIF($D$14:D832,D832))</f>
        <v/>
      </c>
      <c r="C832" s="162"/>
      <c r="D832" s="163"/>
      <c r="E832" s="164"/>
      <c r="F832" s="164"/>
      <c r="G832" s="164"/>
      <c r="H832" s="164"/>
      <c r="I832" s="162"/>
      <c r="J832" s="144"/>
      <c r="K832" s="144"/>
      <c r="L832" s="144"/>
      <c r="M832" s="145">
        <f t="shared" si="78"/>
        <v>0</v>
      </c>
      <c r="N832" s="145">
        <f t="shared" si="79"/>
        <v>0</v>
      </c>
      <c r="O832" s="146">
        <f t="shared" si="80"/>
        <v>0</v>
      </c>
      <c r="P832" s="146">
        <f>IF(B832="",0,SUMIF('NHAP XUAT'!$G$10:$J$1011,'Ghi So'!B832,'NHAP XUAT'!$J$10:$J$1011))</f>
        <v>0</v>
      </c>
      <c r="Q832" s="146">
        <f t="shared" si="81"/>
        <v>0</v>
      </c>
      <c r="R832" s="169"/>
      <c r="S832" s="169"/>
      <c r="T832" s="146">
        <f t="shared" si="82"/>
        <v>0</v>
      </c>
      <c r="U832" s="121" t="str">
        <f t="shared" si="83"/>
        <v>Close</v>
      </c>
      <c r="V832" s="117"/>
    </row>
    <row r="833" spans="1:22" ht="15" customHeight="1">
      <c r="A833" s="117"/>
      <c r="B833" s="144" t="str">
        <f>IF(D833="","","P"&amp;D833&amp;"MA"&amp;COUNTIF($D$14:D833,D833))</f>
        <v/>
      </c>
      <c r="C833" s="162"/>
      <c r="D833" s="163"/>
      <c r="E833" s="164"/>
      <c r="F833" s="164"/>
      <c r="G833" s="164"/>
      <c r="H833" s="164"/>
      <c r="I833" s="162"/>
      <c r="J833" s="144"/>
      <c r="K833" s="144"/>
      <c r="L833" s="144"/>
      <c r="M833" s="145">
        <f t="shared" si="78"/>
        <v>0</v>
      </c>
      <c r="N833" s="145">
        <f t="shared" si="79"/>
        <v>0</v>
      </c>
      <c r="O833" s="146">
        <f t="shared" si="80"/>
        <v>0</v>
      </c>
      <c r="P833" s="146">
        <f>IF(B833="",0,SUMIF('NHAP XUAT'!$G$10:$J$1011,'Ghi So'!B833,'NHAP XUAT'!$J$10:$J$1011))</f>
        <v>0</v>
      </c>
      <c r="Q833" s="146">
        <f t="shared" si="81"/>
        <v>0</v>
      </c>
      <c r="R833" s="169"/>
      <c r="S833" s="169"/>
      <c r="T833" s="146">
        <f t="shared" si="82"/>
        <v>0</v>
      </c>
      <c r="U833" s="121" t="str">
        <f t="shared" si="83"/>
        <v>Close</v>
      </c>
      <c r="V833" s="117"/>
    </row>
    <row r="834" spans="1:22" ht="15" customHeight="1">
      <c r="A834" s="117"/>
      <c r="B834" s="144" t="str">
        <f>IF(D834="","","P"&amp;D834&amp;"MA"&amp;COUNTIF($D$14:D834,D834))</f>
        <v/>
      </c>
      <c r="C834" s="162"/>
      <c r="D834" s="163"/>
      <c r="E834" s="164"/>
      <c r="F834" s="164"/>
      <c r="G834" s="164"/>
      <c r="H834" s="164"/>
      <c r="I834" s="162"/>
      <c r="J834" s="144"/>
      <c r="K834" s="144"/>
      <c r="L834" s="144"/>
      <c r="M834" s="145">
        <f t="shared" si="78"/>
        <v>0</v>
      </c>
      <c r="N834" s="145">
        <f t="shared" si="79"/>
        <v>0</v>
      </c>
      <c r="O834" s="146">
        <f t="shared" si="80"/>
        <v>0</v>
      </c>
      <c r="P834" s="146">
        <f>IF(B834="",0,SUMIF('NHAP XUAT'!$G$10:$J$1011,'Ghi So'!B834,'NHAP XUAT'!$J$10:$J$1011))</f>
        <v>0</v>
      </c>
      <c r="Q834" s="146">
        <f t="shared" si="81"/>
        <v>0</v>
      </c>
      <c r="R834" s="169"/>
      <c r="S834" s="169"/>
      <c r="T834" s="146">
        <f t="shared" si="82"/>
        <v>0</v>
      </c>
      <c r="U834" s="121" t="str">
        <f t="shared" si="83"/>
        <v>Close</v>
      </c>
      <c r="V834" s="117"/>
    </row>
    <row r="835" spans="1:22" ht="15" customHeight="1">
      <c r="A835" s="117"/>
      <c r="B835" s="144" t="str">
        <f>IF(D835="","","P"&amp;D835&amp;"MA"&amp;COUNTIF($D$14:D835,D835))</f>
        <v/>
      </c>
      <c r="C835" s="162"/>
      <c r="D835" s="163"/>
      <c r="E835" s="164"/>
      <c r="F835" s="164"/>
      <c r="G835" s="164"/>
      <c r="H835" s="164"/>
      <c r="I835" s="162"/>
      <c r="J835" s="144"/>
      <c r="K835" s="144"/>
      <c r="L835" s="144"/>
      <c r="M835" s="145">
        <f t="shared" si="78"/>
        <v>0</v>
      </c>
      <c r="N835" s="145">
        <f t="shared" si="79"/>
        <v>0</v>
      </c>
      <c r="O835" s="146">
        <f t="shared" si="80"/>
        <v>0</v>
      </c>
      <c r="P835" s="146">
        <f>IF(B835="",0,SUMIF('NHAP XUAT'!$G$10:$J$1011,'Ghi So'!B835,'NHAP XUAT'!$J$10:$J$1011))</f>
        <v>0</v>
      </c>
      <c r="Q835" s="146">
        <f t="shared" si="81"/>
        <v>0</v>
      </c>
      <c r="R835" s="169"/>
      <c r="S835" s="169"/>
      <c r="T835" s="146">
        <f t="shared" si="82"/>
        <v>0</v>
      </c>
      <c r="U835" s="121" t="str">
        <f t="shared" si="83"/>
        <v>Close</v>
      </c>
      <c r="V835" s="117"/>
    </row>
    <row r="836" spans="1:22" ht="15" customHeight="1">
      <c r="A836" s="117"/>
      <c r="B836" s="144" t="str">
        <f>IF(D836="","","P"&amp;D836&amp;"MA"&amp;COUNTIF($D$14:D836,D836))</f>
        <v/>
      </c>
      <c r="C836" s="162"/>
      <c r="D836" s="163"/>
      <c r="E836" s="164"/>
      <c r="F836" s="164"/>
      <c r="G836" s="164"/>
      <c r="H836" s="164"/>
      <c r="I836" s="162"/>
      <c r="J836" s="144"/>
      <c r="K836" s="144"/>
      <c r="L836" s="144"/>
      <c r="M836" s="145">
        <f t="shared" si="78"/>
        <v>0</v>
      </c>
      <c r="N836" s="145">
        <f t="shared" si="79"/>
        <v>0</v>
      </c>
      <c r="O836" s="146">
        <f t="shared" si="80"/>
        <v>0</v>
      </c>
      <c r="P836" s="146">
        <f>IF(B836="",0,SUMIF('NHAP XUAT'!$G$10:$J$1011,'Ghi So'!B836,'NHAP XUAT'!$J$10:$J$1011))</f>
        <v>0</v>
      </c>
      <c r="Q836" s="146">
        <f t="shared" si="81"/>
        <v>0</v>
      </c>
      <c r="R836" s="169"/>
      <c r="S836" s="169"/>
      <c r="T836" s="146">
        <f t="shared" si="82"/>
        <v>0</v>
      </c>
      <c r="U836" s="121" t="str">
        <f t="shared" si="83"/>
        <v>Close</v>
      </c>
      <c r="V836" s="117"/>
    </row>
    <row r="837" spans="1:22" ht="15" customHeight="1">
      <c r="A837" s="117"/>
      <c r="B837" s="144" t="str">
        <f>IF(D837="","","P"&amp;D837&amp;"MA"&amp;COUNTIF($D$14:D837,D837))</f>
        <v/>
      </c>
      <c r="C837" s="162"/>
      <c r="D837" s="163"/>
      <c r="E837" s="164"/>
      <c r="F837" s="164"/>
      <c r="G837" s="164"/>
      <c r="H837" s="164"/>
      <c r="I837" s="162"/>
      <c r="J837" s="144"/>
      <c r="K837" s="144"/>
      <c r="L837" s="144"/>
      <c r="M837" s="145">
        <f t="shared" si="78"/>
        <v>0</v>
      </c>
      <c r="N837" s="145">
        <f t="shared" si="79"/>
        <v>0</v>
      </c>
      <c r="O837" s="146">
        <f t="shared" si="80"/>
        <v>0</v>
      </c>
      <c r="P837" s="146">
        <f>IF(B837="",0,SUMIF('NHAP XUAT'!$G$10:$J$1011,'Ghi So'!B837,'NHAP XUAT'!$J$10:$J$1011))</f>
        <v>0</v>
      </c>
      <c r="Q837" s="146">
        <f t="shared" si="81"/>
        <v>0</v>
      </c>
      <c r="R837" s="169"/>
      <c r="S837" s="169"/>
      <c r="T837" s="146">
        <f t="shared" si="82"/>
        <v>0</v>
      </c>
      <c r="U837" s="121" t="str">
        <f t="shared" si="83"/>
        <v>Close</v>
      </c>
      <c r="V837" s="117"/>
    </row>
    <row r="838" spans="1:22" ht="15" customHeight="1">
      <c r="A838" s="117"/>
      <c r="B838" s="144" t="str">
        <f>IF(D838="","","P"&amp;D838&amp;"MA"&amp;COUNTIF($D$14:D838,D838))</f>
        <v/>
      </c>
      <c r="C838" s="162"/>
      <c r="D838" s="163"/>
      <c r="E838" s="164"/>
      <c r="F838" s="164"/>
      <c r="G838" s="164"/>
      <c r="H838" s="164"/>
      <c r="I838" s="162"/>
      <c r="J838" s="144"/>
      <c r="K838" s="144"/>
      <c r="L838" s="144"/>
      <c r="M838" s="145">
        <f t="shared" si="78"/>
        <v>0</v>
      </c>
      <c r="N838" s="145">
        <f t="shared" si="79"/>
        <v>0</v>
      </c>
      <c r="O838" s="146">
        <f t="shared" si="80"/>
        <v>0</v>
      </c>
      <c r="P838" s="146">
        <f>IF(B838="",0,SUMIF('NHAP XUAT'!$G$10:$J$1011,'Ghi So'!B838,'NHAP XUAT'!$J$10:$J$1011))</f>
        <v>0</v>
      </c>
      <c r="Q838" s="146">
        <f t="shared" si="81"/>
        <v>0</v>
      </c>
      <c r="R838" s="169"/>
      <c r="S838" s="169"/>
      <c r="T838" s="146">
        <f t="shared" si="82"/>
        <v>0</v>
      </c>
      <c r="U838" s="121" t="str">
        <f t="shared" si="83"/>
        <v>Close</v>
      </c>
      <c r="V838" s="117"/>
    </row>
    <row r="839" spans="1:22" ht="15" customHeight="1">
      <c r="A839" s="117"/>
      <c r="B839" s="144" t="str">
        <f>IF(D839="","","P"&amp;D839&amp;"MA"&amp;COUNTIF($D$14:D839,D839))</f>
        <v/>
      </c>
      <c r="C839" s="162"/>
      <c r="D839" s="163"/>
      <c r="E839" s="164"/>
      <c r="F839" s="164"/>
      <c r="G839" s="164"/>
      <c r="H839" s="164"/>
      <c r="I839" s="162"/>
      <c r="J839" s="144"/>
      <c r="K839" s="144"/>
      <c r="L839" s="144"/>
      <c r="M839" s="145">
        <f t="shared" si="78"/>
        <v>0</v>
      </c>
      <c r="N839" s="145">
        <f t="shared" si="79"/>
        <v>0</v>
      </c>
      <c r="O839" s="146">
        <f t="shared" si="80"/>
        <v>0</v>
      </c>
      <c r="P839" s="146">
        <f>IF(B839="",0,SUMIF('NHAP XUAT'!$G$10:$J$1011,'Ghi So'!B839,'NHAP XUAT'!$J$10:$J$1011))</f>
        <v>0</v>
      </c>
      <c r="Q839" s="146">
        <f t="shared" si="81"/>
        <v>0</v>
      </c>
      <c r="R839" s="169"/>
      <c r="S839" s="169"/>
      <c r="T839" s="146">
        <f t="shared" si="82"/>
        <v>0</v>
      </c>
      <c r="U839" s="121" t="str">
        <f t="shared" si="83"/>
        <v>Close</v>
      </c>
      <c r="V839" s="117"/>
    </row>
    <row r="840" spans="1:22" ht="15" customHeight="1">
      <c r="A840" s="117"/>
      <c r="B840" s="144" t="str">
        <f>IF(D840="","","P"&amp;D840&amp;"MA"&amp;COUNTIF($D$14:D840,D840))</f>
        <v/>
      </c>
      <c r="C840" s="162"/>
      <c r="D840" s="163"/>
      <c r="E840" s="164"/>
      <c r="F840" s="164"/>
      <c r="G840" s="164"/>
      <c r="H840" s="164"/>
      <c r="I840" s="162"/>
      <c r="J840" s="144"/>
      <c r="K840" s="144"/>
      <c r="L840" s="144"/>
      <c r="M840" s="145">
        <f t="shared" si="78"/>
        <v>0</v>
      </c>
      <c r="N840" s="145">
        <f t="shared" si="79"/>
        <v>0</v>
      </c>
      <c r="O840" s="146">
        <f t="shared" si="80"/>
        <v>0</v>
      </c>
      <c r="P840" s="146">
        <f>IF(B840="",0,SUMIF('NHAP XUAT'!$G$10:$J$1011,'Ghi So'!B840,'NHAP XUAT'!$J$10:$J$1011))</f>
        <v>0</v>
      </c>
      <c r="Q840" s="146">
        <f t="shared" si="81"/>
        <v>0</v>
      </c>
      <c r="R840" s="169"/>
      <c r="S840" s="169"/>
      <c r="T840" s="146">
        <f t="shared" si="82"/>
        <v>0</v>
      </c>
      <c r="U840" s="121" t="str">
        <f t="shared" si="83"/>
        <v>Close</v>
      </c>
      <c r="V840" s="117"/>
    </row>
    <row r="841" spans="1:22" ht="15" customHeight="1">
      <c r="A841" s="117"/>
      <c r="B841" s="144" t="str">
        <f>IF(D841="","","P"&amp;D841&amp;"MA"&amp;COUNTIF($D$14:D841,D841))</f>
        <v/>
      </c>
      <c r="C841" s="162"/>
      <c r="D841" s="163"/>
      <c r="E841" s="164"/>
      <c r="F841" s="164"/>
      <c r="G841" s="164"/>
      <c r="H841" s="164"/>
      <c r="I841" s="162"/>
      <c r="J841" s="144"/>
      <c r="K841" s="144"/>
      <c r="L841" s="144"/>
      <c r="M841" s="145">
        <f t="shared" si="78"/>
        <v>0</v>
      </c>
      <c r="N841" s="145">
        <f t="shared" si="79"/>
        <v>0</v>
      </c>
      <c r="O841" s="146">
        <f t="shared" si="80"/>
        <v>0</v>
      </c>
      <c r="P841" s="146">
        <f>IF(B841="",0,SUMIF('NHAP XUAT'!$G$10:$J$1011,'Ghi So'!B841,'NHAP XUAT'!$J$10:$J$1011))</f>
        <v>0</v>
      </c>
      <c r="Q841" s="146">
        <f t="shared" si="81"/>
        <v>0</v>
      </c>
      <c r="R841" s="169"/>
      <c r="S841" s="169"/>
      <c r="T841" s="146">
        <f t="shared" si="82"/>
        <v>0</v>
      </c>
      <c r="U841" s="121" t="str">
        <f t="shared" si="83"/>
        <v>Close</v>
      </c>
      <c r="V841" s="117"/>
    </row>
    <row r="842" spans="1:22" ht="15" customHeight="1">
      <c r="A842" s="117"/>
      <c r="B842" s="144" t="str">
        <f>IF(D842="","","P"&amp;D842&amp;"MA"&amp;COUNTIF($D$14:D842,D842))</f>
        <v/>
      </c>
      <c r="C842" s="162"/>
      <c r="D842" s="163"/>
      <c r="E842" s="164"/>
      <c r="F842" s="164"/>
      <c r="G842" s="164"/>
      <c r="H842" s="164"/>
      <c r="I842" s="162"/>
      <c r="J842" s="144"/>
      <c r="K842" s="144"/>
      <c r="L842" s="144"/>
      <c r="M842" s="145">
        <f t="shared" si="78"/>
        <v>0</v>
      </c>
      <c r="N842" s="145">
        <f t="shared" si="79"/>
        <v>0</v>
      </c>
      <c r="O842" s="146">
        <f t="shared" si="80"/>
        <v>0</v>
      </c>
      <c r="P842" s="146">
        <f>IF(B842="",0,SUMIF('NHAP XUAT'!$G$10:$J$1011,'Ghi So'!B842,'NHAP XUAT'!$J$10:$J$1011))</f>
        <v>0</v>
      </c>
      <c r="Q842" s="146">
        <f t="shared" si="81"/>
        <v>0</v>
      </c>
      <c r="R842" s="169"/>
      <c r="S842" s="169"/>
      <c r="T842" s="146">
        <f t="shared" si="82"/>
        <v>0</v>
      </c>
      <c r="U842" s="121" t="str">
        <f t="shared" si="83"/>
        <v>Close</v>
      </c>
      <c r="V842" s="117"/>
    </row>
    <row r="843" spans="1:22" ht="15" customHeight="1">
      <c r="A843" s="117"/>
      <c r="B843" s="144" t="str">
        <f>IF(D843="","","P"&amp;D843&amp;"MA"&amp;COUNTIF($D$14:D843,D843))</f>
        <v/>
      </c>
      <c r="C843" s="162"/>
      <c r="D843" s="163"/>
      <c r="E843" s="164"/>
      <c r="F843" s="164"/>
      <c r="G843" s="164"/>
      <c r="H843" s="164"/>
      <c r="I843" s="162"/>
      <c r="J843" s="144"/>
      <c r="K843" s="144"/>
      <c r="L843" s="144"/>
      <c r="M843" s="145">
        <f t="shared" si="78"/>
        <v>0</v>
      </c>
      <c r="N843" s="145">
        <f t="shared" si="79"/>
        <v>0</v>
      </c>
      <c r="O843" s="146">
        <f t="shared" si="80"/>
        <v>0</v>
      </c>
      <c r="P843" s="146">
        <f>IF(B843="",0,SUMIF('NHAP XUAT'!$G$10:$J$1011,'Ghi So'!B843,'NHAP XUAT'!$J$10:$J$1011))</f>
        <v>0</v>
      </c>
      <c r="Q843" s="146">
        <f t="shared" si="81"/>
        <v>0</v>
      </c>
      <c r="R843" s="169"/>
      <c r="S843" s="169"/>
      <c r="T843" s="146">
        <f t="shared" si="82"/>
        <v>0</v>
      </c>
      <c r="U843" s="121" t="str">
        <f t="shared" si="83"/>
        <v>Close</v>
      </c>
      <c r="V843" s="117"/>
    </row>
    <row r="844" spans="1:22" ht="15" customHeight="1">
      <c r="A844" s="117"/>
      <c r="B844" s="144" t="str">
        <f>IF(D844="","","P"&amp;D844&amp;"MA"&amp;COUNTIF($D$14:D844,D844))</f>
        <v/>
      </c>
      <c r="C844" s="162"/>
      <c r="D844" s="163"/>
      <c r="E844" s="164"/>
      <c r="F844" s="164"/>
      <c r="G844" s="164"/>
      <c r="H844" s="164"/>
      <c r="I844" s="162"/>
      <c r="J844" s="144"/>
      <c r="K844" s="144"/>
      <c r="L844" s="144"/>
      <c r="M844" s="145">
        <f t="shared" si="78"/>
        <v>0</v>
      </c>
      <c r="N844" s="145">
        <f t="shared" si="79"/>
        <v>0</v>
      </c>
      <c r="O844" s="146">
        <f t="shared" si="80"/>
        <v>0</v>
      </c>
      <c r="P844" s="146">
        <f>IF(B844="",0,SUMIF('NHAP XUAT'!$G$10:$J$1011,'Ghi So'!B844,'NHAP XUAT'!$J$10:$J$1011))</f>
        <v>0</v>
      </c>
      <c r="Q844" s="146">
        <f t="shared" si="81"/>
        <v>0</v>
      </c>
      <c r="R844" s="169"/>
      <c r="S844" s="169"/>
      <c r="T844" s="146">
        <f t="shared" si="82"/>
        <v>0</v>
      </c>
      <c r="U844" s="121" t="str">
        <f t="shared" si="83"/>
        <v>Close</v>
      </c>
      <c r="V844" s="117"/>
    </row>
    <row r="845" spans="1:22" ht="15" customHeight="1">
      <c r="A845" s="117"/>
      <c r="B845" s="144" t="str">
        <f>IF(D845="","","P"&amp;D845&amp;"MA"&amp;COUNTIF($D$14:D845,D845))</f>
        <v/>
      </c>
      <c r="C845" s="162"/>
      <c r="D845" s="163"/>
      <c r="E845" s="164"/>
      <c r="F845" s="164"/>
      <c r="G845" s="164"/>
      <c r="H845" s="164"/>
      <c r="I845" s="162"/>
      <c r="J845" s="144"/>
      <c r="K845" s="144"/>
      <c r="L845" s="144"/>
      <c r="M845" s="145">
        <f t="shared" si="78"/>
        <v>0</v>
      </c>
      <c r="N845" s="145">
        <f t="shared" si="79"/>
        <v>0</v>
      </c>
      <c r="O845" s="146">
        <f t="shared" si="80"/>
        <v>0</v>
      </c>
      <c r="P845" s="146">
        <f>IF(B845="",0,SUMIF('NHAP XUAT'!$G$10:$J$1011,'Ghi So'!B845,'NHAP XUAT'!$J$10:$J$1011))</f>
        <v>0</v>
      </c>
      <c r="Q845" s="146">
        <f t="shared" si="81"/>
        <v>0</v>
      </c>
      <c r="R845" s="169"/>
      <c r="S845" s="169"/>
      <c r="T845" s="146">
        <f t="shared" si="82"/>
        <v>0</v>
      </c>
      <c r="U845" s="121" t="str">
        <f t="shared" si="83"/>
        <v>Close</v>
      </c>
      <c r="V845" s="117"/>
    </row>
    <row r="846" spans="1:22" ht="15" customHeight="1">
      <c r="A846" s="117"/>
      <c r="B846" s="144" t="str">
        <f>IF(D846="","","P"&amp;D846&amp;"MA"&amp;COUNTIF($D$14:D846,D846))</f>
        <v/>
      </c>
      <c r="C846" s="162"/>
      <c r="D846" s="163"/>
      <c r="E846" s="164"/>
      <c r="F846" s="164"/>
      <c r="G846" s="164"/>
      <c r="H846" s="164"/>
      <c r="I846" s="162"/>
      <c r="J846" s="144"/>
      <c r="K846" s="144"/>
      <c r="L846" s="144"/>
      <c r="M846" s="145">
        <f t="shared" si="78"/>
        <v>0</v>
      </c>
      <c r="N846" s="145">
        <f t="shared" si="79"/>
        <v>0</v>
      </c>
      <c r="O846" s="146">
        <f t="shared" si="80"/>
        <v>0</v>
      </c>
      <c r="P846" s="146">
        <f>IF(B846="",0,SUMIF('NHAP XUAT'!$G$10:$J$1011,'Ghi So'!B846,'NHAP XUAT'!$J$10:$J$1011))</f>
        <v>0</v>
      </c>
      <c r="Q846" s="146">
        <f t="shared" si="81"/>
        <v>0</v>
      </c>
      <c r="R846" s="169"/>
      <c r="S846" s="169"/>
      <c r="T846" s="146">
        <f t="shared" si="82"/>
        <v>0</v>
      </c>
      <c r="U846" s="121" t="str">
        <f t="shared" si="83"/>
        <v>Close</v>
      </c>
      <c r="V846" s="117"/>
    </row>
    <row r="847" spans="1:22" ht="15" customHeight="1">
      <c r="A847" s="117"/>
      <c r="B847" s="144" t="str">
        <f>IF(D847="","","P"&amp;D847&amp;"MA"&amp;COUNTIF($D$14:D847,D847))</f>
        <v/>
      </c>
      <c r="C847" s="162"/>
      <c r="D847" s="163"/>
      <c r="E847" s="164"/>
      <c r="F847" s="164"/>
      <c r="G847" s="164"/>
      <c r="H847" s="164"/>
      <c r="I847" s="162"/>
      <c r="J847" s="144"/>
      <c r="K847" s="144"/>
      <c r="L847" s="144"/>
      <c r="M847" s="145">
        <f t="shared" si="78"/>
        <v>0</v>
      </c>
      <c r="N847" s="145">
        <f t="shared" si="79"/>
        <v>0</v>
      </c>
      <c r="O847" s="146">
        <f t="shared" si="80"/>
        <v>0</v>
      </c>
      <c r="P847" s="146">
        <f>IF(B847="",0,SUMIF('NHAP XUAT'!$G$10:$J$1011,'Ghi So'!B847,'NHAP XUAT'!$J$10:$J$1011))</f>
        <v>0</v>
      </c>
      <c r="Q847" s="146">
        <f t="shared" si="81"/>
        <v>0</v>
      </c>
      <c r="R847" s="169"/>
      <c r="S847" s="169"/>
      <c r="T847" s="146">
        <f t="shared" si="82"/>
        <v>0</v>
      </c>
      <c r="U847" s="121" t="str">
        <f t="shared" si="83"/>
        <v>Close</v>
      </c>
      <c r="V847" s="117"/>
    </row>
    <row r="848" spans="1:22" ht="15" customHeight="1">
      <c r="A848" s="117"/>
      <c r="B848" s="144" t="str">
        <f>IF(D848="","","P"&amp;D848&amp;"MA"&amp;COUNTIF($D$14:D848,D848))</f>
        <v/>
      </c>
      <c r="C848" s="162"/>
      <c r="D848" s="163"/>
      <c r="E848" s="164"/>
      <c r="F848" s="164"/>
      <c r="G848" s="164"/>
      <c r="H848" s="164"/>
      <c r="I848" s="162"/>
      <c r="J848" s="144"/>
      <c r="K848" s="144"/>
      <c r="L848" s="144"/>
      <c r="M848" s="145">
        <f t="shared" si="78"/>
        <v>0</v>
      </c>
      <c r="N848" s="145">
        <f t="shared" si="79"/>
        <v>0</v>
      </c>
      <c r="O848" s="146">
        <f t="shared" si="80"/>
        <v>0</v>
      </c>
      <c r="P848" s="146">
        <f>IF(B848="",0,SUMIF('NHAP XUAT'!$G$10:$J$1011,'Ghi So'!B848,'NHAP XUAT'!$J$10:$J$1011))</f>
        <v>0</v>
      </c>
      <c r="Q848" s="146">
        <f t="shared" si="81"/>
        <v>0</v>
      </c>
      <c r="R848" s="169"/>
      <c r="S848" s="169"/>
      <c r="T848" s="146">
        <f t="shared" si="82"/>
        <v>0</v>
      </c>
      <c r="U848" s="121" t="str">
        <f t="shared" si="83"/>
        <v>Close</v>
      </c>
      <c r="V848" s="117"/>
    </row>
    <row r="849" spans="1:22" ht="15" customHeight="1">
      <c r="A849" s="117"/>
      <c r="B849" s="144" t="str">
        <f>IF(D849="","","P"&amp;D849&amp;"MA"&amp;COUNTIF($D$14:D849,D849))</f>
        <v/>
      </c>
      <c r="C849" s="162"/>
      <c r="D849" s="163"/>
      <c r="E849" s="164"/>
      <c r="F849" s="164"/>
      <c r="G849" s="164"/>
      <c r="H849" s="164"/>
      <c r="I849" s="162"/>
      <c r="J849" s="144"/>
      <c r="K849" s="144"/>
      <c r="L849" s="144"/>
      <c r="M849" s="145">
        <f t="shared" si="78"/>
        <v>0</v>
      </c>
      <c r="N849" s="145">
        <f t="shared" si="79"/>
        <v>0</v>
      </c>
      <c r="O849" s="146">
        <f t="shared" si="80"/>
        <v>0</v>
      </c>
      <c r="P849" s="146">
        <f>IF(B849="",0,SUMIF('NHAP XUAT'!$G$10:$J$1011,'Ghi So'!B849,'NHAP XUAT'!$J$10:$J$1011))</f>
        <v>0</v>
      </c>
      <c r="Q849" s="146">
        <f t="shared" si="81"/>
        <v>0</v>
      </c>
      <c r="R849" s="169"/>
      <c r="S849" s="169"/>
      <c r="T849" s="146">
        <f t="shared" si="82"/>
        <v>0</v>
      </c>
      <c r="U849" s="121" t="str">
        <f t="shared" si="83"/>
        <v>Close</v>
      </c>
      <c r="V849" s="117"/>
    </row>
    <row r="850" spans="1:22" ht="15" customHeight="1">
      <c r="A850" s="117"/>
      <c r="B850" s="144" t="str">
        <f>IF(D850="","","P"&amp;D850&amp;"MA"&amp;COUNTIF($D$14:D850,D850))</f>
        <v/>
      </c>
      <c r="C850" s="162"/>
      <c r="D850" s="163"/>
      <c r="E850" s="164"/>
      <c r="F850" s="164"/>
      <c r="G850" s="164"/>
      <c r="H850" s="164"/>
      <c r="I850" s="162"/>
      <c r="J850" s="144"/>
      <c r="K850" s="144"/>
      <c r="L850" s="144"/>
      <c r="M850" s="145">
        <f t="shared" si="78"/>
        <v>0</v>
      </c>
      <c r="N850" s="145">
        <f t="shared" si="79"/>
        <v>0</v>
      </c>
      <c r="O850" s="146">
        <f t="shared" si="80"/>
        <v>0</v>
      </c>
      <c r="P850" s="146">
        <f>IF(B850="",0,SUMIF('NHAP XUAT'!$G$10:$J$1011,'Ghi So'!B850,'NHAP XUAT'!$J$10:$J$1011))</f>
        <v>0</v>
      </c>
      <c r="Q850" s="146">
        <f t="shared" si="81"/>
        <v>0</v>
      </c>
      <c r="R850" s="169"/>
      <c r="S850" s="169"/>
      <c r="T850" s="146">
        <f t="shared" si="82"/>
        <v>0</v>
      </c>
      <c r="U850" s="121" t="str">
        <f t="shared" si="83"/>
        <v>Close</v>
      </c>
      <c r="V850" s="117"/>
    </row>
    <row r="851" spans="1:22" ht="15" customHeight="1">
      <c r="A851" s="117"/>
      <c r="B851" s="144" t="str">
        <f>IF(D851="","","P"&amp;D851&amp;"MA"&amp;COUNTIF($D$14:D851,D851))</f>
        <v/>
      </c>
      <c r="C851" s="162"/>
      <c r="D851" s="163"/>
      <c r="E851" s="164"/>
      <c r="F851" s="164"/>
      <c r="G851" s="164"/>
      <c r="H851" s="164"/>
      <c r="I851" s="162"/>
      <c r="J851" s="144"/>
      <c r="K851" s="144"/>
      <c r="L851" s="144"/>
      <c r="M851" s="145">
        <f t="shared" si="78"/>
        <v>0</v>
      </c>
      <c r="N851" s="145">
        <f t="shared" si="79"/>
        <v>0</v>
      </c>
      <c r="O851" s="146">
        <f t="shared" si="80"/>
        <v>0</v>
      </c>
      <c r="P851" s="146">
        <f>IF(B851="",0,SUMIF('NHAP XUAT'!$G$10:$J$1011,'Ghi So'!B851,'NHAP XUAT'!$J$10:$J$1011))</f>
        <v>0</v>
      </c>
      <c r="Q851" s="146">
        <f t="shared" si="81"/>
        <v>0</v>
      </c>
      <c r="R851" s="169"/>
      <c r="S851" s="169"/>
      <c r="T851" s="146">
        <f t="shared" si="82"/>
        <v>0</v>
      </c>
      <c r="U851" s="121" t="str">
        <f t="shared" si="83"/>
        <v>Close</v>
      </c>
      <c r="V851" s="117"/>
    </row>
    <row r="852" spans="1:22" ht="15" customHeight="1">
      <c r="A852" s="117"/>
      <c r="B852" s="144" t="str">
        <f>IF(D852="","","P"&amp;D852&amp;"MA"&amp;COUNTIF($D$14:D852,D852))</f>
        <v/>
      </c>
      <c r="C852" s="162"/>
      <c r="D852" s="163"/>
      <c r="E852" s="164"/>
      <c r="F852" s="164"/>
      <c r="G852" s="164"/>
      <c r="H852" s="164"/>
      <c r="I852" s="162"/>
      <c r="J852" s="144"/>
      <c r="K852" s="144"/>
      <c r="L852" s="144"/>
      <c r="M852" s="145">
        <f t="shared" si="78"/>
        <v>0</v>
      </c>
      <c r="N852" s="145">
        <f t="shared" si="79"/>
        <v>0</v>
      </c>
      <c r="O852" s="146">
        <f t="shared" si="80"/>
        <v>0</v>
      </c>
      <c r="P852" s="146">
        <f>IF(B852="",0,SUMIF('NHAP XUAT'!$G$10:$J$1011,'Ghi So'!B852,'NHAP XUAT'!$J$10:$J$1011))</f>
        <v>0</v>
      </c>
      <c r="Q852" s="146">
        <f t="shared" si="81"/>
        <v>0</v>
      </c>
      <c r="R852" s="169"/>
      <c r="S852" s="169"/>
      <c r="T852" s="146">
        <f t="shared" si="82"/>
        <v>0</v>
      </c>
      <c r="U852" s="121" t="str">
        <f t="shared" si="83"/>
        <v>Close</v>
      </c>
      <c r="V852" s="117"/>
    </row>
    <row r="853" spans="1:22" ht="15" customHeight="1">
      <c r="A853" s="117"/>
      <c r="B853" s="144" t="str">
        <f>IF(D853="","","P"&amp;D853&amp;"MA"&amp;COUNTIF($D$14:D853,D853))</f>
        <v/>
      </c>
      <c r="C853" s="162"/>
      <c r="D853" s="163"/>
      <c r="E853" s="164"/>
      <c r="F853" s="164"/>
      <c r="G853" s="164"/>
      <c r="H853" s="164"/>
      <c r="I853" s="162"/>
      <c r="J853" s="144"/>
      <c r="K853" s="144"/>
      <c r="L853" s="144"/>
      <c r="M853" s="145">
        <f t="shared" si="78"/>
        <v>0</v>
      </c>
      <c r="N853" s="145">
        <f t="shared" si="79"/>
        <v>0</v>
      </c>
      <c r="O853" s="146">
        <f t="shared" si="80"/>
        <v>0</v>
      </c>
      <c r="P853" s="146">
        <f>IF(B853="",0,SUMIF('NHAP XUAT'!$G$10:$J$1011,'Ghi So'!B853,'NHAP XUAT'!$J$10:$J$1011))</f>
        <v>0</v>
      </c>
      <c r="Q853" s="146">
        <f t="shared" si="81"/>
        <v>0</v>
      </c>
      <c r="R853" s="169"/>
      <c r="S853" s="169"/>
      <c r="T853" s="146">
        <f t="shared" si="82"/>
        <v>0</v>
      </c>
      <c r="U853" s="121" t="str">
        <f t="shared" si="83"/>
        <v>Close</v>
      </c>
      <c r="V853" s="117"/>
    </row>
    <row r="854" spans="1:22" ht="15" customHeight="1">
      <c r="A854" s="117"/>
      <c r="B854" s="144" t="str">
        <f>IF(D854="","","P"&amp;D854&amp;"MA"&amp;COUNTIF($D$14:D854,D854))</f>
        <v/>
      </c>
      <c r="C854" s="162"/>
      <c r="D854" s="163"/>
      <c r="E854" s="164"/>
      <c r="F854" s="164"/>
      <c r="G854" s="164"/>
      <c r="H854" s="164"/>
      <c r="I854" s="162"/>
      <c r="J854" s="144"/>
      <c r="K854" s="144"/>
      <c r="L854" s="144"/>
      <c r="M854" s="145">
        <f t="shared" si="78"/>
        <v>0</v>
      </c>
      <c r="N854" s="145">
        <f t="shared" si="79"/>
        <v>0</v>
      </c>
      <c r="O854" s="146">
        <f t="shared" si="80"/>
        <v>0</v>
      </c>
      <c r="P854" s="146">
        <f>IF(B854="",0,SUMIF('NHAP XUAT'!$G$10:$J$1011,'Ghi So'!B854,'NHAP XUAT'!$J$10:$J$1011))</f>
        <v>0</v>
      </c>
      <c r="Q854" s="146">
        <f t="shared" si="81"/>
        <v>0</v>
      </c>
      <c r="R854" s="169"/>
      <c r="S854" s="169"/>
      <c r="T854" s="146">
        <f t="shared" si="82"/>
        <v>0</v>
      </c>
      <c r="U854" s="121" t="str">
        <f t="shared" si="83"/>
        <v>Close</v>
      </c>
      <c r="V854" s="117"/>
    </row>
    <row r="855" spans="1:22" ht="15" customHeight="1">
      <c r="A855" s="117"/>
      <c r="B855" s="144" t="str">
        <f>IF(D855="","","P"&amp;D855&amp;"MA"&amp;COUNTIF($D$14:D855,D855))</f>
        <v/>
      </c>
      <c r="C855" s="162"/>
      <c r="D855" s="163"/>
      <c r="E855" s="164"/>
      <c r="F855" s="164"/>
      <c r="G855" s="164"/>
      <c r="H855" s="164"/>
      <c r="I855" s="162"/>
      <c r="J855" s="144"/>
      <c r="K855" s="144"/>
      <c r="L855" s="144"/>
      <c r="M855" s="145">
        <f t="shared" si="78"/>
        <v>0</v>
      </c>
      <c r="N855" s="145">
        <f t="shared" si="79"/>
        <v>0</v>
      </c>
      <c r="O855" s="146">
        <f t="shared" si="80"/>
        <v>0</v>
      </c>
      <c r="P855" s="146">
        <f>IF(B855="",0,SUMIF('NHAP XUAT'!$G$10:$J$1011,'Ghi So'!B855,'NHAP XUAT'!$J$10:$J$1011))</f>
        <v>0</v>
      </c>
      <c r="Q855" s="146">
        <f t="shared" si="81"/>
        <v>0</v>
      </c>
      <c r="R855" s="169"/>
      <c r="S855" s="169"/>
      <c r="T855" s="146">
        <f t="shared" si="82"/>
        <v>0</v>
      </c>
      <c r="U855" s="121" t="str">
        <f t="shared" si="83"/>
        <v>Close</v>
      </c>
      <c r="V855" s="117"/>
    </row>
    <row r="856" spans="1:22" ht="15" customHeight="1">
      <c r="A856" s="117"/>
      <c r="B856" s="144" t="str">
        <f>IF(D856="","","P"&amp;D856&amp;"MA"&amp;COUNTIF($D$14:D856,D856))</f>
        <v/>
      </c>
      <c r="C856" s="162"/>
      <c r="D856" s="163"/>
      <c r="E856" s="164"/>
      <c r="F856" s="164"/>
      <c r="G856" s="164"/>
      <c r="H856" s="164"/>
      <c r="I856" s="162"/>
      <c r="J856" s="144"/>
      <c r="K856" s="144"/>
      <c r="L856" s="144"/>
      <c r="M856" s="145">
        <f t="shared" si="78"/>
        <v>0</v>
      </c>
      <c r="N856" s="145">
        <f t="shared" si="79"/>
        <v>0</v>
      </c>
      <c r="O856" s="146">
        <f t="shared" si="80"/>
        <v>0</v>
      </c>
      <c r="P856" s="146">
        <f>IF(B856="",0,SUMIF('NHAP XUAT'!$G$10:$J$1011,'Ghi So'!B856,'NHAP XUAT'!$J$10:$J$1011))</f>
        <v>0</v>
      </c>
      <c r="Q856" s="146">
        <f t="shared" si="81"/>
        <v>0</v>
      </c>
      <c r="R856" s="169"/>
      <c r="S856" s="169"/>
      <c r="T856" s="146">
        <f t="shared" si="82"/>
        <v>0</v>
      </c>
      <c r="U856" s="121" t="str">
        <f t="shared" si="83"/>
        <v>Close</v>
      </c>
      <c r="V856" s="117"/>
    </row>
    <row r="857" spans="1:22" ht="15" customHeight="1">
      <c r="A857" s="117"/>
      <c r="B857" s="144" t="str">
        <f>IF(D857="","","P"&amp;D857&amp;"MA"&amp;COUNTIF($D$14:D857,D857))</f>
        <v/>
      </c>
      <c r="C857" s="162"/>
      <c r="D857" s="163"/>
      <c r="E857" s="164"/>
      <c r="F857" s="164"/>
      <c r="G857" s="164"/>
      <c r="H857" s="164"/>
      <c r="I857" s="162"/>
      <c r="J857" s="144"/>
      <c r="K857" s="144"/>
      <c r="L857" s="144"/>
      <c r="M857" s="145">
        <f t="shared" si="78"/>
        <v>0</v>
      </c>
      <c r="N857" s="145">
        <f t="shared" si="79"/>
        <v>0</v>
      </c>
      <c r="O857" s="146">
        <f t="shared" si="80"/>
        <v>0</v>
      </c>
      <c r="P857" s="146">
        <f>IF(B857="",0,SUMIF('NHAP XUAT'!$G$10:$J$1011,'Ghi So'!B857,'NHAP XUAT'!$J$10:$J$1011))</f>
        <v>0</v>
      </c>
      <c r="Q857" s="146">
        <f t="shared" si="81"/>
        <v>0</v>
      </c>
      <c r="R857" s="169"/>
      <c r="S857" s="169"/>
      <c r="T857" s="146">
        <f t="shared" si="82"/>
        <v>0</v>
      </c>
      <c r="U857" s="121" t="str">
        <f t="shared" si="83"/>
        <v>Close</v>
      </c>
      <c r="V857" s="117"/>
    </row>
    <row r="858" spans="1:22" ht="15" customHeight="1">
      <c r="A858" s="117"/>
      <c r="B858" s="144" t="str">
        <f>IF(D858="","","P"&amp;D858&amp;"MA"&amp;COUNTIF($D$14:D858,D858))</f>
        <v/>
      </c>
      <c r="C858" s="162"/>
      <c r="D858" s="163"/>
      <c r="E858" s="164"/>
      <c r="F858" s="164"/>
      <c r="G858" s="164"/>
      <c r="H858" s="164"/>
      <c r="I858" s="162"/>
      <c r="J858" s="144"/>
      <c r="K858" s="144"/>
      <c r="L858" s="144"/>
      <c r="M858" s="145">
        <f t="shared" si="78"/>
        <v>0</v>
      </c>
      <c r="N858" s="145">
        <f t="shared" si="79"/>
        <v>0</v>
      </c>
      <c r="O858" s="146">
        <f t="shared" si="80"/>
        <v>0</v>
      </c>
      <c r="P858" s="146">
        <f>IF(B858="",0,SUMIF('NHAP XUAT'!$G$10:$J$1011,'Ghi So'!B858,'NHAP XUAT'!$J$10:$J$1011))</f>
        <v>0</v>
      </c>
      <c r="Q858" s="146">
        <f t="shared" si="81"/>
        <v>0</v>
      </c>
      <c r="R858" s="169"/>
      <c r="S858" s="169"/>
      <c r="T858" s="146">
        <f t="shared" si="82"/>
        <v>0</v>
      </c>
      <c r="U858" s="121" t="str">
        <f t="shared" si="83"/>
        <v>Close</v>
      </c>
      <c r="V858" s="117"/>
    </row>
    <row r="859" spans="1:22" ht="15" customHeight="1">
      <c r="A859" s="117"/>
      <c r="B859" s="144" t="str">
        <f>IF(D859="","","P"&amp;D859&amp;"MA"&amp;COUNTIF($D$14:D859,D859))</f>
        <v/>
      </c>
      <c r="C859" s="162"/>
      <c r="D859" s="163"/>
      <c r="E859" s="164"/>
      <c r="F859" s="164"/>
      <c r="G859" s="164"/>
      <c r="H859" s="164"/>
      <c r="I859" s="162"/>
      <c r="J859" s="144"/>
      <c r="K859" s="144"/>
      <c r="L859" s="144"/>
      <c r="M859" s="145">
        <f t="shared" si="78"/>
        <v>0</v>
      </c>
      <c r="N859" s="145">
        <f t="shared" si="79"/>
        <v>0</v>
      </c>
      <c r="O859" s="146">
        <f t="shared" si="80"/>
        <v>0</v>
      </c>
      <c r="P859" s="146">
        <f>IF(B859="",0,SUMIF('NHAP XUAT'!$G$10:$J$1011,'Ghi So'!B859,'NHAP XUAT'!$J$10:$J$1011))</f>
        <v>0</v>
      </c>
      <c r="Q859" s="146">
        <f t="shared" si="81"/>
        <v>0</v>
      </c>
      <c r="R859" s="169"/>
      <c r="S859" s="169"/>
      <c r="T859" s="146">
        <f t="shared" si="82"/>
        <v>0</v>
      </c>
      <c r="U859" s="121" t="str">
        <f t="shared" si="83"/>
        <v>Close</v>
      </c>
      <c r="V859" s="117"/>
    </row>
    <row r="860" spans="1:22" ht="15" customHeight="1">
      <c r="A860" s="117"/>
      <c r="B860" s="144" t="str">
        <f>IF(D860="","","P"&amp;D860&amp;"MA"&amp;COUNTIF($D$14:D860,D860))</f>
        <v/>
      </c>
      <c r="C860" s="162"/>
      <c r="D860" s="163"/>
      <c r="E860" s="164"/>
      <c r="F860" s="164"/>
      <c r="G860" s="164"/>
      <c r="H860" s="164"/>
      <c r="I860" s="162"/>
      <c r="J860" s="144"/>
      <c r="K860" s="144"/>
      <c r="L860" s="144"/>
      <c r="M860" s="145">
        <f t="shared" si="78"/>
        <v>0</v>
      </c>
      <c r="N860" s="145">
        <f t="shared" si="79"/>
        <v>0</v>
      </c>
      <c r="O860" s="146">
        <f t="shared" si="80"/>
        <v>0</v>
      </c>
      <c r="P860" s="146">
        <f>IF(B860="",0,SUMIF('NHAP XUAT'!$G$10:$J$1011,'Ghi So'!B860,'NHAP XUAT'!$J$10:$J$1011))</f>
        <v>0</v>
      </c>
      <c r="Q860" s="146">
        <f t="shared" si="81"/>
        <v>0</v>
      </c>
      <c r="R860" s="169"/>
      <c r="S860" s="169"/>
      <c r="T860" s="146">
        <f t="shared" si="82"/>
        <v>0</v>
      </c>
      <c r="U860" s="121" t="str">
        <f t="shared" si="83"/>
        <v>Close</v>
      </c>
      <c r="V860" s="117"/>
    </row>
    <row r="861" spans="1:22" ht="15" customHeight="1">
      <c r="A861" s="117"/>
      <c r="B861" s="144" t="str">
        <f>IF(D861="","","P"&amp;D861&amp;"MA"&amp;COUNTIF($D$14:D861,D861))</f>
        <v/>
      </c>
      <c r="C861" s="162"/>
      <c r="D861" s="163"/>
      <c r="E861" s="164"/>
      <c r="F861" s="164"/>
      <c r="G861" s="164"/>
      <c r="H861" s="164"/>
      <c r="I861" s="162"/>
      <c r="J861" s="144"/>
      <c r="K861" s="144"/>
      <c r="L861" s="144"/>
      <c r="M861" s="145">
        <f t="shared" ref="M861:M924" si="84">(IF(I861&lt;&gt;"",(I861-C861)*24*60,0)+G861*60+H861-E861*60-F861)/60</f>
        <v>0</v>
      </c>
      <c r="N861" s="145">
        <f t="shared" ref="N861:N924" si="85">INT(M861)+IF(MOD(M861,2)&gt;0.25,1,0)</f>
        <v>0</v>
      </c>
      <c r="O861" s="146">
        <f t="shared" ref="O861:O924" si="86">IF(J861&lt;&gt;"",DG_nghigio+DG_themgio*(N861-1),IF(K861&lt;&gt;"",DG_quadem+DG_themgio*(N861-12),DG_ngay*L861))</f>
        <v>0</v>
      </c>
      <c r="P861" s="146">
        <f>IF(B861="",0,SUMIF('NHAP XUAT'!$G$10:$J$1011,'Ghi So'!B861,'NHAP XUAT'!$J$10:$J$1011))</f>
        <v>0</v>
      </c>
      <c r="Q861" s="146">
        <f t="shared" ref="Q861:Q924" si="87">O861+P861</f>
        <v>0</v>
      </c>
      <c r="R861" s="169"/>
      <c r="S861" s="169"/>
      <c r="T861" s="146">
        <f t="shared" ref="T861:T924" si="88">R861*S861</f>
        <v>0</v>
      </c>
      <c r="U861" s="121" t="str">
        <f t="shared" ref="U861:U924" si="89">D861&amp;IF(AND(G861="",H861="",I861=""),"Close","Open")</f>
        <v>Close</v>
      </c>
      <c r="V861" s="117"/>
    </row>
    <row r="862" spans="1:22" ht="15" customHeight="1">
      <c r="A862" s="117"/>
      <c r="B862" s="144" t="str">
        <f>IF(D862="","","P"&amp;D862&amp;"MA"&amp;COUNTIF($D$14:D862,D862))</f>
        <v/>
      </c>
      <c r="C862" s="162"/>
      <c r="D862" s="163"/>
      <c r="E862" s="164"/>
      <c r="F862" s="164"/>
      <c r="G862" s="164"/>
      <c r="H862" s="164"/>
      <c r="I862" s="162"/>
      <c r="J862" s="144"/>
      <c r="K862" s="144"/>
      <c r="L862" s="144"/>
      <c r="M862" s="145">
        <f t="shared" si="84"/>
        <v>0</v>
      </c>
      <c r="N862" s="145">
        <f t="shared" si="85"/>
        <v>0</v>
      </c>
      <c r="O862" s="146">
        <f t="shared" si="86"/>
        <v>0</v>
      </c>
      <c r="P862" s="146">
        <f>IF(B862="",0,SUMIF('NHAP XUAT'!$G$10:$J$1011,'Ghi So'!B862,'NHAP XUAT'!$J$10:$J$1011))</f>
        <v>0</v>
      </c>
      <c r="Q862" s="146">
        <f t="shared" si="87"/>
        <v>0</v>
      </c>
      <c r="R862" s="169"/>
      <c r="S862" s="169"/>
      <c r="T862" s="146">
        <f t="shared" si="88"/>
        <v>0</v>
      </c>
      <c r="U862" s="121" t="str">
        <f t="shared" si="89"/>
        <v>Close</v>
      </c>
      <c r="V862" s="117"/>
    </row>
    <row r="863" spans="1:22" ht="15" customHeight="1">
      <c r="A863" s="117"/>
      <c r="B863" s="144" t="str">
        <f>IF(D863="","","P"&amp;D863&amp;"MA"&amp;COUNTIF($D$14:D863,D863))</f>
        <v/>
      </c>
      <c r="C863" s="162"/>
      <c r="D863" s="163"/>
      <c r="E863" s="164"/>
      <c r="F863" s="164"/>
      <c r="G863" s="164"/>
      <c r="H863" s="164"/>
      <c r="I863" s="162"/>
      <c r="J863" s="144"/>
      <c r="K863" s="144"/>
      <c r="L863" s="144"/>
      <c r="M863" s="145">
        <f t="shared" si="84"/>
        <v>0</v>
      </c>
      <c r="N863" s="145">
        <f t="shared" si="85"/>
        <v>0</v>
      </c>
      <c r="O863" s="146">
        <f t="shared" si="86"/>
        <v>0</v>
      </c>
      <c r="P863" s="146">
        <f>IF(B863="",0,SUMIF('NHAP XUAT'!$G$10:$J$1011,'Ghi So'!B863,'NHAP XUAT'!$J$10:$J$1011))</f>
        <v>0</v>
      </c>
      <c r="Q863" s="146">
        <f t="shared" si="87"/>
        <v>0</v>
      </c>
      <c r="R863" s="169"/>
      <c r="S863" s="169"/>
      <c r="T863" s="146">
        <f t="shared" si="88"/>
        <v>0</v>
      </c>
      <c r="U863" s="121" t="str">
        <f t="shared" si="89"/>
        <v>Close</v>
      </c>
      <c r="V863" s="117"/>
    </row>
    <row r="864" spans="1:22" ht="15" customHeight="1">
      <c r="A864" s="117"/>
      <c r="B864" s="144" t="str">
        <f>IF(D864="","","P"&amp;D864&amp;"MA"&amp;COUNTIF($D$14:D864,D864))</f>
        <v/>
      </c>
      <c r="C864" s="162"/>
      <c r="D864" s="163"/>
      <c r="E864" s="164"/>
      <c r="F864" s="164"/>
      <c r="G864" s="164"/>
      <c r="H864" s="164"/>
      <c r="I864" s="162"/>
      <c r="J864" s="144"/>
      <c r="K864" s="144"/>
      <c r="L864" s="144"/>
      <c r="M864" s="145">
        <f t="shared" si="84"/>
        <v>0</v>
      </c>
      <c r="N864" s="145">
        <f t="shared" si="85"/>
        <v>0</v>
      </c>
      <c r="O864" s="146">
        <f t="shared" si="86"/>
        <v>0</v>
      </c>
      <c r="P864" s="146">
        <f>IF(B864="",0,SUMIF('NHAP XUAT'!$G$10:$J$1011,'Ghi So'!B864,'NHAP XUAT'!$J$10:$J$1011))</f>
        <v>0</v>
      </c>
      <c r="Q864" s="146">
        <f t="shared" si="87"/>
        <v>0</v>
      </c>
      <c r="R864" s="169"/>
      <c r="S864" s="169"/>
      <c r="T864" s="146">
        <f t="shared" si="88"/>
        <v>0</v>
      </c>
      <c r="U864" s="121" t="str">
        <f t="shared" si="89"/>
        <v>Close</v>
      </c>
      <c r="V864" s="117"/>
    </row>
    <row r="865" spans="1:22" ht="15" customHeight="1">
      <c r="A865" s="117"/>
      <c r="B865" s="144" t="str">
        <f>IF(D865="","","P"&amp;D865&amp;"MA"&amp;COUNTIF($D$14:D865,D865))</f>
        <v/>
      </c>
      <c r="C865" s="162"/>
      <c r="D865" s="163"/>
      <c r="E865" s="164"/>
      <c r="F865" s="164"/>
      <c r="G865" s="164"/>
      <c r="H865" s="164"/>
      <c r="I865" s="162"/>
      <c r="J865" s="144"/>
      <c r="K865" s="144"/>
      <c r="L865" s="144"/>
      <c r="M865" s="145">
        <f t="shared" si="84"/>
        <v>0</v>
      </c>
      <c r="N865" s="145">
        <f t="shared" si="85"/>
        <v>0</v>
      </c>
      <c r="O865" s="146">
        <f t="shared" si="86"/>
        <v>0</v>
      </c>
      <c r="P865" s="146">
        <f>IF(B865="",0,SUMIF('NHAP XUAT'!$G$10:$J$1011,'Ghi So'!B865,'NHAP XUAT'!$J$10:$J$1011))</f>
        <v>0</v>
      </c>
      <c r="Q865" s="146">
        <f t="shared" si="87"/>
        <v>0</v>
      </c>
      <c r="R865" s="169"/>
      <c r="S865" s="169"/>
      <c r="T865" s="146">
        <f t="shared" si="88"/>
        <v>0</v>
      </c>
      <c r="U865" s="121" t="str">
        <f t="shared" si="89"/>
        <v>Close</v>
      </c>
      <c r="V865" s="117"/>
    </row>
    <row r="866" spans="1:22" ht="15" customHeight="1">
      <c r="A866" s="117"/>
      <c r="B866" s="144" t="str">
        <f>IF(D866="","","P"&amp;D866&amp;"MA"&amp;COUNTIF($D$14:D866,D866))</f>
        <v/>
      </c>
      <c r="C866" s="162"/>
      <c r="D866" s="163"/>
      <c r="E866" s="164"/>
      <c r="F866" s="164"/>
      <c r="G866" s="164"/>
      <c r="H866" s="164"/>
      <c r="I866" s="162"/>
      <c r="J866" s="144"/>
      <c r="K866" s="144"/>
      <c r="L866" s="144"/>
      <c r="M866" s="145">
        <f t="shared" si="84"/>
        <v>0</v>
      </c>
      <c r="N866" s="145">
        <f t="shared" si="85"/>
        <v>0</v>
      </c>
      <c r="O866" s="146">
        <f t="shared" si="86"/>
        <v>0</v>
      </c>
      <c r="P866" s="146">
        <f>IF(B866="",0,SUMIF('NHAP XUAT'!$G$10:$J$1011,'Ghi So'!B866,'NHAP XUAT'!$J$10:$J$1011))</f>
        <v>0</v>
      </c>
      <c r="Q866" s="146">
        <f t="shared" si="87"/>
        <v>0</v>
      </c>
      <c r="R866" s="169"/>
      <c r="S866" s="169"/>
      <c r="T866" s="146">
        <f t="shared" si="88"/>
        <v>0</v>
      </c>
      <c r="U866" s="121" t="str">
        <f t="shared" si="89"/>
        <v>Close</v>
      </c>
      <c r="V866" s="117"/>
    </row>
    <row r="867" spans="1:22" ht="15" customHeight="1">
      <c r="A867" s="117"/>
      <c r="B867" s="144" t="str">
        <f>IF(D867="","","P"&amp;D867&amp;"MA"&amp;COUNTIF($D$14:D867,D867))</f>
        <v/>
      </c>
      <c r="C867" s="162"/>
      <c r="D867" s="163"/>
      <c r="E867" s="164"/>
      <c r="F867" s="164"/>
      <c r="G867" s="164"/>
      <c r="H867" s="164"/>
      <c r="I867" s="162"/>
      <c r="J867" s="144"/>
      <c r="K867" s="144"/>
      <c r="L867" s="144"/>
      <c r="M867" s="145">
        <f t="shared" si="84"/>
        <v>0</v>
      </c>
      <c r="N867" s="145">
        <f t="shared" si="85"/>
        <v>0</v>
      </c>
      <c r="O867" s="146">
        <f t="shared" si="86"/>
        <v>0</v>
      </c>
      <c r="P867" s="146">
        <f>IF(B867="",0,SUMIF('NHAP XUAT'!$G$10:$J$1011,'Ghi So'!B867,'NHAP XUAT'!$J$10:$J$1011))</f>
        <v>0</v>
      </c>
      <c r="Q867" s="146">
        <f t="shared" si="87"/>
        <v>0</v>
      </c>
      <c r="R867" s="169"/>
      <c r="S867" s="169"/>
      <c r="T867" s="146">
        <f t="shared" si="88"/>
        <v>0</v>
      </c>
      <c r="U867" s="121" t="str">
        <f t="shared" si="89"/>
        <v>Close</v>
      </c>
      <c r="V867" s="117"/>
    </row>
    <row r="868" spans="1:22" ht="15" customHeight="1">
      <c r="A868" s="117"/>
      <c r="B868" s="144" t="str">
        <f>IF(D868="","","P"&amp;D868&amp;"MA"&amp;COUNTIF($D$14:D868,D868))</f>
        <v/>
      </c>
      <c r="C868" s="162"/>
      <c r="D868" s="163"/>
      <c r="E868" s="164"/>
      <c r="F868" s="164"/>
      <c r="G868" s="164"/>
      <c r="H868" s="164"/>
      <c r="I868" s="162"/>
      <c r="J868" s="144"/>
      <c r="K868" s="144"/>
      <c r="L868" s="144"/>
      <c r="M868" s="145">
        <f t="shared" si="84"/>
        <v>0</v>
      </c>
      <c r="N868" s="145">
        <f t="shared" si="85"/>
        <v>0</v>
      </c>
      <c r="O868" s="146">
        <f t="shared" si="86"/>
        <v>0</v>
      </c>
      <c r="P868" s="146">
        <f>IF(B868="",0,SUMIF('NHAP XUAT'!$G$10:$J$1011,'Ghi So'!B868,'NHAP XUAT'!$J$10:$J$1011))</f>
        <v>0</v>
      </c>
      <c r="Q868" s="146">
        <f t="shared" si="87"/>
        <v>0</v>
      </c>
      <c r="R868" s="169"/>
      <c r="S868" s="169"/>
      <c r="T868" s="146">
        <f t="shared" si="88"/>
        <v>0</v>
      </c>
      <c r="U868" s="121" t="str">
        <f t="shared" si="89"/>
        <v>Close</v>
      </c>
      <c r="V868" s="117"/>
    </row>
    <row r="869" spans="1:22" ht="15" customHeight="1">
      <c r="A869" s="117"/>
      <c r="B869" s="144" t="str">
        <f>IF(D869="","","P"&amp;D869&amp;"MA"&amp;COUNTIF($D$14:D869,D869))</f>
        <v/>
      </c>
      <c r="C869" s="162"/>
      <c r="D869" s="163"/>
      <c r="E869" s="164"/>
      <c r="F869" s="164"/>
      <c r="G869" s="164"/>
      <c r="H869" s="164"/>
      <c r="I869" s="162"/>
      <c r="J869" s="144"/>
      <c r="K869" s="144"/>
      <c r="L869" s="144"/>
      <c r="M869" s="145">
        <f t="shared" si="84"/>
        <v>0</v>
      </c>
      <c r="N869" s="145">
        <f t="shared" si="85"/>
        <v>0</v>
      </c>
      <c r="O869" s="146">
        <f t="shared" si="86"/>
        <v>0</v>
      </c>
      <c r="P869" s="146">
        <f>IF(B869="",0,SUMIF('NHAP XUAT'!$G$10:$J$1011,'Ghi So'!B869,'NHAP XUAT'!$J$10:$J$1011))</f>
        <v>0</v>
      </c>
      <c r="Q869" s="146">
        <f t="shared" si="87"/>
        <v>0</v>
      </c>
      <c r="R869" s="169"/>
      <c r="S869" s="169"/>
      <c r="T869" s="146">
        <f t="shared" si="88"/>
        <v>0</v>
      </c>
      <c r="U869" s="121" t="str">
        <f t="shared" si="89"/>
        <v>Close</v>
      </c>
      <c r="V869" s="117"/>
    </row>
    <row r="870" spans="1:22" ht="15" customHeight="1">
      <c r="A870" s="117"/>
      <c r="B870" s="144" t="str">
        <f>IF(D870="","","P"&amp;D870&amp;"MA"&amp;COUNTIF($D$14:D870,D870))</f>
        <v/>
      </c>
      <c r="C870" s="162"/>
      <c r="D870" s="163"/>
      <c r="E870" s="164"/>
      <c r="F870" s="164"/>
      <c r="G870" s="164"/>
      <c r="H870" s="164"/>
      <c r="I870" s="162"/>
      <c r="J870" s="144"/>
      <c r="K870" s="144"/>
      <c r="L870" s="144"/>
      <c r="M870" s="145">
        <f t="shared" si="84"/>
        <v>0</v>
      </c>
      <c r="N870" s="145">
        <f t="shared" si="85"/>
        <v>0</v>
      </c>
      <c r="O870" s="146">
        <f t="shared" si="86"/>
        <v>0</v>
      </c>
      <c r="P870" s="146">
        <f>IF(B870="",0,SUMIF('NHAP XUAT'!$G$10:$J$1011,'Ghi So'!B870,'NHAP XUAT'!$J$10:$J$1011))</f>
        <v>0</v>
      </c>
      <c r="Q870" s="146">
        <f t="shared" si="87"/>
        <v>0</v>
      </c>
      <c r="R870" s="169"/>
      <c r="S870" s="169"/>
      <c r="T870" s="146">
        <f t="shared" si="88"/>
        <v>0</v>
      </c>
      <c r="U870" s="121" t="str">
        <f t="shared" si="89"/>
        <v>Close</v>
      </c>
      <c r="V870" s="117"/>
    </row>
    <row r="871" spans="1:22" ht="15" customHeight="1">
      <c r="A871" s="117"/>
      <c r="B871" s="144" t="str">
        <f>IF(D871="","","P"&amp;D871&amp;"MA"&amp;COUNTIF($D$14:D871,D871))</f>
        <v/>
      </c>
      <c r="C871" s="162"/>
      <c r="D871" s="163"/>
      <c r="E871" s="164"/>
      <c r="F871" s="164"/>
      <c r="G871" s="164"/>
      <c r="H871" s="164"/>
      <c r="I871" s="162"/>
      <c r="J871" s="144"/>
      <c r="K871" s="144"/>
      <c r="L871" s="144"/>
      <c r="M871" s="145">
        <f t="shared" si="84"/>
        <v>0</v>
      </c>
      <c r="N871" s="145">
        <f t="shared" si="85"/>
        <v>0</v>
      </c>
      <c r="O871" s="146">
        <f t="shared" si="86"/>
        <v>0</v>
      </c>
      <c r="P871" s="146">
        <f>IF(B871="",0,SUMIF('NHAP XUAT'!$G$10:$J$1011,'Ghi So'!B871,'NHAP XUAT'!$J$10:$J$1011))</f>
        <v>0</v>
      </c>
      <c r="Q871" s="146">
        <f t="shared" si="87"/>
        <v>0</v>
      </c>
      <c r="R871" s="169"/>
      <c r="S871" s="169"/>
      <c r="T871" s="146">
        <f t="shared" si="88"/>
        <v>0</v>
      </c>
      <c r="U871" s="121" t="str">
        <f t="shared" si="89"/>
        <v>Close</v>
      </c>
      <c r="V871" s="117"/>
    </row>
    <row r="872" spans="1:22" ht="15" customHeight="1">
      <c r="A872" s="117"/>
      <c r="B872" s="144" t="str">
        <f>IF(D872="","","P"&amp;D872&amp;"MA"&amp;COUNTIF($D$14:D872,D872))</f>
        <v/>
      </c>
      <c r="C872" s="162"/>
      <c r="D872" s="163"/>
      <c r="E872" s="164"/>
      <c r="F872" s="164"/>
      <c r="G872" s="164"/>
      <c r="H872" s="164"/>
      <c r="I872" s="162"/>
      <c r="J872" s="144"/>
      <c r="K872" s="144"/>
      <c r="L872" s="144"/>
      <c r="M872" s="145">
        <f t="shared" si="84"/>
        <v>0</v>
      </c>
      <c r="N872" s="145">
        <f t="shared" si="85"/>
        <v>0</v>
      </c>
      <c r="O872" s="146">
        <f t="shared" si="86"/>
        <v>0</v>
      </c>
      <c r="P872" s="146">
        <f>IF(B872="",0,SUMIF('NHAP XUAT'!$G$10:$J$1011,'Ghi So'!B872,'NHAP XUAT'!$J$10:$J$1011))</f>
        <v>0</v>
      </c>
      <c r="Q872" s="146">
        <f t="shared" si="87"/>
        <v>0</v>
      </c>
      <c r="R872" s="169"/>
      <c r="S872" s="169"/>
      <c r="T872" s="146">
        <f t="shared" si="88"/>
        <v>0</v>
      </c>
      <c r="U872" s="121" t="str">
        <f t="shared" si="89"/>
        <v>Close</v>
      </c>
      <c r="V872" s="117"/>
    </row>
    <row r="873" spans="1:22" ht="15" customHeight="1">
      <c r="A873" s="117"/>
      <c r="B873" s="144" t="str">
        <f>IF(D873="","","P"&amp;D873&amp;"MA"&amp;COUNTIF($D$14:D873,D873))</f>
        <v/>
      </c>
      <c r="C873" s="162"/>
      <c r="D873" s="163"/>
      <c r="E873" s="164"/>
      <c r="F873" s="164"/>
      <c r="G873" s="164"/>
      <c r="H873" s="164"/>
      <c r="I873" s="162"/>
      <c r="J873" s="144"/>
      <c r="K873" s="144"/>
      <c r="L873" s="144"/>
      <c r="M873" s="145">
        <f t="shared" si="84"/>
        <v>0</v>
      </c>
      <c r="N873" s="145">
        <f t="shared" si="85"/>
        <v>0</v>
      </c>
      <c r="O873" s="146">
        <f t="shared" si="86"/>
        <v>0</v>
      </c>
      <c r="P873" s="146">
        <f>IF(B873="",0,SUMIF('NHAP XUAT'!$G$10:$J$1011,'Ghi So'!B873,'NHAP XUAT'!$J$10:$J$1011))</f>
        <v>0</v>
      </c>
      <c r="Q873" s="146">
        <f t="shared" si="87"/>
        <v>0</v>
      </c>
      <c r="R873" s="169"/>
      <c r="S873" s="169"/>
      <c r="T873" s="146">
        <f t="shared" si="88"/>
        <v>0</v>
      </c>
      <c r="U873" s="121" t="str">
        <f t="shared" si="89"/>
        <v>Close</v>
      </c>
      <c r="V873" s="117"/>
    </row>
    <row r="874" spans="1:22" ht="15" customHeight="1">
      <c r="A874" s="117"/>
      <c r="B874" s="144" t="str">
        <f>IF(D874="","","P"&amp;D874&amp;"MA"&amp;COUNTIF($D$14:D874,D874))</f>
        <v/>
      </c>
      <c r="C874" s="162"/>
      <c r="D874" s="163"/>
      <c r="E874" s="164"/>
      <c r="F874" s="164"/>
      <c r="G874" s="164"/>
      <c r="H874" s="164"/>
      <c r="I874" s="162"/>
      <c r="J874" s="144"/>
      <c r="K874" s="144"/>
      <c r="L874" s="144"/>
      <c r="M874" s="145">
        <f t="shared" si="84"/>
        <v>0</v>
      </c>
      <c r="N874" s="145">
        <f t="shared" si="85"/>
        <v>0</v>
      </c>
      <c r="O874" s="146">
        <f t="shared" si="86"/>
        <v>0</v>
      </c>
      <c r="P874" s="146">
        <f>IF(B874="",0,SUMIF('NHAP XUAT'!$G$10:$J$1011,'Ghi So'!B874,'NHAP XUAT'!$J$10:$J$1011))</f>
        <v>0</v>
      </c>
      <c r="Q874" s="146">
        <f t="shared" si="87"/>
        <v>0</v>
      </c>
      <c r="R874" s="169"/>
      <c r="S874" s="169"/>
      <c r="T874" s="146">
        <f t="shared" si="88"/>
        <v>0</v>
      </c>
      <c r="U874" s="121" t="str">
        <f t="shared" si="89"/>
        <v>Close</v>
      </c>
      <c r="V874" s="117"/>
    </row>
    <row r="875" spans="1:22" ht="15" customHeight="1">
      <c r="A875" s="117"/>
      <c r="B875" s="144" t="str">
        <f>IF(D875="","","P"&amp;D875&amp;"MA"&amp;COUNTIF($D$14:D875,D875))</f>
        <v/>
      </c>
      <c r="C875" s="162"/>
      <c r="D875" s="163"/>
      <c r="E875" s="164"/>
      <c r="F875" s="164"/>
      <c r="G875" s="164"/>
      <c r="H875" s="164"/>
      <c r="I875" s="162"/>
      <c r="J875" s="144"/>
      <c r="K875" s="144"/>
      <c r="L875" s="144"/>
      <c r="M875" s="145">
        <f t="shared" si="84"/>
        <v>0</v>
      </c>
      <c r="N875" s="145">
        <f t="shared" si="85"/>
        <v>0</v>
      </c>
      <c r="O875" s="146">
        <f t="shared" si="86"/>
        <v>0</v>
      </c>
      <c r="P875" s="146">
        <f>IF(B875="",0,SUMIF('NHAP XUAT'!$G$10:$J$1011,'Ghi So'!B875,'NHAP XUAT'!$J$10:$J$1011))</f>
        <v>0</v>
      </c>
      <c r="Q875" s="146">
        <f t="shared" si="87"/>
        <v>0</v>
      </c>
      <c r="R875" s="169"/>
      <c r="S875" s="169"/>
      <c r="T875" s="146">
        <f t="shared" si="88"/>
        <v>0</v>
      </c>
      <c r="U875" s="121" t="str">
        <f t="shared" si="89"/>
        <v>Close</v>
      </c>
      <c r="V875" s="117"/>
    </row>
    <row r="876" spans="1:22" ht="15" customHeight="1">
      <c r="A876" s="117"/>
      <c r="B876" s="144" t="str">
        <f>IF(D876="","","P"&amp;D876&amp;"MA"&amp;COUNTIF($D$14:D876,D876))</f>
        <v/>
      </c>
      <c r="C876" s="162"/>
      <c r="D876" s="163"/>
      <c r="E876" s="164"/>
      <c r="F876" s="164"/>
      <c r="G876" s="164"/>
      <c r="H876" s="164"/>
      <c r="I876" s="162"/>
      <c r="J876" s="144"/>
      <c r="K876" s="144"/>
      <c r="L876" s="144"/>
      <c r="M876" s="145">
        <f t="shared" si="84"/>
        <v>0</v>
      </c>
      <c r="N876" s="145">
        <f t="shared" si="85"/>
        <v>0</v>
      </c>
      <c r="O876" s="146">
        <f t="shared" si="86"/>
        <v>0</v>
      </c>
      <c r="P876" s="146">
        <f>IF(B876="",0,SUMIF('NHAP XUAT'!$G$10:$J$1011,'Ghi So'!B876,'NHAP XUAT'!$J$10:$J$1011))</f>
        <v>0</v>
      </c>
      <c r="Q876" s="146">
        <f t="shared" si="87"/>
        <v>0</v>
      </c>
      <c r="R876" s="169"/>
      <c r="S876" s="169"/>
      <c r="T876" s="146">
        <f t="shared" si="88"/>
        <v>0</v>
      </c>
      <c r="U876" s="121" t="str">
        <f t="shared" si="89"/>
        <v>Close</v>
      </c>
      <c r="V876" s="117"/>
    </row>
    <row r="877" spans="1:22" ht="15" customHeight="1">
      <c r="A877" s="117"/>
      <c r="B877" s="144" t="str">
        <f>IF(D877="","","P"&amp;D877&amp;"MA"&amp;COUNTIF($D$14:D877,D877))</f>
        <v/>
      </c>
      <c r="C877" s="162"/>
      <c r="D877" s="163"/>
      <c r="E877" s="164"/>
      <c r="F877" s="164"/>
      <c r="G877" s="164"/>
      <c r="H877" s="164"/>
      <c r="I877" s="162"/>
      <c r="J877" s="144"/>
      <c r="K877" s="144"/>
      <c r="L877" s="144"/>
      <c r="M877" s="145">
        <f t="shared" si="84"/>
        <v>0</v>
      </c>
      <c r="N877" s="145">
        <f t="shared" si="85"/>
        <v>0</v>
      </c>
      <c r="O877" s="146">
        <f t="shared" si="86"/>
        <v>0</v>
      </c>
      <c r="P877" s="146">
        <f>IF(B877="",0,SUMIF('NHAP XUAT'!$G$10:$J$1011,'Ghi So'!B877,'NHAP XUAT'!$J$10:$J$1011))</f>
        <v>0</v>
      </c>
      <c r="Q877" s="146">
        <f t="shared" si="87"/>
        <v>0</v>
      </c>
      <c r="R877" s="169"/>
      <c r="S877" s="169"/>
      <c r="T877" s="146">
        <f t="shared" si="88"/>
        <v>0</v>
      </c>
      <c r="U877" s="121" t="str">
        <f t="shared" si="89"/>
        <v>Close</v>
      </c>
      <c r="V877" s="117"/>
    </row>
    <row r="878" spans="1:22" ht="15" customHeight="1">
      <c r="A878" s="117"/>
      <c r="B878" s="144" t="str">
        <f>IF(D878="","","P"&amp;D878&amp;"MA"&amp;COUNTIF($D$14:D878,D878))</f>
        <v/>
      </c>
      <c r="C878" s="162"/>
      <c r="D878" s="163"/>
      <c r="E878" s="164"/>
      <c r="F878" s="164"/>
      <c r="G878" s="164"/>
      <c r="H878" s="164"/>
      <c r="I878" s="162"/>
      <c r="J878" s="144"/>
      <c r="K878" s="144"/>
      <c r="L878" s="144"/>
      <c r="M878" s="145">
        <f t="shared" si="84"/>
        <v>0</v>
      </c>
      <c r="N878" s="145">
        <f t="shared" si="85"/>
        <v>0</v>
      </c>
      <c r="O878" s="146">
        <f t="shared" si="86"/>
        <v>0</v>
      </c>
      <c r="P878" s="146">
        <f>IF(B878="",0,SUMIF('NHAP XUAT'!$G$10:$J$1011,'Ghi So'!B878,'NHAP XUAT'!$J$10:$J$1011))</f>
        <v>0</v>
      </c>
      <c r="Q878" s="146">
        <f t="shared" si="87"/>
        <v>0</v>
      </c>
      <c r="R878" s="169"/>
      <c r="S878" s="169"/>
      <c r="T878" s="146">
        <f t="shared" si="88"/>
        <v>0</v>
      </c>
      <c r="U878" s="121" t="str">
        <f t="shared" si="89"/>
        <v>Close</v>
      </c>
      <c r="V878" s="117"/>
    </row>
    <row r="879" spans="1:22" ht="15" customHeight="1">
      <c r="A879" s="117"/>
      <c r="B879" s="144" t="str">
        <f>IF(D879="","","P"&amp;D879&amp;"MA"&amp;COUNTIF($D$14:D879,D879))</f>
        <v/>
      </c>
      <c r="C879" s="162"/>
      <c r="D879" s="163"/>
      <c r="E879" s="164"/>
      <c r="F879" s="164"/>
      <c r="G879" s="164"/>
      <c r="H879" s="164"/>
      <c r="I879" s="162"/>
      <c r="J879" s="144"/>
      <c r="K879" s="144"/>
      <c r="L879" s="144"/>
      <c r="M879" s="145">
        <f t="shared" si="84"/>
        <v>0</v>
      </c>
      <c r="N879" s="145">
        <f t="shared" si="85"/>
        <v>0</v>
      </c>
      <c r="O879" s="146">
        <f t="shared" si="86"/>
        <v>0</v>
      </c>
      <c r="P879" s="146">
        <f>IF(B879="",0,SUMIF('NHAP XUAT'!$G$10:$J$1011,'Ghi So'!B879,'NHAP XUAT'!$J$10:$J$1011))</f>
        <v>0</v>
      </c>
      <c r="Q879" s="146">
        <f t="shared" si="87"/>
        <v>0</v>
      </c>
      <c r="R879" s="169"/>
      <c r="S879" s="169"/>
      <c r="T879" s="146">
        <f t="shared" si="88"/>
        <v>0</v>
      </c>
      <c r="U879" s="121" t="str">
        <f t="shared" si="89"/>
        <v>Close</v>
      </c>
      <c r="V879" s="117"/>
    </row>
    <row r="880" spans="1:22" ht="15" customHeight="1">
      <c r="A880" s="117"/>
      <c r="B880" s="144" t="str">
        <f>IF(D880="","","P"&amp;D880&amp;"MA"&amp;COUNTIF($D$14:D880,D880))</f>
        <v/>
      </c>
      <c r="C880" s="162"/>
      <c r="D880" s="163"/>
      <c r="E880" s="164"/>
      <c r="F880" s="164"/>
      <c r="G880" s="164"/>
      <c r="H880" s="164"/>
      <c r="I880" s="162"/>
      <c r="J880" s="144"/>
      <c r="K880" s="144"/>
      <c r="L880" s="144"/>
      <c r="M880" s="145">
        <f t="shared" si="84"/>
        <v>0</v>
      </c>
      <c r="N880" s="145">
        <f t="shared" si="85"/>
        <v>0</v>
      </c>
      <c r="O880" s="146">
        <f t="shared" si="86"/>
        <v>0</v>
      </c>
      <c r="P880" s="146">
        <f>IF(B880="",0,SUMIF('NHAP XUAT'!$G$10:$J$1011,'Ghi So'!B880,'NHAP XUAT'!$J$10:$J$1011))</f>
        <v>0</v>
      </c>
      <c r="Q880" s="146">
        <f t="shared" si="87"/>
        <v>0</v>
      </c>
      <c r="R880" s="169"/>
      <c r="S880" s="169"/>
      <c r="T880" s="146">
        <f t="shared" si="88"/>
        <v>0</v>
      </c>
      <c r="U880" s="121" t="str">
        <f t="shared" si="89"/>
        <v>Close</v>
      </c>
      <c r="V880" s="117"/>
    </row>
    <row r="881" spans="1:22" ht="15" customHeight="1">
      <c r="A881" s="117"/>
      <c r="B881" s="144" t="str">
        <f>IF(D881="","","P"&amp;D881&amp;"MA"&amp;COUNTIF($D$14:D881,D881))</f>
        <v/>
      </c>
      <c r="C881" s="162"/>
      <c r="D881" s="163"/>
      <c r="E881" s="164"/>
      <c r="F881" s="164"/>
      <c r="G881" s="164"/>
      <c r="H881" s="164"/>
      <c r="I881" s="162"/>
      <c r="J881" s="144"/>
      <c r="K881" s="144"/>
      <c r="L881" s="144"/>
      <c r="M881" s="145">
        <f t="shared" si="84"/>
        <v>0</v>
      </c>
      <c r="N881" s="145">
        <f t="shared" si="85"/>
        <v>0</v>
      </c>
      <c r="O881" s="146">
        <f t="shared" si="86"/>
        <v>0</v>
      </c>
      <c r="P881" s="146">
        <f>IF(B881="",0,SUMIF('NHAP XUAT'!$G$10:$J$1011,'Ghi So'!B881,'NHAP XUAT'!$J$10:$J$1011))</f>
        <v>0</v>
      </c>
      <c r="Q881" s="146">
        <f t="shared" si="87"/>
        <v>0</v>
      </c>
      <c r="R881" s="169"/>
      <c r="S881" s="169"/>
      <c r="T881" s="146">
        <f t="shared" si="88"/>
        <v>0</v>
      </c>
      <c r="U881" s="121" t="str">
        <f t="shared" si="89"/>
        <v>Close</v>
      </c>
      <c r="V881" s="117"/>
    </row>
    <row r="882" spans="1:22" ht="15" customHeight="1">
      <c r="A882" s="117"/>
      <c r="B882" s="144" t="str">
        <f>IF(D882="","","P"&amp;D882&amp;"MA"&amp;COUNTIF($D$14:D882,D882))</f>
        <v/>
      </c>
      <c r="C882" s="162"/>
      <c r="D882" s="163"/>
      <c r="E882" s="164"/>
      <c r="F882" s="164"/>
      <c r="G882" s="164"/>
      <c r="H882" s="164"/>
      <c r="I882" s="162"/>
      <c r="J882" s="144"/>
      <c r="K882" s="144"/>
      <c r="L882" s="144"/>
      <c r="M882" s="145">
        <f t="shared" si="84"/>
        <v>0</v>
      </c>
      <c r="N882" s="145">
        <f t="shared" si="85"/>
        <v>0</v>
      </c>
      <c r="O882" s="146">
        <f t="shared" si="86"/>
        <v>0</v>
      </c>
      <c r="P882" s="146">
        <f>IF(B882="",0,SUMIF('NHAP XUAT'!$G$10:$J$1011,'Ghi So'!B882,'NHAP XUAT'!$J$10:$J$1011))</f>
        <v>0</v>
      </c>
      <c r="Q882" s="146">
        <f t="shared" si="87"/>
        <v>0</v>
      </c>
      <c r="R882" s="169"/>
      <c r="S882" s="169"/>
      <c r="T882" s="146">
        <f t="shared" si="88"/>
        <v>0</v>
      </c>
      <c r="U882" s="121" t="str">
        <f t="shared" si="89"/>
        <v>Close</v>
      </c>
      <c r="V882" s="117"/>
    </row>
    <row r="883" spans="1:22" ht="15" customHeight="1">
      <c r="A883" s="117"/>
      <c r="B883" s="144" t="str">
        <f>IF(D883="","","P"&amp;D883&amp;"MA"&amp;COUNTIF($D$14:D883,D883))</f>
        <v/>
      </c>
      <c r="C883" s="162"/>
      <c r="D883" s="163"/>
      <c r="E883" s="164"/>
      <c r="F883" s="164"/>
      <c r="G883" s="164"/>
      <c r="H883" s="164"/>
      <c r="I883" s="162"/>
      <c r="J883" s="144"/>
      <c r="K883" s="144"/>
      <c r="L883" s="144"/>
      <c r="M883" s="145">
        <f t="shared" si="84"/>
        <v>0</v>
      </c>
      <c r="N883" s="145">
        <f t="shared" si="85"/>
        <v>0</v>
      </c>
      <c r="O883" s="146">
        <f t="shared" si="86"/>
        <v>0</v>
      </c>
      <c r="P883" s="146">
        <f>IF(B883="",0,SUMIF('NHAP XUAT'!$G$10:$J$1011,'Ghi So'!B883,'NHAP XUAT'!$J$10:$J$1011))</f>
        <v>0</v>
      </c>
      <c r="Q883" s="146">
        <f t="shared" si="87"/>
        <v>0</v>
      </c>
      <c r="R883" s="169"/>
      <c r="S883" s="169"/>
      <c r="T883" s="146">
        <f t="shared" si="88"/>
        <v>0</v>
      </c>
      <c r="U883" s="121" t="str">
        <f t="shared" si="89"/>
        <v>Close</v>
      </c>
      <c r="V883" s="117"/>
    </row>
    <row r="884" spans="1:22" ht="15" customHeight="1">
      <c r="A884" s="117"/>
      <c r="B884" s="144" t="str">
        <f>IF(D884="","","P"&amp;D884&amp;"MA"&amp;COUNTIF($D$14:D884,D884))</f>
        <v/>
      </c>
      <c r="C884" s="162"/>
      <c r="D884" s="163"/>
      <c r="E884" s="164"/>
      <c r="F884" s="164"/>
      <c r="G884" s="164"/>
      <c r="H884" s="164"/>
      <c r="I884" s="162"/>
      <c r="J884" s="144"/>
      <c r="K884" s="144"/>
      <c r="L884" s="144"/>
      <c r="M884" s="145">
        <f t="shared" si="84"/>
        <v>0</v>
      </c>
      <c r="N884" s="145">
        <f t="shared" si="85"/>
        <v>0</v>
      </c>
      <c r="O884" s="146">
        <f t="shared" si="86"/>
        <v>0</v>
      </c>
      <c r="P884" s="146">
        <f>IF(B884="",0,SUMIF('NHAP XUAT'!$G$10:$J$1011,'Ghi So'!B884,'NHAP XUAT'!$J$10:$J$1011))</f>
        <v>0</v>
      </c>
      <c r="Q884" s="146">
        <f t="shared" si="87"/>
        <v>0</v>
      </c>
      <c r="R884" s="169"/>
      <c r="S884" s="169"/>
      <c r="T884" s="146">
        <f t="shared" si="88"/>
        <v>0</v>
      </c>
      <c r="U884" s="121" t="str">
        <f t="shared" si="89"/>
        <v>Close</v>
      </c>
      <c r="V884" s="117"/>
    </row>
    <row r="885" spans="1:22" ht="15" customHeight="1">
      <c r="A885" s="117"/>
      <c r="B885" s="144" t="str">
        <f>IF(D885="","","P"&amp;D885&amp;"MA"&amp;COUNTIF($D$14:D885,D885))</f>
        <v/>
      </c>
      <c r="C885" s="162"/>
      <c r="D885" s="163"/>
      <c r="E885" s="164"/>
      <c r="F885" s="164"/>
      <c r="G885" s="164"/>
      <c r="H885" s="164"/>
      <c r="I885" s="162"/>
      <c r="J885" s="144"/>
      <c r="K885" s="144"/>
      <c r="L885" s="144"/>
      <c r="M885" s="145">
        <f t="shared" si="84"/>
        <v>0</v>
      </c>
      <c r="N885" s="145">
        <f t="shared" si="85"/>
        <v>0</v>
      </c>
      <c r="O885" s="146">
        <f t="shared" si="86"/>
        <v>0</v>
      </c>
      <c r="P885" s="146">
        <f>IF(B885="",0,SUMIF('NHAP XUAT'!$G$10:$J$1011,'Ghi So'!B885,'NHAP XUAT'!$J$10:$J$1011))</f>
        <v>0</v>
      </c>
      <c r="Q885" s="146">
        <f t="shared" si="87"/>
        <v>0</v>
      </c>
      <c r="R885" s="169"/>
      <c r="S885" s="169"/>
      <c r="T885" s="146">
        <f t="shared" si="88"/>
        <v>0</v>
      </c>
      <c r="U885" s="121" t="str">
        <f t="shared" si="89"/>
        <v>Close</v>
      </c>
      <c r="V885" s="117"/>
    </row>
    <row r="886" spans="1:22" ht="15" customHeight="1">
      <c r="A886" s="117"/>
      <c r="B886" s="144" t="str">
        <f>IF(D886="","","P"&amp;D886&amp;"MA"&amp;COUNTIF($D$14:D886,D886))</f>
        <v/>
      </c>
      <c r="C886" s="162"/>
      <c r="D886" s="163"/>
      <c r="E886" s="164"/>
      <c r="F886" s="164"/>
      <c r="G886" s="164"/>
      <c r="H886" s="164"/>
      <c r="I886" s="162"/>
      <c r="J886" s="144"/>
      <c r="K886" s="144"/>
      <c r="L886" s="144"/>
      <c r="M886" s="145">
        <f t="shared" si="84"/>
        <v>0</v>
      </c>
      <c r="N886" s="145">
        <f t="shared" si="85"/>
        <v>0</v>
      </c>
      <c r="O886" s="146">
        <f t="shared" si="86"/>
        <v>0</v>
      </c>
      <c r="P886" s="146">
        <f>IF(B886="",0,SUMIF('NHAP XUAT'!$G$10:$J$1011,'Ghi So'!B886,'NHAP XUAT'!$J$10:$J$1011))</f>
        <v>0</v>
      </c>
      <c r="Q886" s="146">
        <f t="shared" si="87"/>
        <v>0</v>
      </c>
      <c r="R886" s="169"/>
      <c r="S886" s="169"/>
      <c r="T886" s="146">
        <f t="shared" si="88"/>
        <v>0</v>
      </c>
      <c r="U886" s="121" t="str">
        <f t="shared" si="89"/>
        <v>Close</v>
      </c>
      <c r="V886" s="117"/>
    </row>
    <row r="887" spans="1:22" ht="15" customHeight="1">
      <c r="A887" s="117"/>
      <c r="B887" s="144" t="str">
        <f>IF(D887="","","P"&amp;D887&amp;"MA"&amp;COUNTIF($D$14:D887,D887))</f>
        <v/>
      </c>
      <c r="C887" s="162"/>
      <c r="D887" s="163"/>
      <c r="E887" s="164"/>
      <c r="F887" s="164"/>
      <c r="G887" s="164"/>
      <c r="H887" s="164"/>
      <c r="I887" s="162"/>
      <c r="J887" s="144"/>
      <c r="K887" s="144"/>
      <c r="L887" s="144"/>
      <c r="M887" s="145">
        <f t="shared" si="84"/>
        <v>0</v>
      </c>
      <c r="N887" s="145">
        <f t="shared" si="85"/>
        <v>0</v>
      </c>
      <c r="O887" s="146">
        <f t="shared" si="86"/>
        <v>0</v>
      </c>
      <c r="P887" s="146">
        <f>IF(B887="",0,SUMIF('NHAP XUAT'!$G$10:$J$1011,'Ghi So'!B887,'NHAP XUAT'!$J$10:$J$1011))</f>
        <v>0</v>
      </c>
      <c r="Q887" s="146">
        <f t="shared" si="87"/>
        <v>0</v>
      </c>
      <c r="R887" s="169"/>
      <c r="S887" s="169"/>
      <c r="T887" s="146">
        <f t="shared" si="88"/>
        <v>0</v>
      </c>
      <c r="U887" s="121" t="str">
        <f t="shared" si="89"/>
        <v>Close</v>
      </c>
      <c r="V887" s="117"/>
    </row>
    <row r="888" spans="1:22" ht="15" customHeight="1">
      <c r="A888" s="117"/>
      <c r="B888" s="144" t="str">
        <f>IF(D888="","","P"&amp;D888&amp;"MA"&amp;COUNTIF($D$14:D888,D888))</f>
        <v/>
      </c>
      <c r="C888" s="162"/>
      <c r="D888" s="163"/>
      <c r="E888" s="164"/>
      <c r="F888" s="164"/>
      <c r="G888" s="164"/>
      <c r="H888" s="164"/>
      <c r="I888" s="162"/>
      <c r="J888" s="144"/>
      <c r="K888" s="144"/>
      <c r="L888" s="144"/>
      <c r="M888" s="145">
        <f t="shared" si="84"/>
        <v>0</v>
      </c>
      <c r="N888" s="145">
        <f t="shared" si="85"/>
        <v>0</v>
      </c>
      <c r="O888" s="146">
        <f t="shared" si="86"/>
        <v>0</v>
      </c>
      <c r="P888" s="146">
        <f>IF(B888="",0,SUMIF('NHAP XUAT'!$G$10:$J$1011,'Ghi So'!B888,'NHAP XUAT'!$J$10:$J$1011))</f>
        <v>0</v>
      </c>
      <c r="Q888" s="146">
        <f t="shared" si="87"/>
        <v>0</v>
      </c>
      <c r="R888" s="169"/>
      <c r="S888" s="169"/>
      <c r="T888" s="146">
        <f t="shared" si="88"/>
        <v>0</v>
      </c>
      <c r="U888" s="121" t="str">
        <f t="shared" si="89"/>
        <v>Close</v>
      </c>
      <c r="V888" s="117"/>
    </row>
    <row r="889" spans="1:22" ht="15" customHeight="1">
      <c r="A889" s="117"/>
      <c r="B889" s="144" t="str">
        <f>IF(D889="","","P"&amp;D889&amp;"MA"&amp;COUNTIF($D$14:D889,D889))</f>
        <v/>
      </c>
      <c r="C889" s="162"/>
      <c r="D889" s="163"/>
      <c r="E889" s="164"/>
      <c r="F889" s="164"/>
      <c r="G889" s="164"/>
      <c r="H889" s="164"/>
      <c r="I889" s="162"/>
      <c r="J889" s="144"/>
      <c r="K889" s="144"/>
      <c r="L889" s="144"/>
      <c r="M889" s="145">
        <f t="shared" si="84"/>
        <v>0</v>
      </c>
      <c r="N889" s="145">
        <f t="shared" si="85"/>
        <v>0</v>
      </c>
      <c r="O889" s="146">
        <f t="shared" si="86"/>
        <v>0</v>
      </c>
      <c r="P889" s="146">
        <f>IF(B889="",0,SUMIF('NHAP XUAT'!$G$10:$J$1011,'Ghi So'!B889,'NHAP XUAT'!$J$10:$J$1011))</f>
        <v>0</v>
      </c>
      <c r="Q889" s="146">
        <f t="shared" si="87"/>
        <v>0</v>
      </c>
      <c r="R889" s="169"/>
      <c r="S889" s="169"/>
      <c r="T889" s="146">
        <f t="shared" si="88"/>
        <v>0</v>
      </c>
      <c r="U889" s="121" t="str">
        <f t="shared" si="89"/>
        <v>Close</v>
      </c>
      <c r="V889" s="117"/>
    </row>
    <row r="890" spans="1:22" ht="15" customHeight="1">
      <c r="A890" s="117"/>
      <c r="B890" s="144" t="str">
        <f>IF(D890="","","P"&amp;D890&amp;"MA"&amp;COUNTIF($D$14:D890,D890))</f>
        <v/>
      </c>
      <c r="C890" s="162"/>
      <c r="D890" s="163"/>
      <c r="E890" s="164"/>
      <c r="F890" s="164"/>
      <c r="G890" s="164"/>
      <c r="H890" s="164"/>
      <c r="I890" s="162"/>
      <c r="J890" s="144"/>
      <c r="K890" s="144"/>
      <c r="L890" s="144"/>
      <c r="M890" s="145">
        <f t="shared" si="84"/>
        <v>0</v>
      </c>
      <c r="N890" s="145">
        <f t="shared" si="85"/>
        <v>0</v>
      </c>
      <c r="O890" s="146">
        <f t="shared" si="86"/>
        <v>0</v>
      </c>
      <c r="P890" s="146">
        <f>IF(B890="",0,SUMIF('NHAP XUAT'!$G$10:$J$1011,'Ghi So'!B890,'NHAP XUAT'!$J$10:$J$1011))</f>
        <v>0</v>
      </c>
      <c r="Q890" s="146">
        <f t="shared" si="87"/>
        <v>0</v>
      </c>
      <c r="R890" s="169"/>
      <c r="S890" s="169"/>
      <c r="T890" s="146">
        <f t="shared" si="88"/>
        <v>0</v>
      </c>
      <c r="U890" s="121" t="str">
        <f t="shared" si="89"/>
        <v>Close</v>
      </c>
      <c r="V890" s="117"/>
    </row>
    <row r="891" spans="1:22" ht="15" customHeight="1">
      <c r="A891" s="117"/>
      <c r="B891" s="144" t="str">
        <f>IF(D891="","","P"&amp;D891&amp;"MA"&amp;COUNTIF($D$14:D891,D891))</f>
        <v/>
      </c>
      <c r="C891" s="162"/>
      <c r="D891" s="163"/>
      <c r="E891" s="164"/>
      <c r="F891" s="164"/>
      <c r="G891" s="164"/>
      <c r="H891" s="164"/>
      <c r="I891" s="162"/>
      <c r="J891" s="144"/>
      <c r="K891" s="144"/>
      <c r="L891" s="144"/>
      <c r="M891" s="145">
        <f t="shared" si="84"/>
        <v>0</v>
      </c>
      <c r="N891" s="145">
        <f t="shared" si="85"/>
        <v>0</v>
      </c>
      <c r="O891" s="146">
        <f t="shared" si="86"/>
        <v>0</v>
      </c>
      <c r="P891" s="146">
        <f>IF(B891="",0,SUMIF('NHAP XUAT'!$G$10:$J$1011,'Ghi So'!B891,'NHAP XUAT'!$J$10:$J$1011))</f>
        <v>0</v>
      </c>
      <c r="Q891" s="146">
        <f t="shared" si="87"/>
        <v>0</v>
      </c>
      <c r="R891" s="169"/>
      <c r="S891" s="169"/>
      <c r="T891" s="146">
        <f t="shared" si="88"/>
        <v>0</v>
      </c>
      <c r="U891" s="121" t="str">
        <f t="shared" si="89"/>
        <v>Close</v>
      </c>
      <c r="V891" s="117"/>
    </row>
    <row r="892" spans="1:22" ht="15" customHeight="1">
      <c r="A892" s="117"/>
      <c r="B892" s="144" t="str">
        <f>IF(D892="","","P"&amp;D892&amp;"MA"&amp;COUNTIF($D$14:D892,D892))</f>
        <v/>
      </c>
      <c r="C892" s="162"/>
      <c r="D892" s="163"/>
      <c r="E892" s="164"/>
      <c r="F892" s="164"/>
      <c r="G892" s="164"/>
      <c r="H892" s="164"/>
      <c r="I892" s="162"/>
      <c r="J892" s="144"/>
      <c r="K892" s="144"/>
      <c r="L892" s="144"/>
      <c r="M892" s="145">
        <f t="shared" si="84"/>
        <v>0</v>
      </c>
      <c r="N892" s="145">
        <f t="shared" si="85"/>
        <v>0</v>
      </c>
      <c r="O892" s="146">
        <f t="shared" si="86"/>
        <v>0</v>
      </c>
      <c r="P892" s="146">
        <f>IF(B892="",0,SUMIF('NHAP XUAT'!$G$10:$J$1011,'Ghi So'!B892,'NHAP XUAT'!$J$10:$J$1011))</f>
        <v>0</v>
      </c>
      <c r="Q892" s="146">
        <f t="shared" si="87"/>
        <v>0</v>
      </c>
      <c r="R892" s="169"/>
      <c r="S892" s="169"/>
      <c r="T892" s="146">
        <f t="shared" si="88"/>
        <v>0</v>
      </c>
      <c r="U892" s="121" t="str">
        <f t="shared" si="89"/>
        <v>Close</v>
      </c>
      <c r="V892" s="117"/>
    </row>
    <row r="893" spans="1:22" ht="15" customHeight="1">
      <c r="A893" s="117"/>
      <c r="B893" s="144" t="str">
        <f>IF(D893="","","P"&amp;D893&amp;"MA"&amp;COUNTIF($D$14:D893,D893))</f>
        <v/>
      </c>
      <c r="C893" s="162"/>
      <c r="D893" s="163"/>
      <c r="E893" s="164"/>
      <c r="F893" s="164"/>
      <c r="G893" s="164"/>
      <c r="H893" s="164"/>
      <c r="I893" s="162"/>
      <c r="J893" s="144"/>
      <c r="K893" s="144"/>
      <c r="L893" s="144"/>
      <c r="M893" s="145">
        <f t="shared" si="84"/>
        <v>0</v>
      </c>
      <c r="N893" s="145">
        <f t="shared" si="85"/>
        <v>0</v>
      </c>
      <c r="O893" s="146">
        <f t="shared" si="86"/>
        <v>0</v>
      </c>
      <c r="P893" s="146">
        <f>IF(B893="",0,SUMIF('NHAP XUAT'!$G$10:$J$1011,'Ghi So'!B893,'NHAP XUAT'!$J$10:$J$1011))</f>
        <v>0</v>
      </c>
      <c r="Q893" s="146">
        <f t="shared" si="87"/>
        <v>0</v>
      </c>
      <c r="R893" s="169"/>
      <c r="S893" s="169"/>
      <c r="T893" s="146">
        <f t="shared" si="88"/>
        <v>0</v>
      </c>
      <c r="U893" s="121" t="str">
        <f t="shared" si="89"/>
        <v>Close</v>
      </c>
      <c r="V893" s="117"/>
    </row>
    <row r="894" spans="1:22" ht="15" customHeight="1">
      <c r="A894" s="117"/>
      <c r="B894" s="144" t="str">
        <f>IF(D894="","","P"&amp;D894&amp;"MA"&amp;COUNTIF($D$14:D894,D894))</f>
        <v/>
      </c>
      <c r="C894" s="162"/>
      <c r="D894" s="163"/>
      <c r="E894" s="164"/>
      <c r="F894" s="164"/>
      <c r="G894" s="164"/>
      <c r="H894" s="164"/>
      <c r="I894" s="162"/>
      <c r="J894" s="144"/>
      <c r="K894" s="144"/>
      <c r="L894" s="144"/>
      <c r="M894" s="145">
        <f t="shared" si="84"/>
        <v>0</v>
      </c>
      <c r="N894" s="145">
        <f t="shared" si="85"/>
        <v>0</v>
      </c>
      <c r="O894" s="146">
        <f t="shared" si="86"/>
        <v>0</v>
      </c>
      <c r="P894" s="146">
        <f>IF(B894="",0,SUMIF('NHAP XUAT'!$G$10:$J$1011,'Ghi So'!B894,'NHAP XUAT'!$J$10:$J$1011))</f>
        <v>0</v>
      </c>
      <c r="Q894" s="146">
        <f t="shared" si="87"/>
        <v>0</v>
      </c>
      <c r="R894" s="169"/>
      <c r="S894" s="169"/>
      <c r="T894" s="146">
        <f t="shared" si="88"/>
        <v>0</v>
      </c>
      <c r="U894" s="121" t="str">
        <f t="shared" si="89"/>
        <v>Close</v>
      </c>
      <c r="V894" s="117"/>
    </row>
    <row r="895" spans="1:22" ht="15" customHeight="1">
      <c r="A895" s="117"/>
      <c r="B895" s="144" t="str">
        <f>IF(D895="","","P"&amp;D895&amp;"MA"&amp;COUNTIF($D$14:D895,D895))</f>
        <v/>
      </c>
      <c r="C895" s="162"/>
      <c r="D895" s="163"/>
      <c r="E895" s="164"/>
      <c r="F895" s="164"/>
      <c r="G895" s="164"/>
      <c r="H895" s="164"/>
      <c r="I895" s="162"/>
      <c r="J895" s="144"/>
      <c r="K895" s="144"/>
      <c r="L895" s="144"/>
      <c r="M895" s="145">
        <f t="shared" si="84"/>
        <v>0</v>
      </c>
      <c r="N895" s="145">
        <f t="shared" si="85"/>
        <v>0</v>
      </c>
      <c r="O895" s="146">
        <f t="shared" si="86"/>
        <v>0</v>
      </c>
      <c r="P895" s="146">
        <f>IF(B895="",0,SUMIF('NHAP XUAT'!$G$10:$J$1011,'Ghi So'!B895,'NHAP XUAT'!$J$10:$J$1011))</f>
        <v>0</v>
      </c>
      <c r="Q895" s="146">
        <f t="shared" si="87"/>
        <v>0</v>
      </c>
      <c r="R895" s="169"/>
      <c r="S895" s="169"/>
      <c r="T895" s="146">
        <f t="shared" si="88"/>
        <v>0</v>
      </c>
      <c r="U895" s="121" t="str">
        <f t="shared" si="89"/>
        <v>Close</v>
      </c>
      <c r="V895" s="117"/>
    </row>
    <row r="896" spans="1:22" ht="15" customHeight="1">
      <c r="A896" s="117"/>
      <c r="B896" s="144" t="str">
        <f>IF(D896="","","P"&amp;D896&amp;"MA"&amp;COUNTIF($D$14:D896,D896))</f>
        <v/>
      </c>
      <c r="C896" s="162"/>
      <c r="D896" s="163"/>
      <c r="E896" s="164"/>
      <c r="F896" s="164"/>
      <c r="G896" s="164"/>
      <c r="H896" s="164"/>
      <c r="I896" s="162"/>
      <c r="J896" s="144"/>
      <c r="K896" s="144"/>
      <c r="L896" s="144"/>
      <c r="M896" s="145">
        <f t="shared" si="84"/>
        <v>0</v>
      </c>
      <c r="N896" s="145">
        <f t="shared" si="85"/>
        <v>0</v>
      </c>
      <c r="O896" s="146">
        <f t="shared" si="86"/>
        <v>0</v>
      </c>
      <c r="P896" s="146">
        <f>IF(B896="",0,SUMIF('NHAP XUAT'!$G$10:$J$1011,'Ghi So'!B896,'NHAP XUAT'!$J$10:$J$1011))</f>
        <v>0</v>
      </c>
      <c r="Q896" s="146">
        <f t="shared" si="87"/>
        <v>0</v>
      </c>
      <c r="R896" s="169"/>
      <c r="S896" s="169"/>
      <c r="T896" s="146">
        <f t="shared" si="88"/>
        <v>0</v>
      </c>
      <c r="U896" s="121" t="str">
        <f t="shared" si="89"/>
        <v>Close</v>
      </c>
      <c r="V896" s="117"/>
    </row>
    <row r="897" spans="1:22" ht="15" customHeight="1">
      <c r="A897" s="117"/>
      <c r="B897" s="144" t="str">
        <f>IF(D897="","","P"&amp;D897&amp;"MA"&amp;COUNTIF($D$14:D897,D897))</f>
        <v/>
      </c>
      <c r="C897" s="162"/>
      <c r="D897" s="163"/>
      <c r="E897" s="164"/>
      <c r="F897" s="164"/>
      <c r="G897" s="164"/>
      <c r="H897" s="164"/>
      <c r="I897" s="162"/>
      <c r="J897" s="144"/>
      <c r="K897" s="144"/>
      <c r="L897" s="144"/>
      <c r="M897" s="145">
        <f t="shared" si="84"/>
        <v>0</v>
      </c>
      <c r="N897" s="145">
        <f t="shared" si="85"/>
        <v>0</v>
      </c>
      <c r="O897" s="146">
        <f t="shared" si="86"/>
        <v>0</v>
      </c>
      <c r="P897" s="146">
        <f>IF(B897="",0,SUMIF('NHAP XUAT'!$G$10:$J$1011,'Ghi So'!B897,'NHAP XUAT'!$J$10:$J$1011))</f>
        <v>0</v>
      </c>
      <c r="Q897" s="146">
        <f t="shared" si="87"/>
        <v>0</v>
      </c>
      <c r="R897" s="169"/>
      <c r="S897" s="169"/>
      <c r="T897" s="146">
        <f t="shared" si="88"/>
        <v>0</v>
      </c>
      <c r="U897" s="121" t="str">
        <f t="shared" si="89"/>
        <v>Close</v>
      </c>
      <c r="V897" s="117"/>
    </row>
    <row r="898" spans="1:22" ht="15" customHeight="1">
      <c r="A898" s="117"/>
      <c r="B898" s="144" t="str">
        <f>IF(D898="","","P"&amp;D898&amp;"MA"&amp;COUNTIF($D$14:D898,D898))</f>
        <v/>
      </c>
      <c r="C898" s="162"/>
      <c r="D898" s="163"/>
      <c r="E898" s="164"/>
      <c r="F898" s="164"/>
      <c r="G898" s="164"/>
      <c r="H898" s="164"/>
      <c r="I898" s="162"/>
      <c r="J898" s="144"/>
      <c r="K898" s="144"/>
      <c r="L898" s="144"/>
      <c r="M898" s="145">
        <f t="shared" si="84"/>
        <v>0</v>
      </c>
      <c r="N898" s="145">
        <f t="shared" si="85"/>
        <v>0</v>
      </c>
      <c r="O898" s="146">
        <f t="shared" si="86"/>
        <v>0</v>
      </c>
      <c r="P898" s="146">
        <f>IF(B898="",0,SUMIF('NHAP XUAT'!$G$10:$J$1011,'Ghi So'!B898,'NHAP XUAT'!$J$10:$J$1011))</f>
        <v>0</v>
      </c>
      <c r="Q898" s="146">
        <f t="shared" si="87"/>
        <v>0</v>
      </c>
      <c r="R898" s="169"/>
      <c r="S898" s="169"/>
      <c r="T898" s="146">
        <f t="shared" si="88"/>
        <v>0</v>
      </c>
      <c r="U898" s="121" t="str">
        <f t="shared" si="89"/>
        <v>Close</v>
      </c>
      <c r="V898" s="117"/>
    </row>
    <row r="899" spans="1:22" ht="15" customHeight="1">
      <c r="A899" s="117"/>
      <c r="B899" s="144" t="str">
        <f>IF(D899="","","P"&amp;D899&amp;"MA"&amp;COUNTIF($D$14:D899,D899))</f>
        <v/>
      </c>
      <c r="C899" s="162"/>
      <c r="D899" s="163"/>
      <c r="E899" s="164"/>
      <c r="F899" s="164"/>
      <c r="G899" s="164"/>
      <c r="H899" s="164"/>
      <c r="I899" s="162"/>
      <c r="J899" s="144"/>
      <c r="K899" s="144"/>
      <c r="L899" s="144"/>
      <c r="M899" s="145">
        <f t="shared" si="84"/>
        <v>0</v>
      </c>
      <c r="N899" s="145">
        <f t="shared" si="85"/>
        <v>0</v>
      </c>
      <c r="O899" s="146">
        <f t="shared" si="86"/>
        <v>0</v>
      </c>
      <c r="P899" s="146">
        <f>IF(B899="",0,SUMIF('NHAP XUAT'!$G$10:$J$1011,'Ghi So'!B899,'NHAP XUAT'!$J$10:$J$1011))</f>
        <v>0</v>
      </c>
      <c r="Q899" s="146">
        <f t="shared" si="87"/>
        <v>0</v>
      </c>
      <c r="R899" s="169"/>
      <c r="S899" s="169"/>
      <c r="T899" s="146">
        <f t="shared" si="88"/>
        <v>0</v>
      </c>
      <c r="U899" s="121" t="str">
        <f t="shared" si="89"/>
        <v>Close</v>
      </c>
      <c r="V899" s="117"/>
    </row>
    <row r="900" spans="1:22" ht="15" customHeight="1">
      <c r="A900" s="117"/>
      <c r="B900" s="144" t="str">
        <f>IF(D900="","","P"&amp;D900&amp;"MA"&amp;COUNTIF($D$14:D900,D900))</f>
        <v/>
      </c>
      <c r="C900" s="162"/>
      <c r="D900" s="163"/>
      <c r="E900" s="164"/>
      <c r="F900" s="164"/>
      <c r="G900" s="164"/>
      <c r="H900" s="164"/>
      <c r="I900" s="162"/>
      <c r="J900" s="144"/>
      <c r="K900" s="144"/>
      <c r="L900" s="144"/>
      <c r="M900" s="145">
        <f t="shared" si="84"/>
        <v>0</v>
      </c>
      <c r="N900" s="145">
        <f t="shared" si="85"/>
        <v>0</v>
      </c>
      <c r="O900" s="146">
        <f t="shared" si="86"/>
        <v>0</v>
      </c>
      <c r="P900" s="146">
        <f>IF(B900="",0,SUMIF('NHAP XUAT'!$G$10:$J$1011,'Ghi So'!B900,'NHAP XUAT'!$J$10:$J$1011))</f>
        <v>0</v>
      </c>
      <c r="Q900" s="146">
        <f t="shared" si="87"/>
        <v>0</v>
      </c>
      <c r="R900" s="169"/>
      <c r="S900" s="169"/>
      <c r="T900" s="146">
        <f t="shared" si="88"/>
        <v>0</v>
      </c>
      <c r="U900" s="121" t="str">
        <f t="shared" si="89"/>
        <v>Close</v>
      </c>
      <c r="V900" s="117"/>
    </row>
    <row r="901" spans="1:22" ht="15" customHeight="1">
      <c r="A901" s="117"/>
      <c r="B901" s="144" t="str">
        <f>IF(D901="","","P"&amp;D901&amp;"MA"&amp;COUNTIF($D$14:D901,D901))</f>
        <v/>
      </c>
      <c r="C901" s="162"/>
      <c r="D901" s="163"/>
      <c r="E901" s="164"/>
      <c r="F901" s="164"/>
      <c r="G901" s="164"/>
      <c r="H901" s="164"/>
      <c r="I901" s="162"/>
      <c r="J901" s="144"/>
      <c r="K901" s="144"/>
      <c r="L901" s="144"/>
      <c r="M901" s="145">
        <f t="shared" si="84"/>
        <v>0</v>
      </c>
      <c r="N901" s="145">
        <f t="shared" si="85"/>
        <v>0</v>
      </c>
      <c r="O901" s="146">
        <f t="shared" si="86"/>
        <v>0</v>
      </c>
      <c r="P901" s="146">
        <f>IF(B901="",0,SUMIF('NHAP XUAT'!$G$10:$J$1011,'Ghi So'!B901,'NHAP XUAT'!$J$10:$J$1011))</f>
        <v>0</v>
      </c>
      <c r="Q901" s="146">
        <f t="shared" si="87"/>
        <v>0</v>
      </c>
      <c r="R901" s="169"/>
      <c r="S901" s="169"/>
      <c r="T901" s="146">
        <f t="shared" si="88"/>
        <v>0</v>
      </c>
      <c r="U901" s="121" t="str">
        <f t="shared" si="89"/>
        <v>Close</v>
      </c>
      <c r="V901" s="117"/>
    </row>
    <row r="902" spans="1:22" ht="15" customHeight="1">
      <c r="A902" s="117"/>
      <c r="B902" s="144" t="str">
        <f>IF(D902="","","P"&amp;D902&amp;"MA"&amp;COUNTIF($D$14:D902,D902))</f>
        <v/>
      </c>
      <c r="C902" s="162"/>
      <c r="D902" s="163"/>
      <c r="E902" s="164"/>
      <c r="F902" s="164"/>
      <c r="G902" s="164"/>
      <c r="H902" s="164"/>
      <c r="I902" s="162"/>
      <c r="J902" s="144"/>
      <c r="K902" s="144"/>
      <c r="L902" s="144"/>
      <c r="M902" s="145">
        <f t="shared" si="84"/>
        <v>0</v>
      </c>
      <c r="N902" s="145">
        <f t="shared" si="85"/>
        <v>0</v>
      </c>
      <c r="O902" s="146">
        <f t="shared" si="86"/>
        <v>0</v>
      </c>
      <c r="P902" s="146">
        <f>IF(B902="",0,SUMIF('NHAP XUAT'!$G$10:$J$1011,'Ghi So'!B902,'NHAP XUAT'!$J$10:$J$1011))</f>
        <v>0</v>
      </c>
      <c r="Q902" s="146">
        <f t="shared" si="87"/>
        <v>0</v>
      </c>
      <c r="R902" s="169"/>
      <c r="S902" s="169"/>
      <c r="T902" s="146">
        <f t="shared" si="88"/>
        <v>0</v>
      </c>
      <c r="U902" s="121" t="str">
        <f t="shared" si="89"/>
        <v>Close</v>
      </c>
      <c r="V902" s="117"/>
    </row>
    <row r="903" spans="1:22" ht="15" customHeight="1">
      <c r="A903" s="117"/>
      <c r="B903" s="144" t="str">
        <f>IF(D903="","","P"&amp;D903&amp;"MA"&amp;COUNTIF($D$14:D903,D903))</f>
        <v/>
      </c>
      <c r="C903" s="162"/>
      <c r="D903" s="163"/>
      <c r="E903" s="164"/>
      <c r="F903" s="164"/>
      <c r="G903" s="164"/>
      <c r="H903" s="164"/>
      <c r="I903" s="162"/>
      <c r="J903" s="144"/>
      <c r="K903" s="144"/>
      <c r="L903" s="144"/>
      <c r="M903" s="145">
        <f t="shared" si="84"/>
        <v>0</v>
      </c>
      <c r="N903" s="145">
        <f t="shared" si="85"/>
        <v>0</v>
      </c>
      <c r="O903" s="146">
        <f t="shared" si="86"/>
        <v>0</v>
      </c>
      <c r="P903" s="146">
        <f>IF(B903="",0,SUMIF('NHAP XUAT'!$G$10:$J$1011,'Ghi So'!B903,'NHAP XUAT'!$J$10:$J$1011))</f>
        <v>0</v>
      </c>
      <c r="Q903" s="146">
        <f t="shared" si="87"/>
        <v>0</v>
      </c>
      <c r="R903" s="169"/>
      <c r="S903" s="169"/>
      <c r="T903" s="146">
        <f t="shared" si="88"/>
        <v>0</v>
      </c>
      <c r="U903" s="121" t="str">
        <f t="shared" si="89"/>
        <v>Close</v>
      </c>
      <c r="V903" s="117"/>
    </row>
    <row r="904" spans="1:22" ht="15" customHeight="1">
      <c r="A904" s="117"/>
      <c r="B904" s="144" t="str">
        <f>IF(D904="","","P"&amp;D904&amp;"MA"&amp;COUNTIF($D$14:D904,D904))</f>
        <v/>
      </c>
      <c r="C904" s="162"/>
      <c r="D904" s="163"/>
      <c r="E904" s="164"/>
      <c r="F904" s="164"/>
      <c r="G904" s="164"/>
      <c r="H904" s="164"/>
      <c r="I904" s="162"/>
      <c r="J904" s="144"/>
      <c r="K904" s="144"/>
      <c r="L904" s="144"/>
      <c r="M904" s="145">
        <f t="shared" si="84"/>
        <v>0</v>
      </c>
      <c r="N904" s="145">
        <f t="shared" si="85"/>
        <v>0</v>
      </c>
      <c r="O904" s="146">
        <f t="shared" si="86"/>
        <v>0</v>
      </c>
      <c r="P904" s="146">
        <f>IF(B904="",0,SUMIF('NHAP XUAT'!$G$10:$J$1011,'Ghi So'!B904,'NHAP XUAT'!$J$10:$J$1011))</f>
        <v>0</v>
      </c>
      <c r="Q904" s="146">
        <f t="shared" si="87"/>
        <v>0</v>
      </c>
      <c r="R904" s="169"/>
      <c r="S904" s="169"/>
      <c r="T904" s="146">
        <f t="shared" si="88"/>
        <v>0</v>
      </c>
      <c r="U904" s="121" t="str">
        <f t="shared" si="89"/>
        <v>Close</v>
      </c>
      <c r="V904" s="117"/>
    </row>
    <row r="905" spans="1:22" ht="15" customHeight="1">
      <c r="A905" s="117"/>
      <c r="B905" s="144" t="str">
        <f>IF(D905="","","P"&amp;D905&amp;"MA"&amp;COUNTIF($D$14:D905,D905))</f>
        <v/>
      </c>
      <c r="C905" s="162"/>
      <c r="D905" s="163"/>
      <c r="E905" s="164"/>
      <c r="F905" s="164"/>
      <c r="G905" s="164"/>
      <c r="H905" s="164"/>
      <c r="I905" s="162"/>
      <c r="J905" s="144"/>
      <c r="K905" s="144"/>
      <c r="L905" s="144"/>
      <c r="M905" s="145">
        <f t="shared" si="84"/>
        <v>0</v>
      </c>
      <c r="N905" s="145">
        <f t="shared" si="85"/>
        <v>0</v>
      </c>
      <c r="O905" s="146">
        <f t="shared" si="86"/>
        <v>0</v>
      </c>
      <c r="P905" s="146">
        <f>IF(B905="",0,SUMIF('NHAP XUAT'!$G$10:$J$1011,'Ghi So'!B905,'NHAP XUAT'!$J$10:$J$1011))</f>
        <v>0</v>
      </c>
      <c r="Q905" s="146">
        <f t="shared" si="87"/>
        <v>0</v>
      </c>
      <c r="R905" s="169"/>
      <c r="S905" s="169"/>
      <c r="T905" s="146">
        <f t="shared" si="88"/>
        <v>0</v>
      </c>
      <c r="U905" s="121" t="str">
        <f t="shared" si="89"/>
        <v>Close</v>
      </c>
      <c r="V905" s="117"/>
    </row>
    <row r="906" spans="1:22" ht="15" customHeight="1">
      <c r="A906" s="117"/>
      <c r="B906" s="144" t="str">
        <f>IF(D906="","","P"&amp;D906&amp;"MA"&amp;COUNTIF($D$14:D906,D906))</f>
        <v/>
      </c>
      <c r="C906" s="162"/>
      <c r="D906" s="163"/>
      <c r="E906" s="164"/>
      <c r="F906" s="164"/>
      <c r="G906" s="164"/>
      <c r="H906" s="164"/>
      <c r="I906" s="162"/>
      <c r="J906" s="144"/>
      <c r="K906" s="144"/>
      <c r="L906" s="144"/>
      <c r="M906" s="145">
        <f t="shared" si="84"/>
        <v>0</v>
      </c>
      <c r="N906" s="145">
        <f t="shared" si="85"/>
        <v>0</v>
      </c>
      <c r="O906" s="146">
        <f t="shared" si="86"/>
        <v>0</v>
      </c>
      <c r="P906" s="146">
        <f>IF(B906="",0,SUMIF('NHAP XUAT'!$G$10:$J$1011,'Ghi So'!B906,'NHAP XUAT'!$J$10:$J$1011))</f>
        <v>0</v>
      </c>
      <c r="Q906" s="146">
        <f t="shared" si="87"/>
        <v>0</v>
      </c>
      <c r="R906" s="169"/>
      <c r="S906" s="169"/>
      <c r="T906" s="146">
        <f t="shared" si="88"/>
        <v>0</v>
      </c>
      <c r="U906" s="121" t="str">
        <f t="shared" si="89"/>
        <v>Close</v>
      </c>
      <c r="V906" s="117"/>
    </row>
    <row r="907" spans="1:22" ht="15" customHeight="1">
      <c r="A907" s="117"/>
      <c r="B907" s="144" t="str">
        <f>IF(D907="","","P"&amp;D907&amp;"MA"&amp;COUNTIF($D$14:D907,D907))</f>
        <v/>
      </c>
      <c r="C907" s="162"/>
      <c r="D907" s="163"/>
      <c r="E907" s="164"/>
      <c r="F907" s="164"/>
      <c r="G907" s="164"/>
      <c r="H907" s="164"/>
      <c r="I907" s="162"/>
      <c r="J907" s="144"/>
      <c r="K907" s="144"/>
      <c r="L907" s="144"/>
      <c r="M907" s="145">
        <f t="shared" si="84"/>
        <v>0</v>
      </c>
      <c r="N907" s="145">
        <f t="shared" si="85"/>
        <v>0</v>
      </c>
      <c r="O907" s="146">
        <f t="shared" si="86"/>
        <v>0</v>
      </c>
      <c r="P907" s="146">
        <f>IF(B907="",0,SUMIF('NHAP XUAT'!$G$10:$J$1011,'Ghi So'!B907,'NHAP XUAT'!$J$10:$J$1011))</f>
        <v>0</v>
      </c>
      <c r="Q907" s="146">
        <f t="shared" si="87"/>
        <v>0</v>
      </c>
      <c r="R907" s="169"/>
      <c r="S907" s="169"/>
      <c r="T907" s="146">
        <f t="shared" si="88"/>
        <v>0</v>
      </c>
      <c r="U907" s="121" t="str">
        <f t="shared" si="89"/>
        <v>Close</v>
      </c>
      <c r="V907" s="117"/>
    </row>
    <row r="908" spans="1:22" ht="15" customHeight="1">
      <c r="A908" s="117"/>
      <c r="B908" s="144" t="str">
        <f>IF(D908="","","P"&amp;D908&amp;"MA"&amp;COUNTIF($D$14:D908,D908))</f>
        <v/>
      </c>
      <c r="C908" s="162"/>
      <c r="D908" s="163"/>
      <c r="E908" s="164"/>
      <c r="F908" s="164"/>
      <c r="G908" s="164"/>
      <c r="H908" s="164"/>
      <c r="I908" s="162"/>
      <c r="J908" s="144"/>
      <c r="K908" s="144"/>
      <c r="L908" s="144"/>
      <c r="M908" s="145">
        <f t="shared" si="84"/>
        <v>0</v>
      </c>
      <c r="N908" s="145">
        <f t="shared" si="85"/>
        <v>0</v>
      </c>
      <c r="O908" s="146">
        <f t="shared" si="86"/>
        <v>0</v>
      </c>
      <c r="P908" s="146">
        <f>IF(B908="",0,SUMIF('NHAP XUAT'!$G$10:$J$1011,'Ghi So'!B908,'NHAP XUAT'!$J$10:$J$1011))</f>
        <v>0</v>
      </c>
      <c r="Q908" s="146">
        <f t="shared" si="87"/>
        <v>0</v>
      </c>
      <c r="R908" s="169"/>
      <c r="S908" s="169"/>
      <c r="T908" s="146">
        <f t="shared" si="88"/>
        <v>0</v>
      </c>
      <c r="U908" s="121" t="str">
        <f t="shared" si="89"/>
        <v>Close</v>
      </c>
      <c r="V908" s="117"/>
    </row>
    <row r="909" spans="1:22" ht="15" customHeight="1">
      <c r="A909" s="117"/>
      <c r="B909" s="144" t="str">
        <f>IF(D909="","","P"&amp;D909&amp;"MA"&amp;COUNTIF($D$14:D909,D909))</f>
        <v/>
      </c>
      <c r="C909" s="162"/>
      <c r="D909" s="163"/>
      <c r="E909" s="164"/>
      <c r="F909" s="164"/>
      <c r="G909" s="164"/>
      <c r="H909" s="164"/>
      <c r="I909" s="162"/>
      <c r="J909" s="144"/>
      <c r="K909" s="144"/>
      <c r="L909" s="144"/>
      <c r="M909" s="145">
        <f t="shared" si="84"/>
        <v>0</v>
      </c>
      <c r="N909" s="145">
        <f t="shared" si="85"/>
        <v>0</v>
      </c>
      <c r="O909" s="146">
        <f t="shared" si="86"/>
        <v>0</v>
      </c>
      <c r="P909" s="146">
        <f>IF(B909="",0,SUMIF('NHAP XUAT'!$G$10:$J$1011,'Ghi So'!B909,'NHAP XUAT'!$J$10:$J$1011))</f>
        <v>0</v>
      </c>
      <c r="Q909" s="146">
        <f t="shared" si="87"/>
        <v>0</v>
      </c>
      <c r="R909" s="169"/>
      <c r="S909" s="169"/>
      <c r="T909" s="146">
        <f t="shared" si="88"/>
        <v>0</v>
      </c>
      <c r="U909" s="121" t="str">
        <f t="shared" si="89"/>
        <v>Close</v>
      </c>
      <c r="V909" s="117"/>
    </row>
    <row r="910" spans="1:22" ht="15" customHeight="1">
      <c r="A910" s="117"/>
      <c r="B910" s="144" t="str">
        <f>IF(D910="","","P"&amp;D910&amp;"MA"&amp;COUNTIF($D$14:D910,D910))</f>
        <v/>
      </c>
      <c r="C910" s="162"/>
      <c r="D910" s="163"/>
      <c r="E910" s="164"/>
      <c r="F910" s="164"/>
      <c r="G910" s="164"/>
      <c r="H910" s="164"/>
      <c r="I910" s="162"/>
      <c r="J910" s="144"/>
      <c r="K910" s="144"/>
      <c r="L910" s="144"/>
      <c r="M910" s="145">
        <f t="shared" si="84"/>
        <v>0</v>
      </c>
      <c r="N910" s="145">
        <f t="shared" si="85"/>
        <v>0</v>
      </c>
      <c r="O910" s="146">
        <f t="shared" si="86"/>
        <v>0</v>
      </c>
      <c r="P910" s="146">
        <f>IF(B910="",0,SUMIF('NHAP XUAT'!$G$10:$J$1011,'Ghi So'!B910,'NHAP XUAT'!$J$10:$J$1011))</f>
        <v>0</v>
      </c>
      <c r="Q910" s="146">
        <f t="shared" si="87"/>
        <v>0</v>
      </c>
      <c r="R910" s="169"/>
      <c r="S910" s="169"/>
      <c r="T910" s="146">
        <f t="shared" si="88"/>
        <v>0</v>
      </c>
      <c r="U910" s="121" t="str">
        <f t="shared" si="89"/>
        <v>Close</v>
      </c>
      <c r="V910" s="117"/>
    </row>
    <row r="911" spans="1:22" ht="15" customHeight="1">
      <c r="A911" s="117"/>
      <c r="B911" s="144" t="str">
        <f>IF(D911="","","P"&amp;D911&amp;"MA"&amp;COUNTIF($D$14:D911,D911))</f>
        <v/>
      </c>
      <c r="C911" s="162"/>
      <c r="D911" s="163"/>
      <c r="E911" s="164"/>
      <c r="F911" s="164"/>
      <c r="G911" s="164"/>
      <c r="H911" s="164"/>
      <c r="I911" s="162"/>
      <c r="J911" s="144"/>
      <c r="K911" s="144"/>
      <c r="L911" s="144"/>
      <c r="M911" s="145">
        <f t="shared" si="84"/>
        <v>0</v>
      </c>
      <c r="N911" s="145">
        <f t="shared" si="85"/>
        <v>0</v>
      </c>
      <c r="O911" s="146">
        <f t="shared" si="86"/>
        <v>0</v>
      </c>
      <c r="P911" s="146">
        <f>IF(B911="",0,SUMIF('NHAP XUAT'!$G$10:$J$1011,'Ghi So'!B911,'NHAP XUAT'!$J$10:$J$1011))</f>
        <v>0</v>
      </c>
      <c r="Q911" s="146">
        <f t="shared" si="87"/>
        <v>0</v>
      </c>
      <c r="R911" s="169"/>
      <c r="S911" s="169"/>
      <c r="T911" s="146">
        <f t="shared" si="88"/>
        <v>0</v>
      </c>
      <c r="U911" s="121" t="str">
        <f t="shared" si="89"/>
        <v>Close</v>
      </c>
      <c r="V911" s="117"/>
    </row>
    <row r="912" spans="1:22" ht="15" customHeight="1">
      <c r="A912" s="117"/>
      <c r="B912" s="144" t="str">
        <f>IF(D912="","","P"&amp;D912&amp;"MA"&amp;COUNTIF($D$14:D912,D912))</f>
        <v/>
      </c>
      <c r="C912" s="162"/>
      <c r="D912" s="163"/>
      <c r="E912" s="164"/>
      <c r="F912" s="164"/>
      <c r="G912" s="164"/>
      <c r="H912" s="164"/>
      <c r="I912" s="162"/>
      <c r="J912" s="144"/>
      <c r="K912" s="144"/>
      <c r="L912" s="144"/>
      <c r="M912" s="145">
        <f t="shared" si="84"/>
        <v>0</v>
      </c>
      <c r="N912" s="145">
        <f t="shared" si="85"/>
        <v>0</v>
      </c>
      <c r="O912" s="146">
        <f t="shared" si="86"/>
        <v>0</v>
      </c>
      <c r="P912" s="146">
        <f>IF(B912="",0,SUMIF('NHAP XUAT'!$G$10:$J$1011,'Ghi So'!B912,'NHAP XUAT'!$J$10:$J$1011))</f>
        <v>0</v>
      </c>
      <c r="Q912" s="146">
        <f t="shared" si="87"/>
        <v>0</v>
      </c>
      <c r="R912" s="169"/>
      <c r="S912" s="169"/>
      <c r="T912" s="146">
        <f t="shared" si="88"/>
        <v>0</v>
      </c>
      <c r="U912" s="121" t="str">
        <f t="shared" si="89"/>
        <v>Close</v>
      </c>
      <c r="V912" s="117"/>
    </row>
    <row r="913" spans="1:22" ht="15" customHeight="1">
      <c r="A913" s="117"/>
      <c r="B913" s="144" t="str">
        <f>IF(D913="","","P"&amp;D913&amp;"MA"&amp;COUNTIF($D$14:D913,D913))</f>
        <v/>
      </c>
      <c r="C913" s="162"/>
      <c r="D913" s="163"/>
      <c r="E913" s="164"/>
      <c r="F913" s="164"/>
      <c r="G913" s="164"/>
      <c r="H913" s="164"/>
      <c r="I913" s="162"/>
      <c r="J913" s="144"/>
      <c r="K913" s="144"/>
      <c r="L913" s="144"/>
      <c r="M913" s="145">
        <f t="shared" si="84"/>
        <v>0</v>
      </c>
      <c r="N913" s="145">
        <f t="shared" si="85"/>
        <v>0</v>
      </c>
      <c r="O913" s="146">
        <f t="shared" si="86"/>
        <v>0</v>
      </c>
      <c r="P913" s="146">
        <f>IF(B913="",0,SUMIF('NHAP XUAT'!$G$10:$J$1011,'Ghi So'!B913,'NHAP XUAT'!$J$10:$J$1011))</f>
        <v>0</v>
      </c>
      <c r="Q913" s="146">
        <f t="shared" si="87"/>
        <v>0</v>
      </c>
      <c r="R913" s="169"/>
      <c r="S913" s="169"/>
      <c r="T913" s="146">
        <f t="shared" si="88"/>
        <v>0</v>
      </c>
      <c r="U913" s="121" t="str">
        <f t="shared" si="89"/>
        <v>Close</v>
      </c>
      <c r="V913" s="117"/>
    </row>
    <row r="914" spans="1:22" ht="15" customHeight="1">
      <c r="A914" s="117"/>
      <c r="B914" s="144" t="str">
        <f>IF(D914="","","P"&amp;D914&amp;"MA"&amp;COUNTIF($D$14:D914,D914))</f>
        <v/>
      </c>
      <c r="C914" s="162"/>
      <c r="D914" s="163"/>
      <c r="E914" s="164"/>
      <c r="F914" s="164"/>
      <c r="G914" s="164"/>
      <c r="H914" s="164"/>
      <c r="I914" s="162"/>
      <c r="J914" s="144"/>
      <c r="K914" s="144"/>
      <c r="L914" s="144"/>
      <c r="M914" s="145">
        <f t="shared" si="84"/>
        <v>0</v>
      </c>
      <c r="N914" s="145">
        <f t="shared" si="85"/>
        <v>0</v>
      </c>
      <c r="O914" s="146">
        <f t="shared" si="86"/>
        <v>0</v>
      </c>
      <c r="P914" s="146">
        <f>IF(B914="",0,SUMIF('NHAP XUAT'!$G$10:$J$1011,'Ghi So'!B914,'NHAP XUAT'!$J$10:$J$1011))</f>
        <v>0</v>
      </c>
      <c r="Q914" s="146">
        <f t="shared" si="87"/>
        <v>0</v>
      </c>
      <c r="R914" s="169"/>
      <c r="S914" s="169"/>
      <c r="T914" s="146">
        <f t="shared" si="88"/>
        <v>0</v>
      </c>
      <c r="U914" s="121" t="str">
        <f t="shared" si="89"/>
        <v>Close</v>
      </c>
      <c r="V914" s="117"/>
    </row>
    <row r="915" spans="1:22" ht="15" customHeight="1">
      <c r="A915" s="117"/>
      <c r="B915" s="144" t="str">
        <f>IF(D915="","","P"&amp;D915&amp;"MA"&amp;COUNTIF($D$14:D915,D915))</f>
        <v/>
      </c>
      <c r="C915" s="162"/>
      <c r="D915" s="163"/>
      <c r="E915" s="164"/>
      <c r="F915" s="164"/>
      <c r="G915" s="164"/>
      <c r="H915" s="164"/>
      <c r="I915" s="162"/>
      <c r="J915" s="144"/>
      <c r="K915" s="144"/>
      <c r="L915" s="144"/>
      <c r="M915" s="145">
        <f t="shared" si="84"/>
        <v>0</v>
      </c>
      <c r="N915" s="145">
        <f t="shared" si="85"/>
        <v>0</v>
      </c>
      <c r="O915" s="146">
        <f t="shared" si="86"/>
        <v>0</v>
      </c>
      <c r="P915" s="146">
        <f>IF(B915="",0,SUMIF('NHAP XUAT'!$G$10:$J$1011,'Ghi So'!B915,'NHAP XUAT'!$J$10:$J$1011))</f>
        <v>0</v>
      </c>
      <c r="Q915" s="146">
        <f t="shared" si="87"/>
        <v>0</v>
      </c>
      <c r="R915" s="169"/>
      <c r="S915" s="169"/>
      <c r="T915" s="146">
        <f t="shared" si="88"/>
        <v>0</v>
      </c>
      <c r="U915" s="121" t="str">
        <f t="shared" si="89"/>
        <v>Close</v>
      </c>
      <c r="V915" s="117"/>
    </row>
    <row r="916" spans="1:22" ht="15" customHeight="1">
      <c r="A916" s="117"/>
      <c r="B916" s="144" t="str">
        <f>IF(D916="","","P"&amp;D916&amp;"MA"&amp;COUNTIF($D$14:D916,D916))</f>
        <v/>
      </c>
      <c r="C916" s="162"/>
      <c r="D916" s="163"/>
      <c r="E916" s="164"/>
      <c r="F916" s="164"/>
      <c r="G916" s="164"/>
      <c r="H916" s="164"/>
      <c r="I916" s="162"/>
      <c r="J916" s="144"/>
      <c r="K916" s="144"/>
      <c r="L916" s="144"/>
      <c r="M916" s="145">
        <f t="shared" si="84"/>
        <v>0</v>
      </c>
      <c r="N916" s="145">
        <f t="shared" si="85"/>
        <v>0</v>
      </c>
      <c r="O916" s="146">
        <f t="shared" si="86"/>
        <v>0</v>
      </c>
      <c r="P916" s="146">
        <f>IF(B916="",0,SUMIF('NHAP XUAT'!$G$10:$J$1011,'Ghi So'!B916,'NHAP XUAT'!$J$10:$J$1011))</f>
        <v>0</v>
      </c>
      <c r="Q916" s="146">
        <f t="shared" si="87"/>
        <v>0</v>
      </c>
      <c r="R916" s="169"/>
      <c r="S916" s="169"/>
      <c r="T916" s="146">
        <f t="shared" si="88"/>
        <v>0</v>
      </c>
      <c r="U916" s="121" t="str">
        <f t="shared" si="89"/>
        <v>Close</v>
      </c>
      <c r="V916" s="117"/>
    </row>
    <row r="917" spans="1:22" ht="15" customHeight="1">
      <c r="A917" s="117"/>
      <c r="B917" s="144" t="str">
        <f>IF(D917="","","P"&amp;D917&amp;"MA"&amp;COUNTIF($D$14:D917,D917))</f>
        <v/>
      </c>
      <c r="C917" s="162"/>
      <c r="D917" s="163"/>
      <c r="E917" s="164"/>
      <c r="F917" s="164"/>
      <c r="G917" s="164"/>
      <c r="H917" s="164"/>
      <c r="I917" s="162"/>
      <c r="J917" s="144"/>
      <c r="K917" s="144"/>
      <c r="L917" s="144"/>
      <c r="M917" s="145">
        <f t="shared" si="84"/>
        <v>0</v>
      </c>
      <c r="N917" s="145">
        <f t="shared" si="85"/>
        <v>0</v>
      </c>
      <c r="O917" s="146">
        <f t="shared" si="86"/>
        <v>0</v>
      </c>
      <c r="P917" s="146">
        <f>IF(B917="",0,SUMIF('NHAP XUAT'!$G$10:$J$1011,'Ghi So'!B917,'NHAP XUAT'!$J$10:$J$1011))</f>
        <v>0</v>
      </c>
      <c r="Q917" s="146">
        <f t="shared" si="87"/>
        <v>0</v>
      </c>
      <c r="R917" s="169"/>
      <c r="S917" s="169"/>
      <c r="T917" s="146">
        <f t="shared" si="88"/>
        <v>0</v>
      </c>
      <c r="U917" s="121" t="str">
        <f t="shared" si="89"/>
        <v>Close</v>
      </c>
      <c r="V917" s="117"/>
    </row>
    <row r="918" spans="1:22" ht="15" customHeight="1">
      <c r="A918" s="117"/>
      <c r="B918" s="144" t="str">
        <f>IF(D918="","","P"&amp;D918&amp;"MA"&amp;COUNTIF($D$14:D918,D918))</f>
        <v/>
      </c>
      <c r="C918" s="162"/>
      <c r="D918" s="163"/>
      <c r="E918" s="164"/>
      <c r="F918" s="164"/>
      <c r="G918" s="164"/>
      <c r="H918" s="164"/>
      <c r="I918" s="162"/>
      <c r="J918" s="144"/>
      <c r="K918" s="144"/>
      <c r="L918" s="144"/>
      <c r="M918" s="145">
        <f t="shared" si="84"/>
        <v>0</v>
      </c>
      <c r="N918" s="145">
        <f t="shared" si="85"/>
        <v>0</v>
      </c>
      <c r="O918" s="146">
        <f t="shared" si="86"/>
        <v>0</v>
      </c>
      <c r="P918" s="146">
        <f>IF(B918="",0,SUMIF('NHAP XUAT'!$G$10:$J$1011,'Ghi So'!B918,'NHAP XUAT'!$J$10:$J$1011))</f>
        <v>0</v>
      </c>
      <c r="Q918" s="146">
        <f t="shared" si="87"/>
        <v>0</v>
      </c>
      <c r="R918" s="169"/>
      <c r="S918" s="169"/>
      <c r="T918" s="146">
        <f t="shared" si="88"/>
        <v>0</v>
      </c>
      <c r="U918" s="121" t="str">
        <f t="shared" si="89"/>
        <v>Close</v>
      </c>
      <c r="V918" s="117"/>
    </row>
    <row r="919" spans="1:22" ht="15" customHeight="1">
      <c r="A919" s="117"/>
      <c r="B919" s="144" t="str">
        <f>IF(D919="","","P"&amp;D919&amp;"MA"&amp;COUNTIF($D$14:D919,D919))</f>
        <v/>
      </c>
      <c r="C919" s="162"/>
      <c r="D919" s="163"/>
      <c r="E919" s="164"/>
      <c r="F919" s="164"/>
      <c r="G919" s="164"/>
      <c r="H919" s="164"/>
      <c r="I919" s="162"/>
      <c r="J919" s="144"/>
      <c r="K919" s="144"/>
      <c r="L919" s="144"/>
      <c r="M919" s="145">
        <f t="shared" si="84"/>
        <v>0</v>
      </c>
      <c r="N919" s="145">
        <f t="shared" si="85"/>
        <v>0</v>
      </c>
      <c r="O919" s="146">
        <f t="shared" si="86"/>
        <v>0</v>
      </c>
      <c r="P919" s="146">
        <f>IF(B919="",0,SUMIF('NHAP XUAT'!$G$10:$J$1011,'Ghi So'!B919,'NHAP XUAT'!$J$10:$J$1011))</f>
        <v>0</v>
      </c>
      <c r="Q919" s="146">
        <f t="shared" si="87"/>
        <v>0</v>
      </c>
      <c r="R919" s="169"/>
      <c r="S919" s="169"/>
      <c r="T919" s="146">
        <f t="shared" si="88"/>
        <v>0</v>
      </c>
      <c r="U919" s="121" t="str">
        <f t="shared" si="89"/>
        <v>Close</v>
      </c>
      <c r="V919" s="117"/>
    </row>
    <row r="920" spans="1:22" ht="15" customHeight="1">
      <c r="A920" s="117"/>
      <c r="B920" s="144" t="str">
        <f>IF(D920="","","P"&amp;D920&amp;"MA"&amp;COUNTIF($D$14:D920,D920))</f>
        <v/>
      </c>
      <c r="C920" s="162"/>
      <c r="D920" s="163"/>
      <c r="E920" s="164"/>
      <c r="F920" s="164"/>
      <c r="G920" s="164"/>
      <c r="H920" s="164"/>
      <c r="I920" s="162"/>
      <c r="J920" s="144"/>
      <c r="K920" s="144"/>
      <c r="L920" s="144"/>
      <c r="M920" s="145">
        <f t="shared" si="84"/>
        <v>0</v>
      </c>
      <c r="N920" s="145">
        <f t="shared" si="85"/>
        <v>0</v>
      </c>
      <c r="O920" s="146">
        <f t="shared" si="86"/>
        <v>0</v>
      </c>
      <c r="P920" s="146">
        <f>IF(B920="",0,SUMIF('NHAP XUAT'!$G$10:$J$1011,'Ghi So'!B920,'NHAP XUAT'!$J$10:$J$1011))</f>
        <v>0</v>
      </c>
      <c r="Q920" s="146">
        <f t="shared" si="87"/>
        <v>0</v>
      </c>
      <c r="R920" s="169"/>
      <c r="S920" s="169"/>
      <c r="T920" s="146">
        <f t="shared" si="88"/>
        <v>0</v>
      </c>
      <c r="U920" s="121" t="str">
        <f t="shared" si="89"/>
        <v>Close</v>
      </c>
      <c r="V920" s="117"/>
    </row>
    <row r="921" spans="1:22" ht="15" customHeight="1">
      <c r="A921" s="117"/>
      <c r="B921" s="144" t="str">
        <f>IF(D921="","","P"&amp;D921&amp;"MA"&amp;COUNTIF($D$14:D921,D921))</f>
        <v/>
      </c>
      <c r="C921" s="162"/>
      <c r="D921" s="163"/>
      <c r="E921" s="164"/>
      <c r="F921" s="164"/>
      <c r="G921" s="164"/>
      <c r="H921" s="164"/>
      <c r="I921" s="162"/>
      <c r="J921" s="144"/>
      <c r="K921" s="144"/>
      <c r="L921" s="144"/>
      <c r="M921" s="145">
        <f t="shared" si="84"/>
        <v>0</v>
      </c>
      <c r="N921" s="145">
        <f t="shared" si="85"/>
        <v>0</v>
      </c>
      <c r="O921" s="146">
        <f t="shared" si="86"/>
        <v>0</v>
      </c>
      <c r="P921" s="146">
        <f>IF(B921="",0,SUMIF('NHAP XUAT'!$G$10:$J$1011,'Ghi So'!B921,'NHAP XUAT'!$J$10:$J$1011))</f>
        <v>0</v>
      </c>
      <c r="Q921" s="146">
        <f t="shared" si="87"/>
        <v>0</v>
      </c>
      <c r="R921" s="169"/>
      <c r="S921" s="169"/>
      <c r="T921" s="146">
        <f t="shared" si="88"/>
        <v>0</v>
      </c>
      <c r="U921" s="121" t="str">
        <f t="shared" si="89"/>
        <v>Close</v>
      </c>
      <c r="V921" s="117"/>
    </row>
    <row r="922" spans="1:22" ht="15" customHeight="1">
      <c r="A922" s="117"/>
      <c r="B922" s="144" t="str">
        <f>IF(D922="","","P"&amp;D922&amp;"MA"&amp;COUNTIF($D$14:D922,D922))</f>
        <v/>
      </c>
      <c r="C922" s="162"/>
      <c r="D922" s="163"/>
      <c r="E922" s="164"/>
      <c r="F922" s="164"/>
      <c r="G922" s="164"/>
      <c r="H922" s="164"/>
      <c r="I922" s="162"/>
      <c r="J922" s="144"/>
      <c r="K922" s="144"/>
      <c r="L922" s="144"/>
      <c r="M922" s="145">
        <f t="shared" si="84"/>
        <v>0</v>
      </c>
      <c r="N922" s="145">
        <f t="shared" si="85"/>
        <v>0</v>
      </c>
      <c r="O922" s="146">
        <f t="shared" si="86"/>
        <v>0</v>
      </c>
      <c r="P922" s="146">
        <f>IF(B922="",0,SUMIF('NHAP XUAT'!$G$10:$J$1011,'Ghi So'!B922,'NHAP XUAT'!$J$10:$J$1011))</f>
        <v>0</v>
      </c>
      <c r="Q922" s="146">
        <f t="shared" si="87"/>
        <v>0</v>
      </c>
      <c r="R922" s="169"/>
      <c r="S922" s="169"/>
      <c r="T922" s="146">
        <f t="shared" si="88"/>
        <v>0</v>
      </c>
      <c r="U922" s="121" t="str">
        <f t="shared" si="89"/>
        <v>Close</v>
      </c>
      <c r="V922" s="117"/>
    </row>
    <row r="923" spans="1:22" ht="15" customHeight="1">
      <c r="A923" s="117"/>
      <c r="B923" s="144" t="str">
        <f>IF(D923="","","P"&amp;D923&amp;"MA"&amp;COUNTIF($D$14:D923,D923))</f>
        <v/>
      </c>
      <c r="C923" s="162"/>
      <c r="D923" s="163"/>
      <c r="E923" s="164"/>
      <c r="F923" s="164"/>
      <c r="G923" s="164"/>
      <c r="H923" s="164"/>
      <c r="I923" s="162"/>
      <c r="J923" s="144"/>
      <c r="K923" s="144"/>
      <c r="L923" s="144"/>
      <c r="M923" s="145">
        <f t="shared" si="84"/>
        <v>0</v>
      </c>
      <c r="N923" s="145">
        <f t="shared" si="85"/>
        <v>0</v>
      </c>
      <c r="O923" s="146">
        <f t="shared" si="86"/>
        <v>0</v>
      </c>
      <c r="P923" s="146">
        <f>IF(B923="",0,SUMIF('NHAP XUAT'!$G$10:$J$1011,'Ghi So'!B923,'NHAP XUAT'!$J$10:$J$1011))</f>
        <v>0</v>
      </c>
      <c r="Q923" s="146">
        <f t="shared" si="87"/>
        <v>0</v>
      </c>
      <c r="R923" s="169"/>
      <c r="S923" s="169"/>
      <c r="T923" s="146">
        <f t="shared" si="88"/>
        <v>0</v>
      </c>
      <c r="U923" s="121" t="str">
        <f t="shared" si="89"/>
        <v>Close</v>
      </c>
      <c r="V923" s="117"/>
    </row>
    <row r="924" spans="1:22" ht="15" customHeight="1">
      <c r="A924" s="117"/>
      <c r="B924" s="144" t="str">
        <f>IF(D924="","","P"&amp;D924&amp;"MA"&amp;COUNTIF($D$14:D924,D924))</f>
        <v/>
      </c>
      <c r="C924" s="162"/>
      <c r="D924" s="163"/>
      <c r="E924" s="164"/>
      <c r="F924" s="164"/>
      <c r="G924" s="164"/>
      <c r="H924" s="164"/>
      <c r="I924" s="162"/>
      <c r="J924" s="144"/>
      <c r="K924" s="144"/>
      <c r="L924" s="144"/>
      <c r="M924" s="145">
        <f t="shared" si="84"/>
        <v>0</v>
      </c>
      <c r="N924" s="145">
        <f t="shared" si="85"/>
        <v>0</v>
      </c>
      <c r="O924" s="146">
        <f t="shared" si="86"/>
        <v>0</v>
      </c>
      <c r="P924" s="146">
        <f>IF(B924="",0,SUMIF('NHAP XUAT'!$G$10:$J$1011,'Ghi So'!B924,'NHAP XUAT'!$J$10:$J$1011))</f>
        <v>0</v>
      </c>
      <c r="Q924" s="146">
        <f t="shared" si="87"/>
        <v>0</v>
      </c>
      <c r="R924" s="169"/>
      <c r="S924" s="169"/>
      <c r="T924" s="146">
        <f t="shared" si="88"/>
        <v>0</v>
      </c>
      <c r="U924" s="121" t="str">
        <f t="shared" si="89"/>
        <v>Close</v>
      </c>
      <c r="V924" s="117"/>
    </row>
    <row r="925" spans="1:22" ht="15" customHeight="1">
      <c r="A925" s="117"/>
      <c r="B925" s="144" t="str">
        <f>IF(D925="","","P"&amp;D925&amp;"MA"&amp;COUNTIF($D$14:D925,D925))</f>
        <v/>
      </c>
      <c r="C925" s="162"/>
      <c r="D925" s="163"/>
      <c r="E925" s="164"/>
      <c r="F925" s="164"/>
      <c r="G925" s="164"/>
      <c r="H925" s="164"/>
      <c r="I925" s="162"/>
      <c r="J925" s="144"/>
      <c r="K925" s="144"/>
      <c r="L925" s="144"/>
      <c r="M925" s="145">
        <f t="shared" ref="M925:M988" si="90">(IF(I925&lt;&gt;"",(I925-C925)*24*60,0)+G925*60+H925-E925*60-F925)/60</f>
        <v>0</v>
      </c>
      <c r="N925" s="145">
        <f t="shared" ref="N925:N988" si="91">INT(M925)+IF(MOD(M925,2)&gt;0.25,1,0)</f>
        <v>0</v>
      </c>
      <c r="O925" s="146">
        <f t="shared" ref="O925:O988" si="92">IF(J925&lt;&gt;"",DG_nghigio+DG_themgio*(N925-1),IF(K925&lt;&gt;"",DG_quadem+DG_themgio*(N925-12),DG_ngay*L925))</f>
        <v>0</v>
      </c>
      <c r="P925" s="146">
        <f>IF(B925="",0,SUMIF('NHAP XUAT'!$G$10:$J$1011,'Ghi So'!B925,'NHAP XUAT'!$J$10:$J$1011))</f>
        <v>0</v>
      </c>
      <c r="Q925" s="146">
        <f t="shared" ref="Q925:Q988" si="93">O925+P925</f>
        <v>0</v>
      </c>
      <c r="R925" s="169"/>
      <c r="S925" s="169"/>
      <c r="T925" s="146">
        <f t="shared" ref="T925:T988" si="94">R925*S925</f>
        <v>0</v>
      </c>
      <c r="U925" s="121" t="str">
        <f t="shared" ref="U925:U988" si="95">D925&amp;IF(AND(G925="",H925="",I925=""),"Close","Open")</f>
        <v>Close</v>
      </c>
      <c r="V925" s="117"/>
    </row>
    <row r="926" spans="1:22" ht="15" customHeight="1">
      <c r="A926" s="117"/>
      <c r="B926" s="144" t="str">
        <f>IF(D926="","","P"&amp;D926&amp;"MA"&amp;COUNTIF($D$14:D926,D926))</f>
        <v/>
      </c>
      <c r="C926" s="162"/>
      <c r="D926" s="163"/>
      <c r="E926" s="164"/>
      <c r="F926" s="164"/>
      <c r="G926" s="164"/>
      <c r="H926" s="164"/>
      <c r="I926" s="162"/>
      <c r="J926" s="144"/>
      <c r="K926" s="144"/>
      <c r="L926" s="144"/>
      <c r="M926" s="145">
        <f t="shared" si="90"/>
        <v>0</v>
      </c>
      <c r="N926" s="145">
        <f t="shared" si="91"/>
        <v>0</v>
      </c>
      <c r="O926" s="146">
        <f t="shared" si="92"/>
        <v>0</v>
      </c>
      <c r="P926" s="146">
        <f>IF(B926="",0,SUMIF('NHAP XUAT'!$G$10:$J$1011,'Ghi So'!B926,'NHAP XUAT'!$J$10:$J$1011))</f>
        <v>0</v>
      </c>
      <c r="Q926" s="146">
        <f t="shared" si="93"/>
        <v>0</v>
      </c>
      <c r="R926" s="169"/>
      <c r="S926" s="169"/>
      <c r="T926" s="146">
        <f t="shared" si="94"/>
        <v>0</v>
      </c>
      <c r="U926" s="121" t="str">
        <f t="shared" si="95"/>
        <v>Close</v>
      </c>
      <c r="V926" s="117"/>
    </row>
    <row r="927" spans="1:22" ht="15" customHeight="1">
      <c r="A927" s="117"/>
      <c r="B927" s="144" t="str">
        <f>IF(D927="","","P"&amp;D927&amp;"MA"&amp;COUNTIF($D$14:D927,D927))</f>
        <v/>
      </c>
      <c r="C927" s="162"/>
      <c r="D927" s="163"/>
      <c r="E927" s="164"/>
      <c r="F927" s="164"/>
      <c r="G927" s="164"/>
      <c r="H927" s="164"/>
      <c r="I927" s="162"/>
      <c r="J927" s="144"/>
      <c r="K927" s="144"/>
      <c r="L927" s="144"/>
      <c r="M927" s="145">
        <f t="shared" si="90"/>
        <v>0</v>
      </c>
      <c r="N927" s="145">
        <f t="shared" si="91"/>
        <v>0</v>
      </c>
      <c r="O927" s="146">
        <f t="shared" si="92"/>
        <v>0</v>
      </c>
      <c r="P927" s="146">
        <f>IF(B927="",0,SUMIF('NHAP XUAT'!$G$10:$J$1011,'Ghi So'!B927,'NHAP XUAT'!$J$10:$J$1011))</f>
        <v>0</v>
      </c>
      <c r="Q927" s="146">
        <f t="shared" si="93"/>
        <v>0</v>
      </c>
      <c r="R927" s="169"/>
      <c r="S927" s="169"/>
      <c r="T927" s="146">
        <f t="shared" si="94"/>
        <v>0</v>
      </c>
      <c r="U927" s="121" t="str">
        <f t="shared" si="95"/>
        <v>Close</v>
      </c>
      <c r="V927" s="117"/>
    </row>
    <row r="928" spans="1:22" ht="15" customHeight="1">
      <c r="A928" s="117"/>
      <c r="B928" s="144" t="str">
        <f>IF(D928="","","P"&amp;D928&amp;"MA"&amp;COUNTIF($D$14:D928,D928))</f>
        <v/>
      </c>
      <c r="C928" s="162"/>
      <c r="D928" s="163"/>
      <c r="E928" s="164"/>
      <c r="F928" s="164"/>
      <c r="G928" s="164"/>
      <c r="H928" s="164"/>
      <c r="I928" s="162"/>
      <c r="J928" s="144"/>
      <c r="K928" s="144"/>
      <c r="L928" s="144"/>
      <c r="M928" s="145">
        <f t="shared" si="90"/>
        <v>0</v>
      </c>
      <c r="N928" s="145">
        <f t="shared" si="91"/>
        <v>0</v>
      </c>
      <c r="O928" s="146">
        <f t="shared" si="92"/>
        <v>0</v>
      </c>
      <c r="P928" s="146">
        <f>IF(B928="",0,SUMIF('NHAP XUAT'!$G$10:$J$1011,'Ghi So'!B928,'NHAP XUAT'!$J$10:$J$1011))</f>
        <v>0</v>
      </c>
      <c r="Q928" s="146">
        <f t="shared" si="93"/>
        <v>0</v>
      </c>
      <c r="R928" s="169"/>
      <c r="S928" s="169"/>
      <c r="T928" s="146">
        <f t="shared" si="94"/>
        <v>0</v>
      </c>
      <c r="U928" s="121" t="str">
        <f t="shared" si="95"/>
        <v>Close</v>
      </c>
      <c r="V928" s="117"/>
    </row>
    <row r="929" spans="1:22" ht="15" customHeight="1">
      <c r="A929" s="117"/>
      <c r="B929" s="144" t="str">
        <f>IF(D929="","","P"&amp;D929&amp;"MA"&amp;COUNTIF($D$14:D929,D929))</f>
        <v/>
      </c>
      <c r="C929" s="162"/>
      <c r="D929" s="163"/>
      <c r="E929" s="164"/>
      <c r="F929" s="164"/>
      <c r="G929" s="164"/>
      <c r="H929" s="164"/>
      <c r="I929" s="162"/>
      <c r="J929" s="144"/>
      <c r="K929" s="144"/>
      <c r="L929" s="144"/>
      <c r="M929" s="145">
        <f t="shared" si="90"/>
        <v>0</v>
      </c>
      <c r="N929" s="145">
        <f t="shared" si="91"/>
        <v>0</v>
      </c>
      <c r="O929" s="146">
        <f t="shared" si="92"/>
        <v>0</v>
      </c>
      <c r="P929" s="146">
        <f>IF(B929="",0,SUMIF('NHAP XUAT'!$G$10:$J$1011,'Ghi So'!B929,'NHAP XUAT'!$J$10:$J$1011))</f>
        <v>0</v>
      </c>
      <c r="Q929" s="146">
        <f t="shared" si="93"/>
        <v>0</v>
      </c>
      <c r="R929" s="169"/>
      <c r="S929" s="169"/>
      <c r="T929" s="146">
        <f t="shared" si="94"/>
        <v>0</v>
      </c>
      <c r="U929" s="121" t="str">
        <f t="shared" si="95"/>
        <v>Close</v>
      </c>
      <c r="V929" s="117"/>
    </row>
    <row r="930" spans="1:22" ht="15" customHeight="1">
      <c r="A930" s="117"/>
      <c r="B930" s="144" t="str">
        <f>IF(D930="","","P"&amp;D930&amp;"MA"&amp;COUNTIF($D$14:D930,D930))</f>
        <v/>
      </c>
      <c r="C930" s="162"/>
      <c r="D930" s="163"/>
      <c r="E930" s="164"/>
      <c r="F930" s="164"/>
      <c r="G930" s="164"/>
      <c r="H930" s="164"/>
      <c r="I930" s="162"/>
      <c r="J930" s="144"/>
      <c r="K930" s="144"/>
      <c r="L930" s="144"/>
      <c r="M930" s="145">
        <f t="shared" si="90"/>
        <v>0</v>
      </c>
      <c r="N930" s="145">
        <f t="shared" si="91"/>
        <v>0</v>
      </c>
      <c r="O930" s="146">
        <f t="shared" si="92"/>
        <v>0</v>
      </c>
      <c r="P930" s="146">
        <f>IF(B930="",0,SUMIF('NHAP XUAT'!$G$10:$J$1011,'Ghi So'!B930,'NHAP XUAT'!$J$10:$J$1011))</f>
        <v>0</v>
      </c>
      <c r="Q930" s="146">
        <f t="shared" si="93"/>
        <v>0</v>
      </c>
      <c r="R930" s="169"/>
      <c r="S930" s="169"/>
      <c r="T930" s="146">
        <f t="shared" si="94"/>
        <v>0</v>
      </c>
      <c r="U930" s="121" t="str">
        <f t="shared" si="95"/>
        <v>Close</v>
      </c>
      <c r="V930" s="117"/>
    </row>
    <row r="931" spans="1:22" ht="15" customHeight="1">
      <c r="A931" s="117"/>
      <c r="B931" s="144" t="str">
        <f>IF(D931="","","P"&amp;D931&amp;"MA"&amp;COUNTIF($D$14:D931,D931))</f>
        <v/>
      </c>
      <c r="C931" s="162"/>
      <c r="D931" s="163"/>
      <c r="E931" s="164"/>
      <c r="F931" s="164"/>
      <c r="G931" s="164"/>
      <c r="H931" s="164"/>
      <c r="I931" s="162"/>
      <c r="J931" s="144"/>
      <c r="K931" s="144"/>
      <c r="L931" s="144"/>
      <c r="M931" s="145">
        <f t="shared" si="90"/>
        <v>0</v>
      </c>
      <c r="N931" s="145">
        <f t="shared" si="91"/>
        <v>0</v>
      </c>
      <c r="O931" s="146">
        <f t="shared" si="92"/>
        <v>0</v>
      </c>
      <c r="P931" s="146">
        <f>IF(B931="",0,SUMIF('NHAP XUAT'!$G$10:$J$1011,'Ghi So'!B931,'NHAP XUAT'!$J$10:$J$1011))</f>
        <v>0</v>
      </c>
      <c r="Q931" s="146">
        <f t="shared" si="93"/>
        <v>0</v>
      </c>
      <c r="R931" s="169"/>
      <c r="S931" s="169"/>
      <c r="T931" s="146">
        <f t="shared" si="94"/>
        <v>0</v>
      </c>
      <c r="U931" s="121" t="str">
        <f t="shared" si="95"/>
        <v>Close</v>
      </c>
      <c r="V931" s="117"/>
    </row>
    <row r="932" spans="1:22" ht="15" customHeight="1">
      <c r="A932" s="117"/>
      <c r="B932" s="144" t="str">
        <f>IF(D932="","","P"&amp;D932&amp;"MA"&amp;COUNTIF($D$14:D932,D932))</f>
        <v/>
      </c>
      <c r="C932" s="162"/>
      <c r="D932" s="163"/>
      <c r="E932" s="164"/>
      <c r="F932" s="164"/>
      <c r="G932" s="164"/>
      <c r="H932" s="164"/>
      <c r="I932" s="162"/>
      <c r="J932" s="144"/>
      <c r="K932" s="144"/>
      <c r="L932" s="144"/>
      <c r="M932" s="145">
        <f t="shared" si="90"/>
        <v>0</v>
      </c>
      <c r="N932" s="145">
        <f t="shared" si="91"/>
        <v>0</v>
      </c>
      <c r="O932" s="146">
        <f t="shared" si="92"/>
        <v>0</v>
      </c>
      <c r="P932" s="146">
        <f>IF(B932="",0,SUMIF('NHAP XUAT'!$G$10:$J$1011,'Ghi So'!B932,'NHAP XUAT'!$J$10:$J$1011))</f>
        <v>0</v>
      </c>
      <c r="Q932" s="146">
        <f t="shared" si="93"/>
        <v>0</v>
      </c>
      <c r="R932" s="169"/>
      <c r="S932" s="169"/>
      <c r="T932" s="146">
        <f t="shared" si="94"/>
        <v>0</v>
      </c>
      <c r="U932" s="121" t="str">
        <f t="shared" si="95"/>
        <v>Close</v>
      </c>
      <c r="V932" s="117"/>
    </row>
    <row r="933" spans="1:22" ht="15" customHeight="1">
      <c r="A933" s="117"/>
      <c r="B933" s="144" t="str">
        <f>IF(D933="","","P"&amp;D933&amp;"MA"&amp;COUNTIF($D$14:D933,D933))</f>
        <v/>
      </c>
      <c r="C933" s="162"/>
      <c r="D933" s="163"/>
      <c r="E933" s="164"/>
      <c r="F933" s="164"/>
      <c r="G933" s="164"/>
      <c r="H933" s="164"/>
      <c r="I933" s="162"/>
      <c r="J933" s="144"/>
      <c r="K933" s="144"/>
      <c r="L933" s="144"/>
      <c r="M933" s="145">
        <f t="shared" si="90"/>
        <v>0</v>
      </c>
      <c r="N933" s="145">
        <f t="shared" si="91"/>
        <v>0</v>
      </c>
      <c r="O933" s="146">
        <f t="shared" si="92"/>
        <v>0</v>
      </c>
      <c r="P933" s="146">
        <f>IF(B933="",0,SUMIF('NHAP XUAT'!$G$10:$J$1011,'Ghi So'!B933,'NHAP XUAT'!$J$10:$J$1011))</f>
        <v>0</v>
      </c>
      <c r="Q933" s="146">
        <f t="shared" si="93"/>
        <v>0</v>
      </c>
      <c r="R933" s="169"/>
      <c r="S933" s="169"/>
      <c r="T933" s="146">
        <f t="shared" si="94"/>
        <v>0</v>
      </c>
      <c r="U933" s="121" t="str">
        <f t="shared" si="95"/>
        <v>Close</v>
      </c>
      <c r="V933" s="117"/>
    </row>
    <row r="934" spans="1:22" ht="15" customHeight="1">
      <c r="A934" s="117"/>
      <c r="B934" s="144" t="str">
        <f>IF(D934="","","P"&amp;D934&amp;"MA"&amp;COUNTIF($D$14:D934,D934))</f>
        <v/>
      </c>
      <c r="C934" s="162"/>
      <c r="D934" s="163"/>
      <c r="E934" s="164"/>
      <c r="F934" s="164"/>
      <c r="G934" s="164"/>
      <c r="H934" s="164"/>
      <c r="I934" s="162"/>
      <c r="J934" s="144"/>
      <c r="K934" s="144"/>
      <c r="L934" s="144"/>
      <c r="M934" s="145">
        <f t="shared" si="90"/>
        <v>0</v>
      </c>
      <c r="N934" s="145">
        <f t="shared" si="91"/>
        <v>0</v>
      </c>
      <c r="O934" s="146">
        <f t="shared" si="92"/>
        <v>0</v>
      </c>
      <c r="P934" s="146">
        <f>IF(B934="",0,SUMIF('NHAP XUAT'!$G$10:$J$1011,'Ghi So'!B934,'NHAP XUAT'!$J$10:$J$1011))</f>
        <v>0</v>
      </c>
      <c r="Q934" s="146">
        <f t="shared" si="93"/>
        <v>0</v>
      </c>
      <c r="R934" s="169"/>
      <c r="S934" s="169"/>
      <c r="T934" s="146">
        <f t="shared" si="94"/>
        <v>0</v>
      </c>
      <c r="U934" s="121" t="str">
        <f t="shared" si="95"/>
        <v>Close</v>
      </c>
      <c r="V934" s="117"/>
    </row>
    <row r="935" spans="1:22" ht="15" customHeight="1">
      <c r="A935" s="117"/>
      <c r="B935" s="144" t="str">
        <f>IF(D935="","","P"&amp;D935&amp;"MA"&amp;COUNTIF($D$14:D935,D935))</f>
        <v/>
      </c>
      <c r="C935" s="162"/>
      <c r="D935" s="163"/>
      <c r="E935" s="164"/>
      <c r="F935" s="164"/>
      <c r="G935" s="164"/>
      <c r="H935" s="164"/>
      <c r="I935" s="162"/>
      <c r="J935" s="144"/>
      <c r="K935" s="144"/>
      <c r="L935" s="144"/>
      <c r="M935" s="145">
        <f t="shared" si="90"/>
        <v>0</v>
      </c>
      <c r="N935" s="145">
        <f t="shared" si="91"/>
        <v>0</v>
      </c>
      <c r="O935" s="146">
        <f t="shared" si="92"/>
        <v>0</v>
      </c>
      <c r="P935" s="146">
        <f>IF(B935="",0,SUMIF('NHAP XUAT'!$G$10:$J$1011,'Ghi So'!B935,'NHAP XUAT'!$J$10:$J$1011))</f>
        <v>0</v>
      </c>
      <c r="Q935" s="146">
        <f t="shared" si="93"/>
        <v>0</v>
      </c>
      <c r="R935" s="169"/>
      <c r="S935" s="169"/>
      <c r="T935" s="146">
        <f t="shared" si="94"/>
        <v>0</v>
      </c>
      <c r="U935" s="121" t="str">
        <f t="shared" si="95"/>
        <v>Close</v>
      </c>
      <c r="V935" s="117"/>
    </row>
    <row r="936" spans="1:22" ht="15" customHeight="1">
      <c r="A936" s="117"/>
      <c r="B936" s="144" t="str">
        <f>IF(D936="","","P"&amp;D936&amp;"MA"&amp;COUNTIF($D$14:D936,D936))</f>
        <v/>
      </c>
      <c r="C936" s="162"/>
      <c r="D936" s="163"/>
      <c r="E936" s="164"/>
      <c r="F936" s="164"/>
      <c r="G936" s="164"/>
      <c r="H936" s="164"/>
      <c r="I936" s="162"/>
      <c r="J936" s="144"/>
      <c r="K936" s="144"/>
      <c r="L936" s="144"/>
      <c r="M936" s="145">
        <f t="shared" si="90"/>
        <v>0</v>
      </c>
      <c r="N936" s="145">
        <f t="shared" si="91"/>
        <v>0</v>
      </c>
      <c r="O936" s="146">
        <f t="shared" si="92"/>
        <v>0</v>
      </c>
      <c r="P936" s="146">
        <f>IF(B936="",0,SUMIF('NHAP XUAT'!$G$10:$J$1011,'Ghi So'!B936,'NHAP XUAT'!$J$10:$J$1011))</f>
        <v>0</v>
      </c>
      <c r="Q936" s="146">
        <f t="shared" si="93"/>
        <v>0</v>
      </c>
      <c r="R936" s="169"/>
      <c r="S936" s="169"/>
      <c r="T936" s="146">
        <f t="shared" si="94"/>
        <v>0</v>
      </c>
      <c r="U936" s="121" t="str">
        <f t="shared" si="95"/>
        <v>Close</v>
      </c>
      <c r="V936" s="117"/>
    </row>
    <row r="937" spans="1:22" ht="15" customHeight="1">
      <c r="A937" s="117"/>
      <c r="B937" s="144" t="str">
        <f>IF(D937="","","P"&amp;D937&amp;"MA"&amp;COUNTIF($D$14:D937,D937))</f>
        <v/>
      </c>
      <c r="C937" s="162"/>
      <c r="D937" s="163"/>
      <c r="E937" s="164"/>
      <c r="F937" s="164"/>
      <c r="G937" s="164"/>
      <c r="H937" s="164"/>
      <c r="I937" s="162"/>
      <c r="J937" s="144"/>
      <c r="K937" s="144"/>
      <c r="L937" s="144"/>
      <c r="M937" s="145">
        <f t="shared" si="90"/>
        <v>0</v>
      </c>
      <c r="N937" s="145">
        <f t="shared" si="91"/>
        <v>0</v>
      </c>
      <c r="O937" s="146">
        <f t="shared" si="92"/>
        <v>0</v>
      </c>
      <c r="P937" s="146">
        <f>IF(B937="",0,SUMIF('NHAP XUAT'!$G$10:$J$1011,'Ghi So'!B937,'NHAP XUAT'!$J$10:$J$1011))</f>
        <v>0</v>
      </c>
      <c r="Q937" s="146">
        <f t="shared" si="93"/>
        <v>0</v>
      </c>
      <c r="R937" s="169"/>
      <c r="S937" s="169"/>
      <c r="T937" s="146">
        <f t="shared" si="94"/>
        <v>0</v>
      </c>
      <c r="U937" s="121" t="str">
        <f t="shared" si="95"/>
        <v>Close</v>
      </c>
      <c r="V937" s="117"/>
    </row>
    <row r="938" spans="1:22" ht="15" customHeight="1">
      <c r="A938" s="117"/>
      <c r="B938" s="144" t="str">
        <f>IF(D938="","","P"&amp;D938&amp;"MA"&amp;COUNTIF($D$14:D938,D938))</f>
        <v/>
      </c>
      <c r="C938" s="162"/>
      <c r="D938" s="163"/>
      <c r="E938" s="164"/>
      <c r="F938" s="164"/>
      <c r="G938" s="164"/>
      <c r="H938" s="164"/>
      <c r="I938" s="162"/>
      <c r="J938" s="144"/>
      <c r="K938" s="144"/>
      <c r="L938" s="144"/>
      <c r="M938" s="145">
        <f t="shared" si="90"/>
        <v>0</v>
      </c>
      <c r="N938" s="145">
        <f t="shared" si="91"/>
        <v>0</v>
      </c>
      <c r="O938" s="146">
        <f t="shared" si="92"/>
        <v>0</v>
      </c>
      <c r="P938" s="146">
        <f>IF(B938="",0,SUMIF('NHAP XUAT'!$G$10:$J$1011,'Ghi So'!B938,'NHAP XUAT'!$J$10:$J$1011))</f>
        <v>0</v>
      </c>
      <c r="Q938" s="146">
        <f t="shared" si="93"/>
        <v>0</v>
      </c>
      <c r="R938" s="169"/>
      <c r="S938" s="169"/>
      <c r="T938" s="146">
        <f t="shared" si="94"/>
        <v>0</v>
      </c>
      <c r="U938" s="121" t="str">
        <f t="shared" si="95"/>
        <v>Close</v>
      </c>
      <c r="V938" s="117"/>
    </row>
    <row r="939" spans="1:22" ht="15" customHeight="1">
      <c r="A939" s="117"/>
      <c r="B939" s="144" t="str">
        <f>IF(D939="","","P"&amp;D939&amp;"MA"&amp;COUNTIF($D$14:D939,D939))</f>
        <v/>
      </c>
      <c r="C939" s="162"/>
      <c r="D939" s="163"/>
      <c r="E939" s="164"/>
      <c r="F939" s="164"/>
      <c r="G939" s="164"/>
      <c r="H939" s="164"/>
      <c r="I939" s="162"/>
      <c r="J939" s="144"/>
      <c r="K939" s="144"/>
      <c r="L939" s="144"/>
      <c r="M939" s="145">
        <f t="shared" si="90"/>
        <v>0</v>
      </c>
      <c r="N939" s="145">
        <f t="shared" si="91"/>
        <v>0</v>
      </c>
      <c r="O939" s="146">
        <f t="shared" si="92"/>
        <v>0</v>
      </c>
      <c r="P939" s="146">
        <f>IF(B939="",0,SUMIF('NHAP XUAT'!$G$10:$J$1011,'Ghi So'!B939,'NHAP XUAT'!$J$10:$J$1011))</f>
        <v>0</v>
      </c>
      <c r="Q939" s="146">
        <f t="shared" si="93"/>
        <v>0</v>
      </c>
      <c r="R939" s="169"/>
      <c r="S939" s="169"/>
      <c r="T939" s="146">
        <f t="shared" si="94"/>
        <v>0</v>
      </c>
      <c r="U939" s="121" t="str">
        <f t="shared" si="95"/>
        <v>Close</v>
      </c>
      <c r="V939" s="117"/>
    </row>
    <row r="940" spans="1:22" ht="15" customHeight="1">
      <c r="A940" s="117"/>
      <c r="B940" s="144" t="str">
        <f>IF(D940="","","P"&amp;D940&amp;"MA"&amp;COUNTIF($D$14:D940,D940))</f>
        <v/>
      </c>
      <c r="C940" s="162"/>
      <c r="D940" s="163"/>
      <c r="E940" s="164"/>
      <c r="F940" s="164"/>
      <c r="G940" s="164"/>
      <c r="H940" s="164"/>
      <c r="I940" s="162"/>
      <c r="J940" s="144"/>
      <c r="K940" s="144"/>
      <c r="L940" s="144"/>
      <c r="M940" s="145">
        <f t="shared" si="90"/>
        <v>0</v>
      </c>
      <c r="N940" s="145">
        <f t="shared" si="91"/>
        <v>0</v>
      </c>
      <c r="O940" s="146">
        <f t="shared" si="92"/>
        <v>0</v>
      </c>
      <c r="P940" s="146">
        <f>IF(B940="",0,SUMIF('NHAP XUAT'!$G$10:$J$1011,'Ghi So'!B940,'NHAP XUAT'!$J$10:$J$1011))</f>
        <v>0</v>
      </c>
      <c r="Q940" s="146">
        <f t="shared" si="93"/>
        <v>0</v>
      </c>
      <c r="R940" s="169"/>
      <c r="S940" s="169"/>
      <c r="T940" s="146">
        <f t="shared" si="94"/>
        <v>0</v>
      </c>
      <c r="U940" s="121" t="str">
        <f t="shared" si="95"/>
        <v>Close</v>
      </c>
      <c r="V940" s="117"/>
    </row>
    <row r="941" spans="1:22" ht="15" customHeight="1">
      <c r="A941" s="117"/>
      <c r="B941" s="144" t="str">
        <f>IF(D941="","","P"&amp;D941&amp;"MA"&amp;COUNTIF($D$14:D941,D941))</f>
        <v/>
      </c>
      <c r="C941" s="162"/>
      <c r="D941" s="163"/>
      <c r="E941" s="164"/>
      <c r="F941" s="164"/>
      <c r="G941" s="164"/>
      <c r="H941" s="164"/>
      <c r="I941" s="162"/>
      <c r="J941" s="144"/>
      <c r="K941" s="144"/>
      <c r="L941" s="144"/>
      <c r="M941" s="145">
        <f t="shared" si="90"/>
        <v>0</v>
      </c>
      <c r="N941" s="145">
        <f t="shared" si="91"/>
        <v>0</v>
      </c>
      <c r="O941" s="146">
        <f t="shared" si="92"/>
        <v>0</v>
      </c>
      <c r="P941" s="146">
        <f>IF(B941="",0,SUMIF('NHAP XUAT'!$G$10:$J$1011,'Ghi So'!B941,'NHAP XUAT'!$J$10:$J$1011))</f>
        <v>0</v>
      </c>
      <c r="Q941" s="146">
        <f t="shared" si="93"/>
        <v>0</v>
      </c>
      <c r="R941" s="169"/>
      <c r="S941" s="169"/>
      <c r="T941" s="146">
        <f t="shared" si="94"/>
        <v>0</v>
      </c>
      <c r="U941" s="121" t="str">
        <f t="shared" si="95"/>
        <v>Close</v>
      </c>
      <c r="V941" s="117"/>
    </row>
    <row r="942" spans="1:22" ht="15" customHeight="1">
      <c r="A942" s="117"/>
      <c r="B942" s="144" t="str">
        <f>IF(D942="","","P"&amp;D942&amp;"MA"&amp;COUNTIF($D$14:D942,D942))</f>
        <v/>
      </c>
      <c r="C942" s="162"/>
      <c r="D942" s="163"/>
      <c r="E942" s="164"/>
      <c r="F942" s="164"/>
      <c r="G942" s="164"/>
      <c r="H942" s="164"/>
      <c r="I942" s="162"/>
      <c r="J942" s="144"/>
      <c r="K942" s="144"/>
      <c r="L942" s="144"/>
      <c r="M942" s="145">
        <f t="shared" si="90"/>
        <v>0</v>
      </c>
      <c r="N942" s="145">
        <f t="shared" si="91"/>
        <v>0</v>
      </c>
      <c r="O942" s="146">
        <f t="shared" si="92"/>
        <v>0</v>
      </c>
      <c r="P942" s="146">
        <f>IF(B942="",0,SUMIF('NHAP XUAT'!$G$10:$J$1011,'Ghi So'!B942,'NHAP XUAT'!$J$10:$J$1011))</f>
        <v>0</v>
      </c>
      <c r="Q942" s="146">
        <f t="shared" si="93"/>
        <v>0</v>
      </c>
      <c r="R942" s="169"/>
      <c r="S942" s="169"/>
      <c r="T942" s="146">
        <f t="shared" si="94"/>
        <v>0</v>
      </c>
      <c r="U942" s="121" t="str">
        <f t="shared" si="95"/>
        <v>Close</v>
      </c>
      <c r="V942" s="117"/>
    </row>
    <row r="943" spans="1:22" ht="15" customHeight="1">
      <c r="A943" s="117"/>
      <c r="B943" s="144" t="str">
        <f>IF(D943="","","P"&amp;D943&amp;"MA"&amp;COUNTIF($D$14:D943,D943))</f>
        <v/>
      </c>
      <c r="C943" s="162"/>
      <c r="D943" s="163"/>
      <c r="E943" s="164"/>
      <c r="F943" s="164"/>
      <c r="G943" s="164"/>
      <c r="H943" s="164"/>
      <c r="I943" s="162"/>
      <c r="J943" s="144"/>
      <c r="K943" s="144"/>
      <c r="L943" s="144"/>
      <c r="M943" s="145">
        <f t="shared" si="90"/>
        <v>0</v>
      </c>
      <c r="N943" s="145">
        <f t="shared" si="91"/>
        <v>0</v>
      </c>
      <c r="O943" s="146">
        <f t="shared" si="92"/>
        <v>0</v>
      </c>
      <c r="P943" s="146">
        <f>IF(B943="",0,SUMIF('NHAP XUAT'!$G$10:$J$1011,'Ghi So'!B943,'NHAP XUAT'!$J$10:$J$1011))</f>
        <v>0</v>
      </c>
      <c r="Q943" s="146">
        <f t="shared" si="93"/>
        <v>0</v>
      </c>
      <c r="R943" s="169"/>
      <c r="S943" s="169"/>
      <c r="T943" s="146">
        <f t="shared" si="94"/>
        <v>0</v>
      </c>
      <c r="U943" s="121" t="str">
        <f t="shared" si="95"/>
        <v>Close</v>
      </c>
      <c r="V943" s="117"/>
    </row>
    <row r="944" spans="1:22" ht="15" customHeight="1">
      <c r="A944" s="117"/>
      <c r="B944" s="144" t="str">
        <f>IF(D944="","","P"&amp;D944&amp;"MA"&amp;COUNTIF($D$14:D944,D944))</f>
        <v/>
      </c>
      <c r="C944" s="162"/>
      <c r="D944" s="163"/>
      <c r="E944" s="164"/>
      <c r="F944" s="164"/>
      <c r="G944" s="164"/>
      <c r="H944" s="164"/>
      <c r="I944" s="162"/>
      <c r="J944" s="144"/>
      <c r="K944" s="144"/>
      <c r="L944" s="144"/>
      <c r="M944" s="145">
        <f t="shared" si="90"/>
        <v>0</v>
      </c>
      <c r="N944" s="145">
        <f t="shared" si="91"/>
        <v>0</v>
      </c>
      <c r="O944" s="146">
        <f t="shared" si="92"/>
        <v>0</v>
      </c>
      <c r="P944" s="146">
        <f>IF(B944="",0,SUMIF('NHAP XUAT'!$G$10:$J$1011,'Ghi So'!B944,'NHAP XUAT'!$J$10:$J$1011))</f>
        <v>0</v>
      </c>
      <c r="Q944" s="146">
        <f t="shared" si="93"/>
        <v>0</v>
      </c>
      <c r="R944" s="169"/>
      <c r="S944" s="169"/>
      <c r="T944" s="146">
        <f t="shared" si="94"/>
        <v>0</v>
      </c>
      <c r="U944" s="121" t="str">
        <f t="shared" si="95"/>
        <v>Close</v>
      </c>
      <c r="V944" s="117"/>
    </row>
    <row r="945" spans="1:22" ht="15" customHeight="1">
      <c r="A945" s="117"/>
      <c r="B945" s="144" t="str">
        <f>IF(D945="","","P"&amp;D945&amp;"MA"&amp;COUNTIF($D$14:D945,D945))</f>
        <v/>
      </c>
      <c r="C945" s="162"/>
      <c r="D945" s="163"/>
      <c r="E945" s="164"/>
      <c r="F945" s="164"/>
      <c r="G945" s="164"/>
      <c r="H945" s="164"/>
      <c r="I945" s="162"/>
      <c r="J945" s="144"/>
      <c r="K945" s="144"/>
      <c r="L945" s="144"/>
      <c r="M945" s="145">
        <f t="shared" si="90"/>
        <v>0</v>
      </c>
      <c r="N945" s="145">
        <f t="shared" si="91"/>
        <v>0</v>
      </c>
      <c r="O945" s="146">
        <f t="shared" si="92"/>
        <v>0</v>
      </c>
      <c r="P945" s="146">
        <f>IF(B945="",0,SUMIF('NHAP XUAT'!$G$10:$J$1011,'Ghi So'!B945,'NHAP XUAT'!$J$10:$J$1011))</f>
        <v>0</v>
      </c>
      <c r="Q945" s="146">
        <f t="shared" si="93"/>
        <v>0</v>
      </c>
      <c r="R945" s="169"/>
      <c r="S945" s="169"/>
      <c r="T945" s="146">
        <f t="shared" si="94"/>
        <v>0</v>
      </c>
      <c r="U945" s="121" t="str">
        <f t="shared" si="95"/>
        <v>Close</v>
      </c>
      <c r="V945" s="117"/>
    </row>
    <row r="946" spans="1:22" ht="15" customHeight="1">
      <c r="A946" s="117"/>
      <c r="B946" s="144" t="str">
        <f>IF(D946="","","P"&amp;D946&amp;"MA"&amp;COUNTIF($D$14:D946,D946))</f>
        <v/>
      </c>
      <c r="C946" s="162"/>
      <c r="D946" s="163"/>
      <c r="E946" s="164"/>
      <c r="F946" s="164"/>
      <c r="G946" s="164"/>
      <c r="H946" s="164"/>
      <c r="I946" s="162"/>
      <c r="J946" s="144"/>
      <c r="K946" s="144"/>
      <c r="L946" s="144"/>
      <c r="M946" s="145">
        <f t="shared" si="90"/>
        <v>0</v>
      </c>
      <c r="N946" s="145">
        <f t="shared" si="91"/>
        <v>0</v>
      </c>
      <c r="O946" s="146">
        <f t="shared" si="92"/>
        <v>0</v>
      </c>
      <c r="P946" s="146">
        <f>IF(B946="",0,SUMIF('NHAP XUAT'!$G$10:$J$1011,'Ghi So'!B946,'NHAP XUAT'!$J$10:$J$1011))</f>
        <v>0</v>
      </c>
      <c r="Q946" s="146">
        <f t="shared" si="93"/>
        <v>0</v>
      </c>
      <c r="R946" s="169"/>
      <c r="S946" s="169"/>
      <c r="T946" s="146">
        <f t="shared" si="94"/>
        <v>0</v>
      </c>
      <c r="U946" s="121" t="str">
        <f t="shared" si="95"/>
        <v>Close</v>
      </c>
      <c r="V946" s="117"/>
    </row>
    <row r="947" spans="1:22" ht="15" customHeight="1">
      <c r="A947" s="117"/>
      <c r="B947" s="144" t="str">
        <f>IF(D947="","","P"&amp;D947&amp;"MA"&amp;COUNTIF($D$14:D947,D947))</f>
        <v/>
      </c>
      <c r="C947" s="162"/>
      <c r="D947" s="163"/>
      <c r="E947" s="164"/>
      <c r="F947" s="164"/>
      <c r="G947" s="164"/>
      <c r="H947" s="164"/>
      <c r="I947" s="162"/>
      <c r="J947" s="144"/>
      <c r="K947" s="144"/>
      <c r="L947" s="144"/>
      <c r="M947" s="145">
        <f t="shared" si="90"/>
        <v>0</v>
      </c>
      <c r="N947" s="145">
        <f t="shared" si="91"/>
        <v>0</v>
      </c>
      <c r="O947" s="146">
        <f t="shared" si="92"/>
        <v>0</v>
      </c>
      <c r="P947" s="146">
        <f>IF(B947="",0,SUMIF('NHAP XUAT'!$G$10:$J$1011,'Ghi So'!B947,'NHAP XUAT'!$J$10:$J$1011))</f>
        <v>0</v>
      </c>
      <c r="Q947" s="146">
        <f t="shared" si="93"/>
        <v>0</v>
      </c>
      <c r="R947" s="169"/>
      <c r="S947" s="169"/>
      <c r="T947" s="146">
        <f t="shared" si="94"/>
        <v>0</v>
      </c>
      <c r="U947" s="121" t="str">
        <f t="shared" si="95"/>
        <v>Close</v>
      </c>
      <c r="V947" s="117"/>
    </row>
    <row r="948" spans="1:22" ht="15" customHeight="1">
      <c r="A948" s="117"/>
      <c r="B948" s="144" t="str">
        <f>IF(D948="","","P"&amp;D948&amp;"MA"&amp;COUNTIF($D$14:D948,D948))</f>
        <v/>
      </c>
      <c r="C948" s="162"/>
      <c r="D948" s="163"/>
      <c r="E948" s="164"/>
      <c r="F948" s="164"/>
      <c r="G948" s="164"/>
      <c r="H948" s="164"/>
      <c r="I948" s="162"/>
      <c r="J948" s="144"/>
      <c r="K948" s="144"/>
      <c r="L948" s="144"/>
      <c r="M948" s="145">
        <f t="shared" si="90"/>
        <v>0</v>
      </c>
      <c r="N948" s="145">
        <f t="shared" si="91"/>
        <v>0</v>
      </c>
      <c r="O948" s="146">
        <f t="shared" si="92"/>
        <v>0</v>
      </c>
      <c r="P948" s="146">
        <f>IF(B948="",0,SUMIF('NHAP XUAT'!$G$10:$J$1011,'Ghi So'!B948,'NHAP XUAT'!$J$10:$J$1011))</f>
        <v>0</v>
      </c>
      <c r="Q948" s="146">
        <f t="shared" si="93"/>
        <v>0</v>
      </c>
      <c r="R948" s="169"/>
      <c r="S948" s="169"/>
      <c r="T948" s="146">
        <f t="shared" si="94"/>
        <v>0</v>
      </c>
      <c r="U948" s="121" t="str">
        <f t="shared" si="95"/>
        <v>Close</v>
      </c>
      <c r="V948" s="117"/>
    </row>
    <row r="949" spans="1:22" ht="15" customHeight="1">
      <c r="A949" s="117"/>
      <c r="B949" s="144" t="str">
        <f>IF(D949="","","P"&amp;D949&amp;"MA"&amp;COUNTIF($D$14:D949,D949))</f>
        <v/>
      </c>
      <c r="C949" s="162"/>
      <c r="D949" s="163"/>
      <c r="E949" s="164"/>
      <c r="F949" s="164"/>
      <c r="G949" s="164"/>
      <c r="H949" s="164"/>
      <c r="I949" s="162"/>
      <c r="J949" s="144"/>
      <c r="K949" s="144"/>
      <c r="L949" s="144"/>
      <c r="M949" s="145">
        <f t="shared" si="90"/>
        <v>0</v>
      </c>
      <c r="N949" s="145">
        <f t="shared" si="91"/>
        <v>0</v>
      </c>
      <c r="O949" s="146">
        <f t="shared" si="92"/>
        <v>0</v>
      </c>
      <c r="P949" s="146">
        <f>IF(B949="",0,SUMIF('NHAP XUAT'!$G$10:$J$1011,'Ghi So'!B949,'NHAP XUAT'!$J$10:$J$1011))</f>
        <v>0</v>
      </c>
      <c r="Q949" s="146">
        <f t="shared" si="93"/>
        <v>0</v>
      </c>
      <c r="R949" s="169"/>
      <c r="S949" s="169"/>
      <c r="T949" s="146">
        <f t="shared" si="94"/>
        <v>0</v>
      </c>
      <c r="U949" s="121" t="str">
        <f t="shared" si="95"/>
        <v>Close</v>
      </c>
      <c r="V949" s="117"/>
    </row>
    <row r="950" spans="1:22" ht="15" customHeight="1">
      <c r="A950" s="117"/>
      <c r="B950" s="144" t="str">
        <f>IF(D950="","","P"&amp;D950&amp;"MA"&amp;COUNTIF($D$14:D950,D950))</f>
        <v/>
      </c>
      <c r="C950" s="162"/>
      <c r="D950" s="163"/>
      <c r="E950" s="164"/>
      <c r="F950" s="164"/>
      <c r="G950" s="164"/>
      <c r="H950" s="164"/>
      <c r="I950" s="162"/>
      <c r="J950" s="144"/>
      <c r="K950" s="144"/>
      <c r="L950" s="144"/>
      <c r="M950" s="145">
        <f t="shared" si="90"/>
        <v>0</v>
      </c>
      <c r="N950" s="145">
        <f t="shared" si="91"/>
        <v>0</v>
      </c>
      <c r="O950" s="146">
        <f t="shared" si="92"/>
        <v>0</v>
      </c>
      <c r="P950" s="146">
        <f>IF(B950="",0,SUMIF('NHAP XUAT'!$G$10:$J$1011,'Ghi So'!B950,'NHAP XUAT'!$J$10:$J$1011))</f>
        <v>0</v>
      </c>
      <c r="Q950" s="146">
        <f t="shared" si="93"/>
        <v>0</v>
      </c>
      <c r="R950" s="169"/>
      <c r="S950" s="169"/>
      <c r="T950" s="146">
        <f t="shared" si="94"/>
        <v>0</v>
      </c>
      <c r="U950" s="121" t="str">
        <f t="shared" si="95"/>
        <v>Close</v>
      </c>
      <c r="V950" s="117"/>
    </row>
    <row r="951" spans="1:22" ht="15" customHeight="1">
      <c r="A951" s="117"/>
      <c r="B951" s="144" t="str">
        <f>IF(D951="","","P"&amp;D951&amp;"MA"&amp;COUNTIF($D$14:D951,D951))</f>
        <v/>
      </c>
      <c r="C951" s="162"/>
      <c r="D951" s="163"/>
      <c r="E951" s="164"/>
      <c r="F951" s="164"/>
      <c r="G951" s="164"/>
      <c r="H951" s="164"/>
      <c r="I951" s="162"/>
      <c r="J951" s="144"/>
      <c r="K951" s="144"/>
      <c r="L951" s="144"/>
      <c r="M951" s="145">
        <f t="shared" si="90"/>
        <v>0</v>
      </c>
      <c r="N951" s="145">
        <f t="shared" si="91"/>
        <v>0</v>
      </c>
      <c r="O951" s="146">
        <f t="shared" si="92"/>
        <v>0</v>
      </c>
      <c r="P951" s="146">
        <f>IF(B951="",0,SUMIF('NHAP XUAT'!$G$10:$J$1011,'Ghi So'!B951,'NHAP XUAT'!$J$10:$J$1011))</f>
        <v>0</v>
      </c>
      <c r="Q951" s="146">
        <f t="shared" si="93"/>
        <v>0</v>
      </c>
      <c r="R951" s="169"/>
      <c r="S951" s="169"/>
      <c r="T951" s="146">
        <f t="shared" si="94"/>
        <v>0</v>
      </c>
      <c r="U951" s="121" t="str">
        <f t="shared" si="95"/>
        <v>Close</v>
      </c>
      <c r="V951" s="117"/>
    </row>
    <row r="952" spans="1:22" ht="15" customHeight="1">
      <c r="A952" s="117"/>
      <c r="B952" s="144" t="str">
        <f>IF(D952="","","P"&amp;D952&amp;"MA"&amp;COUNTIF($D$14:D952,D952))</f>
        <v/>
      </c>
      <c r="C952" s="162"/>
      <c r="D952" s="163"/>
      <c r="E952" s="164"/>
      <c r="F952" s="164"/>
      <c r="G952" s="164"/>
      <c r="H952" s="164"/>
      <c r="I952" s="162"/>
      <c r="J952" s="144"/>
      <c r="K952" s="144"/>
      <c r="L952" s="144"/>
      <c r="M952" s="145">
        <f t="shared" si="90"/>
        <v>0</v>
      </c>
      <c r="N952" s="145">
        <f t="shared" si="91"/>
        <v>0</v>
      </c>
      <c r="O952" s="146">
        <f t="shared" si="92"/>
        <v>0</v>
      </c>
      <c r="P952" s="146">
        <f>IF(B952="",0,SUMIF('NHAP XUAT'!$G$10:$J$1011,'Ghi So'!B952,'NHAP XUAT'!$J$10:$J$1011))</f>
        <v>0</v>
      </c>
      <c r="Q952" s="146">
        <f t="shared" si="93"/>
        <v>0</v>
      </c>
      <c r="R952" s="169"/>
      <c r="S952" s="169"/>
      <c r="T952" s="146">
        <f t="shared" si="94"/>
        <v>0</v>
      </c>
      <c r="U952" s="121" t="str">
        <f t="shared" si="95"/>
        <v>Close</v>
      </c>
      <c r="V952" s="117"/>
    </row>
    <row r="953" spans="1:22" ht="15" customHeight="1">
      <c r="A953" s="117"/>
      <c r="B953" s="144" t="str">
        <f>IF(D953="","","P"&amp;D953&amp;"MA"&amp;COUNTIF($D$14:D953,D953))</f>
        <v/>
      </c>
      <c r="C953" s="162"/>
      <c r="D953" s="163"/>
      <c r="E953" s="164"/>
      <c r="F953" s="164"/>
      <c r="G953" s="164"/>
      <c r="H953" s="164"/>
      <c r="I953" s="162"/>
      <c r="J953" s="144"/>
      <c r="K953" s="144"/>
      <c r="L953" s="144"/>
      <c r="M953" s="145">
        <f t="shared" si="90"/>
        <v>0</v>
      </c>
      <c r="N953" s="145">
        <f t="shared" si="91"/>
        <v>0</v>
      </c>
      <c r="O953" s="146">
        <f t="shared" si="92"/>
        <v>0</v>
      </c>
      <c r="P953" s="146">
        <f>IF(B953="",0,SUMIF('NHAP XUAT'!$G$10:$J$1011,'Ghi So'!B953,'NHAP XUAT'!$J$10:$J$1011))</f>
        <v>0</v>
      </c>
      <c r="Q953" s="146">
        <f t="shared" si="93"/>
        <v>0</v>
      </c>
      <c r="R953" s="169"/>
      <c r="S953" s="169"/>
      <c r="T953" s="146">
        <f t="shared" si="94"/>
        <v>0</v>
      </c>
      <c r="U953" s="121" t="str">
        <f t="shared" si="95"/>
        <v>Close</v>
      </c>
      <c r="V953" s="117"/>
    </row>
    <row r="954" spans="1:22" ht="15" customHeight="1">
      <c r="A954" s="117"/>
      <c r="B954" s="144" t="str">
        <f>IF(D954="","","P"&amp;D954&amp;"MA"&amp;COUNTIF($D$14:D954,D954))</f>
        <v/>
      </c>
      <c r="C954" s="162"/>
      <c r="D954" s="163"/>
      <c r="E954" s="164"/>
      <c r="F954" s="164"/>
      <c r="G954" s="164"/>
      <c r="H954" s="164"/>
      <c r="I954" s="162"/>
      <c r="J954" s="144"/>
      <c r="K954" s="144"/>
      <c r="L954" s="144"/>
      <c r="M954" s="145">
        <f t="shared" si="90"/>
        <v>0</v>
      </c>
      <c r="N954" s="145">
        <f t="shared" si="91"/>
        <v>0</v>
      </c>
      <c r="O954" s="146">
        <f t="shared" si="92"/>
        <v>0</v>
      </c>
      <c r="P954" s="146">
        <f>IF(B954="",0,SUMIF('NHAP XUAT'!$G$10:$J$1011,'Ghi So'!B954,'NHAP XUAT'!$J$10:$J$1011))</f>
        <v>0</v>
      </c>
      <c r="Q954" s="146">
        <f t="shared" si="93"/>
        <v>0</v>
      </c>
      <c r="R954" s="169"/>
      <c r="S954" s="169"/>
      <c r="T954" s="146">
        <f t="shared" si="94"/>
        <v>0</v>
      </c>
      <c r="U954" s="121" t="str">
        <f t="shared" si="95"/>
        <v>Close</v>
      </c>
      <c r="V954" s="117"/>
    </row>
    <row r="955" spans="1:22" ht="15" customHeight="1">
      <c r="A955" s="117"/>
      <c r="B955" s="144" t="str">
        <f>IF(D955="","","P"&amp;D955&amp;"MA"&amp;COUNTIF($D$14:D955,D955))</f>
        <v/>
      </c>
      <c r="C955" s="162"/>
      <c r="D955" s="163"/>
      <c r="E955" s="164"/>
      <c r="F955" s="164"/>
      <c r="G955" s="164"/>
      <c r="H955" s="164"/>
      <c r="I955" s="162"/>
      <c r="J955" s="144"/>
      <c r="K955" s="144"/>
      <c r="L955" s="144"/>
      <c r="M955" s="145">
        <f t="shared" si="90"/>
        <v>0</v>
      </c>
      <c r="N955" s="145">
        <f t="shared" si="91"/>
        <v>0</v>
      </c>
      <c r="O955" s="146">
        <f t="shared" si="92"/>
        <v>0</v>
      </c>
      <c r="P955" s="146">
        <f>IF(B955="",0,SUMIF('NHAP XUAT'!$G$10:$J$1011,'Ghi So'!B955,'NHAP XUAT'!$J$10:$J$1011))</f>
        <v>0</v>
      </c>
      <c r="Q955" s="146">
        <f t="shared" si="93"/>
        <v>0</v>
      </c>
      <c r="R955" s="169"/>
      <c r="S955" s="169"/>
      <c r="T955" s="146">
        <f t="shared" si="94"/>
        <v>0</v>
      </c>
      <c r="U955" s="121" t="str">
        <f t="shared" si="95"/>
        <v>Close</v>
      </c>
      <c r="V955" s="117"/>
    </row>
    <row r="956" spans="1:22" ht="15" customHeight="1">
      <c r="A956" s="117"/>
      <c r="B956" s="144" t="str">
        <f>IF(D956="","","P"&amp;D956&amp;"MA"&amp;COUNTIF($D$14:D956,D956))</f>
        <v/>
      </c>
      <c r="C956" s="162"/>
      <c r="D956" s="163"/>
      <c r="E956" s="164"/>
      <c r="F956" s="164"/>
      <c r="G956" s="164"/>
      <c r="H956" s="164"/>
      <c r="I956" s="162"/>
      <c r="J956" s="144"/>
      <c r="K956" s="144"/>
      <c r="L956" s="144"/>
      <c r="M956" s="145">
        <f t="shared" si="90"/>
        <v>0</v>
      </c>
      <c r="N956" s="145">
        <f t="shared" si="91"/>
        <v>0</v>
      </c>
      <c r="O956" s="146">
        <f t="shared" si="92"/>
        <v>0</v>
      </c>
      <c r="P956" s="146">
        <f>IF(B956="",0,SUMIF('NHAP XUAT'!$G$10:$J$1011,'Ghi So'!B956,'NHAP XUAT'!$J$10:$J$1011))</f>
        <v>0</v>
      </c>
      <c r="Q956" s="146">
        <f t="shared" si="93"/>
        <v>0</v>
      </c>
      <c r="R956" s="169"/>
      <c r="S956" s="169"/>
      <c r="T956" s="146">
        <f t="shared" si="94"/>
        <v>0</v>
      </c>
      <c r="U956" s="121" t="str">
        <f t="shared" si="95"/>
        <v>Close</v>
      </c>
      <c r="V956" s="117"/>
    </row>
    <row r="957" spans="1:22" ht="15" customHeight="1">
      <c r="A957" s="117"/>
      <c r="B957" s="144" t="str">
        <f>IF(D957="","","P"&amp;D957&amp;"MA"&amp;COUNTIF($D$14:D957,D957))</f>
        <v/>
      </c>
      <c r="C957" s="162"/>
      <c r="D957" s="163"/>
      <c r="E957" s="164"/>
      <c r="F957" s="164"/>
      <c r="G957" s="164"/>
      <c r="H957" s="164"/>
      <c r="I957" s="162"/>
      <c r="J957" s="144"/>
      <c r="K957" s="144"/>
      <c r="L957" s="144"/>
      <c r="M957" s="145">
        <f t="shared" si="90"/>
        <v>0</v>
      </c>
      <c r="N957" s="145">
        <f t="shared" si="91"/>
        <v>0</v>
      </c>
      <c r="O957" s="146">
        <f t="shared" si="92"/>
        <v>0</v>
      </c>
      <c r="P957" s="146">
        <f>IF(B957="",0,SUMIF('NHAP XUAT'!$G$10:$J$1011,'Ghi So'!B957,'NHAP XUAT'!$J$10:$J$1011))</f>
        <v>0</v>
      </c>
      <c r="Q957" s="146">
        <f t="shared" si="93"/>
        <v>0</v>
      </c>
      <c r="R957" s="169"/>
      <c r="S957" s="169"/>
      <c r="T957" s="146">
        <f t="shared" si="94"/>
        <v>0</v>
      </c>
      <c r="U957" s="121" t="str">
        <f t="shared" si="95"/>
        <v>Close</v>
      </c>
      <c r="V957" s="117"/>
    </row>
    <row r="958" spans="1:22" ht="15" customHeight="1">
      <c r="A958" s="117"/>
      <c r="B958" s="144" t="str">
        <f>IF(D958="","","P"&amp;D958&amp;"MA"&amp;COUNTIF($D$14:D958,D958))</f>
        <v/>
      </c>
      <c r="C958" s="162"/>
      <c r="D958" s="163"/>
      <c r="E958" s="164"/>
      <c r="F958" s="164"/>
      <c r="G958" s="164"/>
      <c r="H958" s="164"/>
      <c r="I958" s="162"/>
      <c r="J958" s="144"/>
      <c r="K958" s="144"/>
      <c r="L958" s="144"/>
      <c r="M958" s="145">
        <f t="shared" si="90"/>
        <v>0</v>
      </c>
      <c r="N958" s="145">
        <f t="shared" si="91"/>
        <v>0</v>
      </c>
      <c r="O958" s="146">
        <f t="shared" si="92"/>
        <v>0</v>
      </c>
      <c r="P958" s="146">
        <f>IF(B958="",0,SUMIF('NHAP XUAT'!$G$10:$J$1011,'Ghi So'!B958,'NHAP XUAT'!$J$10:$J$1011))</f>
        <v>0</v>
      </c>
      <c r="Q958" s="146">
        <f t="shared" si="93"/>
        <v>0</v>
      </c>
      <c r="R958" s="169"/>
      <c r="S958" s="169"/>
      <c r="T958" s="146">
        <f t="shared" si="94"/>
        <v>0</v>
      </c>
      <c r="U958" s="121" t="str">
        <f t="shared" si="95"/>
        <v>Close</v>
      </c>
      <c r="V958" s="117"/>
    </row>
    <row r="959" spans="1:22" ht="15" customHeight="1">
      <c r="A959" s="117"/>
      <c r="B959" s="144" t="str">
        <f>IF(D959="","","P"&amp;D959&amp;"MA"&amp;COUNTIF($D$14:D959,D959))</f>
        <v/>
      </c>
      <c r="C959" s="162"/>
      <c r="D959" s="163"/>
      <c r="E959" s="164"/>
      <c r="F959" s="164"/>
      <c r="G959" s="164"/>
      <c r="H959" s="164"/>
      <c r="I959" s="162"/>
      <c r="J959" s="144"/>
      <c r="K959" s="144"/>
      <c r="L959" s="144"/>
      <c r="M959" s="145">
        <f t="shared" si="90"/>
        <v>0</v>
      </c>
      <c r="N959" s="145">
        <f t="shared" si="91"/>
        <v>0</v>
      </c>
      <c r="O959" s="146">
        <f t="shared" si="92"/>
        <v>0</v>
      </c>
      <c r="P959" s="146">
        <f>IF(B959="",0,SUMIF('NHAP XUAT'!$G$10:$J$1011,'Ghi So'!B959,'NHAP XUAT'!$J$10:$J$1011))</f>
        <v>0</v>
      </c>
      <c r="Q959" s="146">
        <f t="shared" si="93"/>
        <v>0</v>
      </c>
      <c r="R959" s="169"/>
      <c r="S959" s="169"/>
      <c r="T959" s="146">
        <f t="shared" si="94"/>
        <v>0</v>
      </c>
      <c r="U959" s="121" t="str">
        <f t="shared" si="95"/>
        <v>Close</v>
      </c>
      <c r="V959" s="117"/>
    </row>
    <row r="960" spans="1:22" ht="15" customHeight="1">
      <c r="A960" s="117"/>
      <c r="B960" s="144" t="str">
        <f>IF(D960="","","P"&amp;D960&amp;"MA"&amp;COUNTIF($D$14:D960,D960))</f>
        <v/>
      </c>
      <c r="C960" s="162"/>
      <c r="D960" s="163"/>
      <c r="E960" s="164"/>
      <c r="F960" s="164"/>
      <c r="G960" s="164"/>
      <c r="H960" s="164"/>
      <c r="I960" s="162"/>
      <c r="J960" s="144"/>
      <c r="K960" s="144"/>
      <c r="L960" s="144"/>
      <c r="M960" s="145">
        <f t="shared" si="90"/>
        <v>0</v>
      </c>
      <c r="N960" s="145">
        <f t="shared" si="91"/>
        <v>0</v>
      </c>
      <c r="O960" s="146">
        <f t="shared" si="92"/>
        <v>0</v>
      </c>
      <c r="P960" s="146">
        <f>IF(B960="",0,SUMIF('NHAP XUAT'!$G$10:$J$1011,'Ghi So'!B960,'NHAP XUAT'!$J$10:$J$1011))</f>
        <v>0</v>
      </c>
      <c r="Q960" s="146">
        <f t="shared" si="93"/>
        <v>0</v>
      </c>
      <c r="R960" s="169"/>
      <c r="S960" s="169"/>
      <c r="T960" s="146">
        <f t="shared" si="94"/>
        <v>0</v>
      </c>
      <c r="U960" s="121" t="str">
        <f t="shared" si="95"/>
        <v>Close</v>
      </c>
      <c r="V960" s="117"/>
    </row>
    <row r="961" spans="1:22" ht="15" customHeight="1">
      <c r="A961" s="117"/>
      <c r="B961" s="144" t="str">
        <f>IF(D961="","","P"&amp;D961&amp;"MA"&amp;COUNTIF($D$14:D961,D961))</f>
        <v/>
      </c>
      <c r="C961" s="162"/>
      <c r="D961" s="163"/>
      <c r="E961" s="164"/>
      <c r="F961" s="164"/>
      <c r="G961" s="164"/>
      <c r="H961" s="164"/>
      <c r="I961" s="162"/>
      <c r="J961" s="144"/>
      <c r="K961" s="144"/>
      <c r="L961" s="144"/>
      <c r="M961" s="145">
        <f t="shared" si="90"/>
        <v>0</v>
      </c>
      <c r="N961" s="145">
        <f t="shared" si="91"/>
        <v>0</v>
      </c>
      <c r="O961" s="146">
        <f t="shared" si="92"/>
        <v>0</v>
      </c>
      <c r="P961" s="146">
        <f>IF(B961="",0,SUMIF('NHAP XUAT'!$G$10:$J$1011,'Ghi So'!B961,'NHAP XUAT'!$J$10:$J$1011))</f>
        <v>0</v>
      </c>
      <c r="Q961" s="146">
        <f t="shared" si="93"/>
        <v>0</v>
      </c>
      <c r="R961" s="169"/>
      <c r="S961" s="169"/>
      <c r="T961" s="146">
        <f t="shared" si="94"/>
        <v>0</v>
      </c>
      <c r="U961" s="121" t="str">
        <f t="shared" si="95"/>
        <v>Close</v>
      </c>
      <c r="V961" s="117"/>
    </row>
    <row r="962" spans="1:22" ht="15" customHeight="1">
      <c r="A962" s="117"/>
      <c r="B962" s="144" t="str">
        <f>IF(D962="","","P"&amp;D962&amp;"MA"&amp;COUNTIF($D$14:D962,D962))</f>
        <v/>
      </c>
      <c r="C962" s="162"/>
      <c r="D962" s="163"/>
      <c r="E962" s="164"/>
      <c r="F962" s="164"/>
      <c r="G962" s="164"/>
      <c r="H962" s="164"/>
      <c r="I962" s="162"/>
      <c r="J962" s="144"/>
      <c r="K962" s="144"/>
      <c r="L962" s="144"/>
      <c r="M962" s="145">
        <f t="shared" si="90"/>
        <v>0</v>
      </c>
      <c r="N962" s="145">
        <f t="shared" si="91"/>
        <v>0</v>
      </c>
      <c r="O962" s="146">
        <f t="shared" si="92"/>
        <v>0</v>
      </c>
      <c r="P962" s="146">
        <f>IF(B962="",0,SUMIF('NHAP XUAT'!$G$10:$J$1011,'Ghi So'!B962,'NHAP XUAT'!$J$10:$J$1011))</f>
        <v>0</v>
      </c>
      <c r="Q962" s="146">
        <f t="shared" si="93"/>
        <v>0</v>
      </c>
      <c r="R962" s="169"/>
      <c r="S962" s="169"/>
      <c r="T962" s="146">
        <f t="shared" si="94"/>
        <v>0</v>
      </c>
      <c r="U962" s="121" t="str">
        <f t="shared" si="95"/>
        <v>Close</v>
      </c>
      <c r="V962" s="117"/>
    </row>
    <row r="963" spans="1:22" ht="15" customHeight="1">
      <c r="A963" s="117"/>
      <c r="B963" s="144" t="str">
        <f>IF(D963="","","P"&amp;D963&amp;"MA"&amp;COUNTIF($D$14:D963,D963))</f>
        <v/>
      </c>
      <c r="C963" s="162"/>
      <c r="D963" s="163"/>
      <c r="E963" s="164"/>
      <c r="F963" s="164"/>
      <c r="G963" s="164"/>
      <c r="H963" s="164"/>
      <c r="I963" s="162"/>
      <c r="J963" s="144"/>
      <c r="K963" s="144"/>
      <c r="L963" s="144"/>
      <c r="M963" s="145">
        <f t="shared" si="90"/>
        <v>0</v>
      </c>
      <c r="N963" s="145">
        <f t="shared" si="91"/>
        <v>0</v>
      </c>
      <c r="O963" s="146">
        <f t="shared" si="92"/>
        <v>0</v>
      </c>
      <c r="P963" s="146">
        <f>IF(B963="",0,SUMIF('NHAP XUAT'!$G$10:$J$1011,'Ghi So'!B963,'NHAP XUAT'!$J$10:$J$1011))</f>
        <v>0</v>
      </c>
      <c r="Q963" s="146">
        <f t="shared" si="93"/>
        <v>0</v>
      </c>
      <c r="R963" s="169"/>
      <c r="S963" s="169"/>
      <c r="T963" s="146">
        <f t="shared" si="94"/>
        <v>0</v>
      </c>
      <c r="U963" s="121" t="str">
        <f t="shared" si="95"/>
        <v>Close</v>
      </c>
      <c r="V963" s="117"/>
    </row>
    <row r="964" spans="1:22" ht="15" customHeight="1">
      <c r="A964" s="117"/>
      <c r="B964" s="144" t="str">
        <f>IF(D964="","","P"&amp;D964&amp;"MA"&amp;COUNTIF($D$14:D964,D964))</f>
        <v/>
      </c>
      <c r="C964" s="162"/>
      <c r="D964" s="163"/>
      <c r="E964" s="164"/>
      <c r="F964" s="164"/>
      <c r="G964" s="164"/>
      <c r="H964" s="164"/>
      <c r="I964" s="162"/>
      <c r="J964" s="144"/>
      <c r="K964" s="144"/>
      <c r="L964" s="144"/>
      <c r="M964" s="145">
        <f t="shared" si="90"/>
        <v>0</v>
      </c>
      <c r="N964" s="145">
        <f t="shared" si="91"/>
        <v>0</v>
      </c>
      <c r="O964" s="146">
        <f t="shared" si="92"/>
        <v>0</v>
      </c>
      <c r="P964" s="146">
        <f>IF(B964="",0,SUMIF('NHAP XUAT'!$G$10:$J$1011,'Ghi So'!B964,'NHAP XUAT'!$J$10:$J$1011))</f>
        <v>0</v>
      </c>
      <c r="Q964" s="146">
        <f t="shared" si="93"/>
        <v>0</v>
      </c>
      <c r="R964" s="169"/>
      <c r="S964" s="169"/>
      <c r="T964" s="146">
        <f t="shared" si="94"/>
        <v>0</v>
      </c>
      <c r="U964" s="121" t="str">
        <f t="shared" si="95"/>
        <v>Close</v>
      </c>
      <c r="V964" s="117"/>
    </row>
    <row r="965" spans="1:22" ht="15" customHeight="1">
      <c r="A965" s="117"/>
      <c r="B965" s="144" t="str">
        <f>IF(D965="","","P"&amp;D965&amp;"MA"&amp;COUNTIF($D$14:D965,D965))</f>
        <v/>
      </c>
      <c r="C965" s="162"/>
      <c r="D965" s="163"/>
      <c r="E965" s="164"/>
      <c r="F965" s="164"/>
      <c r="G965" s="164"/>
      <c r="H965" s="164"/>
      <c r="I965" s="162"/>
      <c r="J965" s="144"/>
      <c r="K965" s="144"/>
      <c r="L965" s="144"/>
      <c r="M965" s="145">
        <f t="shared" si="90"/>
        <v>0</v>
      </c>
      <c r="N965" s="145">
        <f t="shared" si="91"/>
        <v>0</v>
      </c>
      <c r="O965" s="146">
        <f t="shared" si="92"/>
        <v>0</v>
      </c>
      <c r="P965" s="146">
        <f>IF(B965="",0,SUMIF('NHAP XUAT'!$G$10:$J$1011,'Ghi So'!B965,'NHAP XUAT'!$J$10:$J$1011))</f>
        <v>0</v>
      </c>
      <c r="Q965" s="146">
        <f t="shared" si="93"/>
        <v>0</v>
      </c>
      <c r="R965" s="169"/>
      <c r="S965" s="169"/>
      <c r="T965" s="146">
        <f t="shared" si="94"/>
        <v>0</v>
      </c>
      <c r="U965" s="121" t="str">
        <f t="shared" si="95"/>
        <v>Close</v>
      </c>
      <c r="V965" s="117"/>
    </row>
    <row r="966" spans="1:22" ht="15" customHeight="1">
      <c r="A966" s="117"/>
      <c r="B966" s="144" t="str">
        <f>IF(D966="","","P"&amp;D966&amp;"MA"&amp;COUNTIF($D$14:D966,D966))</f>
        <v/>
      </c>
      <c r="C966" s="162"/>
      <c r="D966" s="163"/>
      <c r="E966" s="164"/>
      <c r="F966" s="164"/>
      <c r="G966" s="164"/>
      <c r="H966" s="164"/>
      <c r="I966" s="162"/>
      <c r="J966" s="144"/>
      <c r="K966" s="144"/>
      <c r="L966" s="144"/>
      <c r="M966" s="145">
        <f t="shared" si="90"/>
        <v>0</v>
      </c>
      <c r="N966" s="145">
        <f t="shared" si="91"/>
        <v>0</v>
      </c>
      <c r="O966" s="146">
        <f t="shared" si="92"/>
        <v>0</v>
      </c>
      <c r="P966" s="146">
        <f>IF(B966="",0,SUMIF('NHAP XUAT'!$G$10:$J$1011,'Ghi So'!B966,'NHAP XUAT'!$J$10:$J$1011))</f>
        <v>0</v>
      </c>
      <c r="Q966" s="146">
        <f t="shared" si="93"/>
        <v>0</v>
      </c>
      <c r="R966" s="169"/>
      <c r="S966" s="169"/>
      <c r="T966" s="146">
        <f t="shared" si="94"/>
        <v>0</v>
      </c>
      <c r="U966" s="121" t="str">
        <f t="shared" si="95"/>
        <v>Close</v>
      </c>
      <c r="V966" s="117"/>
    </row>
    <row r="967" spans="1:22" ht="15" customHeight="1">
      <c r="A967" s="117"/>
      <c r="B967" s="144" t="str">
        <f>IF(D967="","","P"&amp;D967&amp;"MA"&amp;COUNTIF($D$14:D967,D967))</f>
        <v/>
      </c>
      <c r="C967" s="162"/>
      <c r="D967" s="163"/>
      <c r="E967" s="164"/>
      <c r="F967" s="164"/>
      <c r="G967" s="164"/>
      <c r="H967" s="164"/>
      <c r="I967" s="162"/>
      <c r="J967" s="144"/>
      <c r="K967" s="144"/>
      <c r="L967" s="144"/>
      <c r="M967" s="145">
        <f t="shared" si="90"/>
        <v>0</v>
      </c>
      <c r="N967" s="145">
        <f t="shared" si="91"/>
        <v>0</v>
      </c>
      <c r="O967" s="146">
        <f t="shared" si="92"/>
        <v>0</v>
      </c>
      <c r="P967" s="146">
        <f>IF(B967="",0,SUMIF('NHAP XUAT'!$G$10:$J$1011,'Ghi So'!B967,'NHAP XUAT'!$J$10:$J$1011))</f>
        <v>0</v>
      </c>
      <c r="Q967" s="146">
        <f t="shared" si="93"/>
        <v>0</v>
      </c>
      <c r="R967" s="169"/>
      <c r="S967" s="169"/>
      <c r="T967" s="146">
        <f t="shared" si="94"/>
        <v>0</v>
      </c>
      <c r="U967" s="121" t="str">
        <f t="shared" si="95"/>
        <v>Close</v>
      </c>
      <c r="V967" s="117"/>
    </row>
    <row r="968" spans="1:22" ht="15" customHeight="1">
      <c r="A968" s="117"/>
      <c r="B968" s="144" t="str">
        <f>IF(D968="","","P"&amp;D968&amp;"MA"&amp;COUNTIF($D$14:D968,D968))</f>
        <v/>
      </c>
      <c r="C968" s="162"/>
      <c r="D968" s="163"/>
      <c r="E968" s="164"/>
      <c r="F968" s="164"/>
      <c r="G968" s="164"/>
      <c r="H968" s="164"/>
      <c r="I968" s="162"/>
      <c r="J968" s="144"/>
      <c r="K968" s="144"/>
      <c r="L968" s="144"/>
      <c r="M968" s="145">
        <f t="shared" si="90"/>
        <v>0</v>
      </c>
      <c r="N968" s="145">
        <f t="shared" si="91"/>
        <v>0</v>
      </c>
      <c r="O968" s="146">
        <f t="shared" si="92"/>
        <v>0</v>
      </c>
      <c r="P968" s="146">
        <f>IF(B968="",0,SUMIF('NHAP XUAT'!$G$10:$J$1011,'Ghi So'!B968,'NHAP XUAT'!$J$10:$J$1011))</f>
        <v>0</v>
      </c>
      <c r="Q968" s="146">
        <f t="shared" si="93"/>
        <v>0</v>
      </c>
      <c r="R968" s="169"/>
      <c r="S968" s="169"/>
      <c r="T968" s="146">
        <f t="shared" si="94"/>
        <v>0</v>
      </c>
      <c r="U968" s="121" t="str">
        <f t="shared" si="95"/>
        <v>Close</v>
      </c>
      <c r="V968" s="117"/>
    </row>
    <row r="969" spans="1:22" ht="15" customHeight="1">
      <c r="A969" s="117"/>
      <c r="B969" s="144" t="str">
        <f>IF(D969="","","P"&amp;D969&amp;"MA"&amp;COUNTIF($D$14:D969,D969))</f>
        <v/>
      </c>
      <c r="C969" s="162"/>
      <c r="D969" s="163"/>
      <c r="E969" s="164"/>
      <c r="F969" s="164"/>
      <c r="G969" s="164"/>
      <c r="H969" s="164"/>
      <c r="I969" s="162"/>
      <c r="J969" s="144"/>
      <c r="K969" s="144"/>
      <c r="L969" s="144"/>
      <c r="M969" s="145">
        <f t="shared" si="90"/>
        <v>0</v>
      </c>
      <c r="N969" s="145">
        <f t="shared" si="91"/>
        <v>0</v>
      </c>
      <c r="O969" s="146">
        <f t="shared" si="92"/>
        <v>0</v>
      </c>
      <c r="P969" s="146">
        <f>IF(B969="",0,SUMIF('NHAP XUAT'!$G$10:$J$1011,'Ghi So'!B969,'NHAP XUAT'!$J$10:$J$1011))</f>
        <v>0</v>
      </c>
      <c r="Q969" s="146">
        <f t="shared" si="93"/>
        <v>0</v>
      </c>
      <c r="R969" s="169"/>
      <c r="S969" s="169"/>
      <c r="T969" s="146">
        <f t="shared" si="94"/>
        <v>0</v>
      </c>
      <c r="U969" s="121" t="str">
        <f t="shared" si="95"/>
        <v>Close</v>
      </c>
      <c r="V969" s="117"/>
    </row>
    <row r="970" spans="1:22" ht="15" customHeight="1">
      <c r="A970" s="117"/>
      <c r="B970" s="144" t="str">
        <f>IF(D970="","","P"&amp;D970&amp;"MA"&amp;COUNTIF($D$14:D970,D970))</f>
        <v/>
      </c>
      <c r="C970" s="162"/>
      <c r="D970" s="163"/>
      <c r="E970" s="164"/>
      <c r="F970" s="164"/>
      <c r="G970" s="164"/>
      <c r="H970" s="164"/>
      <c r="I970" s="162"/>
      <c r="J970" s="144"/>
      <c r="K970" s="144"/>
      <c r="L970" s="144"/>
      <c r="M970" s="145">
        <f t="shared" si="90"/>
        <v>0</v>
      </c>
      <c r="N970" s="145">
        <f t="shared" si="91"/>
        <v>0</v>
      </c>
      <c r="O970" s="146">
        <f t="shared" si="92"/>
        <v>0</v>
      </c>
      <c r="P970" s="146">
        <f>IF(B970="",0,SUMIF('NHAP XUAT'!$G$10:$J$1011,'Ghi So'!B970,'NHAP XUAT'!$J$10:$J$1011))</f>
        <v>0</v>
      </c>
      <c r="Q970" s="146">
        <f t="shared" si="93"/>
        <v>0</v>
      </c>
      <c r="R970" s="169"/>
      <c r="S970" s="169"/>
      <c r="T970" s="146">
        <f t="shared" si="94"/>
        <v>0</v>
      </c>
      <c r="U970" s="121" t="str">
        <f t="shared" si="95"/>
        <v>Close</v>
      </c>
      <c r="V970" s="117"/>
    </row>
    <row r="971" spans="1:22" ht="15" customHeight="1">
      <c r="A971" s="117"/>
      <c r="B971" s="144" t="str">
        <f>IF(D971="","","P"&amp;D971&amp;"MA"&amp;COUNTIF($D$14:D971,D971))</f>
        <v/>
      </c>
      <c r="C971" s="162"/>
      <c r="D971" s="163"/>
      <c r="E971" s="164"/>
      <c r="F971" s="164"/>
      <c r="G971" s="164"/>
      <c r="H971" s="164"/>
      <c r="I971" s="162"/>
      <c r="J971" s="144"/>
      <c r="K971" s="144"/>
      <c r="L971" s="144"/>
      <c r="M971" s="145">
        <f t="shared" si="90"/>
        <v>0</v>
      </c>
      <c r="N971" s="145">
        <f t="shared" si="91"/>
        <v>0</v>
      </c>
      <c r="O971" s="146">
        <f t="shared" si="92"/>
        <v>0</v>
      </c>
      <c r="P971" s="146">
        <f>IF(B971="",0,SUMIF('NHAP XUAT'!$G$10:$J$1011,'Ghi So'!B971,'NHAP XUAT'!$J$10:$J$1011))</f>
        <v>0</v>
      </c>
      <c r="Q971" s="146">
        <f t="shared" si="93"/>
        <v>0</v>
      </c>
      <c r="R971" s="169"/>
      <c r="S971" s="169"/>
      <c r="T971" s="146">
        <f t="shared" si="94"/>
        <v>0</v>
      </c>
      <c r="U971" s="121" t="str">
        <f t="shared" si="95"/>
        <v>Close</v>
      </c>
      <c r="V971" s="117"/>
    </row>
    <row r="972" spans="1:22" ht="15" customHeight="1">
      <c r="A972" s="117"/>
      <c r="B972" s="144" t="str">
        <f>IF(D972="","","P"&amp;D972&amp;"MA"&amp;COUNTIF($D$14:D972,D972))</f>
        <v/>
      </c>
      <c r="C972" s="162"/>
      <c r="D972" s="163"/>
      <c r="E972" s="164"/>
      <c r="F972" s="164"/>
      <c r="G972" s="164"/>
      <c r="H972" s="164"/>
      <c r="I972" s="162"/>
      <c r="J972" s="144"/>
      <c r="K972" s="144"/>
      <c r="L972" s="144"/>
      <c r="M972" s="145">
        <f t="shared" si="90"/>
        <v>0</v>
      </c>
      <c r="N972" s="145">
        <f t="shared" si="91"/>
        <v>0</v>
      </c>
      <c r="O972" s="146">
        <f t="shared" si="92"/>
        <v>0</v>
      </c>
      <c r="P972" s="146">
        <f>IF(B972="",0,SUMIF('NHAP XUAT'!$G$10:$J$1011,'Ghi So'!B972,'NHAP XUAT'!$J$10:$J$1011))</f>
        <v>0</v>
      </c>
      <c r="Q972" s="146">
        <f t="shared" si="93"/>
        <v>0</v>
      </c>
      <c r="R972" s="169"/>
      <c r="S972" s="169"/>
      <c r="T972" s="146">
        <f t="shared" si="94"/>
        <v>0</v>
      </c>
      <c r="U972" s="121" t="str">
        <f t="shared" si="95"/>
        <v>Close</v>
      </c>
      <c r="V972" s="117"/>
    </row>
    <row r="973" spans="1:22" ht="15" customHeight="1">
      <c r="A973" s="117"/>
      <c r="B973" s="144" t="str">
        <f>IF(D973="","","P"&amp;D973&amp;"MA"&amp;COUNTIF($D$14:D973,D973))</f>
        <v/>
      </c>
      <c r="C973" s="162"/>
      <c r="D973" s="163"/>
      <c r="E973" s="164"/>
      <c r="F973" s="164"/>
      <c r="G973" s="164"/>
      <c r="H973" s="164"/>
      <c r="I973" s="162"/>
      <c r="J973" s="144"/>
      <c r="K973" s="144"/>
      <c r="L973" s="144"/>
      <c r="M973" s="145">
        <f t="shared" si="90"/>
        <v>0</v>
      </c>
      <c r="N973" s="145">
        <f t="shared" si="91"/>
        <v>0</v>
      </c>
      <c r="O973" s="146">
        <f t="shared" si="92"/>
        <v>0</v>
      </c>
      <c r="P973" s="146">
        <f>IF(B973="",0,SUMIF('NHAP XUAT'!$G$10:$J$1011,'Ghi So'!B973,'NHAP XUAT'!$J$10:$J$1011))</f>
        <v>0</v>
      </c>
      <c r="Q973" s="146">
        <f t="shared" si="93"/>
        <v>0</v>
      </c>
      <c r="R973" s="169"/>
      <c r="S973" s="169"/>
      <c r="T973" s="146">
        <f t="shared" si="94"/>
        <v>0</v>
      </c>
      <c r="U973" s="121" t="str">
        <f t="shared" si="95"/>
        <v>Close</v>
      </c>
      <c r="V973" s="117"/>
    </row>
    <row r="974" spans="1:22" ht="15" customHeight="1">
      <c r="A974" s="117"/>
      <c r="B974" s="144" t="str">
        <f>IF(D974="","","P"&amp;D974&amp;"MA"&amp;COUNTIF($D$14:D974,D974))</f>
        <v/>
      </c>
      <c r="C974" s="162"/>
      <c r="D974" s="163"/>
      <c r="E974" s="164"/>
      <c r="F974" s="164"/>
      <c r="G974" s="164"/>
      <c r="H974" s="164"/>
      <c r="I974" s="162"/>
      <c r="J974" s="144"/>
      <c r="K974" s="144"/>
      <c r="L974" s="144"/>
      <c r="M974" s="145">
        <f t="shared" si="90"/>
        <v>0</v>
      </c>
      <c r="N974" s="145">
        <f t="shared" si="91"/>
        <v>0</v>
      </c>
      <c r="O974" s="146">
        <f t="shared" si="92"/>
        <v>0</v>
      </c>
      <c r="P974" s="146">
        <f>IF(B974="",0,SUMIF('NHAP XUAT'!$G$10:$J$1011,'Ghi So'!B974,'NHAP XUAT'!$J$10:$J$1011))</f>
        <v>0</v>
      </c>
      <c r="Q974" s="146">
        <f t="shared" si="93"/>
        <v>0</v>
      </c>
      <c r="R974" s="169"/>
      <c r="S974" s="169"/>
      <c r="T974" s="146">
        <f t="shared" si="94"/>
        <v>0</v>
      </c>
      <c r="U974" s="121" t="str">
        <f t="shared" si="95"/>
        <v>Close</v>
      </c>
      <c r="V974" s="117"/>
    </row>
    <row r="975" spans="1:22" ht="15" customHeight="1">
      <c r="A975" s="117"/>
      <c r="B975" s="144" t="str">
        <f>IF(D975="","","P"&amp;D975&amp;"MA"&amp;COUNTIF($D$14:D975,D975))</f>
        <v/>
      </c>
      <c r="C975" s="162"/>
      <c r="D975" s="163"/>
      <c r="E975" s="164"/>
      <c r="F975" s="164"/>
      <c r="G975" s="164"/>
      <c r="H975" s="164"/>
      <c r="I975" s="162"/>
      <c r="J975" s="144"/>
      <c r="K975" s="144"/>
      <c r="L975" s="144"/>
      <c r="M975" s="145">
        <f t="shared" si="90"/>
        <v>0</v>
      </c>
      <c r="N975" s="145">
        <f t="shared" si="91"/>
        <v>0</v>
      </c>
      <c r="O975" s="146">
        <f t="shared" si="92"/>
        <v>0</v>
      </c>
      <c r="P975" s="146">
        <f>IF(B975="",0,SUMIF('NHAP XUAT'!$G$10:$J$1011,'Ghi So'!B975,'NHAP XUAT'!$J$10:$J$1011))</f>
        <v>0</v>
      </c>
      <c r="Q975" s="146">
        <f t="shared" si="93"/>
        <v>0</v>
      </c>
      <c r="R975" s="169"/>
      <c r="S975" s="169"/>
      <c r="T975" s="146">
        <f t="shared" si="94"/>
        <v>0</v>
      </c>
      <c r="U975" s="121" t="str">
        <f t="shared" si="95"/>
        <v>Close</v>
      </c>
      <c r="V975" s="117"/>
    </row>
    <row r="976" spans="1:22" ht="15" customHeight="1">
      <c r="A976" s="117"/>
      <c r="B976" s="144" t="str">
        <f>IF(D976="","","P"&amp;D976&amp;"MA"&amp;COUNTIF($D$14:D976,D976))</f>
        <v/>
      </c>
      <c r="C976" s="162"/>
      <c r="D976" s="163"/>
      <c r="E976" s="164"/>
      <c r="F976" s="164"/>
      <c r="G976" s="164"/>
      <c r="H976" s="164"/>
      <c r="I976" s="162"/>
      <c r="J976" s="144"/>
      <c r="K976" s="144"/>
      <c r="L976" s="144"/>
      <c r="M976" s="145">
        <f t="shared" si="90"/>
        <v>0</v>
      </c>
      <c r="N976" s="145">
        <f t="shared" si="91"/>
        <v>0</v>
      </c>
      <c r="O976" s="146">
        <f t="shared" si="92"/>
        <v>0</v>
      </c>
      <c r="P976" s="146">
        <f>IF(B976="",0,SUMIF('NHAP XUAT'!$G$10:$J$1011,'Ghi So'!B976,'NHAP XUAT'!$J$10:$J$1011))</f>
        <v>0</v>
      </c>
      <c r="Q976" s="146">
        <f t="shared" si="93"/>
        <v>0</v>
      </c>
      <c r="R976" s="169"/>
      <c r="S976" s="169"/>
      <c r="T976" s="146">
        <f t="shared" si="94"/>
        <v>0</v>
      </c>
      <c r="U976" s="121" t="str">
        <f t="shared" si="95"/>
        <v>Close</v>
      </c>
      <c r="V976" s="117"/>
    </row>
    <row r="977" spans="1:22" ht="15" customHeight="1">
      <c r="A977" s="117"/>
      <c r="B977" s="144" t="str">
        <f>IF(D977="","","P"&amp;D977&amp;"MA"&amp;COUNTIF($D$14:D977,D977))</f>
        <v/>
      </c>
      <c r="C977" s="162"/>
      <c r="D977" s="163"/>
      <c r="E977" s="164"/>
      <c r="F977" s="164"/>
      <c r="G977" s="164"/>
      <c r="H977" s="164"/>
      <c r="I977" s="162"/>
      <c r="J977" s="144"/>
      <c r="K977" s="144"/>
      <c r="L977" s="144"/>
      <c r="M977" s="145">
        <f t="shared" si="90"/>
        <v>0</v>
      </c>
      <c r="N977" s="145">
        <f t="shared" si="91"/>
        <v>0</v>
      </c>
      <c r="O977" s="146">
        <f t="shared" si="92"/>
        <v>0</v>
      </c>
      <c r="P977" s="146">
        <f>IF(B977="",0,SUMIF('NHAP XUAT'!$G$10:$J$1011,'Ghi So'!B977,'NHAP XUAT'!$J$10:$J$1011))</f>
        <v>0</v>
      </c>
      <c r="Q977" s="146">
        <f t="shared" si="93"/>
        <v>0</v>
      </c>
      <c r="R977" s="169"/>
      <c r="S977" s="169"/>
      <c r="T977" s="146">
        <f t="shared" si="94"/>
        <v>0</v>
      </c>
      <c r="U977" s="121" t="str">
        <f t="shared" si="95"/>
        <v>Close</v>
      </c>
      <c r="V977" s="117"/>
    </row>
    <row r="978" spans="1:22" ht="15" customHeight="1">
      <c r="A978" s="117"/>
      <c r="B978" s="144" t="str">
        <f>IF(D978="","","P"&amp;D978&amp;"MA"&amp;COUNTIF($D$14:D978,D978))</f>
        <v/>
      </c>
      <c r="C978" s="162"/>
      <c r="D978" s="163"/>
      <c r="E978" s="164"/>
      <c r="F978" s="164"/>
      <c r="G978" s="164"/>
      <c r="H978" s="164"/>
      <c r="I978" s="162"/>
      <c r="J978" s="144"/>
      <c r="K978" s="144"/>
      <c r="L978" s="144"/>
      <c r="M978" s="145">
        <f t="shared" si="90"/>
        <v>0</v>
      </c>
      <c r="N978" s="145">
        <f t="shared" si="91"/>
        <v>0</v>
      </c>
      <c r="O978" s="146">
        <f t="shared" si="92"/>
        <v>0</v>
      </c>
      <c r="P978" s="146">
        <f>IF(B978="",0,SUMIF('NHAP XUAT'!$G$10:$J$1011,'Ghi So'!B978,'NHAP XUAT'!$J$10:$J$1011))</f>
        <v>0</v>
      </c>
      <c r="Q978" s="146">
        <f t="shared" si="93"/>
        <v>0</v>
      </c>
      <c r="R978" s="169"/>
      <c r="S978" s="169"/>
      <c r="T978" s="146">
        <f t="shared" si="94"/>
        <v>0</v>
      </c>
      <c r="U978" s="121" t="str">
        <f t="shared" si="95"/>
        <v>Close</v>
      </c>
      <c r="V978" s="117"/>
    </row>
    <row r="979" spans="1:22" ht="15" customHeight="1">
      <c r="A979" s="117"/>
      <c r="B979" s="144" t="str">
        <f>IF(D979="","","P"&amp;D979&amp;"MA"&amp;COUNTIF($D$14:D979,D979))</f>
        <v/>
      </c>
      <c r="C979" s="162"/>
      <c r="D979" s="163"/>
      <c r="E979" s="164"/>
      <c r="F979" s="164"/>
      <c r="G979" s="164"/>
      <c r="H979" s="164"/>
      <c r="I979" s="162"/>
      <c r="J979" s="144"/>
      <c r="K979" s="144"/>
      <c r="L979" s="144"/>
      <c r="M979" s="145">
        <f t="shared" si="90"/>
        <v>0</v>
      </c>
      <c r="N979" s="145">
        <f t="shared" si="91"/>
        <v>0</v>
      </c>
      <c r="O979" s="146">
        <f t="shared" si="92"/>
        <v>0</v>
      </c>
      <c r="P979" s="146">
        <f>IF(B979="",0,SUMIF('NHAP XUAT'!$G$10:$J$1011,'Ghi So'!B979,'NHAP XUAT'!$J$10:$J$1011))</f>
        <v>0</v>
      </c>
      <c r="Q979" s="146">
        <f t="shared" si="93"/>
        <v>0</v>
      </c>
      <c r="R979" s="169"/>
      <c r="S979" s="169"/>
      <c r="T979" s="146">
        <f t="shared" si="94"/>
        <v>0</v>
      </c>
      <c r="U979" s="121" t="str">
        <f t="shared" si="95"/>
        <v>Close</v>
      </c>
      <c r="V979" s="117"/>
    </row>
    <row r="980" spans="1:22" ht="15" customHeight="1">
      <c r="A980" s="117"/>
      <c r="B980" s="144" t="str">
        <f>IF(D980="","","P"&amp;D980&amp;"MA"&amp;COUNTIF($D$14:D980,D980))</f>
        <v/>
      </c>
      <c r="C980" s="162"/>
      <c r="D980" s="163"/>
      <c r="E980" s="164"/>
      <c r="F980" s="164"/>
      <c r="G980" s="164"/>
      <c r="H980" s="164"/>
      <c r="I980" s="162"/>
      <c r="J980" s="144"/>
      <c r="K980" s="144"/>
      <c r="L980" s="144"/>
      <c r="M980" s="145">
        <f t="shared" si="90"/>
        <v>0</v>
      </c>
      <c r="N980" s="145">
        <f t="shared" si="91"/>
        <v>0</v>
      </c>
      <c r="O980" s="146">
        <f t="shared" si="92"/>
        <v>0</v>
      </c>
      <c r="P980" s="146">
        <f>IF(B980="",0,SUMIF('NHAP XUAT'!$G$10:$J$1011,'Ghi So'!B980,'NHAP XUAT'!$J$10:$J$1011))</f>
        <v>0</v>
      </c>
      <c r="Q980" s="146">
        <f t="shared" si="93"/>
        <v>0</v>
      </c>
      <c r="R980" s="169"/>
      <c r="S980" s="169"/>
      <c r="T980" s="146">
        <f t="shared" si="94"/>
        <v>0</v>
      </c>
      <c r="U980" s="121" t="str">
        <f t="shared" si="95"/>
        <v>Close</v>
      </c>
      <c r="V980" s="117"/>
    </row>
    <row r="981" spans="1:22" ht="15" customHeight="1">
      <c r="A981" s="117"/>
      <c r="B981" s="144" t="str">
        <f>IF(D981="","","P"&amp;D981&amp;"MA"&amp;COUNTIF($D$14:D981,D981))</f>
        <v/>
      </c>
      <c r="C981" s="162"/>
      <c r="D981" s="163"/>
      <c r="E981" s="164"/>
      <c r="F981" s="164"/>
      <c r="G981" s="164"/>
      <c r="H981" s="164"/>
      <c r="I981" s="162"/>
      <c r="J981" s="144"/>
      <c r="K981" s="144"/>
      <c r="L981" s="144"/>
      <c r="M981" s="145">
        <f t="shared" si="90"/>
        <v>0</v>
      </c>
      <c r="N981" s="145">
        <f t="shared" si="91"/>
        <v>0</v>
      </c>
      <c r="O981" s="146">
        <f t="shared" si="92"/>
        <v>0</v>
      </c>
      <c r="P981" s="146">
        <f>IF(B981="",0,SUMIF('NHAP XUAT'!$G$10:$J$1011,'Ghi So'!B981,'NHAP XUAT'!$J$10:$J$1011))</f>
        <v>0</v>
      </c>
      <c r="Q981" s="146">
        <f t="shared" si="93"/>
        <v>0</v>
      </c>
      <c r="R981" s="169"/>
      <c r="S981" s="169"/>
      <c r="T981" s="146">
        <f t="shared" si="94"/>
        <v>0</v>
      </c>
      <c r="U981" s="121" t="str">
        <f t="shared" si="95"/>
        <v>Close</v>
      </c>
      <c r="V981" s="117"/>
    </row>
    <row r="982" spans="1:22" ht="15" customHeight="1">
      <c r="A982" s="117"/>
      <c r="B982" s="144" t="str">
        <f>IF(D982="","","P"&amp;D982&amp;"MA"&amp;COUNTIF($D$14:D982,D982))</f>
        <v/>
      </c>
      <c r="C982" s="162"/>
      <c r="D982" s="163"/>
      <c r="E982" s="164"/>
      <c r="F982" s="164"/>
      <c r="G982" s="164"/>
      <c r="H982" s="164"/>
      <c r="I982" s="162"/>
      <c r="J982" s="144"/>
      <c r="K982" s="144"/>
      <c r="L982" s="144"/>
      <c r="M982" s="145">
        <f t="shared" si="90"/>
        <v>0</v>
      </c>
      <c r="N982" s="145">
        <f t="shared" si="91"/>
        <v>0</v>
      </c>
      <c r="O982" s="146">
        <f t="shared" si="92"/>
        <v>0</v>
      </c>
      <c r="P982" s="146">
        <f>IF(B982="",0,SUMIF('NHAP XUAT'!$G$10:$J$1011,'Ghi So'!B982,'NHAP XUAT'!$J$10:$J$1011))</f>
        <v>0</v>
      </c>
      <c r="Q982" s="146">
        <f t="shared" si="93"/>
        <v>0</v>
      </c>
      <c r="R982" s="169"/>
      <c r="S982" s="169"/>
      <c r="T982" s="146">
        <f t="shared" si="94"/>
        <v>0</v>
      </c>
      <c r="U982" s="121" t="str">
        <f t="shared" si="95"/>
        <v>Close</v>
      </c>
      <c r="V982" s="117"/>
    </row>
    <row r="983" spans="1:22" ht="15" customHeight="1">
      <c r="A983" s="117"/>
      <c r="B983" s="144" t="str">
        <f>IF(D983="","","P"&amp;D983&amp;"MA"&amp;COUNTIF($D$14:D983,D983))</f>
        <v/>
      </c>
      <c r="C983" s="162"/>
      <c r="D983" s="163"/>
      <c r="E983" s="164"/>
      <c r="F983" s="164"/>
      <c r="G983" s="164"/>
      <c r="H983" s="164"/>
      <c r="I983" s="162"/>
      <c r="J983" s="144"/>
      <c r="K983" s="144"/>
      <c r="L983" s="144"/>
      <c r="M983" s="145">
        <f t="shared" si="90"/>
        <v>0</v>
      </c>
      <c r="N983" s="145">
        <f t="shared" si="91"/>
        <v>0</v>
      </c>
      <c r="O983" s="146">
        <f t="shared" si="92"/>
        <v>0</v>
      </c>
      <c r="P983" s="146">
        <f>IF(B983="",0,SUMIF('NHAP XUAT'!$G$10:$J$1011,'Ghi So'!B983,'NHAP XUAT'!$J$10:$J$1011))</f>
        <v>0</v>
      </c>
      <c r="Q983" s="146">
        <f t="shared" si="93"/>
        <v>0</v>
      </c>
      <c r="R983" s="169"/>
      <c r="S983" s="169"/>
      <c r="T983" s="146">
        <f t="shared" si="94"/>
        <v>0</v>
      </c>
      <c r="U983" s="121" t="str">
        <f t="shared" si="95"/>
        <v>Close</v>
      </c>
      <c r="V983" s="117"/>
    </row>
    <row r="984" spans="1:22" ht="15" customHeight="1">
      <c r="A984" s="117"/>
      <c r="B984" s="144" t="str">
        <f>IF(D984="","","P"&amp;D984&amp;"MA"&amp;COUNTIF($D$14:D984,D984))</f>
        <v/>
      </c>
      <c r="C984" s="162"/>
      <c r="D984" s="163"/>
      <c r="E984" s="164"/>
      <c r="F984" s="164"/>
      <c r="G984" s="164"/>
      <c r="H984" s="164"/>
      <c r="I984" s="162"/>
      <c r="J984" s="144"/>
      <c r="K984" s="144"/>
      <c r="L984" s="144"/>
      <c r="M984" s="145">
        <f t="shared" si="90"/>
        <v>0</v>
      </c>
      <c r="N984" s="145">
        <f t="shared" si="91"/>
        <v>0</v>
      </c>
      <c r="O984" s="146">
        <f t="shared" si="92"/>
        <v>0</v>
      </c>
      <c r="P984" s="146">
        <f>IF(B984="",0,SUMIF('NHAP XUAT'!$G$10:$J$1011,'Ghi So'!B984,'NHAP XUAT'!$J$10:$J$1011))</f>
        <v>0</v>
      </c>
      <c r="Q984" s="146">
        <f t="shared" si="93"/>
        <v>0</v>
      </c>
      <c r="R984" s="169"/>
      <c r="S984" s="169"/>
      <c r="T984" s="146">
        <f t="shared" si="94"/>
        <v>0</v>
      </c>
      <c r="U984" s="121" t="str">
        <f t="shared" si="95"/>
        <v>Close</v>
      </c>
      <c r="V984" s="117"/>
    </row>
    <row r="985" spans="1:22" ht="15" customHeight="1">
      <c r="A985" s="117"/>
      <c r="B985" s="144" t="str">
        <f>IF(D985="","","P"&amp;D985&amp;"MA"&amp;COUNTIF($D$14:D985,D985))</f>
        <v/>
      </c>
      <c r="C985" s="162"/>
      <c r="D985" s="163"/>
      <c r="E985" s="164"/>
      <c r="F985" s="164"/>
      <c r="G985" s="164"/>
      <c r="H985" s="164"/>
      <c r="I985" s="162"/>
      <c r="J985" s="144"/>
      <c r="K985" s="144"/>
      <c r="L985" s="144"/>
      <c r="M985" s="145">
        <f t="shared" si="90"/>
        <v>0</v>
      </c>
      <c r="N985" s="145">
        <f t="shared" si="91"/>
        <v>0</v>
      </c>
      <c r="O985" s="146">
        <f t="shared" si="92"/>
        <v>0</v>
      </c>
      <c r="P985" s="146">
        <f>IF(B985="",0,SUMIF('NHAP XUAT'!$G$10:$J$1011,'Ghi So'!B985,'NHAP XUAT'!$J$10:$J$1011))</f>
        <v>0</v>
      </c>
      <c r="Q985" s="146">
        <f t="shared" si="93"/>
        <v>0</v>
      </c>
      <c r="R985" s="169"/>
      <c r="S985" s="169"/>
      <c r="T985" s="146">
        <f t="shared" si="94"/>
        <v>0</v>
      </c>
      <c r="U985" s="121" t="str">
        <f t="shared" si="95"/>
        <v>Close</v>
      </c>
      <c r="V985" s="117"/>
    </row>
    <row r="986" spans="1:22" ht="15" customHeight="1">
      <c r="A986" s="117"/>
      <c r="B986" s="144" t="str">
        <f>IF(D986="","","P"&amp;D986&amp;"MA"&amp;COUNTIF($D$14:D986,D986))</f>
        <v/>
      </c>
      <c r="C986" s="162"/>
      <c r="D986" s="163"/>
      <c r="E986" s="164"/>
      <c r="F986" s="164"/>
      <c r="G986" s="164"/>
      <c r="H986" s="164"/>
      <c r="I986" s="162"/>
      <c r="J986" s="144"/>
      <c r="K986" s="144"/>
      <c r="L986" s="144"/>
      <c r="M986" s="145">
        <f t="shared" si="90"/>
        <v>0</v>
      </c>
      <c r="N986" s="145">
        <f t="shared" si="91"/>
        <v>0</v>
      </c>
      <c r="O986" s="146">
        <f t="shared" si="92"/>
        <v>0</v>
      </c>
      <c r="P986" s="146">
        <f>IF(B986="",0,SUMIF('NHAP XUAT'!$G$10:$J$1011,'Ghi So'!B986,'NHAP XUAT'!$J$10:$J$1011))</f>
        <v>0</v>
      </c>
      <c r="Q986" s="146">
        <f t="shared" si="93"/>
        <v>0</v>
      </c>
      <c r="R986" s="169"/>
      <c r="S986" s="169"/>
      <c r="T986" s="146">
        <f t="shared" si="94"/>
        <v>0</v>
      </c>
      <c r="U986" s="121" t="str">
        <f t="shared" si="95"/>
        <v>Close</v>
      </c>
      <c r="V986" s="117"/>
    </row>
    <row r="987" spans="1:22" ht="15" customHeight="1">
      <c r="A987" s="117"/>
      <c r="B987" s="144" t="str">
        <f>IF(D987="","","P"&amp;D987&amp;"MA"&amp;COUNTIF($D$14:D987,D987))</f>
        <v/>
      </c>
      <c r="C987" s="162"/>
      <c r="D987" s="163"/>
      <c r="E987" s="164"/>
      <c r="F987" s="164"/>
      <c r="G987" s="164"/>
      <c r="H987" s="164"/>
      <c r="I987" s="162"/>
      <c r="J987" s="144"/>
      <c r="K987" s="144"/>
      <c r="L987" s="144"/>
      <c r="M987" s="145">
        <f t="shared" si="90"/>
        <v>0</v>
      </c>
      <c r="N987" s="145">
        <f t="shared" si="91"/>
        <v>0</v>
      </c>
      <c r="O987" s="146">
        <f t="shared" si="92"/>
        <v>0</v>
      </c>
      <c r="P987" s="146">
        <f>IF(B987="",0,SUMIF('NHAP XUAT'!$G$10:$J$1011,'Ghi So'!B987,'NHAP XUAT'!$J$10:$J$1011))</f>
        <v>0</v>
      </c>
      <c r="Q987" s="146">
        <f t="shared" si="93"/>
        <v>0</v>
      </c>
      <c r="R987" s="169"/>
      <c r="S987" s="169"/>
      <c r="T987" s="146">
        <f t="shared" si="94"/>
        <v>0</v>
      </c>
      <c r="U987" s="121" t="str">
        <f t="shared" si="95"/>
        <v>Close</v>
      </c>
      <c r="V987" s="117"/>
    </row>
    <row r="988" spans="1:22" ht="15" customHeight="1">
      <c r="A988" s="117"/>
      <c r="B988" s="144" t="str">
        <f>IF(D988="","","P"&amp;D988&amp;"MA"&amp;COUNTIF($D$14:D988,D988))</f>
        <v/>
      </c>
      <c r="C988" s="162"/>
      <c r="D988" s="163"/>
      <c r="E988" s="164"/>
      <c r="F988" s="164"/>
      <c r="G988" s="164"/>
      <c r="H988" s="164"/>
      <c r="I988" s="162"/>
      <c r="J988" s="144"/>
      <c r="K988" s="144"/>
      <c r="L988" s="144"/>
      <c r="M988" s="145">
        <f t="shared" si="90"/>
        <v>0</v>
      </c>
      <c r="N988" s="145">
        <f t="shared" si="91"/>
        <v>0</v>
      </c>
      <c r="O988" s="146">
        <f t="shared" si="92"/>
        <v>0</v>
      </c>
      <c r="P988" s="146">
        <f>IF(B988="",0,SUMIF('NHAP XUAT'!$G$10:$J$1011,'Ghi So'!B988,'NHAP XUAT'!$J$10:$J$1011))</f>
        <v>0</v>
      </c>
      <c r="Q988" s="146">
        <f t="shared" si="93"/>
        <v>0</v>
      </c>
      <c r="R988" s="169"/>
      <c r="S988" s="169"/>
      <c r="T988" s="146">
        <f t="shared" si="94"/>
        <v>0</v>
      </c>
      <c r="U988" s="121" t="str">
        <f t="shared" si="95"/>
        <v>Close</v>
      </c>
      <c r="V988" s="117"/>
    </row>
    <row r="989" spans="1:22" ht="15" customHeight="1">
      <c r="A989" s="117"/>
      <c r="B989" s="144" t="str">
        <f>IF(D989="","","P"&amp;D989&amp;"MA"&amp;COUNTIF($D$14:D989,D989))</f>
        <v/>
      </c>
      <c r="C989" s="162"/>
      <c r="D989" s="163"/>
      <c r="E989" s="164"/>
      <c r="F989" s="164"/>
      <c r="G989" s="164"/>
      <c r="H989" s="164"/>
      <c r="I989" s="162"/>
      <c r="J989" s="144"/>
      <c r="K989" s="144"/>
      <c r="L989" s="144"/>
      <c r="M989" s="145">
        <f t="shared" ref="M989:M1013" si="96">(IF(I989&lt;&gt;"",(I989-C989)*24*60,0)+G989*60+H989-E989*60-F989)/60</f>
        <v>0</v>
      </c>
      <c r="N989" s="145">
        <f t="shared" ref="N989:N1013" si="97">INT(M989)+IF(MOD(M989,2)&gt;0.25,1,0)</f>
        <v>0</v>
      </c>
      <c r="O989" s="146">
        <f t="shared" ref="O989:O1013" si="98">IF(J989&lt;&gt;"",DG_nghigio+DG_themgio*(N989-1),IF(K989&lt;&gt;"",DG_quadem+DG_themgio*(N989-12),DG_ngay*L989))</f>
        <v>0</v>
      </c>
      <c r="P989" s="146">
        <f>IF(B989="",0,SUMIF('NHAP XUAT'!$G$10:$J$1011,'Ghi So'!B989,'NHAP XUAT'!$J$10:$J$1011))</f>
        <v>0</v>
      </c>
      <c r="Q989" s="146">
        <f t="shared" ref="Q989:Q1013" si="99">O989+P989</f>
        <v>0</v>
      </c>
      <c r="R989" s="169"/>
      <c r="S989" s="169"/>
      <c r="T989" s="146">
        <f t="shared" ref="T989:T1013" si="100">R989*S989</f>
        <v>0</v>
      </c>
      <c r="U989" s="121" t="str">
        <f t="shared" ref="U989:U1013" si="101">D989&amp;IF(AND(G989="",H989="",I989=""),"Close","Open")</f>
        <v>Close</v>
      </c>
      <c r="V989" s="117"/>
    </row>
    <row r="990" spans="1:22" ht="15" customHeight="1">
      <c r="A990" s="117"/>
      <c r="B990" s="144" t="str">
        <f>IF(D990="","","P"&amp;D990&amp;"MA"&amp;COUNTIF($D$14:D990,D990))</f>
        <v/>
      </c>
      <c r="C990" s="162"/>
      <c r="D990" s="163"/>
      <c r="E990" s="164"/>
      <c r="F990" s="164"/>
      <c r="G990" s="164"/>
      <c r="H990" s="164"/>
      <c r="I990" s="162"/>
      <c r="J990" s="144"/>
      <c r="K990" s="144"/>
      <c r="L990" s="144"/>
      <c r="M990" s="145">
        <f t="shared" si="96"/>
        <v>0</v>
      </c>
      <c r="N990" s="145">
        <f t="shared" si="97"/>
        <v>0</v>
      </c>
      <c r="O990" s="146">
        <f t="shared" si="98"/>
        <v>0</v>
      </c>
      <c r="P990" s="146">
        <f>IF(B990="",0,SUMIF('NHAP XUAT'!$G$10:$J$1011,'Ghi So'!B990,'NHAP XUAT'!$J$10:$J$1011))</f>
        <v>0</v>
      </c>
      <c r="Q990" s="146">
        <f t="shared" si="99"/>
        <v>0</v>
      </c>
      <c r="R990" s="169"/>
      <c r="S990" s="169"/>
      <c r="T990" s="146">
        <f t="shared" si="100"/>
        <v>0</v>
      </c>
      <c r="U990" s="121" t="str">
        <f t="shared" si="101"/>
        <v>Close</v>
      </c>
      <c r="V990" s="117"/>
    </row>
    <row r="991" spans="1:22" ht="15" customHeight="1">
      <c r="A991" s="117"/>
      <c r="B991" s="144" t="str">
        <f>IF(D991="","","P"&amp;D991&amp;"MA"&amp;COUNTIF($D$14:D991,D991))</f>
        <v/>
      </c>
      <c r="C991" s="162"/>
      <c r="D991" s="163"/>
      <c r="E991" s="164"/>
      <c r="F991" s="164"/>
      <c r="G991" s="164"/>
      <c r="H991" s="164"/>
      <c r="I991" s="162"/>
      <c r="J991" s="144"/>
      <c r="K991" s="144"/>
      <c r="L991" s="144"/>
      <c r="M991" s="145">
        <f t="shared" si="96"/>
        <v>0</v>
      </c>
      <c r="N991" s="145">
        <f t="shared" si="97"/>
        <v>0</v>
      </c>
      <c r="O991" s="146">
        <f t="shared" si="98"/>
        <v>0</v>
      </c>
      <c r="P991" s="146">
        <f>IF(B991="",0,SUMIF('NHAP XUAT'!$G$10:$J$1011,'Ghi So'!B991,'NHAP XUAT'!$J$10:$J$1011))</f>
        <v>0</v>
      </c>
      <c r="Q991" s="146">
        <f t="shared" si="99"/>
        <v>0</v>
      </c>
      <c r="R991" s="169"/>
      <c r="S991" s="169"/>
      <c r="T991" s="146">
        <f t="shared" si="100"/>
        <v>0</v>
      </c>
      <c r="U991" s="121" t="str">
        <f t="shared" si="101"/>
        <v>Close</v>
      </c>
      <c r="V991" s="117"/>
    </row>
    <row r="992" spans="1:22" ht="15" customHeight="1">
      <c r="A992" s="117"/>
      <c r="B992" s="144" t="str">
        <f>IF(D992="","","P"&amp;D992&amp;"MA"&amp;COUNTIF($D$14:D992,D992))</f>
        <v/>
      </c>
      <c r="C992" s="162"/>
      <c r="D992" s="163"/>
      <c r="E992" s="164"/>
      <c r="F992" s="164"/>
      <c r="G992" s="164"/>
      <c r="H992" s="164"/>
      <c r="I992" s="162"/>
      <c r="J992" s="144"/>
      <c r="K992" s="144"/>
      <c r="L992" s="144"/>
      <c r="M992" s="145">
        <f t="shared" si="96"/>
        <v>0</v>
      </c>
      <c r="N992" s="145">
        <f t="shared" si="97"/>
        <v>0</v>
      </c>
      <c r="O992" s="146">
        <f t="shared" si="98"/>
        <v>0</v>
      </c>
      <c r="P992" s="146">
        <f>IF(B992="",0,SUMIF('NHAP XUAT'!$G$10:$J$1011,'Ghi So'!B992,'NHAP XUAT'!$J$10:$J$1011))</f>
        <v>0</v>
      </c>
      <c r="Q992" s="146">
        <f t="shared" si="99"/>
        <v>0</v>
      </c>
      <c r="R992" s="169"/>
      <c r="S992" s="169"/>
      <c r="T992" s="146">
        <f t="shared" si="100"/>
        <v>0</v>
      </c>
      <c r="U992" s="121" t="str">
        <f t="shared" si="101"/>
        <v>Close</v>
      </c>
      <c r="V992" s="117"/>
    </row>
    <row r="993" spans="1:22" ht="15" customHeight="1">
      <c r="A993" s="117"/>
      <c r="B993" s="144" t="str">
        <f>IF(D993="","","P"&amp;D993&amp;"MA"&amp;COUNTIF($D$14:D993,D993))</f>
        <v/>
      </c>
      <c r="C993" s="162"/>
      <c r="D993" s="163"/>
      <c r="E993" s="164"/>
      <c r="F993" s="164"/>
      <c r="G993" s="164"/>
      <c r="H993" s="164"/>
      <c r="I993" s="162"/>
      <c r="J993" s="144"/>
      <c r="K993" s="144"/>
      <c r="L993" s="144"/>
      <c r="M993" s="145">
        <f t="shared" si="96"/>
        <v>0</v>
      </c>
      <c r="N993" s="145">
        <f t="shared" si="97"/>
        <v>0</v>
      </c>
      <c r="O993" s="146">
        <f t="shared" si="98"/>
        <v>0</v>
      </c>
      <c r="P993" s="146">
        <f>IF(B993="",0,SUMIF('NHAP XUAT'!$G$10:$J$1011,'Ghi So'!B993,'NHAP XUAT'!$J$10:$J$1011))</f>
        <v>0</v>
      </c>
      <c r="Q993" s="146">
        <f t="shared" si="99"/>
        <v>0</v>
      </c>
      <c r="R993" s="169"/>
      <c r="S993" s="169"/>
      <c r="T993" s="146">
        <f t="shared" si="100"/>
        <v>0</v>
      </c>
      <c r="U993" s="121" t="str">
        <f t="shared" si="101"/>
        <v>Close</v>
      </c>
      <c r="V993" s="117"/>
    </row>
    <row r="994" spans="1:22" ht="15" customHeight="1">
      <c r="A994" s="117"/>
      <c r="B994" s="144" t="str">
        <f>IF(D994="","","P"&amp;D994&amp;"MA"&amp;COUNTIF($D$14:D994,D994))</f>
        <v/>
      </c>
      <c r="C994" s="162"/>
      <c r="D994" s="163"/>
      <c r="E994" s="164"/>
      <c r="F994" s="164"/>
      <c r="G994" s="164"/>
      <c r="H994" s="164"/>
      <c r="I994" s="162"/>
      <c r="J994" s="144"/>
      <c r="K994" s="144"/>
      <c r="L994" s="144"/>
      <c r="M994" s="145">
        <f t="shared" si="96"/>
        <v>0</v>
      </c>
      <c r="N994" s="145">
        <f t="shared" si="97"/>
        <v>0</v>
      </c>
      <c r="O994" s="146">
        <f t="shared" si="98"/>
        <v>0</v>
      </c>
      <c r="P994" s="146">
        <f>IF(B994="",0,SUMIF('NHAP XUAT'!$G$10:$J$1011,'Ghi So'!B994,'NHAP XUAT'!$J$10:$J$1011))</f>
        <v>0</v>
      </c>
      <c r="Q994" s="146">
        <f t="shared" si="99"/>
        <v>0</v>
      </c>
      <c r="R994" s="169"/>
      <c r="S994" s="169"/>
      <c r="T994" s="146">
        <f t="shared" si="100"/>
        <v>0</v>
      </c>
      <c r="U994" s="121" t="str">
        <f t="shared" si="101"/>
        <v>Close</v>
      </c>
      <c r="V994" s="117"/>
    </row>
    <row r="995" spans="1:22" ht="15" customHeight="1">
      <c r="A995" s="117"/>
      <c r="B995" s="144" t="str">
        <f>IF(D995="","","P"&amp;D995&amp;"MA"&amp;COUNTIF($D$14:D995,D995))</f>
        <v/>
      </c>
      <c r="C995" s="162"/>
      <c r="D995" s="163"/>
      <c r="E995" s="164"/>
      <c r="F995" s="164"/>
      <c r="G995" s="164"/>
      <c r="H995" s="164"/>
      <c r="I995" s="162"/>
      <c r="J995" s="144"/>
      <c r="K995" s="144"/>
      <c r="L995" s="144"/>
      <c r="M995" s="145">
        <f t="shared" si="96"/>
        <v>0</v>
      </c>
      <c r="N995" s="145">
        <f t="shared" si="97"/>
        <v>0</v>
      </c>
      <c r="O995" s="146">
        <f t="shared" si="98"/>
        <v>0</v>
      </c>
      <c r="P995" s="146">
        <f>IF(B995="",0,SUMIF('NHAP XUAT'!$G$10:$J$1011,'Ghi So'!B995,'NHAP XUAT'!$J$10:$J$1011))</f>
        <v>0</v>
      </c>
      <c r="Q995" s="146">
        <f t="shared" si="99"/>
        <v>0</v>
      </c>
      <c r="R995" s="169"/>
      <c r="S995" s="169"/>
      <c r="T995" s="146">
        <f t="shared" si="100"/>
        <v>0</v>
      </c>
      <c r="U995" s="121" t="str">
        <f t="shared" si="101"/>
        <v>Close</v>
      </c>
      <c r="V995" s="117"/>
    </row>
    <row r="996" spans="1:22" ht="15" customHeight="1">
      <c r="A996" s="117"/>
      <c r="B996" s="144" t="str">
        <f>IF(D996="","","P"&amp;D996&amp;"MA"&amp;COUNTIF($D$14:D996,D996))</f>
        <v/>
      </c>
      <c r="C996" s="162"/>
      <c r="D996" s="163"/>
      <c r="E996" s="164"/>
      <c r="F996" s="164"/>
      <c r="G996" s="164"/>
      <c r="H996" s="164"/>
      <c r="I996" s="162"/>
      <c r="J996" s="144"/>
      <c r="K996" s="144"/>
      <c r="L996" s="144"/>
      <c r="M996" s="145">
        <f t="shared" si="96"/>
        <v>0</v>
      </c>
      <c r="N996" s="145">
        <f t="shared" si="97"/>
        <v>0</v>
      </c>
      <c r="O996" s="146">
        <f t="shared" si="98"/>
        <v>0</v>
      </c>
      <c r="P996" s="146">
        <f>IF(B996="",0,SUMIF('NHAP XUAT'!$G$10:$J$1011,'Ghi So'!B996,'NHAP XUAT'!$J$10:$J$1011))</f>
        <v>0</v>
      </c>
      <c r="Q996" s="146">
        <f t="shared" si="99"/>
        <v>0</v>
      </c>
      <c r="R996" s="169"/>
      <c r="S996" s="169"/>
      <c r="T996" s="146">
        <f t="shared" si="100"/>
        <v>0</v>
      </c>
      <c r="U996" s="121" t="str">
        <f t="shared" si="101"/>
        <v>Close</v>
      </c>
      <c r="V996" s="117"/>
    </row>
    <row r="997" spans="1:22" ht="15" customHeight="1">
      <c r="A997" s="117"/>
      <c r="B997" s="144" t="str">
        <f>IF(D997="","","P"&amp;D997&amp;"MA"&amp;COUNTIF($D$14:D997,D997))</f>
        <v/>
      </c>
      <c r="C997" s="162"/>
      <c r="D997" s="163"/>
      <c r="E997" s="164"/>
      <c r="F997" s="164"/>
      <c r="G997" s="164"/>
      <c r="H997" s="164"/>
      <c r="I997" s="162"/>
      <c r="J997" s="144"/>
      <c r="K997" s="144"/>
      <c r="L997" s="144"/>
      <c r="M997" s="145">
        <f t="shared" si="96"/>
        <v>0</v>
      </c>
      <c r="N997" s="145">
        <f t="shared" si="97"/>
        <v>0</v>
      </c>
      <c r="O997" s="146">
        <f t="shared" si="98"/>
        <v>0</v>
      </c>
      <c r="P997" s="146">
        <f>IF(B997="",0,SUMIF('NHAP XUAT'!$G$10:$J$1011,'Ghi So'!B997,'NHAP XUAT'!$J$10:$J$1011))</f>
        <v>0</v>
      </c>
      <c r="Q997" s="146">
        <f t="shared" si="99"/>
        <v>0</v>
      </c>
      <c r="R997" s="169"/>
      <c r="S997" s="169"/>
      <c r="T997" s="146">
        <f t="shared" si="100"/>
        <v>0</v>
      </c>
      <c r="U997" s="121" t="str">
        <f t="shared" si="101"/>
        <v>Close</v>
      </c>
      <c r="V997" s="117"/>
    </row>
    <row r="998" spans="1:22" ht="15" customHeight="1">
      <c r="A998" s="117"/>
      <c r="B998" s="144" t="str">
        <f>IF(D998="","","P"&amp;D998&amp;"MA"&amp;COUNTIF($D$14:D998,D998))</f>
        <v/>
      </c>
      <c r="C998" s="162"/>
      <c r="D998" s="163"/>
      <c r="E998" s="164"/>
      <c r="F998" s="164"/>
      <c r="G998" s="164"/>
      <c r="H998" s="164"/>
      <c r="I998" s="162"/>
      <c r="J998" s="144"/>
      <c r="K998" s="144"/>
      <c r="L998" s="144"/>
      <c r="M998" s="145">
        <f t="shared" si="96"/>
        <v>0</v>
      </c>
      <c r="N998" s="145">
        <f t="shared" si="97"/>
        <v>0</v>
      </c>
      <c r="O998" s="146">
        <f t="shared" si="98"/>
        <v>0</v>
      </c>
      <c r="P998" s="146">
        <f>IF(B998="",0,SUMIF('NHAP XUAT'!$G$10:$J$1011,'Ghi So'!B998,'NHAP XUAT'!$J$10:$J$1011))</f>
        <v>0</v>
      </c>
      <c r="Q998" s="146">
        <f t="shared" si="99"/>
        <v>0</v>
      </c>
      <c r="R998" s="169"/>
      <c r="S998" s="169"/>
      <c r="T998" s="146">
        <f t="shared" si="100"/>
        <v>0</v>
      </c>
      <c r="U998" s="121" t="str">
        <f t="shared" si="101"/>
        <v>Close</v>
      </c>
      <c r="V998" s="117"/>
    </row>
    <row r="999" spans="1:22" ht="15" customHeight="1">
      <c r="A999" s="117"/>
      <c r="B999" s="144" t="str">
        <f>IF(D999="","","P"&amp;D999&amp;"MA"&amp;COUNTIF($D$14:D999,D999))</f>
        <v/>
      </c>
      <c r="C999" s="162"/>
      <c r="D999" s="163"/>
      <c r="E999" s="164"/>
      <c r="F999" s="164"/>
      <c r="G999" s="164"/>
      <c r="H999" s="164"/>
      <c r="I999" s="162"/>
      <c r="J999" s="144"/>
      <c r="K999" s="144"/>
      <c r="L999" s="144"/>
      <c r="M999" s="145">
        <f t="shared" si="96"/>
        <v>0</v>
      </c>
      <c r="N999" s="145">
        <f t="shared" si="97"/>
        <v>0</v>
      </c>
      <c r="O999" s="146">
        <f t="shared" si="98"/>
        <v>0</v>
      </c>
      <c r="P999" s="146">
        <f>IF(B999="",0,SUMIF('NHAP XUAT'!$G$10:$J$1011,'Ghi So'!B999,'NHAP XUAT'!$J$10:$J$1011))</f>
        <v>0</v>
      </c>
      <c r="Q999" s="146">
        <f t="shared" si="99"/>
        <v>0</v>
      </c>
      <c r="R999" s="169"/>
      <c r="S999" s="169"/>
      <c r="T999" s="146">
        <f t="shared" si="100"/>
        <v>0</v>
      </c>
      <c r="U999" s="121" t="str">
        <f t="shared" si="101"/>
        <v>Close</v>
      </c>
      <c r="V999" s="117"/>
    </row>
    <row r="1000" spans="1:22" ht="15" customHeight="1">
      <c r="A1000" s="117"/>
      <c r="B1000" s="144" t="str">
        <f>IF(D1000="","","P"&amp;D1000&amp;"MA"&amp;COUNTIF($D$14:D1000,D1000))</f>
        <v/>
      </c>
      <c r="C1000" s="162"/>
      <c r="D1000" s="163"/>
      <c r="E1000" s="164"/>
      <c r="F1000" s="164"/>
      <c r="G1000" s="164"/>
      <c r="H1000" s="164"/>
      <c r="I1000" s="162"/>
      <c r="J1000" s="144"/>
      <c r="K1000" s="144"/>
      <c r="L1000" s="144"/>
      <c r="M1000" s="145">
        <f t="shared" si="96"/>
        <v>0</v>
      </c>
      <c r="N1000" s="145">
        <f t="shared" si="97"/>
        <v>0</v>
      </c>
      <c r="O1000" s="146">
        <f t="shared" si="98"/>
        <v>0</v>
      </c>
      <c r="P1000" s="146">
        <f>IF(B1000="",0,SUMIF('NHAP XUAT'!$G$10:$J$1011,'Ghi So'!B1000,'NHAP XUAT'!$J$10:$J$1011))</f>
        <v>0</v>
      </c>
      <c r="Q1000" s="146">
        <f t="shared" si="99"/>
        <v>0</v>
      </c>
      <c r="R1000" s="169"/>
      <c r="S1000" s="169"/>
      <c r="T1000" s="146">
        <f t="shared" si="100"/>
        <v>0</v>
      </c>
      <c r="U1000" s="121" t="str">
        <f t="shared" si="101"/>
        <v>Close</v>
      </c>
      <c r="V1000" s="117"/>
    </row>
    <row r="1001" spans="1:22" ht="15" customHeight="1">
      <c r="A1001" s="117"/>
      <c r="B1001" s="144" t="str">
        <f>IF(D1001="","","P"&amp;D1001&amp;"MA"&amp;COUNTIF($D$14:D1001,D1001))</f>
        <v/>
      </c>
      <c r="C1001" s="162"/>
      <c r="D1001" s="163"/>
      <c r="E1001" s="164"/>
      <c r="F1001" s="164"/>
      <c r="G1001" s="164"/>
      <c r="H1001" s="164"/>
      <c r="I1001" s="162"/>
      <c r="J1001" s="144"/>
      <c r="K1001" s="144"/>
      <c r="L1001" s="144"/>
      <c r="M1001" s="145">
        <f t="shared" si="96"/>
        <v>0</v>
      </c>
      <c r="N1001" s="145">
        <f t="shared" si="97"/>
        <v>0</v>
      </c>
      <c r="O1001" s="146">
        <f t="shared" si="98"/>
        <v>0</v>
      </c>
      <c r="P1001" s="146">
        <f>IF(B1001="",0,SUMIF('NHAP XUAT'!$G$10:$J$1011,'Ghi So'!B1001,'NHAP XUAT'!$J$10:$J$1011))</f>
        <v>0</v>
      </c>
      <c r="Q1001" s="146">
        <f t="shared" si="99"/>
        <v>0</v>
      </c>
      <c r="R1001" s="169"/>
      <c r="S1001" s="169"/>
      <c r="T1001" s="146">
        <f t="shared" si="100"/>
        <v>0</v>
      </c>
      <c r="U1001" s="121" t="str">
        <f t="shared" si="101"/>
        <v>Close</v>
      </c>
      <c r="V1001" s="117"/>
    </row>
    <row r="1002" spans="1:22" ht="15" customHeight="1">
      <c r="A1002" s="117"/>
      <c r="B1002" s="144" t="str">
        <f>IF(D1002="","","P"&amp;D1002&amp;"MA"&amp;COUNTIF($D$14:D1002,D1002))</f>
        <v/>
      </c>
      <c r="C1002" s="162"/>
      <c r="D1002" s="163"/>
      <c r="E1002" s="164"/>
      <c r="F1002" s="164"/>
      <c r="G1002" s="164"/>
      <c r="H1002" s="164"/>
      <c r="I1002" s="162"/>
      <c r="J1002" s="144"/>
      <c r="K1002" s="144"/>
      <c r="L1002" s="144"/>
      <c r="M1002" s="145">
        <f t="shared" si="96"/>
        <v>0</v>
      </c>
      <c r="N1002" s="145">
        <f t="shared" si="97"/>
        <v>0</v>
      </c>
      <c r="O1002" s="146">
        <f t="shared" si="98"/>
        <v>0</v>
      </c>
      <c r="P1002" s="146">
        <f>IF(B1002="",0,SUMIF('NHAP XUAT'!$G$10:$J$1011,'Ghi So'!B1002,'NHAP XUAT'!$J$10:$J$1011))</f>
        <v>0</v>
      </c>
      <c r="Q1002" s="146">
        <f t="shared" si="99"/>
        <v>0</v>
      </c>
      <c r="R1002" s="169"/>
      <c r="S1002" s="169"/>
      <c r="T1002" s="146">
        <f t="shared" si="100"/>
        <v>0</v>
      </c>
      <c r="U1002" s="121" t="str">
        <f t="shared" si="101"/>
        <v>Close</v>
      </c>
      <c r="V1002" s="117"/>
    </row>
    <row r="1003" spans="1:22" ht="15" customHeight="1">
      <c r="A1003" s="117"/>
      <c r="B1003" s="144" t="str">
        <f>IF(D1003="","","P"&amp;D1003&amp;"MA"&amp;COUNTIF($D$14:D1003,D1003))</f>
        <v/>
      </c>
      <c r="C1003" s="162"/>
      <c r="D1003" s="163"/>
      <c r="E1003" s="164"/>
      <c r="F1003" s="164"/>
      <c r="G1003" s="164"/>
      <c r="H1003" s="164"/>
      <c r="I1003" s="162"/>
      <c r="J1003" s="144"/>
      <c r="K1003" s="144"/>
      <c r="L1003" s="144"/>
      <c r="M1003" s="145">
        <f t="shared" si="96"/>
        <v>0</v>
      </c>
      <c r="N1003" s="145">
        <f t="shared" si="97"/>
        <v>0</v>
      </c>
      <c r="O1003" s="146">
        <f t="shared" si="98"/>
        <v>0</v>
      </c>
      <c r="P1003" s="146">
        <f>IF(B1003="",0,SUMIF('NHAP XUAT'!$G$10:$J$1011,'Ghi So'!B1003,'NHAP XUAT'!$J$10:$J$1011))</f>
        <v>0</v>
      </c>
      <c r="Q1003" s="146">
        <f t="shared" si="99"/>
        <v>0</v>
      </c>
      <c r="R1003" s="169"/>
      <c r="S1003" s="169"/>
      <c r="T1003" s="146">
        <f t="shared" si="100"/>
        <v>0</v>
      </c>
      <c r="U1003" s="121" t="str">
        <f t="shared" si="101"/>
        <v>Close</v>
      </c>
      <c r="V1003" s="117"/>
    </row>
    <row r="1004" spans="1:22" ht="15" customHeight="1">
      <c r="A1004" s="117"/>
      <c r="B1004" s="144" t="str">
        <f>IF(D1004="","","P"&amp;D1004&amp;"MA"&amp;COUNTIF($D$14:D1004,D1004))</f>
        <v/>
      </c>
      <c r="C1004" s="162"/>
      <c r="D1004" s="163"/>
      <c r="E1004" s="164"/>
      <c r="F1004" s="164"/>
      <c r="G1004" s="164"/>
      <c r="H1004" s="164"/>
      <c r="I1004" s="162"/>
      <c r="J1004" s="144"/>
      <c r="K1004" s="144"/>
      <c r="L1004" s="144"/>
      <c r="M1004" s="145">
        <f t="shared" si="96"/>
        <v>0</v>
      </c>
      <c r="N1004" s="145">
        <f t="shared" si="97"/>
        <v>0</v>
      </c>
      <c r="O1004" s="146">
        <f t="shared" si="98"/>
        <v>0</v>
      </c>
      <c r="P1004" s="146">
        <f>IF(B1004="",0,SUMIF('NHAP XUAT'!$G$10:$J$1011,'Ghi So'!B1004,'NHAP XUAT'!$J$10:$J$1011))</f>
        <v>0</v>
      </c>
      <c r="Q1004" s="146">
        <f t="shared" si="99"/>
        <v>0</v>
      </c>
      <c r="R1004" s="169"/>
      <c r="S1004" s="169"/>
      <c r="T1004" s="146">
        <f t="shared" si="100"/>
        <v>0</v>
      </c>
      <c r="U1004" s="121" t="str">
        <f t="shared" si="101"/>
        <v>Close</v>
      </c>
      <c r="V1004" s="117"/>
    </row>
    <row r="1005" spans="1:22" ht="15" customHeight="1">
      <c r="A1005" s="117"/>
      <c r="B1005" s="144" t="str">
        <f>IF(D1005="","","P"&amp;D1005&amp;"MA"&amp;COUNTIF($D$14:D1005,D1005))</f>
        <v/>
      </c>
      <c r="C1005" s="162"/>
      <c r="D1005" s="163"/>
      <c r="E1005" s="164"/>
      <c r="F1005" s="164"/>
      <c r="G1005" s="164"/>
      <c r="H1005" s="164"/>
      <c r="I1005" s="162"/>
      <c r="J1005" s="144"/>
      <c r="K1005" s="144"/>
      <c r="L1005" s="144"/>
      <c r="M1005" s="145">
        <f t="shared" si="96"/>
        <v>0</v>
      </c>
      <c r="N1005" s="145">
        <f t="shared" si="97"/>
        <v>0</v>
      </c>
      <c r="O1005" s="146">
        <f t="shared" si="98"/>
        <v>0</v>
      </c>
      <c r="P1005" s="146">
        <f>IF(B1005="",0,SUMIF('NHAP XUAT'!$G$10:$J$1011,'Ghi So'!B1005,'NHAP XUAT'!$J$10:$J$1011))</f>
        <v>0</v>
      </c>
      <c r="Q1005" s="146">
        <f t="shared" si="99"/>
        <v>0</v>
      </c>
      <c r="R1005" s="169"/>
      <c r="S1005" s="169"/>
      <c r="T1005" s="146">
        <f t="shared" si="100"/>
        <v>0</v>
      </c>
      <c r="U1005" s="121" t="str">
        <f t="shared" si="101"/>
        <v>Close</v>
      </c>
      <c r="V1005" s="117"/>
    </row>
    <row r="1006" spans="1:22" ht="15" customHeight="1">
      <c r="A1006" s="117"/>
      <c r="B1006" s="144" t="str">
        <f>IF(D1006="","","P"&amp;D1006&amp;"MA"&amp;COUNTIF($D$14:D1006,D1006))</f>
        <v/>
      </c>
      <c r="C1006" s="162"/>
      <c r="D1006" s="163"/>
      <c r="E1006" s="164"/>
      <c r="F1006" s="164"/>
      <c r="G1006" s="164"/>
      <c r="H1006" s="164"/>
      <c r="I1006" s="162"/>
      <c r="J1006" s="144"/>
      <c r="K1006" s="144"/>
      <c r="L1006" s="144"/>
      <c r="M1006" s="145">
        <f t="shared" si="96"/>
        <v>0</v>
      </c>
      <c r="N1006" s="145">
        <f t="shared" si="97"/>
        <v>0</v>
      </c>
      <c r="O1006" s="146">
        <f t="shared" si="98"/>
        <v>0</v>
      </c>
      <c r="P1006" s="146">
        <f>IF(B1006="",0,SUMIF('NHAP XUAT'!$G$10:$J$1011,'Ghi So'!B1006,'NHAP XUAT'!$J$10:$J$1011))</f>
        <v>0</v>
      </c>
      <c r="Q1006" s="146">
        <f t="shared" si="99"/>
        <v>0</v>
      </c>
      <c r="R1006" s="169"/>
      <c r="S1006" s="169"/>
      <c r="T1006" s="146">
        <f t="shared" si="100"/>
        <v>0</v>
      </c>
      <c r="U1006" s="121" t="str">
        <f t="shared" si="101"/>
        <v>Close</v>
      </c>
      <c r="V1006" s="117"/>
    </row>
    <row r="1007" spans="1:22" ht="15" customHeight="1">
      <c r="A1007" s="117"/>
      <c r="B1007" s="144" t="str">
        <f>IF(D1007="","","P"&amp;D1007&amp;"MA"&amp;COUNTIF($D$14:D1007,D1007))</f>
        <v/>
      </c>
      <c r="C1007" s="162"/>
      <c r="D1007" s="163"/>
      <c r="E1007" s="164"/>
      <c r="F1007" s="164"/>
      <c r="G1007" s="164"/>
      <c r="H1007" s="164"/>
      <c r="I1007" s="162"/>
      <c r="J1007" s="144"/>
      <c r="K1007" s="144"/>
      <c r="L1007" s="144"/>
      <c r="M1007" s="145">
        <f t="shared" si="96"/>
        <v>0</v>
      </c>
      <c r="N1007" s="145">
        <f t="shared" si="97"/>
        <v>0</v>
      </c>
      <c r="O1007" s="146">
        <f t="shared" si="98"/>
        <v>0</v>
      </c>
      <c r="P1007" s="146">
        <f>IF(B1007="",0,SUMIF('NHAP XUAT'!$G$10:$J$1011,'Ghi So'!B1007,'NHAP XUAT'!$J$10:$J$1011))</f>
        <v>0</v>
      </c>
      <c r="Q1007" s="146">
        <f t="shared" si="99"/>
        <v>0</v>
      </c>
      <c r="R1007" s="169"/>
      <c r="S1007" s="169"/>
      <c r="T1007" s="146">
        <f t="shared" si="100"/>
        <v>0</v>
      </c>
      <c r="U1007" s="121" t="str">
        <f t="shared" si="101"/>
        <v>Close</v>
      </c>
      <c r="V1007" s="117"/>
    </row>
    <row r="1008" spans="1:22" ht="15" customHeight="1">
      <c r="A1008" s="117"/>
      <c r="B1008" s="144" t="str">
        <f>IF(D1008="","","P"&amp;D1008&amp;"MA"&amp;COUNTIF($D$14:D1008,D1008))</f>
        <v/>
      </c>
      <c r="C1008" s="162"/>
      <c r="D1008" s="163"/>
      <c r="E1008" s="164"/>
      <c r="F1008" s="164"/>
      <c r="G1008" s="164"/>
      <c r="H1008" s="164"/>
      <c r="I1008" s="162"/>
      <c r="J1008" s="144"/>
      <c r="K1008" s="144"/>
      <c r="L1008" s="144"/>
      <c r="M1008" s="145">
        <f t="shared" si="96"/>
        <v>0</v>
      </c>
      <c r="N1008" s="145">
        <f t="shared" si="97"/>
        <v>0</v>
      </c>
      <c r="O1008" s="146">
        <f t="shared" si="98"/>
        <v>0</v>
      </c>
      <c r="P1008" s="146">
        <f>IF(B1008="",0,SUMIF('NHAP XUAT'!$G$10:$J$1011,'Ghi So'!B1008,'NHAP XUAT'!$J$10:$J$1011))</f>
        <v>0</v>
      </c>
      <c r="Q1008" s="146">
        <f t="shared" si="99"/>
        <v>0</v>
      </c>
      <c r="R1008" s="169"/>
      <c r="S1008" s="169"/>
      <c r="T1008" s="146">
        <f t="shared" si="100"/>
        <v>0</v>
      </c>
      <c r="U1008" s="121" t="str">
        <f t="shared" si="101"/>
        <v>Close</v>
      </c>
      <c r="V1008" s="117"/>
    </row>
    <row r="1009" spans="1:22" ht="15" customHeight="1">
      <c r="A1009" s="117"/>
      <c r="B1009" s="144" t="str">
        <f>IF(D1009="","","P"&amp;D1009&amp;"MA"&amp;COUNTIF($D$14:D1009,D1009))</f>
        <v/>
      </c>
      <c r="C1009" s="162"/>
      <c r="D1009" s="163"/>
      <c r="E1009" s="164"/>
      <c r="F1009" s="164"/>
      <c r="G1009" s="164"/>
      <c r="H1009" s="164"/>
      <c r="I1009" s="162"/>
      <c r="J1009" s="144"/>
      <c r="K1009" s="144"/>
      <c r="L1009" s="144"/>
      <c r="M1009" s="145">
        <f t="shared" si="96"/>
        <v>0</v>
      </c>
      <c r="N1009" s="145">
        <f t="shared" si="97"/>
        <v>0</v>
      </c>
      <c r="O1009" s="146">
        <f t="shared" si="98"/>
        <v>0</v>
      </c>
      <c r="P1009" s="146">
        <f>IF(B1009="",0,SUMIF('NHAP XUAT'!$G$10:$J$1011,'Ghi So'!B1009,'NHAP XUAT'!$J$10:$J$1011))</f>
        <v>0</v>
      </c>
      <c r="Q1009" s="146">
        <f t="shared" si="99"/>
        <v>0</v>
      </c>
      <c r="R1009" s="169"/>
      <c r="S1009" s="169"/>
      <c r="T1009" s="146">
        <f t="shared" si="100"/>
        <v>0</v>
      </c>
      <c r="U1009" s="121" t="str">
        <f t="shared" si="101"/>
        <v>Close</v>
      </c>
      <c r="V1009" s="117"/>
    </row>
    <row r="1010" spans="1:22" ht="15" customHeight="1">
      <c r="A1010" s="117"/>
      <c r="B1010" s="144" t="str">
        <f>IF(D1010="","","P"&amp;D1010&amp;"MA"&amp;COUNTIF($D$14:D1010,D1010))</f>
        <v/>
      </c>
      <c r="C1010" s="162"/>
      <c r="D1010" s="163"/>
      <c r="E1010" s="164"/>
      <c r="F1010" s="164"/>
      <c r="G1010" s="164"/>
      <c r="H1010" s="164"/>
      <c r="I1010" s="162"/>
      <c r="J1010" s="144"/>
      <c r="K1010" s="144"/>
      <c r="L1010" s="144"/>
      <c r="M1010" s="145">
        <f t="shared" si="96"/>
        <v>0</v>
      </c>
      <c r="N1010" s="145">
        <f t="shared" si="97"/>
        <v>0</v>
      </c>
      <c r="O1010" s="146">
        <f t="shared" si="98"/>
        <v>0</v>
      </c>
      <c r="P1010" s="146">
        <f>IF(B1010="",0,SUMIF('NHAP XUAT'!$G$10:$J$1011,'Ghi So'!B1010,'NHAP XUAT'!$J$10:$J$1011))</f>
        <v>0</v>
      </c>
      <c r="Q1010" s="146">
        <f t="shared" si="99"/>
        <v>0</v>
      </c>
      <c r="R1010" s="169"/>
      <c r="S1010" s="169"/>
      <c r="T1010" s="146">
        <f t="shared" si="100"/>
        <v>0</v>
      </c>
      <c r="U1010" s="121" t="str">
        <f t="shared" si="101"/>
        <v>Close</v>
      </c>
      <c r="V1010" s="117"/>
    </row>
    <row r="1011" spans="1:22" ht="15" customHeight="1">
      <c r="A1011" s="117"/>
      <c r="B1011" s="144" t="str">
        <f>IF(D1011="","","P"&amp;D1011&amp;"MA"&amp;COUNTIF($D$14:D1011,D1011))</f>
        <v/>
      </c>
      <c r="C1011" s="162"/>
      <c r="D1011" s="163"/>
      <c r="E1011" s="164"/>
      <c r="F1011" s="164"/>
      <c r="G1011" s="164"/>
      <c r="H1011" s="164"/>
      <c r="I1011" s="162"/>
      <c r="J1011" s="144"/>
      <c r="K1011" s="144"/>
      <c r="L1011" s="144"/>
      <c r="M1011" s="145">
        <f t="shared" si="96"/>
        <v>0</v>
      </c>
      <c r="N1011" s="145">
        <f t="shared" si="97"/>
        <v>0</v>
      </c>
      <c r="O1011" s="146">
        <f t="shared" si="98"/>
        <v>0</v>
      </c>
      <c r="P1011" s="146">
        <f>IF(B1011="",0,SUMIF('NHAP XUAT'!$G$10:$J$1011,'Ghi So'!B1011,'NHAP XUAT'!$J$10:$J$1011))</f>
        <v>0</v>
      </c>
      <c r="Q1011" s="146">
        <f t="shared" si="99"/>
        <v>0</v>
      </c>
      <c r="R1011" s="169"/>
      <c r="S1011" s="169"/>
      <c r="T1011" s="146">
        <f t="shared" si="100"/>
        <v>0</v>
      </c>
      <c r="U1011" s="121" t="str">
        <f t="shared" si="101"/>
        <v>Close</v>
      </c>
      <c r="V1011" s="117"/>
    </row>
    <row r="1012" spans="1:22" ht="15" customHeight="1">
      <c r="A1012" s="117"/>
      <c r="B1012" s="144" t="str">
        <f>IF(D1012="","","P"&amp;D1012&amp;"MA"&amp;COUNTIF($D$14:D1012,D1012))</f>
        <v/>
      </c>
      <c r="C1012" s="162"/>
      <c r="D1012" s="163"/>
      <c r="E1012" s="164"/>
      <c r="F1012" s="164"/>
      <c r="G1012" s="164"/>
      <c r="H1012" s="164"/>
      <c r="I1012" s="162"/>
      <c r="J1012" s="144"/>
      <c r="K1012" s="144"/>
      <c r="L1012" s="144"/>
      <c r="M1012" s="145">
        <f t="shared" si="96"/>
        <v>0</v>
      </c>
      <c r="N1012" s="145">
        <f t="shared" si="97"/>
        <v>0</v>
      </c>
      <c r="O1012" s="146">
        <f t="shared" si="98"/>
        <v>0</v>
      </c>
      <c r="P1012" s="146">
        <f>IF(B1012="",0,SUMIF('NHAP XUAT'!$G$10:$J$1011,'Ghi So'!B1012,'NHAP XUAT'!$J$10:$J$1011))</f>
        <v>0</v>
      </c>
      <c r="Q1012" s="146">
        <f t="shared" si="99"/>
        <v>0</v>
      </c>
      <c r="R1012" s="169"/>
      <c r="S1012" s="169"/>
      <c r="T1012" s="146">
        <f t="shared" si="100"/>
        <v>0</v>
      </c>
      <c r="U1012" s="121" t="str">
        <f t="shared" si="101"/>
        <v>Close</v>
      </c>
      <c r="V1012" s="117"/>
    </row>
    <row r="1013" spans="1:22" ht="15" customHeight="1">
      <c r="A1013" s="117"/>
      <c r="B1013" s="144" t="str">
        <f>IF(D1013="","","P"&amp;D1013&amp;"MA"&amp;COUNTIF($D$14:D1013,D1013))</f>
        <v/>
      </c>
      <c r="C1013" s="162"/>
      <c r="D1013" s="163"/>
      <c r="E1013" s="164"/>
      <c r="F1013" s="164"/>
      <c r="G1013" s="164"/>
      <c r="H1013" s="164"/>
      <c r="I1013" s="162"/>
      <c r="J1013" s="144"/>
      <c r="K1013" s="144"/>
      <c r="L1013" s="144"/>
      <c r="M1013" s="145">
        <f t="shared" si="96"/>
        <v>0</v>
      </c>
      <c r="N1013" s="145">
        <f t="shared" si="97"/>
        <v>0</v>
      </c>
      <c r="O1013" s="146">
        <f t="shared" si="98"/>
        <v>0</v>
      </c>
      <c r="P1013" s="146">
        <f>IF(B1013="",0,SUMIF('NHAP XUAT'!$G$10:$J$1011,'Ghi So'!B1013,'NHAP XUAT'!$J$10:$J$1011))</f>
        <v>0</v>
      </c>
      <c r="Q1013" s="146">
        <f t="shared" si="99"/>
        <v>0</v>
      </c>
      <c r="R1013" s="169"/>
      <c r="S1013" s="169"/>
      <c r="T1013" s="146">
        <f t="shared" si="100"/>
        <v>0</v>
      </c>
      <c r="U1013" s="121" t="str">
        <f t="shared" si="101"/>
        <v>Close</v>
      </c>
      <c r="V1013" s="117"/>
    </row>
    <row r="1014" spans="1:22" ht="15" customHeight="1">
      <c r="A1014" s="117"/>
      <c r="B1014" s="147" t="str">
        <f>IF(D1014="","","P"&amp;D1014&amp;"MA"&amp;COUNTIF($D$14:D1014,D1014))</f>
        <v/>
      </c>
      <c r="C1014" s="165"/>
      <c r="D1014" s="166"/>
      <c r="E1014" s="167"/>
      <c r="F1014" s="167"/>
      <c r="G1014" s="167"/>
      <c r="H1014" s="167"/>
      <c r="I1014" s="165"/>
      <c r="J1014" s="147"/>
      <c r="K1014" s="147"/>
      <c r="L1014" s="147"/>
      <c r="M1014" s="148">
        <f t="shared" si="1"/>
        <v>0</v>
      </c>
      <c r="N1014" s="148">
        <f t="shared" si="2"/>
        <v>0</v>
      </c>
      <c r="O1014" s="149">
        <f t="shared" si="0"/>
        <v>0</v>
      </c>
      <c r="P1014" s="149">
        <f>IF(B1014="",0,SUMIF('NHAP XUAT'!$G$10:$J$1011,'Ghi So'!B1014,'NHAP XUAT'!$J$10:$J$1011))</f>
        <v>0</v>
      </c>
      <c r="Q1014" s="149">
        <f t="shared" si="3"/>
        <v>0</v>
      </c>
      <c r="R1014" s="170"/>
      <c r="S1014" s="170"/>
      <c r="T1014" s="149">
        <f t="shared" si="4"/>
        <v>0</v>
      </c>
      <c r="U1014" s="121" t="str">
        <f t="shared" si="5"/>
        <v>Close</v>
      </c>
      <c r="V1014" s="117"/>
    </row>
    <row r="1015" spans="1:22">
      <c r="A1015" s="117"/>
      <c r="B1015" s="150" t="str">
        <f>IF(D1015="","","P"&amp;D1015&amp;"MA"&amp;COUNTIF($D$14:D1015,D1015))</f>
        <v/>
      </c>
      <c r="C1015" s="151"/>
      <c r="D1015" s="150"/>
      <c r="E1015" s="152"/>
      <c r="F1015" s="152"/>
      <c r="G1015" s="152"/>
      <c r="H1015" s="152"/>
      <c r="I1015" s="151"/>
      <c r="J1015" s="150"/>
      <c r="K1015" s="150"/>
      <c r="L1015" s="150"/>
      <c r="M1015" s="153"/>
      <c r="N1015" s="153"/>
      <c r="O1015" s="154"/>
      <c r="P1015" s="153"/>
      <c r="Q1015" s="153"/>
      <c r="R1015" s="154"/>
      <c r="S1015" s="154"/>
      <c r="T1015" s="154"/>
      <c r="V1015" s="117"/>
    </row>
    <row r="1016" spans="1:22">
      <c r="A1016" s="117"/>
      <c r="B1016" s="155" t="str">
        <f>IF(D1016="","","P"&amp;D1016&amp;"MA"&amp;COUNTIF($D$14:D1016,D1016))</f>
        <v/>
      </c>
      <c r="C1016" s="156"/>
      <c r="D1016" s="155"/>
      <c r="E1016" s="157"/>
      <c r="F1016" s="157"/>
      <c r="G1016" s="157"/>
      <c r="H1016" s="157"/>
      <c r="I1016" s="156"/>
      <c r="J1016" s="155"/>
      <c r="K1016" s="155"/>
      <c r="L1016" s="155"/>
      <c r="M1016" s="117"/>
      <c r="N1016" s="117"/>
      <c r="O1016" s="158"/>
      <c r="P1016" s="117"/>
      <c r="Q1016" s="117"/>
      <c r="R1016" s="158"/>
      <c r="S1016" s="158"/>
      <c r="T1016" s="158"/>
      <c r="U1016" s="117"/>
      <c r="V1016" s="117"/>
    </row>
    <row r="1017" spans="1:22">
      <c r="A1017" s="117"/>
      <c r="B1017" s="155" t="str">
        <f>IF(D1017="","","P"&amp;D1017&amp;"MA"&amp;COUNTIF($D$14:D1017,D1017))</f>
        <v/>
      </c>
      <c r="C1017" s="156"/>
      <c r="D1017" s="155"/>
      <c r="E1017" s="157"/>
      <c r="F1017" s="157"/>
      <c r="G1017" s="157"/>
      <c r="H1017" s="157"/>
      <c r="I1017" s="156"/>
      <c r="J1017" s="155"/>
      <c r="K1017" s="155"/>
      <c r="L1017" s="155"/>
      <c r="M1017" s="117"/>
      <c r="N1017" s="117"/>
      <c r="O1017" s="158"/>
      <c r="P1017" s="117"/>
      <c r="Q1017" s="117"/>
      <c r="R1017" s="158"/>
      <c r="S1017" s="158"/>
      <c r="T1017" s="158"/>
      <c r="U1017" s="117"/>
      <c r="V1017" s="117"/>
    </row>
    <row r="1018" spans="1:22" hidden="1"/>
    <row r="1019" spans="1:22" hidden="1"/>
    <row r="1020" spans="1:22" hidden="1"/>
    <row r="1021" spans="1:22" hidden="1"/>
    <row r="1022" spans="1:22" hidden="1"/>
    <row r="1023" spans="1:22" hidden="1"/>
    <row r="1024" spans="1:22" hidden="1"/>
    <row r="1025" hidden="1"/>
    <row r="1026" hidden="1"/>
    <row r="1027" hidden="1"/>
    <row r="1028" hidden="1"/>
    <row r="1029" hidden="1"/>
    <row r="1030" hidden="1"/>
  </sheetData>
  <sheetProtection sheet="1" objects="1" scenarios="1" autoFilter="0"/>
  <autoFilter ref="B13:T13"/>
  <mergeCells count="11">
    <mergeCell ref="B1:B2"/>
    <mergeCell ref="B10:B11"/>
    <mergeCell ref="M10:N10"/>
    <mergeCell ref="O10:Q10"/>
    <mergeCell ref="R10:T10"/>
    <mergeCell ref="E10:F10"/>
    <mergeCell ref="G10:H10"/>
    <mergeCell ref="J10:L10"/>
    <mergeCell ref="D10:D11"/>
    <mergeCell ref="C10:C11"/>
    <mergeCell ref="I10:I11"/>
  </mergeCells>
  <dataValidations count="2">
    <dataValidation type="list" allowBlank="1" showInputMessage="1" showErrorMessage="1" sqref="D14:D1014">
      <formula1>INDIRECT($U$1)</formula1>
    </dataValidation>
    <dataValidation type="date" operator="lessThanOrEqual" allowBlank="1" showInputMessage="1" showErrorMessage="1" errorTitle="Lưu ý hạn sử dụng:" error="Chương trình được đăng ký sử dụng đến hết ngày 31/12/2014. Bạn không được sử dụng quá hạn này!" sqref="C14:C1014 I14:I1014">
      <formula1>42004</formula1>
    </dataValidation>
  </dataValidations>
  <hyperlinks>
    <hyperlink ref="B1:B2" location="MENU!A1" display="MENU"/>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filterMode="1">
    <tabColor rgb="FFFF0000"/>
  </sheetPr>
  <dimension ref="A1:P1046"/>
  <sheetViews>
    <sheetView showGridLines="0" tabSelected="1" zoomScale="90" zoomScaleNormal="90" workbookViewId="0">
      <pane xSplit="3" ySplit="14" topLeftCell="D15" activePane="bottomRight" state="frozen"/>
      <selection pane="topRight" activeCell="D1" sqref="D1"/>
      <selection pane="bottomLeft" activeCell="A15" sqref="A15"/>
      <selection pane="bottomRight" activeCell="I34" sqref="I34"/>
    </sheetView>
  </sheetViews>
  <sheetFormatPr defaultColWidth="0" defaultRowHeight="12.75" zeroHeight="1"/>
  <cols>
    <col min="1" max="1" width="7" style="172" customWidth="1"/>
    <col min="2" max="2" width="6.28515625" style="173" customWidth="1"/>
    <col min="3" max="3" width="8.42578125" style="172" customWidth="1"/>
    <col min="4" max="4" width="26.5703125" style="172" customWidth="1"/>
    <col min="5" max="5" width="6.5703125" style="119" customWidth="1"/>
    <col min="6" max="6" width="8.7109375" style="174" customWidth="1"/>
    <col min="7" max="8" width="8.5703125" style="174" customWidth="1"/>
    <col min="9" max="9" width="8.140625" style="174" customWidth="1"/>
    <col min="10" max="10" width="10.5703125" style="174" customWidth="1"/>
    <col min="11" max="12" width="8.7109375" style="174" customWidth="1"/>
    <col min="13" max="13" width="10" style="174" customWidth="1"/>
    <col min="14" max="14" width="12.140625" style="172" customWidth="1"/>
    <col min="15" max="15" width="6.85546875" style="172" customWidth="1"/>
    <col min="16" max="16" width="9.140625" style="172" customWidth="1"/>
    <col min="17" max="16384" width="9.140625" style="172" hidden="1"/>
  </cols>
  <sheetData>
    <row r="1" spans="1:16" ht="18.75" customHeight="1">
      <c r="A1" s="394" t="s">
        <v>3</v>
      </c>
      <c r="B1" s="400"/>
      <c r="C1" s="400"/>
      <c r="D1" s="400"/>
      <c r="E1" s="400"/>
      <c r="F1" s="400"/>
      <c r="G1" s="400"/>
      <c r="H1" s="398" t="s">
        <v>203</v>
      </c>
      <c r="I1" s="398"/>
      <c r="J1" s="233">
        <v>41640</v>
      </c>
      <c r="K1" s="401"/>
      <c r="L1" s="402"/>
      <c r="M1" s="402"/>
      <c r="N1" s="402"/>
      <c r="O1" s="403"/>
      <c r="P1" s="171"/>
    </row>
    <row r="2" spans="1:16" ht="18.75" customHeight="1">
      <c r="A2" s="395"/>
      <c r="B2" s="400"/>
      <c r="C2" s="400"/>
      <c r="D2" s="400"/>
      <c r="E2" s="400"/>
      <c r="F2" s="400"/>
      <c r="G2" s="400"/>
      <c r="H2" s="399" t="s">
        <v>204</v>
      </c>
      <c r="I2" s="399"/>
      <c r="J2" s="233">
        <v>42004</v>
      </c>
      <c r="K2" s="404"/>
      <c r="L2" s="405"/>
      <c r="M2" s="405"/>
      <c r="N2" s="405"/>
      <c r="O2" s="406"/>
      <c r="P2" s="171"/>
    </row>
    <row r="3" spans="1:16" hidden="1">
      <c r="P3" s="171"/>
    </row>
    <row r="4" spans="1:16" hidden="1">
      <c r="P4" s="171"/>
    </row>
    <row r="5" spans="1:16" ht="15" customHeight="1">
      <c r="A5" s="171"/>
      <c r="B5" s="123" t="str">
        <f>"Đơn vị: "&amp;MENU!$F$5</f>
        <v>Đơn vị: Khách sạn A</v>
      </c>
      <c r="P5" s="171"/>
    </row>
    <row r="6" spans="1:16" ht="15" customHeight="1">
      <c r="A6" s="171"/>
      <c r="B6" s="123" t="str">
        <f>"Bộ phận: "&amp;MENU!$N$6</f>
        <v>Bộ phận: Kế toán</v>
      </c>
      <c r="P6" s="171"/>
    </row>
    <row r="7" spans="1:16" ht="15" customHeight="1">
      <c r="A7" s="171"/>
      <c r="B7" s="123" t="str">
        <f>"Người quản lý: "&amp;MENU!$F$6</f>
        <v>Người quản lý: Mr. Tester</v>
      </c>
      <c r="P7" s="171"/>
    </row>
    <row r="8" spans="1:16" ht="3" customHeight="1">
      <c r="A8" s="171"/>
      <c r="B8" s="123"/>
      <c r="P8" s="171"/>
    </row>
    <row r="9" spans="1:16" ht="22.5" customHeight="1">
      <c r="A9" s="171"/>
      <c r="B9" s="396" t="s">
        <v>193</v>
      </c>
      <c r="C9" s="396"/>
      <c r="D9" s="396"/>
      <c r="E9" s="396"/>
      <c r="F9" s="396"/>
      <c r="G9" s="396"/>
      <c r="H9" s="396"/>
      <c r="I9" s="396"/>
      <c r="J9" s="396"/>
      <c r="K9" s="396"/>
      <c r="L9" s="396"/>
      <c r="M9" s="396"/>
      <c r="N9" s="396"/>
      <c r="O9" s="175"/>
      <c r="P9" s="171"/>
    </row>
    <row r="10" spans="1:16" ht="19.5" customHeight="1">
      <c r="A10" s="171"/>
      <c r="B10" s="408" t="str">
        <f>H1&amp;TEXT(J1,"dd-mm-yyyy")&amp;"   -   "&amp;H2&amp;TEXT(J2,"dd-mm-yyyy")</f>
        <v>Từ ngày: 01-01-2014   -   Đến ngày: 31-12-2014</v>
      </c>
      <c r="C10" s="408"/>
      <c r="D10" s="408"/>
      <c r="E10" s="408"/>
      <c r="F10" s="408"/>
      <c r="G10" s="408"/>
      <c r="H10" s="408"/>
      <c r="I10" s="408"/>
      <c r="J10" s="408"/>
      <c r="K10" s="408"/>
      <c r="L10" s="408"/>
      <c r="M10" s="408"/>
      <c r="N10" s="408"/>
      <c r="P10" s="171"/>
    </row>
    <row r="11" spans="1:16" ht="18" customHeight="1">
      <c r="A11" s="171"/>
      <c r="B11" s="386" t="s">
        <v>205</v>
      </c>
      <c r="C11" s="387"/>
      <c r="D11" s="176">
        <f ca="1">L15+L31+L532+L533+L534</f>
        <v>1572003</v>
      </c>
      <c r="E11" s="390" t="s">
        <v>206</v>
      </c>
      <c r="F11" s="391"/>
      <c r="G11" s="388">
        <f ca="1">M15+M31</f>
        <v>3610000</v>
      </c>
      <c r="H11" s="388"/>
      <c r="I11" s="388"/>
      <c r="J11" s="177"/>
      <c r="K11" s="178" t="s">
        <v>225</v>
      </c>
      <c r="L11" s="389">
        <f ca="1">G11-D11</f>
        <v>2037997</v>
      </c>
      <c r="M11" s="389"/>
      <c r="N11" s="179"/>
      <c r="P11" s="171"/>
    </row>
    <row r="12" spans="1:16" ht="4.5" customHeight="1">
      <c r="A12" s="171"/>
      <c r="B12" s="180"/>
      <c r="C12" s="180"/>
      <c r="D12" s="181"/>
      <c r="E12" s="182"/>
      <c r="F12" s="183"/>
      <c r="G12" s="184"/>
      <c r="H12" s="184"/>
      <c r="I12" s="184"/>
      <c r="J12" s="183"/>
      <c r="K12" s="183"/>
      <c r="L12" s="184"/>
      <c r="M12" s="184"/>
      <c r="N12" s="185"/>
      <c r="P12" s="171"/>
    </row>
    <row r="13" spans="1:16" ht="16.5" customHeight="1">
      <c r="A13" s="171"/>
      <c r="B13" s="407" t="s">
        <v>24</v>
      </c>
      <c r="C13" s="385" t="s">
        <v>207</v>
      </c>
      <c r="D13" s="385" t="s">
        <v>208</v>
      </c>
      <c r="E13" s="385" t="s">
        <v>18</v>
      </c>
      <c r="F13" s="380" t="s">
        <v>195</v>
      </c>
      <c r="G13" s="380"/>
      <c r="H13" s="380"/>
      <c r="I13" s="380"/>
      <c r="J13" s="392" t="s">
        <v>196</v>
      </c>
      <c r="K13" s="392" t="s">
        <v>197</v>
      </c>
      <c r="L13" s="392" t="s">
        <v>198</v>
      </c>
      <c r="M13" s="392" t="s">
        <v>199</v>
      </c>
      <c r="N13" s="385" t="s">
        <v>21</v>
      </c>
      <c r="P13" s="171"/>
    </row>
    <row r="14" spans="1:16" ht="16.5" customHeight="1">
      <c r="A14" s="171"/>
      <c r="B14" s="407"/>
      <c r="C14" s="385"/>
      <c r="D14" s="385"/>
      <c r="E14" s="385"/>
      <c r="F14" s="186" t="s">
        <v>230</v>
      </c>
      <c r="G14" s="186" t="s">
        <v>22</v>
      </c>
      <c r="H14" s="186" t="s">
        <v>23</v>
      </c>
      <c r="I14" s="186" t="s">
        <v>231</v>
      </c>
      <c r="J14" s="392"/>
      <c r="K14" s="392"/>
      <c r="L14" s="392"/>
      <c r="M14" s="392"/>
      <c r="N14" s="385"/>
      <c r="O14" s="187" t="s">
        <v>107</v>
      </c>
      <c r="P14" s="171"/>
    </row>
    <row r="15" spans="1:16" ht="18.75" customHeight="1">
      <c r="A15" s="171"/>
      <c r="B15" s="188"/>
      <c r="C15" s="189"/>
      <c r="D15" s="190" t="s">
        <v>129</v>
      </c>
      <c r="E15" s="189"/>
      <c r="F15" s="191"/>
      <c r="G15" s="191"/>
      <c r="H15" s="191"/>
      <c r="I15" s="191"/>
      <c r="J15" s="191"/>
      <c r="K15" s="191"/>
      <c r="L15" s="343">
        <f ca="1">SUM(L16:L30)</f>
        <v>192000</v>
      </c>
      <c r="M15" s="343">
        <f ca="1">SUM(M16:M30)</f>
        <v>3550000</v>
      </c>
      <c r="N15" s="192"/>
      <c r="O15" s="234" t="str">
        <f>IF(D15=0,"","x")</f>
        <v>x</v>
      </c>
      <c r="P15" s="171"/>
    </row>
    <row r="16" spans="1:16" ht="15" customHeight="1">
      <c r="A16" s="171"/>
      <c r="B16" s="193">
        <f>IF(O16&lt;&gt;0,1,0)</f>
        <v>1</v>
      </c>
      <c r="C16" s="194"/>
      <c r="D16" s="195" t="str">
        <f>'Check Phong'!J6</f>
        <v>E101</v>
      </c>
      <c r="E16" s="194"/>
      <c r="F16" s="196"/>
      <c r="G16" s="196"/>
      <c r="H16" s="196"/>
      <c r="I16" s="196"/>
      <c r="J16" s="196"/>
      <c r="K16" s="196"/>
      <c r="L16" s="197">
        <f t="shared" ref="L16:L30" ca="1" si="0">SUMIF(List_phong,D16,List_phong_cot_giatla)</f>
        <v>0</v>
      </c>
      <c r="M16" s="197">
        <f t="shared" ref="M16:M30" ca="1" si="1">SUMIF(List_phong,D16,List_phong_cot_tienphong)</f>
        <v>230000</v>
      </c>
      <c r="N16" s="198"/>
      <c r="O16" s="234" t="str">
        <f t="shared" ref="O16:O30" si="2">IF(D16=0,"","x")</f>
        <v>x</v>
      </c>
      <c r="P16" s="171"/>
    </row>
    <row r="17" spans="1:16" ht="15" customHeight="1">
      <c r="A17" s="171"/>
      <c r="B17" s="199">
        <f>IF(O17="",0,MAX($B16:B16)+1)</f>
        <v>2</v>
      </c>
      <c r="C17" s="200"/>
      <c r="D17" s="201" t="str">
        <f>'Check Phong'!J7</f>
        <v>E102</v>
      </c>
      <c r="E17" s="200"/>
      <c r="F17" s="202"/>
      <c r="G17" s="202"/>
      <c r="H17" s="202"/>
      <c r="I17" s="202"/>
      <c r="J17" s="202"/>
      <c r="K17" s="202"/>
      <c r="L17" s="203">
        <f t="shared" ca="1" si="0"/>
        <v>48000</v>
      </c>
      <c r="M17" s="203">
        <f t="shared" ca="1" si="1"/>
        <v>820000</v>
      </c>
      <c r="N17" s="204"/>
      <c r="O17" s="234" t="str">
        <f t="shared" si="2"/>
        <v>x</v>
      </c>
      <c r="P17" s="171"/>
    </row>
    <row r="18" spans="1:16" ht="15" customHeight="1">
      <c r="A18" s="171"/>
      <c r="B18" s="199">
        <f>IF(O18="",0,MAX($B17:B17)+1)</f>
        <v>3</v>
      </c>
      <c r="C18" s="200"/>
      <c r="D18" s="201" t="str">
        <f>'Check Phong'!J8</f>
        <v>E103</v>
      </c>
      <c r="E18" s="200"/>
      <c r="F18" s="202"/>
      <c r="G18" s="202"/>
      <c r="H18" s="202"/>
      <c r="I18" s="202"/>
      <c r="J18" s="202"/>
      <c r="K18" s="202"/>
      <c r="L18" s="203">
        <f t="shared" ca="1" si="0"/>
        <v>24000</v>
      </c>
      <c r="M18" s="203">
        <f t="shared" ca="1" si="1"/>
        <v>2500000</v>
      </c>
      <c r="N18" s="204"/>
      <c r="O18" s="234" t="str">
        <f t="shared" si="2"/>
        <v>x</v>
      </c>
      <c r="P18" s="171"/>
    </row>
    <row r="19" spans="1:16" ht="15" customHeight="1">
      <c r="A19" s="171"/>
      <c r="B19" s="199">
        <f>IF(O19="",0,MAX($B18:B18)+1)</f>
        <v>4</v>
      </c>
      <c r="C19" s="200"/>
      <c r="D19" s="201" t="str">
        <f>'Check Phong'!J9</f>
        <v>E201</v>
      </c>
      <c r="E19" s="200"/>
      <c r="F19" s="202"/>
      <c r="G19" s="202"/>
      <c r="H19" s="202"/>
      <c r="I19" s="202"/>
      <c r="J19" s="202"/>
      <c r="K19" s="202"/>
      <c r="L19" s="203">
        <f t="shared" ca="1" si="0"/>
        <v>120000</v>
      </c>
      <c r="M19" s="203">
        <f t="shared" ca="1" si="1"/>
        <v>0</v>
      </c>
      <c r="N19" s="204"/>
      <c r="O19" s="234" t="str">
        <f t="shared" si="2"/>
        <v>x</v>
      </c>
      <c r="P19" s="171"/>
    </row>
    <row r="20" spans="1:16" ht="15" customHeight="1">
      <c r="A20" s="171"/>
      <c r="B20" s="199">
        <f>IF(O20="",0,MAX($B19:B19)+1)</f>
        <v>5</v>
      </c>
      <c r="C20" s="200"/>
      <c r="D20" s="201" t="str">
        <f>'Check Phong'!J10</f>
        <v>E202</v>
      </c>
      <c r="E20" s="200"/>
      <c r="F20" s="202"/>
      <c r="G20" s="202"/>
      <c r="H20" s="202"/>
      <c r="I20" s="202"/>
      <c r="J20" s="202"/>
      <c r="K20" s="202"/>
      <c r="L20" s="203">
        <f t="shared" ca="1" si="0"/>
        <v>0</v>
      </c>
      <c r="M20" s="203">
        <f t="shared" ca="1" si="1"/>
        <v>0</v>
      </c>
      <c r="N20" s="204"/>
      <c r="O20" s="234" t="str">
        <f t="shared" si="2"/>
        <v>x</v>
      </c>
      <c r="P20" s="171"/>
    </row>
    <row r="21" spans="1:16" ht="15" customHeight="1">
      <c r="A21" s="171"/>
      <c r="B21" s="199">
        <f>IF(O21="",0,MAX($B20:B20)+1)</f>
        <v>6</v>
      </c>
      <c r="C21" s="200"/>
      <c r="D21" s="201" t="str">
        <f>'Check Phong'!J11</f>
        <v>E203</v>
      </c>
      <c r="E21" s="200"/>
      <c r="F21" s="202"/>
      <c r="G21" s="202"/>
      <c r="H21" s="202"/>
      <c r="I21" s="202"/>
      <c r="J21" s="202"/>
      <c r="K21" s="202"/>
      <c r="L21" s="203">
        <f t="shared" ca="1" si="0"/>
        <v>0</v>
      </c>
      <c r="M21" s="203">
        <f t="shared" ca="1" si="1"/>
        <v>0</v>
      </c>
      <c r="N21" s="204"/>
      <c r="O21" s="234" t="str">
        <f t="shared" si="2"/>
        <v>x</v>
      </c>
      <c r="P21" s="171"/>
    </row>
    <row r="22" spans="1:16" ht="15" customHeight="1">
      <c r="A22" s="171"/>
      <c r="B22" s="199">
        <f>IF(O22="",0,MAX($B21:B21)+1)</f>
        <v>7</v>
      </c>
      <c r="C22" s="200"/>
      <c r="D22" s="201" t="str">
        <f>'Check Phong'!J12</f>
        <v>E301</v>
      </c>
      <c r="E22" s="200"/>
      <c r="F22" s="202"/>
      <c r="G22" s="202"/>
      <c r="H22" s="202"/>
      <c r="I22" s="202"/>
      <c r="J22" s="202"/>
      <c r="K22" s="202"/>
      <c r="L22" s="203">
        <f t="shared" ca="1" si="0"/>
        <v>0</v>
      </c>
      <c r="M22" s="203">
        <f t="shared" ca="1" si="1"/>
        <v>0</v>
      </c>
      <c r="N22" s="204"/>
      <c r="O22" s="234" t="str">
        <f t="shared" si="2"/>
        <v>x</v>
      </c>
      <c r="P22" s="171"/>
    </row>
    <row r="23" spans="1:16" ht="15" customHeight="1">
      <c r="A23" s="171"/>
      <c r="B23" s="199">
        <f>IF(O23="",0,MAX($B22:B22)+1)</f>
        <v>8</v>
      </c>
      <c r="C23" s="200"/>
      <c r="D23" s="201" t="str">
        <f>'Check Phong'!J13</f>
        <v>E302</v>
      </c>
      <c r="E23" s="200"/>
      <c r="F23" s="202"/>
      <c r="G23" s="202"/>
      <c r="H23" s="202"/>
      <c r="I23" s="202"/>
      <c r="J23" s="202"/>
      <c r="K23" s="202"/>
      <c r="L23" s="203">
        <f t="shared" ca="1" si="0"/>
        <v>0</v>
      </c>
      <c r="M23" s="203">
        <f t="shared" ca="1" si="1"/>
        <v>0</v>
      </c>
      <c r="N23" s="204"/>
      <c r="O23" s="234" t="str">
        <f t="shared" si="2"/>
        <v>x</v>
      </c>
      <c r="P23" s="171"/>
    </row>
    <row r="24" spans="1:16" ht="15" customHeight="1">
      <c r="A24" s="171"/>
      <c r="B24" s="199">
        <f>IF(O24="",0,MAX($B23:B23)+1)</f>
        <v>9</v>
      </c>
      <c r="C24" s="200"/>
      <c r="D24" s="201" t="str">
        <f>'Check Phong'!J14</f>
        <v>E303</v>
      </c>
      <c r="E24" s="200"/>
      <c r="F24" s="202"/>
      <c r="G24" s="202"/>
      <c r="H24" s="202"/>
      <c r="I24" s="202"/>
      <c r="J24" s="202"/>
      <c r="K24" s="202"/>
      <c r="L24" s="203">
        <f t="shared" ca="1" si="0"/>
        <v>0</v>
      </c>
      <c r="M24" s="203">
        <f t="shared" ca="1" si="1"/>
        <v>0</v>
      </c>
      <c r="N24" s="204"/>
      <c r="O24" s="234" t="str">
        <f t="shared" si="2"/>
        <v>x</v>
      </c>
      <c r="P24" s="171"/>
    </row>
    <row r="25" spans="1:16" ht="15" customHeight="1">
      <c r="A25" s="171"/>
      <c r="B25" s="199">
        <f>IF(O25="",0,MAX($B24:B24)+1)</f>
        <v>10</v>
      </c>
      <c r="C25" s="200"/>
      <c r="D25" s="201" t="str">
        <f>'Check Phong'!J15</f>
        <v>E401</v>
      </c>
      <c r="E25" s="200"/>
      <c r="F25" s="202"/>
      <c r="G25" s="202"/>
      <c r="H25" s="202"/>
      <c r="I25" s="202"/>
      <c r="J25" s="202"/>
      <c r="K25" s="202"/>
      <c r="L25" s="203">
        <f t="shared" ca="1" si="0"/>
        <v>0</v>
      </c>
      <c r="M25" s="203">
        <f t="shared" ca="1" si="1"/>
        <v>0</v>
      </c>
      <c r="N25" s="204"/>
      <c r="O25" s="234" t="str">
        <f t="shared" si="2"/>
        <v>x</v>
      </c>
      <c r="P25" s="171"/>
    </row>
    <row r="26" spans="1:16" ht="15" customHeight="1">
      <c r="A26" s="171"/>
      <c r="B26" s="199">
        <f>IF(O26="",0,MAX($B25:B25)+1)</f>
        <v>11</v>
      </c>
      <c r="C26" s="200"/>
      <c r="D26" s="201" t="str">
        <f>'Check Phong'!J16</f>
        <v>E402</v>
      </c>
      <c r="E26" s="200"/>
      <c r="F26" s="202"/>
      <c r="G26" s="202"/>
      <c r="H26" s="202"/>
      <c r="I26" s="202"/>
      <c r="J26" s="202"/>
      <c r="K26" s="202"/>
      <c r="L26" s="203">
        <f t="shared" ca="1" si="0"/>
        <v>0</v>
      </c>
      <c r="M26" s="203">
        <f t="shared" ca="1" si="1"/>
        <v>0</v>
      </c>
      <c r="N26" s="204"/>
      <c r="O26" s="234" t="str">
        <f t="shared" si="2"/>
        <v>x</v>
      </c>
      <c r="P26" s="171"/>
    </row>
    <row r="27" spans="1:16" ht="15" customHeight="1">
      <c r="A27" s="171"/>
      <c r="B27" s="199">
        <f>IF(O27="",0,MAX($B26:B26)+1)</f>
        <v>12</v>
      </c>
      <c r="C27" s="200"/>
      <c r="D27" s="201" t="str">
        <f>'Check Phong'!J17</f>
        <v>E403</v>
      </c>
      <c r="E27" s="200"/>
      <c r="F27" s="202"/>
      <c r="G27" s="202"/>
      <c r="H27" s="202"/>
      <c r="I27" s="202"/>
      <c r="J27" s="202"/>
      <c r="K27" s="202"/>
      <c r="L27" s="203">
        <f t="shared" ca="1" si="0"/>
        <v>0</v>
      </c>
      <c r="M27" s="203">
        <f t="shared" ca="1" si="1"/>
        <v>0</v>
      </c>
      <c r="N27" s="204"/>
      <c r="O27" s="234" t="str">
        <f t="shared" si="2"/>
        <v>x</v>
      </c>
      <c r="P27" s="171"/>
    </row>
    <row r="28" spans="1:16" ht="15" customHeight="1">
      <c r="A28" s="171"/>
      <c r="B28" s="199">
        <f>IF(O28="",0,MAX($B27:B27)+1)</f>
        <v>13</v>
      </c>
      <c r="C28" s="200"/>
      <c r="D28" s="201" t="str">
        <f>'Check Phong'!J18</f>
        <v>E501</v>
      </c>
      <c r="E28" s="200"/>
      <c r="F28" s="202"/>
      <c r="G28" s="202"/>
      <c r="H28" s="202"/>
      <c r="I28" s="202"/>
      <c r="J28" s="202"/>
      <c r="K28" s="202"/>
      <c r="L28" s="203">
        <f t="shared" ca="1" si="0"/>
        <v>0</v>
      </c>
      <c r="M28" s="203">
        <f t="shared" ca="1" si="1"/>
        <v>0</v>
      </c>
      <c r="N28" s="204"/>
      <c r="O28" s="234" t="str">
        <f t="shared" si="2"/>
        <v>x</v>
      </c>
      <c r="P28" s="171"/>
    </row>
    <row r="29" spans="1:16" ht="15" customHeight="1">
      <c r="A29" s="171"/>
      <c r="B29" s="199">
        <f>IF(O29="",0,MAX($B28:B28)+1)</f>
        <v>14</v>
      </c>
      <c r="C29" s="200"/>
      <c r="D29" s="201" t="str">
        <f>'Check Phong'!J19</f>
        <v>E502</v>
      </c>
      <c r="E29" s="200"/>
      <c r="F29" s="202"/>
      <c r="G29" s="202"/>
      <c r="H29" s="202"/>
      <c r="I29" s="202"/>
      <c r="J29" s="202"/>
      <c r="K29" s="202"/>
      <c r="L29" s="203">
        <f t="shared" ca="1" si="0"/>
        <v>0</v>
      </c>
      <c r="M29" s="203">
        <f t="shared" ca="1" si="1"/>
        <v>0</v>
      </c>
      <c r="N29" s="204"/>
      <c r="O29" s="234" t="str">
        <f t="shared" si="2"/>
        <v>x</v>
      </c>
      <c r="P29" s="171"/>
    </row>
    <row r="30" spans="1:16" ht="15" customHeight="1">
      <c r="A30" s="171"/>
      <c r="B30" s="205">
        <f>IF(O30="",0,MAX($B29:B29)+1)</f>
        <v>15</v>
      </c>
      <c r="C30" s="206"/>
      <c r="D30" s="207" t="str">
        <f>'Check Phong'!J20</f>
        <v>E503</v>
      </c>
      <c r="E30" s="206"/>
      <c r="F30" s="208"/>
      <c r="G30" s="208"/>
      <c r="H30" s="208"/>
      <c r="I30" s="208"/>
      <c r="J30" s="208"/>
      <c r="K30" s="208"/>
      <c r="L30" s="209">
        <f t="shared" ca="1" si="0"/>
        <v>0</v>
      </c>
      <c r="M30" s="209">
        <f t="shared" ca="1" si="1"/>
        <v>0</v>
      </c>
      <c r="N30" s="210"/>
      <c r="O30" s="234" t="str">
        <f t="shared" si="2"/>
        <v>x</v>
      </c>
      <c r="P30" s="171"/>
    </row>
    <row r="31" spans="1:16" ht="18.75" customHeight="1">
      <c r="A31" s="171"/>
      <c r="B31" s="211"/>
      <c r="C31" s="212"/>
      <c r="D31" s="212" t="s">
        <v>194</v>
      </c>
      <c r="E31" s="213"/>
      <c r="F31" s="214">
        <f t="shared" ref="F31:M31" ca="1" si="3">SUM(F32:F182)</f>
        <v>0</v>
      </c>
      <c r="G31" s="214">
        <f t="shared" ca="1" si="3"/>
        <v>160</v>
      </c>
      <c r="H31" s="214">
        <f t="shared" ca="1" si="3"/>
        <v>5</v>
      </c>
      <c r="I31" s="214">
        <f t="shared" ca="1" si="3"/>
        <v>155</v>
      </c>
      <c r="J31" s="214">
        <f t="shared" si="3"/>
        <v>69000</v>
      </c>
      <c r="K31" s="214">
        <f t="shared" si="3"/>
        <v>112000</v>
      </c>
      <c r="L31" s="214">
        <f t="shared" ca="1" si="3"/>
        <v>1380000</v>
      </c>
      <c r="M31" s="214">
        <f t="shared" ca="1" si="3"/>
        <v>60000</v>
      </c>
      <c r="N31" s="215"/>
      <c r="O31" s="235" t="s">
        <v>35</v>
      </c>
      <c r="P31" s="171"/>
    </row>
    <row r="32" spans="1:16" ht="15" customHeight="1">
      <c r="A32" s="171"/>
      <c r="B32" s="193">
        <f>IF(O32&lt;&gt;0,1,0)</f>
        <v>1</v>
      </c>
      <c r="C32" s="216" t="str">
        <f>DMHH!C8</f>
        <v>BCDR</v>
      </c>
      <c r="D32" s="216" t="str">
        <f>DMHH!D8</f>
        <v>Bàn chải đánh răng</v>
      </c>
      <c r="E32" s="217" t="str">
        <f>DMHH!E8</f>
        <v>Cái</v>
      </c>
      <c r="F32" s="218">
        <f t="shared" ref="F32:F95" ca="1" si="4">IF(D32=0,0,SUMIF(QuanLyHangHoa,$D32,tinh_SLtondau))</f>
        <v>0</v>
      </c>
      <c r="G32" s="218">
        <f t="shared" ref="G32:G95" ca="1" si="5">IF(D32=0,0,SUMIF(QuanLyHangHoa,$D32,tinh_SLnhap))</f>
        <v>20</v>
      </c>
      <c r="H32" s="218">
        <f t="shared" ref="H32:H95" ca="1" si="6">IF(D32=0,0,SUMIF(QuanLyHangHoa,$D32,tinh_SLxuat))</f>
        <v>0</v>
      </c>
      <c r="I32" s="218">
        <f t="shared" ref="I32:I63" ca="1" si="7">F32+G32-H32</f>
        <v>20</v>
      </c>
      <c r="J32" s="218">
        <f>DMHH!G8</f>
        <v>12000</v>
      </c>
      <c r="K32" s="218">
        <f>DMHH!H8</f>
        <v>17000</v>
      </c>
      <c r="L32" s="218">
        <f ca="1">G32*J32</f>
        <v>240000</v>
      </c>
      <c r="M32" s="218">
        <f ca="1">H32*K32</f>
        <v>0</v>
      </c>
      <c r="N32" s="219"/>
      <c r="O32" s="234" t="str">
        <f>IF(C32=0,"","x")</f>
        <v>x</v>
      </c>
      <c r="P32" s="171"/>
    </row>
    <row r="33" spans="1:16" ht="15" customHeight="1">
      <c r="A33" s="171"/>
      <c r="B33" s="199">
        <f>IF(O33="",0,MAX($B$32:B32)+1)</f>
        <v>2</v>
      </c>
      <c r="C33" s="84" t="str">
        <f>DMHH!C9</f>
        <v>BCS</v>
      </c>
      <c r="D33" s="84" t="str">
        <f>DMHH!D9</f>
        <v>Bao cao su</v>
      </c>
      <c r="E33" s="220" t="str">
        <f>DMHH!E9</f>
        <v>Cái</v>
      </c>
      <c r="F33" s="221">
        <f t="shared" ca="1" si="4"/>
        <v>0</v>
      </c>
      <c r="G33" s="221">
        <f t="shared" ca="1" si="5"/>
        <v>20</v>
      </c>
      <c r="H33" s="221">
        <f t="shared" ca="1" si="6"/>
        <v>1</v>
      </c>
      <c r="I33" s="221">
        <f t="shared" ca="1" si="7"/>
        <v>19</v>
      </c>
      <c r="J33" s="221">
        <f>DMHH!G9</f>
        <v>10000</v>
      </c>
      <c r="K33" s="221">
        <f>DMHH!H9</f>
        <v>20000</v>
      </c>
      <c r="L33" s="221">
        <f t="shared" ref="L33:L96" ca="1" si="8">G33*J33</f>
        <v>200000</v>
      </c>
      <c r="M33" s="221">
        <f t="shared" ref="M33:M96" ca="1" si="9">H33*K33</f>
        <v>20000</v>
      </c>
      <c r="N33" s="222"/>
      <c r="O33" s="234" t="str">
        <f t="shared" ref="O33:O96" si="10">IF(C33=0,"","x")</f>
        <v>x</v>
      </c>
      <c r="P33" s="171"/>
    </row>
    <row r="34" spans="1:16" ht="15" customHeight="1">
      <c r="A34" s="171"/>
      <c r="B34" s="199">
        <f>IF(O34="",0,MAX($B$32:B33)+1)</f>
        <v>3</v>
      </c>
      <c r="C34" s="84" t="str">
        <f>DMHH!C10</f>
        <v>BIA</v>
      </c>
      <c r="D34" s="84" t="str">
        <f>DMHH!D10</f>
        <v>Bia</v>
      </c>
      <c r="E34" s="220" t="str">
        <f>DMHH!E10</f>
        <v>Lon</v>
      </c>
      <c r="F34" s="221">
        <f t="shared" ca="1" si="4"/>
        <v>0</v>
      </c>
      <c r="G34" s="221">
        <f t="shared" ca="1" si="5"/>
        <v>20</v>
      </c>
      <c r="H34" s="221">
        <f t="shared" ca="1" si="6"/>
        <v>2</v>
      </c>
      <c r="I34" s="221">
        <f t="shared" ca="1" si="7"/>
        <v>18</v>
      </c>
      <c r="J34" s="221">
        <f>DMHH!G10</f>
        <v>7000</v>
      </c>
      <c r="K34" s="221">
        <f>DMHH!H10</f>
        <v>10000</v>
      </c>
      <c r="L34" s="221">
        <f t="shared" ca="1" si="8"/>
        <v>140000</v>
      </c>
      <c r="M34" s="221">
        <f t="shared" ca="1" si="9"/>
        <v>20000</v>
      </c>
      <c r="N34" s="222"/>
      <c r="O34" s="234" t="str">
        <f t="shared" si="10"/>
        <v>x</v>
      </c>
      <c r="P34" s="171"/>
    </row>
    <row r="35" spans="1:16" ht="15" customHeight="1">
      <c r="A35" s="171"/>
      <c r="B35" s="199">
        <f>IF(O35="",0,MAX($B$32:B34)+1)</f>
        <v>4</v>
      </c>
      <c r="C35" s="84" t="str">
        <f>DMHH!C11</f>
        <v>KR</v>
      </c>
      <c r="D35" s="84" t="str">
        <f>DMHH!D11</f>
        <v>Kem đánh răng</v>
      </c>
      <c r="E35" s="220" t="str">
        <f>DMHH!E11</f>
        <v>Cái</v>
      </c>
      <c r="F35" s="221">
        <f t="shared" ca="1" si="4"/>
        <v>0</v>
      </c>
      <c r="G35" s="221">
        <f t="shared" ca="1" si="5"/>
        <v>20</v>
      </c>
      <c r="H35" s="221">
        <f t="shared" ca="1" si="6"/>
        <v>0</v>
      </c>
      <c r="I35" s="221">
        <f t="shared" ca="1" si="7"/>
        <v>20</v>
      </c>
      <c r="J35" s="221">
        <f>DMHH!G11</f>
        <v>7000</v>
      </c>
      <c r="K35" s="221">
        <f>DMHH!H11</f>
        <v>10000</v>
      </c>
      <c r="L35" s="221">
        <f t="shared" ca="1" si="8"/>
        <v>140000</v>
      </c>
      <c r="M35" s="221">
        <f t="shared" ca="1" si="9"/>
        <v>0</v>
      </c>
      <c r="N35" s="222"/>
      <c r="O35" s="234" t="str">
        <f t="shared" si="10"/>
        <v>x</v>
      </c>
      <c r="P35" s="171"/>
    </row>
    <row r="36" spans="1:16" ht="15" customHeight="1">
      <c r="A36" s="171"/>
      <c r="B36" s="199">
        <f>IF(O36="",0,MAX($B$32:B35)+1)</f>
        <v>5</v>
      </c>
      <c r="C36" s="84" t="str">
        <f>DMHH!C12</f>
        <v>NS</v>
      </c>
      <c r="D36" s="84" t="str">
        <f>DMHH!D12</f>
        <v>Nước suối nhỏ</v>
      </c>
      <c r="E36" s="220" t="str">
        <f>DMHH!E12</f>
        <v>Chai</v>
      </c>
      <c r="F36" s="221">
        <f t="shared" ca="1" si="4"/>
        <v>0</v>
      </c>
      <c r="G36" s="221">
        <f t="shared" ca="1" si="5"/>
        <v>20</v>
      </c>
      <c r="H36" s="221">
        <f t="shared" ca="1" si="6"/>
        <v>2</v>
      </c>
      <c r="I36" s="221">
        <f t="shared" ca="1" si="7"/>
        <v>18</v>
      </c>
      <c r="J36" s="221">
        <f>DMHH!G12</f>
        <v>5000</v>
      </c>
      <c r="K36" s="221">
        <f>DMHH!H12</f>
        <v>10000</v>
      </c>
      <c r="L36" s="221">
        <f t="shared" ca="1" si="8"/>
        <v>100000</v>
      </c>
      <c r="M36" s="221">
        <f t="shared" ca="1" si="9"/>
        <v>20000</v>
      </c>
      <c r="N36" s="222"/>
      <c r="O36" s="234" t="str">
        <f t="shared" si="10"/>
        <v>x</v>
      </c>
      <c r="P36" s="171"/>
    </row>
    <row r="37" spans="1:16" ht="15" customHeight="1">
      <c r="A37" s="171"/>
      <c r="B37" s="199">
        <f>IF(O37="",0,MAX($B$32:B36)+1)</f>
        <v>6</v>
      </c>
      <c r="C37" s="84" t="str">
        <f>DMHH!C13</f>
        <v>NT</v>
      </c>
      <c r="D37" s="84" t="str">
        <f>DMHH!D13</f>
        <v>Nước tăng lực</v>
      </c>
      <c r="E37" s="220" t="str">
        <f>DMHH!E13</f>
        <v>Lon</v>
      </c>
      <c r="F37" s="221">
        <f t="shared" ca="1" si="4"/>
        <v>0</v>
      </c>
      <c r="G37" s="221">
        <f t="shared" ca="1" si="5"/>
        <v>20</v>
      </c>
      <c r="H37" s="221">
        <f t="shared" ca="1" si="6"/>
        <v>0</v>
      </c>
      <c r="I37" s="221">
        <f t="shared" ca="1" si="7"/>
        <v>20</v>
      </c>
      <c r="J37" s="221">
        <f>DMHH!G13</f>
        <v>10000</v>
      </c>
      <c r="K37" s="221">
        <f>DMHH!H13</f>
        <v>15000</v>
      </c>
      <c r="L37" s="221">
        <f t="shared" ca="1" si="8"/>
        <v>200000</v>
      </c>
      <c r="M37" s="221">
        <f t="shared" ca="1" si="9"/>
        <v>0</v>
      </c>
      <c r="N37" s="222"/>
      <c r="O37" s="234" t="str">
        <f t="shared" si="10"/>
        <v>x</v>
      </c>
      <c r="P37" s="171"/>
    </row>
    <row r="38" spans="1:16" ht="15" customHeight="1">
      <c r="A38" s="171"/>
      <c r="B38" s="199">
        <f>IF(O38="",0,MAX($B$32:B37)+1)</f>
        <v>7</v>
      </c>
      <c r="C38" s="84" t="str">
        <f>DMHH!C14</f>
        <v>NX</v>
      </c>
      <c r="D38" s="84" t="str">
        <f>DMHH!D14</f>
        <v>Nước xúc miệng nhỏ</v>
      </c>
      <c r="E38" s="220" t="str">
        <f>DMHH!E14</f>
        <v>Bình</v>
      </c>
      <c r="F38" s="221">
        <f t="shared" ca="1" si="4"/>
        <v>0</v>
      </c>
      <c r="G38" s="221">
        <f t="shared" ca="1" si="5"/>
        <v>20</v>
      </c>
      <c r="H38" s="221">
        <f t="shared" ca="1" si="6"/>
        <v>0</v>
      </c>
      <c r="I38" s="221">
        <f t="shared" ca="1" si="7"/>
        <v>20</v>
      </c>
      <c r="J38" s="221">
        <f>DMHH!G14</f>
        <v>15000</v>
      </c>
      <c r="K38" s="221">
        <f>DMHH!H14</f>
        <v>25000</v>
      </c>
      <c r="L38" s="221">
        <f t="shared" ca="1" si="8"/>
        <v>300000</v>
      </c>
      <c r="M38" s="221">
        <f t="shared" ca="1" si="9"/>
        <v>0</v>
      </c>
      <c r="N38" s="222"/>
      <c r="O38" s="234" t="str">
        <f t="shared" si="10"/>
        <v>x</v>
      </c>
      <c r="P38" s="171"/>
    </row>
    <row r="39" spans="1:16" ht="15" customHeight="1">
      <c r="A39" s="171"/>
      <c r="B39" s="199">
        <f>IF(O39="",0,MAX($B$32:B38)+1)</f>
        <v>8</v>
      </c>
      <c r="C39" s="84" t="str">
        <f>DMHH!C15</f>
        <v>TA</v>
      </c>
      <c r="D39" s="84" t="str">
        <f>DMHH!D15</f>
        <v>Tăm ráy tai</v>
      </c>
      <c r="E39" s="220" t="str">
        <f>DMHH!E15</f>
        <v>Gói</v>
      </c>
      <c r="F39" s="221">
        <f t="shared" ca="1" si="4"/>
        <v>0</v>
      </c>
      <c r="G39" s="221">
        <f t="shared" ca="1" si="5"/>
        <v>20</v>
      </c>
      <c r="H39" s="221">
        <f t="shared" ca="1" si="6"/>
        <v>0</v>
      </c>
      <c r="I39" s="221">
        <f t="shared" ca="1" si="7"/>
        <v>20</v>
      </c>
      <c r="J39" s="221">
        <f>DMHH!G15</f>
        <v>3000</v>
      </c>
      <c r="K39" s="221">
        <f>DMHH!H15</f>
        <v>5000</v>
      </c>
      <c r="L39" s="221">
        <f t="shared" ca="1" si="8"/>
        <v>60000</v>
      </c>
      <c r="M39" s="221">
        <f t="shared" ca="1" si="9"/>
        <v>0</v>
      </c>
      <c r="N39" s="222"/>
      <c r="O39" s="234" t="str">
        <f t="shared" si="10"/>
        <v>x</v>
      </c>
      <c r="P39" s="171"/>
    </row>
    <row r="40" spans="1:16" ht="15" hidden="1" customHeight="1">
      <c r="A40" s="171"/>
      <c r="B40" s="199">
        <f>IF(O40="",0,MAX($B$32:B39)+1)</f>
        <v>0</v>
      </c>
      <c r="C40" s="84">
        <f>DMHH!C16</f>
        <v>0</v>
      </c>
      <c r="D40" s="84">
        <f>DMHH!D16</f>
        <v>0</v>
      </c>
      <c r="E40" s="220">
        <f>DMHH!E16</f>
        <v>0</v>
      </c>
      <c r="F40" s="221">
        <f t="shared" si="4"/>
        <v>0</v>
      </c>
      <c r="G40" s="221">
        <f t="shared" si="5"/>
        <v>0</v>
      </c>
      <c r="H40" s="221">
        <f t="shared" si="6"/>
        <v>0</v>
      </c>
      <c r="I40" s="221">
        <f t="shared" si="7"/>
        <v>0</v>
      </c>
      <c r="J40" s="221">
        <f>DMHH!G16</f>
        <v>0</v>
      </c>
      <c r="K40" s="221">
        <f>DMHH!H16</f>
        <v>0</v>
      </c>
      <c r="L40" s="221">
        <f t="shared" si="8"/>
        <v>0</v>
      </c>
      <c r="M40" s="221">
        <f t="shared" si="9"/>
        <v>0</v>
      </c>
      <c r="N40" s="222"/>
      <c r="O40" s="234" t="str">
        <f t="shared" si="10"/>
        <v/>
      </c>
      <c r="P40" s="171"/>
    </row>
    <row r="41" spans="1:16" ht="15" hidden="1" customHeight="1">
      <c r="A41" s="171"/>
      <c r="B41" s="199">
        <f>IF(O41="",0,MAX($B$32:B40)+1)</f>
        <v>0</v>
      </c>
      <c r="C41" s="84">
        <f>DMHH!C17</f>
        <v>0</v>
      </c>
      <c r="D41" s="84">
        <f>DMHH!D17</f>
        <v>0</v>
      </c>
      <c r="E41" s="220">
        <f>DMHH!E17</f>
        <v>0</v>
      </c>
      <c r="F41" s="221">
        <f t="shared" si="4"/>
        <v>0</v>
      </c>
      <c r="G41" s="221">
        <f t="shared" si="5"/>
        <v>0</v>
      </c>
      <c r="H41" s="221">
        <f t="shared" si="6"/>
        <v>0</v>
      </c>
      <c r="I41" s="221">
        <f t="shared" si="7"/>
        <v>0</v>
      </c>
      <c r="J41" s="221">
        <f>DMHH!G17</f>
        <v>0</v>
      </c>
      <c r="K41" s="221">
        <f>DMHH!H17</f>
        <v>0</v>
      </c>
      <c r="L41" s="221">
        <f t="shared" si="8"/>
        <v>0</v>
      </c>
      <c r="M41" s="221">
        <f t="shared" si="9"/>
        <v>0</v>
      </c>
      <c r="N41" s="222"/>
      <c r="O41" s="234" t="str">
        <f t="shared" si="10"/>
        <v/>
      </c>
      <c r="P41" s="171"/>
    </row>
    <row r="42" spans="1:16" ht="15" hidden="1" customHeight="1">
      <c r="A42" s="171"/>
      <c r="B42" s="199">
        <f>IF(O42="",0,MAX($B$32:B41)+1)</f>
        <v>0</v>
      </c>
      <c r="C42" s="84">
        <f>DMHH!C18</f>
        <v>0</v>
      </c>
      <c r="D42" s="84">
        <f>DMHH!D18</f>
        <v>0</v>
      </c>
      <c r="E42" s="220">
        <f>DMHH!E18</f>
        <v>0</v>
      </c>
      <c r="F42" s="221">
        <f t="shared" si="4"/>
        <v>0</v>
      </c>
      <c r="G42" s="221">
        <f t="shared" si="5"/>
        <v>0</v>
      </c>
      <c r="H42" s="221">
        <f t="shared" si="6"/>
        <v>0</v>
      </c>
      <c r="I42" s="221">
        <f t="shared" si="7"/>
        <v>0</v>
      </c>
      <c r="J42" s="221">
        <f>DMHH!G18</f>
        <v>0</v>
      </c>
      <c r="K42" s="221">
        <f>DMHH!H18</f>
        <v>0</v>
      </c>
      <c r="L42" s="221">
        <f t="shared" si="8"/>
        <v>0</v>
      </c>
      <c r="M42" s="221">
        <f t="shared" si="9"/>
        <v>0</v>
      </c>
      <c r="N42" s="222"/>
      <c r="O42" s="234" t="str">
        <f t="shared" si="10"/>
        <v/>
      </c>
      <c r="P42" s="171"/>
    </row>
    <row r="43" spans="1:16" ht="15" hidden="1" customHeight="1">
      <c r="A43" s="171"/>
      <c r="B43" s="199">
        <f>IF(O43="",0,MAX($B$32:B42)+1)</f>
        <v>0</v>
      </c>
      <c r="C43" s="84">
        <f>DMHH!C19</f>
        <v>0</v>
      </c>
      <c r="D43" s="84">
        <f>DMHH!D19</f>
        <v>0</v>
      </c>
      <c r="E43" s="220">
        <f>DMHH!E19</f>
        <v>0</v>
      </c>
      <c r="F43" s="221">
        <f t="shared" si="4"/>
        <v>0</v>
      </c>
      <c r="G43" s="221">
        <f t="shared" si="5"/>
        <v>0</v>
      </c>
      <c r="H43" s="221">
        <f t="shared" si="6"/>
        <v>0</v>
      </c>
      <c r="I43" s="221">
        <f t="shared" si="7"/>
        <v>0</v>
      </c>
      <c r="J43" s="221">
        <f>DMHH!G19</f>
        <v>0</v>
      </c>
      <c r="K43" s="221">
        <f>DMHH!H19</f>
        <v>0</v>
      </c>
      <c r="L43" s="221">
        <f t="shared" si="8"/>
        <v>0</v>
      </c>
      <c r="M43" s="221">
        <f t="shared" si="9"/>
        <v>0</v>
      </c>
      <c r="N43" s="222"/>
      <c r="O43" s="234" t="str">
        <f t="shared" si="10"/>
        <v/>
      </c>
      <c r="P43" s="171"/>
    </row>
    <row r="44" spans="1:16" ht="15" hidden="1" customHeight="1">
      <c r="A44" s="171"/>
      <c r="B44" s="199">
        <f>IF(O44="",0,MAX($B$32:B43)+1)</f>
        <v>0</v>
      </c>
      <c r="C44" s="84">
        <f>DMHH!C20</f>
        <v>0</v>
      </c>
      <c r="D44" s="84">
        <f>DMHH!D20</f>
        <v>0</v>
      </c>
      <c r="E44" s="220">
        <f>DMHH!E20</f>
        <v>0</v>
      </c>
      <c r="F44" s="221">
        <f t="shared" si="4"/>
        <v>0</v>
      </c>
      <c r="G44" s="221">
        <f t="shared" si="5"/>
        <v>0</v>
      </c>
      <c r="H44" s="221">
        <f t="shared" si="6"/>
        <v>0</v>
      </c>
      <c r="I44" s="221">
        <f t="shared" si="7"/>
        <v>0</v>
      </c>
      <c r="J44" s="221">
        <f>DMHH!G20</f>
        <v>0</v>
      </c>
      <c r="K44" s="221">
        <f>DMHH!H20</f>
        <v>0</v>
      </c>
      <c r="L44" s="221">
        <f t="shared" si="8"/>
        <v>0</v>
      </c>
      <c r="M44" s="221">
        <f t="shared" si="9"/>
        <v>0</v>
      </c>
      <c r="N44" s="222"/>
      <c r="O44" s="234" t="str">
        <f t="shared" si="10"/>
        <v/>
      </c>
      <c r="P44" s="171"/>
    </row>
    <row r="45" spans="1:16" ht="15" hidden="1" customHeight="1">
      <c r="A45" s="171"/>
      <c r="B45" s="199">
        <f>IF(O45="",0,MAX($B$32:B44)+1)</f>
        <v>0</v>
      </c>
      <c r="C45" s="84">
        <f>DMHH!C21</f>
        <v>0</v>
      </c>
      <c r="D45" s="84">
        <f>DMHH!D21</f>
        <v>0</v>
      </c>
      <c r="E45" s="220">
        <f>DMHH!E21</f>
        <v>0</v>
      </c>
      <c r="F45" s="221">
        <f t="shared" si="4"/>
        <v>0</v>
      </c>
      <c r="G45" s="221">
        <f t="shared" si="5"/>
        <v>0</v>
      </c>
      <c r="H45" s="221">
        <f t="shared" si="6"/>
        <v>0</v>
      </c>
      <c r="I45" s="221">
        <f t="shared" si="7"/>
        <v>0</v>
      </c>
      <c r="J45" s="221">
        <f>DMHH!G21</f>
        <v>0</v>
      </c>
      <c r="K45" s="221">
        <f>DMHH!H21</f>
        <v>0</v>
      </c>
      <c r="L45" s="221">
        <f t="shared" si="8"/>
        <v>0</v>
      </c>
      <c r="M45" s="221">
        <f t="shared" si="9"/>
        <v>0</v>
      </c>
      <c r="N45" s="222"/>
      <c r="O45" s="234" t="str">
        <f t="shared" si="10"/>
        <v/>
      </c>
      <c r="P45" s="171"/>
    </row>
    <row r="46" spans="1:16" ht="15" hidden="1" customHeight="1">
      <c r="A46" s="171"/>
      <c r="B46" s="199">
        <f>IF(O46="",0,MAX($B$32:B45)+1)</f>
        <v>0</v>
      </c>
      <c r="C46" s="84">
        <f>DMHH!C22</f>
        <v>0</v>
      </c>
      <c r="D46" s="84">
        <f>DMHH!D22</f>
        <v>0</v>
      </c>
      <c r="E46" s="220">
        <f>DMHH!E22</f>
        <v>0</v>
      </c>
      <c r="F46" s="221">
        <f t="shared" si="4"/>
        <v>0</v>
      </c>
      <c r="G46" s="221">
        <f t="shared" si="5"/>
        <v>0</v>
      </c>
      <c r="H46" s="221">
        <f t="shared" si="6"/>
        <v>0</v>
      </c>
      <c r="I46" s="221">
        <f t="shared" si="7"/>
        <v>0</v>
      </c>
      <c r="J46" s="221">
        <f>DMHH!G22</f>
        <v>0</v>
      </c>
      <c r="K46" s="221">
        <f>DMHH!H22</f>
        <v>0</v>
      </c>
      <c r="L46" s="221">
        <f t="shared" si="8"/>
        <v>0</v>
      </c>
      <c r="M46" s="221">
        <f t="shared" si="9"/>
        <v>0</v>
      </c>
      <c r="N46" s="222"/>
      <c r="O46" s="234" t="str">
        <f t="shared" si="10"/>
        <v/>
      </c>
      <c r="P46" s="171"/>
    </row>
    <row r="47" spans="1:16" ht="15" hidden="1" customHeight="1">
      <c r="A47" s="171"/>
      <c r="B47" s="199">
        <f>IF(O47="",0,MAX($B$32:B46)+1)</f>
        <v>0</v>
      </c>
      <c r="C47" s="84">
        <f>DMHH!C23</f>
        <v>0</v>
      </c>
      <c r="D47" s="84">
        <f>DMHH!D23</f>
        <v>0</v>
      </c>
      <c r="E47" s="220">
        <f>DMHH!E23</f>
        <v>0</v>
      </c>
      <c r="F47" s="221">
        <f t="shared" si="4"/>
        <v>0</v>
      </c>
      <c r="G47" s="221">
        <f t="shared" si="5"/>
        <v>0</v>
      </c>
      <c r="H47" s="221">
        <f t="shared" si="6"/>
        <v>0</v>
      </c>
      <c r="I47" s="221">
        <f t="shared" si="7"/>
        <v>0</v>
      </c>
      <c r="J47" s="221">
        <f>DMHH!G23</f>
        <v>0</v>
      </c>
      <c r="K47" s="221">
        <f>DMHH!H23</f>
        <v>0</v>
      </c>
      <c r="L47" s="221">
        <f t="shared" si="8"/>
        <v>0</v>
      </c>
      <c r="M47" s="221">
        <f t="shared" si="9"/>
        <v>0</v>
      </c>
      <c r="N47" s="222"/>
      <c r="O47" s="234" t="str">
        <f t="shared" si="10"/>
        <v/>
      </c>
      <c r="P47" s="171"/>
    </row>
    <row r="48" spans="1:16" ht="15" hidden="1" customHeight="1">
      <c r="A48" s="171"/>
      <c r="B48" s="199">
        <f>IF(O48="",0,MAX($B$32:B47)+1)</f>
        <v>0</v>
      </c>
      <c r="C48" s="84">
        <f>DMHH!C24</f>
        <v>0</v>
      </c>
      <c r="D48" s="84">
        <f>DMHH!D24</f>
        <v>0</v>
      </c>
      <c r="E48" s="220">
        <f>DMHH!E24</f>
        <v>0</v>
      </c>
      <c r="F48" s="221">
        <f t="shared" si="4"/>
        <v>0</v>
      </c>
      <c r="G48" s="221">
        <f t="shared" si="5"/>
        <v>0</v>
      </c>
      <c r="H48" s="221">
        <f t="shared" si="6"/>
        <v>0</v>
      </c>
      <c r="I48" s="221">
        <f t="shared" si="7"/>
        <v>0</v>
      </c>
      <c r="J48" s="221">
        <f>DMHH!G24</f>
        <v>0</v>
      </c>
      <c r="K48" s="221">
        <f>DMHH!H24</f>
        <v>0</v>
      </c>
      <c r="L48" s="221">
        <f t="shared" si="8"/>
        <v>0</v>
      </c>
      <c r="M48" s="221">
        <f t="shared" si="9"/>
        <v>0</v>
      </c>
      <c r="N48" s="222"/>
      <c r="O48" s="234" t="str">
        <f t="shared" si="10"/>
        <v/>
      </c>
      <c r="P48" s="171"/>
    </row>
    <row r="49" spans="1:16" ht="15" hidden="1" customHeight="1">
      <c r="A49" s="171"/>
      <c r="B49" s="199">
        <f>IF(O49="",0,MAX($B$32:B48)+1)</f>
        <v>0</v>
      </c>
      <c r="C49" s="84">
        <f>DMHH!C25</f>
        <v>0</v>
      </c>
      <c r="D49" s="84">
        <f>DMHH!D25</f>
        <v>0</v>
      </c>
      <c r="E49" s="220">
        <f>DMHH!E25</f>
        <v>0</v>
      </c>
      <c r="F49" s="221">
        <f t="shared" si="4"/>
        <v>0</v>
      </c>
      <c r="G49" s="221">
        <f t="shared" si="5"/>
        <v>0</v>
      </c>
      <c r="H49" s="221">
        <f t="shared" si="6"/>
        <v>0</v>
      </c>
      <c r="I49" s="221">
        <f t="shared" si="7"/>
        <v>0</v>
      </c>
      <c r="J49" s="221">
        <f>DMHH!G25</f>
        <v>0</v>
      </c>
      <c r="K49" s="221">
        <f>DMHH!H25</f>
        <v>0</v>
      </c>
      <c r="L49" s="221">
        <f t="shared" si="8"/>
        <v>0</v>
      </c>
      <c r="M49" s="221">
        <f t="shared" si="9"/>
        <v>0</v>
      </c>
      <c r="N49" s="222"/>
      <c r="O49" s="234" t="str">
        <f t="shared" si="10"/>
        <v/>
      </c>
      <c r="P49" s="171"/>
    </row>
    <row r="50" spans="1:16" ht="15" hidden="1" customHeight="1">
      <c r="A50" s="171"/>
      <c r="B50" s="199">
        <f>IF(O50="",0,MAX($B$32:B49)+1)</f>
        <v>0</v>
      </c>
      <c r="C50" s="84">
        <f>DMHH!C26</f>
        <v>0</v>
      </c>
      <c r="D50" s="84">
        <f>DMHH!D26</f>
        <v>0</v>
      </c>
      <c r="E50" s="220">
        <f>DMHH!E26</f>
        <v>0</v>
      </c>
      <c r="F50" s="221">
        <f t="shared" si="4"/>
        <v>0</v>
      </c>
      <c r="G50" s="221">
        <f t="shared" si="5"/>
        <v>0</v>
      </c>
      <c r="H50" s="221">
        <f t="shared" si="6"/>
        <v>0</v>
      </c>
      <c r="I50" s="221">
        <f t="shared" si="7"/>
        <v>0</v>
      </c>
      <c r="J50" s="221">
        <f>DMHH!G26</f>
        <v>0</v>
      </c>
      <c r="K50" s="221">
        <f>DMHH!H26</f>
        <v>0</v>
      </c>
      <c r="L50" s="221">
        <f t="shared" si="8"/>
        <v>0</v>
      </c>
      <c r="M50" s="221">
        <f t="shared" si="9"/>
        <v>0</v>
      </c>
      <c r="N50" s="222"/>
      <c r="O50" s="234" t="str">
        <f t="shared" si="10"/>
        <v/>
      </c>
      <c r="P50" s="171"/>
    </row>
    <row r="51" spans="1:16" ht="15" hidden="1" customHeight="1">
      <c r="A51" s="171"/>
      <c r="B51" s="199">
        <f>IF(O51="",0,MAX($B$32:B50)+1)</f>
        <v>0</v>
      </c>
      <c r="C51" s="84">
        <f>DMHH!C27</f>
        <v>0</v>
      </c>
      <c r="D51" s="84">
        <f>DMHH!D27</f>
        <v>0</v>
      </c>
      <c r="E51" s="220">
        <f>DMHH!E27</f>
        <v>0</v>
      </c>
      <c r="F51" s="221">
        <f t="shared" si="4"/>
        <v>0</v>
      </c>
      <c r="G51" s="221">
        <f t="shared" si="5"/>
        <v>0</v>
      </c>
      <c r="H51" s="221">
        <f t="shared" si="6"/>
        <v>0</v>
      </c>
      <c r="I51" s="221">
        <f t="shared" si="7"/>
        <v>0</v>
      </c>
      <c r="J51" s="221">
        <f>DMHH!G27</f>
        <v>0</v>
      </c>
      <c r="K51" s="221">
        <f>DMHH!H27</f>
        <v>0</v>
      </c>
      <c r="L51" s="221">
        <f t="shared" si="8"/>
        <v>0</v>
      </c>
      <c r="M51" s="221">
        <f t="shared" si="9"/>
        <v>0</v>
      </c>
      <c r="N51" s="222"/>
      <c r="O51" s="234" t="str">
        <f t="shared" si="10"/>
        <v/>
      </c>
      <c r="P51" s="171"/>
    </row>
    <row r="52" spans="1:16" ht="15" hidden="1" customHeight="1">
      <c r="A52" s="171"/>
      <c r="B52" s="199">
        <f>IF(O52="",0,MAX($B$32:B51)+1)</f>
        <v>0</v>
      </c>
      <c r="C52" s="84">
        <f>DMHH!C28</f>
        <v>0</v>
      </c>
      <c r="D52" s="84">
        <f>DMHH!D28</f>
        <v>0</v>
      </c>
      <c r="E52" s="220">
        <f>DMHH!E28</f>
        <v>0</v>
      </c>
      <c r="F52" s="221">
        <f t="shared" si="4"/>
        <v>0</v>
      </c>
      <c r="G52" s="221">
        <f t="shared" si="5"/>
        <v>0</v>
      </c>
      <c r="H52" s="221">
        <f t="shared" si="6"/>
        <v>0</v>
      </c>
      <c r="I52" s="221">
        <f t="shared" si="7"/>
        <v>0</v>
      </c>
      <c r="J52" s="221">
        <f>DMHH!G28</f>
        <v>0</v>
      </c>
      <c r="K52" s="221">
        <f>DMHH!H28</f>
        <v>0</v>
      </c>
      <c r="L52" s="221">
        <f t="shared" si="8"/>
        <v>0</v>
      </c>
      <c r="M52" s="221">
        <f t="shared" si="9"/>
        <v>0</v>
      </c>
      <c r="N52" s="222"/>
      <c r="O52" s="234" t="str">
        <f t="shared" si="10"/>
        <v/>
      </c>
      <c r="P52" s="171"/>
    </row>
    <row r="53" spans="1:16" ht="15" hidden="1" customHeight="1">
      <c r="A53" s="171"/>
      <c r="B53" s="199">
        <f>IF(O53="",0,MAX($B$32:B52)+1)</f>
        <v>0</v>
      </c>
      <c r="C53" s="84">
        <f>DMHH!C29</f>
        <v>0</v>
      </c>
      <c r="D53" s="84">
        <f>DMHH!D29</f>
        <v>0</v>
      </c>
      <c r="E53" s="220">
        <f>DMHH!E29</f>
        <v>0</v>
      </c>
      <c r="F53" s="221">
        <f t="shared" si="4"/>
        <v>0</v>
      </c>
      <c r="G53" s="221">
        <f t="shared" si="5"/>
        <v>0</v>
      </c>
      <c r="H53" s="221">
        <f t="shared" si="6"/>
        <v>0</v>
      </c>
      <c r="I53" s="221">
        <f t="shared" si="7"/>
        <v>0</v>
      </c>
      <c r="J53" s="221">
        <f>DMHH!G29</f>
        <v>0</v>
      </c>
      <c r="K53" s="221">
        <f>DMHH!H29</f>
        <v>0</v>
      </c>
      <c r="L53" s="221">
        <f t="shared" si="8"/>
        <v>0</v>
      </c>
      <c r="M53" s="221">
        <f t="shared" si="9"/>
        <v>0</v>
      </c>
      <c r="N53" s="222"/>
      <c r="O53" s="234" t="str">
        <f t="shared" si="10"/>
        <v/>
      </c>
      <c r="P53" s="171"/>
    </row>
    <row r="54" spans="1:16" ht="15" hidden="1" customHeight="1">
      <c r="A54" s="171"/>
      <c r="B54" s="199">
        <f>IF(O54="",0,MAX($B$32:B53)+1)</f>
        <v>0</v>
      </c>
      <c r="C54" s="84">
        <f>DMHH!C30</f>
        <v>0</v>
      </c>
      <c r="D54" s="84">
        <f>DMHH!D30</f>
        <v>0</v>
      </c>
      <c r="E54" s="220">
        <f>DMHH!E30</f>
        <v>0</v>
      </c>
      <c r="F54" s="221">
        <f t="shared" si="4"/>
        <v>0</v>
      </c>
      <c r="G54" s="221">
        <f t="shared" si="5"/>
        <v>0</v>
      </c>
      <c r="H54" s="221">
        <f t="shared" si="6"/>
        <v>0</v>
      </c>
      <c r="I54" s="221">
        <f t="shared" si="7"/>
        <v>0</v>
      </c>
      <c r="J54" s="221">
        <f>DMHH!G30</f>
        <v>0</v>
      </c>
      <c r="K54" s="221">
        <f>DMHH!H30</f>
        <v>0</v>
      </c>
      <c r="L54" s="221">
        <f t="shared" si="8"/>
        <v>0</v>
      </c>
      <c r="M54" s="221">
        <f t="shared" si="9"/>
        <v>0</v>
      </c>
      <c r="N54" s="222"/>
      <c r="O54" s="234" t="str">
        <f t="shared" si="10"/>
        <v/>
      </c>
      <c r="P54" s="171"/>
    </row>
    <row r="55" spans="1:16" ht="15" hidden="1" customHeight="1">
      <c r="A55" s="171"/>
      <c r="B55" s="199">
        <f>IF(O55="",0,MAX($B$32:B54)+1)</f>
        <v>0</v>
      </c>
      <c r="C55" s="84">
        <f>DMHH!C31</f>
        <v>0</v>
      </c>
      <c r="D55" s="84">
        <f>DMHH!D31</f>
        <v>0</v>
      </c>
      <c r="E55" s="220">
        <f>DMHH!E31</f>
        <v>0</v>
      </c>
      <c r="F55" s="221">
        <f t="shared" si="4"/>
        <v>0</v>
      </c>
      <c r="G55" s="221">
        <f t="shared" si="5"/>
        <v>0</v>
      </c>
      <c r="H55" s="221">
        <f t="shared" si="6"/>
        <v>0</v>
      </c>
      <c r="I55" s="221">
        <f t="shared" si="7"/>
        <v>0</v>
      </c>
      <c r="J55" s="221">
        <f>DMHH!G31</f>
        <v>0</v>
      </c>
      <c r="K55" s="221">
        <f>DMHH!H31</f>
        <v>0</v>
      </c>
      <c r="L55" s="221">
        <f t="shared" si="8"/>
        <v>0</v>
      </c>
      <c r="M55" s="221">
        <f t="shared" si="9"/>
        <v>0</v>
      </c>
      <c r="N55" s="222"/>
      <c r="O55" s="234" t="str">
        <f t="shared" si="10"/>
        <v/>
      </c>
      <c r="P55" s="171"/>
    </row>
    <row r="56" spans="1:16" ht="15" hidden="1" customHeight="1">
      <c r="A56" s="171"/>
      <c r="B56" s="199">
        <f>IF(O56="",0,MAX($B$32:B55)+1)</f>
        <v>0</v>
      </c>
      <c r="C56" s="84">
        <f>DMHH!C32</f>
        <v>0</v>
      </c>
      <c r="D56" s="84">
        <f>DMHH!D32</f>
        <v>0</v>
      </c>
      <c r="E56" s="220">
        <f>DMHH!E32</f>
        <v>0</v>
      </c>
      <c r="F56" s="221">
        <f t="shared" si="4"/>
        <v>0</v>
      </c>
      <c r="G56" s="221">
        <f t="shared" si="5"/>
        <v>0</v>
      </c>
      <c r="H56" s="221">
        <f t="shared" si="6"/>
        <v>0</v>
      </c>
      <c r="I56" s="221">
        <f t="shared" si="7"/>
        <v>0</v>
      </c>
      <c r="J56" s="221">
        <f>DMHH!G32</f>
        <v>0</v>
      </c>
      <c r="K56" s="221">
        <f>DMHH!H32</f>
        <v>0</v>
      </c>
      <c r="L56" s="221">
        <f t="shared" si="8"/>
        <v>0</v>
      </c>
      <c r="M56" s="221">
        <f t="shared" si="9"/>
        <v>0</v>
      </c>
      <c r="N56" s="222"/>
      <c r="O56" s="234" t="str">
        <f t="shared" si="10"/>
        <v/>
      </c>
      <c r="P56" s="171"/>
    </row>
    <row r="57" spans="1:16" ht="15" hidden="1" customHeight="1">
      <c r="A57" s="171"/>
      <c r="B57" s="199">
        <f>IF(O57="",0,MAX($B$32:B56)+1)</f>
        <v>0</v>
      </c>
      <c r="C57" s="84">
        <f>DMHH!C33</f>
        <v>0</v>
      </c>
      <c r="D57" s="84">
        <f>DMHH!D33</f>
        <v>0</v>
      </c>
      <c r="E57" s="220">
        <f>DMHH!E33</f>
        <v>0</v>
      </c>
      <c r="F57" s="221">
        <f t="shared" si="4"/>
        <v>0</v>
      </c>
      <c r="G57" s="221">
        <f t="shared" si="5"/>
        <v>0</v>
      </c>
      <c r="H57" s="221">
        <f t="shared" si="6"/>
        <v>0</v>
      </c>
      <c r="I57" s="221">
        <f t="shared" si="7"/>
        <v>0</v>
      </c>
      <c r="J57" s="221">
        <f>DMHH!G33</f>
        <v>0</v>
      </c>
      <c r="K57" s="221">
        <f>DMHH!H33</f>
        <v>0</v>
      </c>
      <c r="L57" s="221">
        <f t="shared" si="8"/>
        <v>0</v>
      </c>
      <c r="M57" s="221">
        <f t="shared" si="9"/>
        <v>0</v>
      </c>
      <c r="N57" s="222"/>
      <c r="O57" s="234" t="str">
        <f t="shared" si="10"/>
        <v/>
      </c>
      <c r="P57" s="171"/>
    </row>
    <row r="58" spans="1:16" ht="15" hidden="1" customHeight="1">
      <c r="A58" s="171"/>
      <c r="B58" s="199">
        <f>IF(O58="",0,MAX($B$32:B57)+1)</f>
        <v>0</v>
      </c>
      <c r="C58" s="84">
        <f>DMHH!C34</f>
        <v>0</v>
      </c>
      <c r="D58" s="84">
        <f>DMHH!D34</f>
        <v>0</v>
      </c>
      <c r="E58" s="220">
        <f>DMHH!E34</f>
        <v>0</v>
      </c>
      <c r="F58" s="221">
        <f t="shared" si="4"/>
        <v>0</v>
      </c>
      <c r="G58" s="221">
        <f t="shared" si="5"/>
        <v>0</v>
      </c>
      <c r="H58" s="221">
        <f t="shared" si="6"/>
        <v>0</v>
      </c>
      <c r="I58" s="221">
        <f t="shared" si="7"/>
        <v>0</v>
      </c>
      <c r="J58" s="221">
        <f>DMHH!G34</f>
        <v>0</v>
      </c>
      <c r="K58" s="221">
        <f>DMHH!H34</f>
        <v>0</v>
      </c>
      <c r="L58" s="221">
        <f t="shared" si="8"/>
        <v>0</v>
      </c>
      <c r="M58" s="221">
        <f t="shared" si="9"/>
        <v>0</v>
      </c>
      <c r="N58" s="222"/>
      <c r="O58" s="234" t="str">
        <f t="shared" si="10"/>
        <v/>
      </c>
      <c r="P58" s="171"/>
    </row>
    <row r="59" spans="1:16" ht="15" hidden="1" customHeight="1">
      <c r="A59" s="171"/>
      <c r="B59" s="199">
        <f>IF(O59="",0,MAX($B$32:B58)+1)</f>
        <v>0</v>
      </c>
      <c r="C59" s="84">
        <f>DMHH!C35</f>
        <v>0</v>
      </c>
      <c r="D59" s="84">
        <f>DMHH!D35</f>
        <v>0</v>
      </c>
      <c r="E59" s="220">
        <f>DMHH!E35</f>
        <v>0</v>
      </c>
      <c r="F59" s="221">
        <f t="shared" si="4"/>
        <v>0</v>
      </c>
      <c r="G59" s="221">
        <f t="shared" si="5"/>
        <v>0</v>
      </c>
      <c r="H59" s="221">
        <f t="shared" si="6"/>
        <v>0</v>
      </c>
      <c r="I59" s="221">
        <f t="shared" si="7"/>
        <v>0</v>
      </c>
      <c r="J59" s="221">
        <f>DMHH!G35</f>
        <v>0</v>
      </c>
      <c r="K59" s="221">
        <f>DMHH!H35</f>
        <v>0</v>
      </c>
      <c r="L59" s="221">
        <f t="shared" si="8"/>
        <v>0</v>
      </c>
      <c r="M59" s="221">
        <f t="shared" si="9"/>
        <v>0</v>
      </c>
      <c r="N59" s="222"/>
      <c r="O59" s="234" t="str">
        <f t="shared" si="10"/>
        <v/>
      </c>
      <c r="P59" s="171"/>
    </row>
    <row r="60" spans="1:16" ht="15" hidden="1" customHeight="1">
      <c r="A60" s="171"/>
      <c r="B60" s="199">
        <f>IF(O60="",0,MAX($B$32:B59)+1)</f>
        <v>0</v>
      </c>
      <c r="C60" s="84">
        <f>DMHH!C36</f>
        <v>0</v>
      </c>
      <c r="D60" s="84">
        <f>DMHH!D36</f>
        <v>0</v>
      </c>
      <c r="E60" s="220">
        <f>DMHH!E36</f>
        <v>0</v>
      </c>
      <c r="F60" s="221">
        <f t="shared" si="4"/>
        <v>0</v>
      </c>
      <c r="G60" s="221">
        <f t="shared" si="5"/>
        <v>0</v>
      </c>
      <c r="H60" s="221">
        <f t="shared" si="6"/>
        <v>0</v>
      </c>
      <c r="I60" s="221">
        <f t="shared" si="7"/>
        <v>0</v>
      </c>
      <c r="J60" s="221">
        <f>DMHH!G36</f>
        <v>0</v>
      </c>
      <c r="K60" s="221">
        <f>DMHH!H36</f>
        <v>0</v>
      </c>
      <c r="L60" s="221">
        <f t="shared" si="8"/>
        <v>0</v>
      </c>
      <c r="M60" s="221">
        <f t="shared" si="9"/>
        <v>0</v>
      </c>
      <c r="N60" s="222"/>
      <c r="O60" s="234" t="str">
        <f t="shared" si="10"/>
        <v/>
      </c>
      <c r="P60" s="171"/>
    </row>
    <row r="61" spans="1:16" ht="15" hidden="1" customHeight="1">
      <c r="A61" s="171"/>
      <c r="B61" s="199">
        <f>IF(O61="",0,MAX($B$32:B60)+1)</f>
        <v>0</v>
      </c>
      <c r="C61" s="84">
        <f>DMHH!C37</f>
        <v>0</v>
      </c>
      <c r="D61" s="84">
        <f>DMHH!D37</f>
        <v>0</v>
      </c>
      <c r="E61" s="220">
        <f>DMHH!E37</f>
        <v>0</v>
      </c>
      <c r="F61" s="221">
        <f t="shared" si="4"/>
        <v>0</v>
      </c>
      <c r="G61" s="221">
        <f t="shared" si="5"/>
        <v>0</v>
      </c>
      <c r="H61" s="221">
        <f t="shared" si="6"/>
        <v>0</v>
      </c>
      <c r="I61" s="221">
        <f t="shared" si="7"/>
        <v>0</v>
      </c>
      <c r="J61" s="221">
        <f>DMHH!G37</f>
        <v>0</v>
      </c>
      <c r="K61" s="221">
        <f>DMHH!H37</f>
        <v>0</v>
      </c>
      <c r="L61" s="221">
        <f t="shared" si="8"/>
        <v>0</v>
      </c>
      <c r="M61" s="221">
        <f t="shared" si="9"/>
        <v>0</v>
      </c>
      <c r="N61" s="222"/>
      <c r="O61" s="234" t="str">
        <f t="shared" si="10"/>
        <v/>
      </c>
      <c r="P61" s="171"/>
    </row>
    <row r="62" spans="1:16" ht="15" hidden="1" customHeight="1">
      <c r="A62" s="171"/>
      <c r="B62" s="199">
        <f>IF(O62="",0,MAX($B$32:B61)+1)</f>
        <v>0</v>
      </c>
      <c r="C62" s="84">
        <f>DMHH!C38</f>
        <v>0</v>
      </c>
      <c r="D62" s="84">
        <f>DMHH!D38</f>
        <v>0</v>
      </c>
      <c r="E62" s="220">
        <f>DMHH!E38</f>
        <v>0</v>
      </c>
      <c r="F62" s="221">
        <f t="shared" si="4"/>
        <v>0</v>
      </c>
      <c r="G62" s="221">
        <f t="shared" si="5"/>
        <v>0</v>
      </c>
      <c r="H62" s="221">
        <f t="shared" si="6"/>
        <v>0</v>
      </c>
      <c r="I62" s="221">
        <f t="shared" si="7"/>
        <v>0</v>
      </c>
      <c r="J62" s="221">
        <f>DMHH!G38</f>
        <v>0</v>
      </c>
      <c r="K62" s="221">
        <f>DMHH!H38</f>
        <v>0</v>
      </c>
      <c r="L62" s="221">
        <f t="shared" si="8"/>
        <v>0</v>
      </c>
      <c r="M62" s="221">
        <f t="shared" si="9"/>
        <v>0</v>
      </c>
      <c r="N62" s="222"/>
      <c r="O62" s="234" t="str">
        <f t="shared" si="10"/>
        <v/>
      </c>
      <c r="P62" s="171"/>
    </row>
    <row r="63" spans="1:16" ht="15" hidden="1" customHeight="1">
      <c r="A63" s="171"/>
      <c r="B63" s="199">
        <f>IF(O63="",0,MAX($B$32:B62)+1)</f>
        <v>0</v>
      </c>
      <c r="C63" s="84">
        <f>DMHH!C39</f>
        <v>0</v>
      </c>
      <c r="D63" s="84">
        <f>DMHH!D39</f>
        <v>0</v>
      </c>
      <c r="E63" s="220">
        <f>DMHH!E39</f>
        <v>0</v>
      </c>
      <c r="F63" s="221">
        <f t="shared" si="4"/>
        <v>0</v>
      </c>
      <c r="G63" s="221">
        <f t="shared" si="5"/>
        <v>0</v>
      </c>
      <c r="H63" s="221">
        <f t="shared" si="6"/>
        <v>0</v>
      </c>
      <c r="I63" s="221">
        <f t="shared" si="7"/>
        <v>0</v>
      </c>
      <c r="J63" s="221">
        <f>DMHH!G39</f>
        <v>0</v>
      </c>
      <c r="K63" s="221">
        <f>DMHH!H39</f>
        <v>0</v>
      </c>
      <c r="L63" s="221">
        <f t="shared" si="8"/>
        <v>0</v>
      </c>
      <c r="M63" s="221">
        <f t="shared" si="9"/>
        <v>0</v>
      </c>
      <c r="N63" s="222"/>
      <c r="O63" s="234" t="str">
        <f t="shared" si="10"/>
        <v/>
      </c>
      <c r="P63" s="171"/>
    </row>
    <row r="64" spans="1:16" ht="15" hidden="1" customHeight="1">
      <c r="A64" s="171"/>
      <c r="B64" s="199">
        <f>IF(O64="",0,MAX($B$32:B63)+1)</f>
        <v>0</v>
      </c>
      <c r="C64" s="84">
        <f>DMHH!C40</f>
        <v>0</v>
      </c>
      <c r="D64" s="84">
        <f>DMHH!D40</f>
        <v>0</v>
      </c>
      <c r="E64" s="220">
        <f>DMHH!E40</f>
        <v>0</v>
      </c>
      <c r="F64" s="221">
        <f t="shared" si="4"/>
        <v>0</v>
      </c>
      <c r="G64" s="221">
        <f t="shared" si="5"/>
        <v>0</v>
      </c>
      <c r="H64" s="221">
        <f t="shared" si="6"/>
        <v>0</v>
      </c>
      <c r="I64" s="221">
        <f t="shared" ref="I64:I95" si="11">F64+G64-H64</f>
        <v>0</v>
      </c>
      <c r="J64" s="221">
        <f>DMHH!G40</f>
        <v>0</v>
      </c>
      <c r="K64" s="221">
        <f>DMHH!H40</f>
        <v>0</v>
      </c>
      <c r="L64" s="221">
        <f t="shared" si="8"/>
        <v>0</v>
      </c>
      <c r="M64" s="221">
        <f t="shared" si="9"/>
        <v>0</v>
      </c>
      <c r="N64" s="222"/>
      <c r="O64" s="234" t="str">
        <f t="shared" si="10"/>
        <v/>
      </c>
      <c r="P64" s="171"/>
    </row>
    <row r="65" spans="1:16" ht="15" hidden="1" customHeight="1">
      <c r="A65" s="171"/>
      <c r="B65" s="199">
        <f>IF(O65="",0,MAX($B$32:B64)+1)</f>
        <v>0</v>
      </c>
      <c r="C65" s="84">
        <f>DMHH!C41</f>
        <v>0</v>
      </c>
      <c r="D65" s="84">
        <f>DMHH!D41</f>
        <v>0</v>
      </c>
      <c r="E65" s="220">
        <f>DMHH!E41</f>
        <v>0</v>
      </c>
      <c r="F65" s="221">
        <f t="shared" si="4"/>
        <v>0</v>
      </c>
      <c r="G65" s="221">
        <f t="shared" si="5"/>
        <v>0</v>
      </c>
      <c r="H65" s="221">
        <f t="shared" si="6"/>
        <v>0</v>
      </c>
      <c r="I65" s="221">
        <f t="shared" si="11"/>
        <v>0</v>
      </c>
      <c r="J65" s="221">
        <f>DMHH!G41</f>
        <v>0</v>
      </c>
      <c r="K65" s="221">
        <f>DMHH!H41</f>
        <v>0</v>
      </c>
      <c r="L65" s="221">
        <f t="shared" si="8"/>
        <v>0</v>
      </c>
      <c r="M65" s="221">
        <f t="shared" si="9"/>
        <v>0</v>
      </c>
      <c r="N65" s="222"/>
      <c r="O65" s="234" t="str">
        <f t="shared" si="10"/>
        <v/>
      </c>
      <c r="P65" s="171"/>
    </row>
    <row r="66" spans="1:16" ht="15" hidden="1" customHeight="1">
      <c r="A66" s="171"/>
      <c r="B66" s="199">
        <f>IF(O66="",0,MAX($B$32:B65)+1)</f>
        <v>0</v>
      </c>
      <c r="C66" s="84">
        <f>DMHH!C42</f>
        <v>0</v>
      </c>
      <c r="D66" s="84">
        <f>DMHH!D42</f>
        <v>0</v>
      </c>
      <c r="E66" s="220">
        <f>DMHH!E42</f>
        <v>0</v>
      </c>
      <c r="F66" s="221">
        <f t="shared" si="4"/>
        <v>0</v>
      </c>
      <c r="G66" s="221">
        <f t="shared" si="5"/>
        <v>0</v>
      </c>
      <c r="H66" s="221">
        <f t="shared" si="6"/>
        <v>0</v>
      </c>
      <c r="I66" s="221">
        <f t="shared" si="11"/>
        <v>0</v>
      </c>
      <c r="J66" s="221">
        <f>DMHH!G42</f>
        <v>0</v>
      </c>
      <c r="K66" s="221">
        <f>DMHH!H42</f>
        <v>0</v>
      </c>
      <c r="L66" s="221">
        <f t="shared" si="8"/>
        <v>0</v>
      </c>
      <c r="M66" s="221">
        <f t="shared" si="9"/>
        <v>0</v>
      </c>
      <c r="N66" s="222"/>
      <c r="O66" s="234" t="str">
        <f t="shared" si="10"/>
        <v/>
      </c>
      <c r="P66" s="171"/>
    </row>
    <row r="67" spans="1:16" ht="15" hidden="1" customHeight="1">
      <c r="A67" s="171"/>
      <c r="B67" s="199">
        <f>IF(O67="",0,MAX($B$32:B66)+1)</f>
        <v>0</v>
      </c>
      <c r="C67" s="84">
        <f>DMHH!C43</f>
        <v>0</v>
      </c>
      <c r="D67" s="84">
        <f>DMHH!D43</f>
        <v>0</v>
      </c>
      <c r="E67" s="220">
        <f>DMHH!E43</f>
        <v>0</v>
      </c>
      <c r="F67" s="221">
        <f t="shared" si="4"/>
        <v>0</v>
      </c>
      <c r="G67" s="221">
        <f t="shared" si="5"/>
        <v>0</v>
      </c>
      <c r="H67" s="221">
        <f t="shared" si="6"/>
        <v>0</v>
      </c>
      <c r="I67" s="221">
        <f t="shared" si="11"/>
        <v>0</v>
      </c>
      <c r="J67" s="221">
        <f>DMHH!G43</f>
        <v>0</v>
      </c>
      <c r="K67" s="221">
        <f>DMHH!H43</f>
        <v>0</v>
      </c>
      <c r="L67" s="221">
        <f t="shared" si="8"/>
        <v>0</v>
      </c>
      <c r="M67" s="221">
        <f t="shared" si="9"/>
        <v>0</v>
      </c>
      <c r="N67" s="222"/>
      <c r="O67" s="234" t="str">
        <f t="shared" si="10"/>
        <v/>
      </c>
      <c r="P67" s="171"/>
    </row>
    <row r="68" spans="1:16" ht="15" hidden="1" customHeight="1">
      <c r="A68" s="171"/>
      <c r="B68" s="199">
        <f>IF(O68="",0,MAX($B$32:B67)+1)</f>
        <v>0</v>
      </c>
      <c r="C68" s="84">
        <f>DMHH!C44</f>
        <v>0</v>
      </c>
      <c r="D68" s="84">
        <f>DMHH!D44</f>
        <v>0</v>
      </c>
      <c r="E68" s="220">
        <f>DMHH!E44</f>
        <v>0</v>
      </c>
      <c r="F68" s="221">
        <f t="shared" si="4"/>
        <v>0</v>
      </c>
      <c r="G68" s="221">
        <f t="shared" si="5"/>
        <v>0</v>
      </c>
      <c r="H68" s="221">
        <f t="shared" si="6"/>
        <v>0</v>
      </c>
      <c r="I68" s="221">
        <f t="shared" si="11"/>
        <v>0</v>
      </c>
      <c r="J68" s="221">
        <f>DMHH!G44</f>
        <v>0</v>
      </c>
      <c r="K68" s="221">
        <f>DMHH!H44</f>
        <v>0</v>
      </c>
      <c r="L68" s="221">
        <f t="shared" si="8"/>
        <v>0</v>
      </c>
      <c r="M68" s="221">
        <f t="shared" si="9"/>
        <v>0</v>
      </c>
      <c r="N68" s="222"/>
      <c r="O68" s="234" t="str">
        <f t="shared" si="10"/>
        <v/>
      </c>
      <c r="P68" s="171"/>
    </row>
    <row r="69" spans="1:16" ht="15" hidden="1" customHeight="1">
      <c r="A69" s="171"/>
      <c r="B69" s="199">
        <f>IF(O69="",0,MAX($B$32:B68)+1)</f>
        <v>0</v>
      </c>
      <c r="C69" s="84">
        <f>DMHH!C45</f>
        <v>0</v>
      </c>
      <c r="D69" s="84">
        <f>DMHH!D45</f>
        <v>0</v>
      </c>
      <c r="E69" s="220">
        <f>DMHH!E45</f>
        <v>0</v>
      </c>
      <c r="F69" s="221">
        <f t="shared" si="4"/>
        <v>0</v>
      </c>
      <c r="G69" s="221">
        <f t="shared" si="5"/>
        <v>0</v>
      </c>
      <c r="H69" s="221">
        <f t="shared" si="6"/>
        <v>0</v>
      </c>
      <c r="I69" s="221">
        <f t="shared" si="11"/>
        <v>0</v>
      </c>
      <c r="J69" s="221">
        <f>DMHH!G45</f>
        <v>0</v>
      </c>
      <c r="K69" s="221">
        <f>DMHH!H45</f>
        <v>0</v>
      </c>
      <c r="L69" s="221">
        <f t="shared" si="8"/>
        <v>0</v>
      </c>
      <c r="M69" s="221">
        <f t="shared" si="9"/>
        <v>0</v>
      </c>
      <c r="N69" s="222"/>
      <c r="O69" s="234" t="str">
        <f t="shared" si="10"/>
        <v/>
      </c>
      <c r="P69" s="171"/>
    </row>
    <row r="70" spans="1:16" ht="15" hidden="1" customHeight="1">
      <c r="A70" s="171"/>
      <c r="B70" s="199">
        <f>IF(O70="",0,MAX($B$32:B69)+1)</f>
        <v>0</v>
      </c>
      <c r="C70" s="84">
        <f>DMHH!C46</f>
        <v>0</v>
      </c>
      <c r="D70" s="84">
        <f>DMHH!D46</f>
        <v>0</v>
      </c>
      <c r="E70" s="220">
        <f>DMHH!E46</f>
        <v>0</v>
      </c>
      <c r="F70" s="221">
        <f t="shared" si="4"/>
        <v>0</v>
      </c>
      <c r="G70" s="221">
        <f t="shared" si="5"/>
        <v>0</v>
      </c>
      <c r="H70" s="221">
        <f t="shared" si="6"/>
        <v>0</v>
      </c>
      <c r="I70" s="221">
        <f t="shared" si="11"/>
        <v>0</v>
      </c>
      <c r="J70" s="221">
        <f>DMHH!G46</f>
        <v>0</v>
      </c>
      <c r="K70" s="221">
        <f>DMHH!H46</f>
        <v>0</v>
      </c>
      <c r="L70" s="221">
        <f t="shared" si="8"/>
        <v>0</v>
      </c>
      <c r="M70" s="221">
        <f t="shared" si="9"/>
        <v>0</v>
      </c>
      <c r="N70" s="222"/>
      <c r="O70" s="234" t="str">
        <f t="shared" si="10"/>
        <v/>
      </c>
      <c r="P70" s="171"/>
    </row>
    <row r="71" spans="1:16" ht="15" hidden="1" customHeight="1">
      <c r="A71" s="171"/>
      <c r="B71" s="199">
        <f>IF(O71="",0,MAX($B$32:B70)+1)</f>
        <v>0</v>
      </c>
      <c r="C71" s="84">
        <f>DMHH!C47</f>
        <v>0</v>
      </c>
      <c r="D71" s="84">
        <f>DMHH!D47</f>
        <v>0</v>
      </c>
      <c r="E71" s="220">
        <f>DMHH!E47</f>
        <v>0</v>
      </c>
      <c r="F71" s="221">
        <f t="shared" si="4"/>
        <v>0</v>
      </c>
      <c r="G71" s="221">
        <f t="shared" si="5"/>
        <v>0</v>
      </c>
      <c r="H71" s="221">
        <f t="shared" si="6"/>
        <v>0</v>
      </c>
      <c r="I71" s="221">
        <f t="shared" si="11"/>
        <v>0</v>
      </c>
      <c r="J71" s="221">
        <f>DMHH!G47</f>
        <v>0</v>
      </c>
      <c r="K71" s="221">
        <f>DMHH!H47</f>
        <v>0</v>
      </c>
      <c r="L71" s="221">
        <f t="shared" si="8"/>
        <v>0</v>
      </c>
      <c r="M71" s="221">
        <f t="shared" si="9"/>
        <v>0</v>
      </c>
      <c r="N71" s="222"/>
      <c r="O71" s="234" t="str">
        <f t="shared" si="10"/>
        <v/>
      </c>
      <c r="P71" s="171"/>
    </row>
    <row r="72" spans="1:16" ht="15" hidden="1" customHeight="1">
      <c r="A72" s="171"/>
      <c r="B72" s="199">
        <f>IF(O72="",0,MAX($B$32:B71)+1)</f>
        <v>0</v>
      </c>
      <c r="C72" s="84">
        <f>DMHH!C48</f>
        <v>0</v>
      </c>
      <c r="D72" s="84">
        <f>DMHH!D48</f>
        <v>0</v>
      </c>
      <c r="E72" s="220">
        <f>DMHH!E48</f>
        <v>0</v>
      </c>
      <c r="F72" s="221">
        <f t="shared" si="4"/>
        <v>0</v>
      </c>
      <c r="G72" s="221">
        <f t="shared" si="5"/>
        <v>0</v>
      </c>
      <c r="H72" s="221">
        <f t="shared" si="6"/>
        <v>0</v>
      </c>
      <c r="I72" s="221">
        <f t="shared" si="11"/>
        <v>0</v>
      </c>
      <c r="J72" s="221">
        <f>DMHH!G48</f>
        <v>0</v>
      </c>
      <c r="K72" s="221">
        <f>DMHH!H48</f>
        <v>0</v>
      </c>
      <c r="L72" s="221">
        <f t="shared" si="8"/>
        <v>0</v>
      </c>
      <c r="M72" s="221">
        <f t="shared" si="9"/>
        <v>0</v>
      </c>
      <c r="N72" s="222"/>
      <c r="O72" s="234" t="str">
        <f t="shared" si="10"/>
        <v/>
      </c>
      <c r="P72" s="171"/>
    </row>
    <row r="73" spans="1:16" ht="15" hidden="1" customHeight="1">
      <c r="A73" s="171"/>
      <c r="B73" s="199">
        <f>IF(O73="",0,MAX($B$32:B72)+1)</f>
        <v>0</v>
      </c>
      <c r="C73" s="84">
        <f>DMHH!C49</f>
        <v>0</v>
      </c>
      <c r="D73" s="84">
        <f>DMHH!D49</f>
        <v>0</v>
      </c>
      <c r="E73" s="220">
        <f>DMHH!E49</f>
        <v>0</v>
      </c>
      <c r="F73" s="221">
        <f t="shared" si="4"/>
        <v>0</v>
      </c>
      <c r="G73" s="221">
        <f t="shared" si="5"/>
        <v>0</v>
      </c>
      <c r="H73" s="221">
        <f t="shared" si="6"/>
        <v>0</v>
      </c>
      <c r="I73" s="221">
        <f t="shared" si="11"/>
        <v>0</v>
      </c>
      <c r="J73" s="221">
        <f>DMHH!G49</f>
        <v>0</v>
      </c>
      <c r="K73" s="221">
        <f>DMHH!H49</f>
        <v>0</v>
      </c>
      <c r="L73" s="221">
        <f t="shared" si="8"/>
        <v>0</v>
      </c>
      <c r="M73" s="221">
        <f t="shared" si="9"/>
        <v>0</v>
      </c>
      <c r="N73" s="222"/>
      <c r="O73" s="234" t="str">
        <f t="shared" si="10"/>
        <v/>
      </c>
      <c r="P73" s="171"/>
    </row>
    <row r="74" spans="1:16" ht="15" hidden="1" customHeight="1">
      <c r="A74" s="171"/>
      <c r="B74" s="199">
        <f>IF(O74="",0,MAX($B$32:B73)+1)</f>
        <v>0</v>
      </c>
      <c r="C74" s="84">
        <f>DMHH!C50</f>
        <v>0</v>
      </c>
      <c r="D74" s="84">
        <f>DMHH!D50</f>
        <v>0</v>
      </c>
      <c r="E74" s="220">
        <f>DMHH!E50</f>
        <v>0</v>
      </c>
      <c r="F74" s="221">
        <f t="shared" si="4"/>
        <v>0</v>
      </c>
      <c r="G74" s="221">
        <f t="shared" si="5"/>
        <v>0</v>
      </c>
      <c r="H74" s="221">
        <f t="shared" si="6"/>
        <v>0</v>
      </c>
      <c r="I74" s="221">
        <f t="shared" si="11"/>
        <v>0</v>
      </c>
      <c r="J74" s="221">
        <f>DMHH!G50</f>
        <v>0</v>
      </c>
      <c r="K74" s="221">
        <f>DMHH!H50</f>
        <v>0</v>
      </c>
      <c r="L74" s="221">
        <f t="shared" si="8"/>
        <v>0</v>
      </c>
      <c r="M74" s="221">
        <f t="shared" si="9"/>
        <v>0</v>
      </c>
      <c r="N74" s="222"/>
      <c r="O74" s="234" t="str">
        <f t="shared" si="10"/>
        <v/>
      </c>
      <c r="P74" s="171"/>
    </row>
    <row r="75" spans="1:16" ht="15" hidden="1" customHeight="1">
      <c r="A75" s="171"/>
      <c r="B75" s="199">
        <f>IF(O75="",0,MAX($B$32:B74)+1)</f>
        <v>0</v>
      </c>
      <c r="C75" s="84">
        <f>DMHH!C51</f>
        <v>0</v>
      </c>
      <c r="D75" s="84">
        <f>DMHH!D51</f>
        <v>0</v>
      </c>
      <c r="E75" s="220">
        <f>DMHH!E51</f>
        <v>0</v>
      </c>
      <c r="F75" s="221">
        <f t="shared" si="4"/>
        <v>0</v>
      </c>
      <c r="G75" s="221">
        <f t="shared" si="5"/>
        <v>0</v>
      </c>
      <c r="H75" s="221">
        <f t="shared" si="6"/>
        <v>0</v>
      </c>
      <c r="I75" s="221">
        <f t="shared" si="11"/>
        <v>0</v>
      </c>
      <c r="J75" s="221">
        <f>DMHH!G51</f>
        <v>0</v>
      </c>
      <c r="K75" s="221">
        <f>DMHH!H51</f>
        <v>0</v>
      </c>
      <c r="L75" s="221">
        <f t="shared" si="8"/>
        <v>0</v>
      </c>
      <c r="M75" s="221">
        <f t="shared" si="9"/>
        <v>0</v>
      </c>
      <c r="N75" s="222"/>
      <c r="O75" s="234" t="str">
        <f t="shared" si="10"/>
        <v/>
      </c>
      <c r="P75" s="171"/>
    </row>
    <row r="76" spans="1:16" ht="15" hidden="1" customHeight="1">
      <c r="A76" s="171"/>
      <c r="B76" s="199">
        <f>IF(O76="",0,MAX($B$32:B75)+1)</f>
        <v>0</v>
      </c>
      <c r="C76" s="84">
        <f>DMHH!C52</f>
        <v>0</v>
      </c>
      <c r="D76" s="84">
        <f>DMHH!D52</f>
        <v>0</v>
      </c>
      <c r="E76" s="220">
        <f>DMHH!E52</f>
        <v>0</v>
      </c>
      <c r="F76" s="221">
        <f t="shared" si="4"/>
        <v>0</v>
      </c>
      <c r="G76" s="221">
        <f t="shared" si="5"/>
        <v>0</v>
      </c>
      <c r="H76" s="221">
        <f t="shared" si="6"/>
        <v>0</v>
      </c>
      <c r="I76" s="221">
        <f t="shared" si="11"/>
        <v>0</v>
      </c>
      <c r="J76" s="221">
        <f>DMHH!G52</f>
        <v>0</v>
      </c>
      <c r="K76" s="221">
        <f>DMHH!H52</f>
        <v>0</v>
      </c>
      <c r="L76" s="221">
        <f t="shared" si="8"/>
        <v>0</v>
      </c>
      <c r="M76" s="221">
        <f t="shared" si="9"/>
        <v>0</v>
      </c>
      <c r="N76" s="222"/>
      <c r="O76" s="234" t="str">
        <f t="shared" si="10"/>
        <v/>
      </c>
      <c r="P76" s="171"/>
    </row>
    <row r="77" spans="1:16" ht="15" hidden="1" customHeight="1">
      <c r="A77" s="171"/>
      <c r="B77" s="199">
        <f>IF(O77="",0,MAX($B$32:B76)+1)</f>
        <v>0</v>
      </c>
      <c r="C77" s="84">
        <f>DMHH!C53</f>
        <v>0</v>
      </c>
      <c r="D77" s="84">
        <f>DMHH!D53</f>
        <v>0</v>
      </c>
      <c r="E77" s="220">
        <f>DMHH!E53</f>
        <v>0</v>
      </c>
      <c r="F77" s="221">
        <f t="shared" si="4"/>
        <v>0</v>
      </c>
      <c r="G77" s="221">
        <f t="shared" si="5"/>
        <v>0</v>
      </c>
      <c r="H77" s="221">
        <f t="shared" si="6"/>
        <v>0</v>
      </c>
      <c r="I77" s="221">
        <f t="shared" si="11"/>
        <v>0</v>
      </c>
      <c r="J77" s="221">
        <f>DMHH!G53</f>
        <v>0</v>
      </c>
      <c r="K77" s="221">
        <f>DMHH!H53</f>
        <v>0</v>
      </c>
      <c r="L77" s="221">
        <f t="shared" si="8"/>
        <v>0</v>
      </c>
      <c r="M77" s="221">
        <f t="shared" si="9"/>
        <v>0</v>
      </c>
      <c r="N77" s="222"/>
      <c r="O77" s="234" t="str">
        <f t="shared" si="10"/>
        <v/>
      </c>
      <c r="P77" s="171"/>
    </row>
    <row r="78" spans="1:16" ht="15" hidden="1" customHeight="1">
      <c r="A78" s="171"/>
      <c r="B78" s="199">
        <f>IF(O78="",0,MAX($B$32:B77)+1)</f>
        <v>0</v>
      </c>
      <c r="C78" s="84">
        <f>DMHH!C54</f>
        <v>0</v>
      </c>
      <c r="D78" s="84">
        <f>DMHH!D54</f>
        <v>0</v>
      </c>
      <c r="E78" s="220">
        <f>DMHH!E54</f>
        <v>0</v>
      </c>
      <c r="F78" s="221">
        <f t="shared" si="4"/>
        <v>0</v>
      </c>
      <c r="G78" s="221">
        <f t="shared" si="5"/>
        <v>0</v>
      </c>
      <c r="H78" s="221">
        <f t="shared" si="6"/>
        <v>0</v>
      </c>
      <c r="I78" s="221">
        <f t="shared" si="11"/>
        <v>0</v>
      </c>
      <c r="J78" s="221">
        <f>DMHH!G54</f>
        <v>0</v>
      </c>
      <c r="K78" s="221">
        <f>DMHH!H54</f>
        <v>0</v>
      </c>
      <c r="L78" s="221">
        <f t="shared" si="8"/>
        <v>0</v>
      </c>
      <c r="M78" s="221">
        <f t="shared" si="9"/>
        <v>0</v>
      </c>
      <c r="N78" s="222"/>
      <c r="O78" s="234" t="str">
        <f t="shared" si="10"/>
        <v/>
      </c>
      <c r="P78" s="171"/>
    </row>
    <row r="79" spans="1:16" ht="15" hidden="1" customHeight="1">
      <c r="A79" s="171"/>
      <c r="B79" s="199">
        <f>IF(O79="",0,MAX($B$32:B78)+1)</f>
        <v>0</v>
      </c>
      <c r="C79" s="84">
        <f>DMHH!C55</f>
        <v>0</v>
      </c>
      <c r="D79" s="84">
        <f>DMHH!D55</f>
        <v>0</v>
      </c>
      <c r="E79" s="220">
        <f>DMHH!E55</f>
        <v>0</v>
      </c>
      <c r="F79" s="221">
        <f t="shared" si="4"/>
        <v>0</v>
      </c>
      <c r="G79" s="221">
        <f t="shared" si="5"/>
        <v>0</v>
      </c>
      <c r="H79" s="221">
        <f t="shared" si="6"/>
        <v>0</v>
      </c>
      <c r="I79" s="221">
        <f t="shared" si="11"/>
        <v>0</v>
      </c>
      <c r="J79" s="221">
        <f>DMHH!G55</f>
        <v>0</v>
      </c>
      <c r="K79" s="221">
        <f>DMHH!H55</f>
        <v>0</v>
      </c>
      <c r="L79" s="221">
        <f t="shared" si="8"/>
        <v>0</v>
      </c>
      <c r="M79" s="221">
        <f t="shared" si="9"/>
        <v>0</v>
      </c>
      <c r="N79" s="222"/>
      <c r="O79" s="234" t="str">
        <f t="shared" si="10"/>
        <v/>
      </c>
      <c r="P79" s="171"/>
    </row>
    <row r="80" spans="1:16" ht="15" hidden="1" customHeight="1">
      <c r="A80" s="171"/>
      <c r="B80" s="199">
        <f>IF(O80="",0,MAX($B$32:B79)+1)</f>
        <v>0</v>
      </c>
      <c r="C80" s="84">
        <f>DMHH!C56</f>
        <v>0</v>
      </c>
      <c r="D80" s="84">
        <f>DMHH!D56</f>
        <v>0</v>
      </c>
      <c r="E80" s="220">
        <f>DMHH!E56</f>
        <v>0</v>
      </c>
      <c r="F80" s="221">
        <f t="shared" si="4"/>
        <v>0</v>
      </c>
      <c r="G80" s="221">
        <f t="shared" si="5"/>
        <v>0</v>
      </c>
      <c r="H80" s="221">
        <f t="shared" si="6"/>
        <v>0</v>
      </c>
      <c r="I80" s="221">
        <f t="shared" si="11"/>
        <v>0</v>
      </c>
      <c r="J80" s="221">
        <f>DMHH!G56</f>
        <v>0</v>
      </c>
      <c r="K80" s="221">
        <f>DMHH!H56</f>
        <v>0</v>
      </c>
      <c r="L80" s="221">
        <f t="shared" si="8"/>
        <v>0</v>
      </c>
      <c r="M80" s="221">
        <f t="shared" si="9"/>
        <v>0</v>
      </c>
      <c r="N80" s="222"/>
      <c r="O80" s="234" t="str">
        <f t="shared" si="10"/>
        <v/>
      </c>
      <c r="P80" s="171"/>
    </row>
    <row r="81" spans="1:16" ht="15" hidden="1" customHeight="1">
      <c r="A81" s="171"/>
      <c r="B81" s="199">
        <f>IF(O81="",0,MAX($B$32:B80)+1)</f>
        <v>0</v>
      </c>
      <c r="C81" s="84">
        <f>DMHH!C57</f>
        <v>0</v>
      </c>
      <c r="D81" s="84">
        <f>DMHH!D57</f>
        <v>0</v>
      </c>
      <c r="E81" s="220">
        <f>DMHH!E57</f>
        <v>0</v>
      </c>
      <c r="F81" s="221">
        <f t="shared" si="4"/>
        <v>0</v>
      </c>
      <c r="G81" s="221">
        <f t="shared" si="5"/>
        <v>0</v>
      </c>
      <c r="H81" s="221">
        <f t="shared" si="6"/>
        <v>0</v>
      </c>
      <c r="I81" s="221">
        <f t="shared" si="11"/>
        <v>0</v>
      </c>
      <c r="J81" s="221">
        <f>DMHH!G57</f>
        <v>0</v>
      </c>
      <c r="K81" s="221">
        <f>DMHH!H57</f>
        <v>0</v>
      </c>
      <c r="L81" s="221">
        <f t="shared" si="8"/>
        <v>0</v>
      </c>
      <c r="M81" s="221">
        <f t="shared" si="9"/>
        <v>0</v>
      </c>
      <c r="N81" s="222"/>
      <c r="O81" s="234" t="str">
        <f t="shared" si="10"/>
        <v/>
      </c>
      <c r="P81" s="171"/>
    </row>
    <row r="82" spans="1:16" ht="15" hidden="1" customHeight="1">
      <c r="A82" s="171"/>
      <c r="B82" s="199">
        <f>IF(O82="",0,MAX($B$32:B81)+1)</f>
        <v>0</v>
      </c>
      <c r="C82" s="84">
        <f>DMHH!C58</f>
        <v>0</v>
      </c>
      <c r="D82" s="84">
        <f>DMHH!D58</f>
        <v>0</v>
      </c>
      <c r="E82" s="220">
        <f>DMHH!E58</f>
        <v>0</v>
      </c>
      <c r="F82" s="221">
        <f t="shared" si="4"/>
        <v>0</v>
      </c>
      <c r="G82" s="221">
        <f t="shared" si="5"/>
        <v>0</v>
      </c>
      <c r="H82" s="221">
        <f t="shared" si="6"/>
        <v>0</v>
      </c>
      <c r="I82" s="221">
        <f t="shared" si="11"/>
        <v>0</v>
      </c>
      <c r="J82" s="221">
        <f>DMHH!G58</f>
        <v>0</v>
      </c>
      <c r="K82" s="221">
        <f>DMHH!H58</f>
        <v>0</v>
      </c>
      <c r="L82" s="221">
        <f t="shared" si="8"/>
        <v>0</v>
      </c>
      <c r="M82" s="221">
        <f t="shared" si="9"/>
        <v>0</v>
      </c>
      <c r="N82" s="222"/>
      <c r="O82" s="234" t="str">
        <f t="shared" si="10"/>
        <v/>
      </c>
      <c r="P82" s="171"/>
    </row>
    <row r="83" spans="1:16" ht="15" hidden="1" customHeight="1">
      <c r="A83" s="171"/>
      <c r="B83" s="199">
        <f>IF(O83="",0,MAX($B$32:B82)+1)</f>
        <v>0</v>
      </c>
      <c r="C83" s="84">
        <f>DMHH!C59</f>
        <v>0</v>
      </c>
      <c r="D83" s="84">
        <f>DMHH!D59</f>
        <v>0</v>
      </c>
      <c r="E83" s="220">
        <f>DMHH!E59</f>
        <v>0</v>
      </c>
      <c r="F83" s="221">
        <f t="shared" si="4"/>
        <v>0</v>
      </c>
      <c r="G83" s="221">
        <f t="shared" si="5"/>
        <v>0</v>
      </c>
      <c r="H83" s="221">
        <f t="shared" si="6"/>
        <v>0</v>
      </c>
      <c r="I83" s="221">
        <f t="shared" si="11"/>
        <v>0</v>
      </c>
      <c r="J83" s="221">
        <f>DMHH!G59</f>
        <v>0</v>
      </c>
      <c r="K83" s="221">
        <f>DMHH!H59</f>
        <v>0</v>
      </c>
      <c r="L83" s="221">
        <f t="shared" si="8"/>
        <v>0</v>
      </c>
      <c r="M83" s="221">
        <f t="shared" si="9"/>
        <v>0</v>
      </c>
      <c r="N83" s="222"/>
      <c r="O83" s="234" t="str">
        <f t="shared" si="10"/>
        <v/>
      </c>
      <c r="P83" s="171"/>
    </row>
    <row r="84" spans="1:16" ht="15" hidden="1" customHeight="1">
      <c r="A84" s="171"/>
      <c r="B84" s="199">
        <f>IF(O84="",0,MAX($B$32:B83)+1)</f>
        <v>0</v>
      </c>
      <c r="C84" s="84">
        <f>DMHH!C60</f>
        <v>0</v>
      </c>
      <c r="D84" s="84">
        <f>DMHH!D60</f>
        <v>0</v>
      </c>
      <c r="E84" s="220">
        <f>DMHH!E60</f>
        <v>0</v>
      </c>
      <c r="F84" s="221">
        <f t="shared" si="4"/>
        <v>0</v>
      </c>
      <c r="G84" s="221">
        <f t="shared" si="5"/>
        <v>0</v>
      </c>
      <c r="H84" s="221">
        <f t="shared" si="6"/>
        <v>0</v>
      </c>
      <c r="I84" s="221">
        <f t="shared" si="11"/>
        <v>0</v>
      </c>
      <c r="J84" s="221">
        <f>DMHH!G60</f>
        <v>0</v>
      </c>
      <c r="K84" s="221">
        <f>DMHH!H60</f>
        <v>0</v>
      </c>
      <c r="L84" s="221">
        <f t="shared" si="8"/>
        <v>0</v>
      </c>
      <c r="M84" s="221">
        <f t="shared" si="9"/>
        <v>0</v>
      </c>
      <c r="N84" s="222"/>
      <c r="O84" s="234" t="str">
        <f t="shared" si="10"/>
        <v/>
      </c>
      <c r="P84" s="171"/>
    </row>
    <row r="85" spans="1:16" ht="15" hidden="1" customHeight="1">
      <c r="A85" s="171"/>
      <c r="B85" s="199">
        <f>IF(O85="",0,MAX($B$32:B84)+1)</f>
        <v>0</v>
      </c>
      <c r="C85" s="84">
        <f>DMHH!C61</f>
        <v>0</v>
      </c>
      <c r="D85" s="84">
        <f>DMHH!D61</f>
        <v>0</v>
      </c>
      <c r="E85" s="220">
        <f>DMHH!E61</f>
        <v>0</v>
      </c>
      <c r="F85" s="221">
        <f t="shared" si="4"/>
        <v>0</v>
      </c>
      <c r="G85" s="221">
        <f t="shared" si="5"/>
        <v>0</v>
      </c>
      <c r="H85" s="221">
        <f t="shared" si="6"/>
        <v>0</v>
      </c>
      <c r="I85" s="221">
        <f t="shared" si="11"/>
        <v>0</v>
      </c>
      <c r="J85" s="221">
        <f>DMHH!G61</f>
        <v>0</v>
      </c>
      <c r="K85" s="221">
        <f>DMHH!H61</f>
        <v>0</v>
      </c>
      <c r="L85" s="221">
        <f t="shared" si="8"/>
        <v>0</v>
      </c>
      <c r="M85" s="221">
        <f t="shared" si="9"/>
        <v>0</v>
      </c>
      <c r="N85" s="222"/>
      <c r="O85" s="234" t="str">
        <f t="shared" si="10"/>
        <v/>
      </c>
      <c r="P85" s="171"/>
    </row>
    <row r="86" spans="1:16" ht="15" hidden="1" customHeight="1">
      <c r="A86" s="171"/>
      <c r="B86" s="199">
        <f>IF(O86="",0,MAX($B$32:B85)+1)</f>
        <v>0</v>
      </c>
      <c r="C86" s="84">
        <f>DMHH!C62</f>
        <v>0</v>
      </c>
      <c r="D86" s="84">
        <f>DMHH!D62</f>
        <v>0</v>
      </c>
      <c r="E86" s="220">
        <f>DMHH!E62</f>
        <v>0</v>
      </c>
      <c r="F86" s="221">
        <f t="shared" si="4"/>
        <v>0</v>
      </c>
      <c r="G86" s="221">
        <f t="shared" si="5"/>
        <v>0</v>
      </c>
      <c r="H86" s="221">
        <f t="shared" si="6"/>
        <v>0</v>
      </c>
      <c r="I86" s="221">
        <f t="shared" si="11"/>
        <v>0</v>
      </c>
      <c r="J86" s="221">
        <f>DMHH!G62</f>
        <v>0</v>
      </c>
      <c r="K86" s="221">
        <f>DMHH!H62</f>
        <v>0</v>
      </c>
      <c r="L86" s="221">
        <f t="shared" si="8"/>
        <v>0</v>
      </c>
      <c r="M86" s="221">
        <f t="shared" si="9"/>
        <v>0</v>
      </c>
      <c r="N86" s="222"/>
      <c r="O86" s="234" t="str">
        <f t="shared" si="10"/>
        <v/>
      </c>
      <c r="P86" s="171"/>
    </row>
    <row r="87" spans="1:16" ht="15" hidden="1" customHeight="1">
      <c r="A87" s="171"/>
      <c r="B87" s="199">
        <f>IF(O87="",0,MAX($B$32:B86)+1)</f>
        <v>0</v>
      </c>
      <c r="C87" s="84">
        <f>DMHH!C63</f>
        <v>0</v>
      </c>
      <c r="D87" s="84">
        <f>DMHH!D63</f>
        <v>0</v>
      </c>
      <c r="E87" s="220">
        <f>DMHH!E63</f>
        <v>0</v>
      </c>
      <c r="F87" s="221">
        <f t="shared" si="4"/>
        <v>0</v>
      </c>
      <c r="G87" s="221">
        <f t="shared" si="5"/>
        <v>0</v>
      </c>
      <c r="H87" s="221">
        <f t="shared" si="6"/>
        <v>0</v>
      </c>
      <c r="I87" s="221">
        <f t="shared" si="11"/>
        <v>0</v>
      </c>
      <c r="J87" s="221">
        <f>DMHH!G63</f>
        <v>0</v>
      </c>
      <c r="K87" s="221">
        <f>DMHH!H63</f>
        <v>0</v>
      </c>
      <c r="L87" s="221">
        <f t="shared" si="8"/>
        <v>0</v>
      </c>
      <c r="M87" s="221">
        <f t="shared" si="9"/>
        <v>0</v>
      </c>
      <c r="N87" s="222"/>
      <c r="O87" s="234" t="str">
        <f t="shared" si="10"/>
        <v/>
      </c>
      <c r="P87" s="171"/>
    </row>
    <row r="88" spans="1:16" ht="15" hidden="1" customHeight="1">
      <c r="A88" s="171"/>
      <c r="B88" s="199">
        <f>IF(O88="",0,MAX($B$32:B87)+1)</f>
        <v>0</v>
      </c>
      <c r="C88" s="84">
        <f>DMHH!C64</f>
        <v>0</v>
      </c>
      <c r="D88" s="84">
        <f>DMHH!D64</f>
        <v>0</v>
      </c>
      <c r="E88" s="220">
        <f>DMHH!E64</f>
        <v>0</v>
      </c>
      <c r="F88" s="221">
        <f t="shared" si="4"/>
        <v>0</v>
      </c>
      <c r="G88" s="221">
        <f t="shared" si="5"/>
        <v>0</v>
      </c>
      <c r="H88" s="221">
        <f t="shared" si="6"/>
        <v>0</v>
      </c>
      <c r="I88" s="221">
        <f t="shared" si="11"/>
        <v>0</v>
      </c>
      <c r="J88" s="221">
        <f>DMHH!G64</f>
        <v>0</v>
      </c>
      <c r="K88" s="221">
        <f>DMHH!H64</f>
        <v>0</v>
      </c>
      <c r="L88" s="221">
        <f t="shared" si="8"/>
        <v>0</v>
      </c>
      <c r="M88" s="221">
        <f t="shared" si="9"/>
        <v>0</v>
      </c>
      <c r="N88" s="222"/>
      <c r="O88" s="234" t="str">
        <f t="shared" si="10"/>
        <v/>
      </c>
      <c r="P88" s="171"/>
    </row>
    <row r="89" spans="1:16" ht="15" hidden="1" customHeight="1">
      <c r="A89" s="171"/>
      <c r="B89" s="199">
        <f>IF(O89="",0,MAX($B$32:B88)+1)</f>
        <v>0</v>
      </c>
      <c r="C89" s="84">
        <f>DMHH!C65</f>
        <v>0</v>
      </c>
      <c r="D89" s="84">
        <f>DMHH!D65</f>
        <v>0</v>
      </c>
      <c r="E89" s="220">
        <f>DMHH!E65</f>
        <v>0</v>
      </c>
      <c r="F89" s="221">
        <f t="shared" si="4"/>
        <v>0</v>
      </c>
      <c r="G89" s="221">
        <f t="shared" si="5"/>
        <v>0</v>
      </c>
      <c r="H89" s="221">
        <f t="shared" si="6"/>
        <v>0</v>
      </c>
      <c r="I89" s="221">
        <f t="shared" si="11"/>
        <v>0</v>
      </c>
      <c r="J89" s="221">
        <f>DMHH!G65</f>
        <v>0</v>
      </c>
      <c r="K89" s="221">
        <f>DMHH!H65</f>
        <v>0</v>
      </c>
      <c r="L89" s="221">
        <f t="shared" si="8"/>
        <v>0</v>
      </c>
      <c r="M89" s="221">
        <f t="shared" si="9"/>
        <v>0</v>
      </c>
      <c r="N89" s="222"/>
      <c r="O89" s="234" t="str">
        <f t="shared" si="10"/>
        <v/>
      </c>
      <c r="P89" s="171"/>
    </row>
    <row r="90" spans="1:16" ht="15" hidden="1" customHeight="1">
      <c r="A90" s="171"/>
      <c r="B90" s="199">
        <f>IF(O90="",0,MAX($B$32:B89)+1)</f>
        <v>0</v>
      </c>
      <c r="C90" s="84">
        <f>DMHH!C66</f>
        <v>0</v>
      </c>
      <c r="D90" s="84">
        <f>DMHH!D66</f>
        <v>0</v>
      </c>
      <c r="E90" s="220">
        <f>DMHH!E66</f>
        <v>0</v>
      </c>
      <c r="F90" s="221">
        <f t="shared" si="4"/>
        <v>0</v>
      </c>
      <c r="G90" s="221">
        <f t="shared" si="5"/>
        <v>0</v>
      </c>
      <c r="H90" s="221">
        <f t="shared" si="6"/>
        <v>0</v>
      </c>
      <c r="I90" s="221">
        <f t="shared" si="11"/>
        <v>0</v>
      </c>
      <c r="J90" s="221">
        <f>DMHH!G66</f>
        <v>0</v>
      </c>
      <c r="K90" s="221">
        <f>DMHH!H66</f>
        <v>0</v>
      </c>
      <c r="L90" s="221">
        <f t="shared" si="8"/>
        <v>0</v>
      </c>
      <c r="M90" s="221">
        <f t="shared" si="9"/>
        <v>0</v>
      </c>
      <c r="N90" s="222"/>
      <c r="O90" s="234" t="str">
        <f t="shared" si="10"/>
        <v/>
      </c>
      <c r="P90" s="171"/>
    </row>
    <row r="91" spans="1:16" ht="15" hidden="1" customHeight="1">
      <c r="A91" s="171"/>
      <c r="B91" s="199">
        <f>IF(O91="",0,MAX($B$32:B90)+1)</f>
        <v>0</v>
      </c>
      <c r="C91" s="84">
        <f>DMHH!C67</f>
        <v>0</v>
      </c>
      <c r="D91" s="84">
        <f>DMHH!D67</f>
        <v>0</v>
      </c>
      <c r="E91" s="220">
        <f>DMHH!E67</f>
        <v>0</v>
      </c>
      <c r="F91" s="221">
        <f t="shared" si="4"/>
        <v>0</v>
      </c>
      <c r="G91" s="221">
        <f t="shared" si="5"/>
        <v>0</v>
      </c>
      <c r="H91" s="221">
        <f t="shared" si="6"/>
        <v>0</v>
      </c>
      <c r="I91" s="221">
        <f t="shared" si="11"/>
        <v>0</v>
      </c>
      <c r="J91" s="221">
        <f>DMHH!G67</f>
        <v>0</v>
      </c>
      <c r="K91" s="221">
        <f>DMHH!H67</f>
        <v>0</v>
      </c>
      <c r="L91" s="221">
        <f t="shared" si="8"/>
        <v>0</v>
      </c>
      <c r="M91" s="221">
        <f t="shared" si="9"/>
        <v>0</v>
      </c>
      <c r="N91" s="222"/>
      <c r="O91" s="234" t="str">
        <f t="shared" si="10"/>
        <v/>
      </c>
      <c r="P91" s="171"/>
    </row>
    <row r="92" spans="1:16" ht="15" hidden="1" customHeight="1">
      <c r="A92" s="171"/>
      <c r="B92" s="199">
        <f>IF(O92="",0,MAX($B$32:B91)+1)</f>
        <v>0</v>
      </c>
      <c r="C92" s="84">
        <f>DMHH!C68</f>
        <v>0</v>
      </c>
      <c r="D92" s="84">
        <f>DMHH!D68</f>
        <v>0</v>
      </c>
      <c r="E92" s="220">
        <f>DMHH!E68</f>
        <v>0</v>
      </c>
      <c r="F92" s="221">
        <f t="shared" si="4"/>
        <v>0</v>
      </c>
      <c r="G92" s="221">
        <f t="shared" si="5"/>
        <v>0</v>
      </c>
      <c r="H92" s="221">
        <f t="shared" si="6"/>
        <v>0</v>
      </c>
      <c r="I92" s="221">
        <f t="shared" si="11"/>
        <v>0</v>
      </c>
      <c r="J92" s="221">
        <f>DMHH!G68</f>
        <v>0</v>
      </c>
      <c r="K92" s="221">
        <f>DMHH!H68</f>
        <v>0</v>
      </c>
      <c r="L92" s="221">
        <f t="shared" si="8"/>
        <v>0</v>
      </c>
      <c r="M92" s="221">
        <f t="shared" si="9"/>
        <v>0</v>
      </c>
      <c r="N92" s="222"/>
      <c r="O92" s="234" t="str">
        <f t="shared" si="10"/>
        <v/>
      </c>
      <c r="P92" s="171"/>
    </row>
    <row r="93" spans="1:16" ht="15" hidden="1" customHeight="1">
      <c r="A93" s="171"/>
      <c r="B93" s="199">
        <f>IF(O93="",0,MAX($B$32:B92)+1)</f>
        <v>0</v>
      </c>
      <c r="C93" s="84">
        <f>DMHH!C69</f>
        <v>0</v>
      </c>
      <c r="D93" s="84">
        <f>DMHH!D69</f>
        <v>0</v>
      </c>
      <c r="E93" s="220">
        <f>DMHH!E69</f>
        <v>0</v>
      </c>
      <c r="F93" s="221">
        <f t="shared" si="4"/>
        <v>0</v>
      </c>
      <c r="G93" s="221">
        <f t="shared" si="5"/>
        <v>0</v>
      </c>
      <c r="H93" s="221">
        <f t="shared" si="6"/>
        <v>0</v>
      </c>
      <c r="I93" s="221">
        <f t="shared" si="11"/>
        <v>0</v>
      </c>
      <c r="J93" s="221">
        <f>DMHH!G69</f>
        <v>0</v>
      </c>
      <c r="K93" s="221">
        <f>DMHH!H69</f>
        <v>0</v>
      </c>
      <c r="L93" s="221">
        <f t="shared" si="8"/>
        <v>0</v>
      </c>
      <c r="M93" s="221">
        <f t="shared" si="9"/>
        <v>0</v>
      </c>
      <c r="N93" s="222"/>
      <c r="O93" s="234" t="str">
        <f t="shared" si="10"/>
        <v/>
      </c>
      <c r="P93" s="171"/>
    </row>
    <row r="94" spans="1:16" ht="15" hidden="1" customHeight="1">
      <c r="A94" s="171"/>
      <c r="B94" s="199">
        <f>IF(O94="",0,MAX($B$32:B93)+1)</f>
        <v>0</v>
      </c>
      <c r="C94" s="84">
        <f>DMHH!C70</f>
        <v>0</v>
      </c>
      <c r="D94" s="84">
        <f>DMHH!D70</f>
        <v>0</v>
      </c>
      <c r="E94" s="220">
        <f>DMHH!E70</f>
        <v>0</v>
      </c>
      <c r="F94" s="221">
        <f t="shared" si="4"/>
        <v>0</v>
      </c>
      <c r="G94" s="221">
        <f t="shared" si="5"/>
        <v>0</v>
      </c>
      <c r="H94" s="221">
        <f t="shared" si="6"/>
        <v>0</v>
      </c>
      <c r="I94" s="221">
        <f t="shared" si="11"/>
        <v>0</v>
      </c>
      <c r="J94" s="221">
        <f>DMHH!G70</f>
        <v>0</v>
      </c>
      <c r="K94" s="221">
        <f>DMHH!H70</f>
        <v>0</v>
      </c>
      <c r="L94" s="221">
        <f t="shared" si="8"/>
        <v>0</v>
      </c>
      <c r="M94" s="221">
        <f t="shared" si="9"/>
        <v>0</v>
      </c>
      <c r="N94" s="222"/>
      <c r="O94" s="234" t="str">
        <f t="shared" si="10"/>
        <v/>
      </c>
      <c r="P94" s="171"/>
    </row>
    <row r="95" spans="1:16" ht="15" hidden="1" customHeight="1">
      <c r="A95" s="171"/>
      <c r="B95" s="199">
        <f>IF(O95="",0,MAX($B$32:B94)+1)</f>
        <v>0</v>
      </c>
      <c r="C95" s="84">
        <f>DMHH!C71</f>
        <v>0</v>
      </c>
      <c r="D95" s="84">
        <f>DMHH!D71</f>
        <v>0</v>
      </c>
      <c r="E95" s="220">
        <f>DMHH!E71</f>
        <v>0</v>
      </c>
      <c r="F95" s="221">
        <f t="shared" si="4"/>
        <v>0</v>
      </c>
      <c r="G95" s="221">
        <f t="shared" si="5"/>
        <v>0</v>
      </c>
      <c r="H95" s="221">
        <f t="shared" si="6"/>
        <v>0</v>
      </c>
      <c r="I95" s="221">
        <f t="shared" si="11"/>
        <v>0</v>
      </c>
      <c r="J95" s="221">
        <f>DMHH!G71</f>
        <v>0</v>
      </c>
      <c r="K95" s="221">
        <f>DMHH!H71</f>
        <v>0</v>
      </c>
      <c r="L95" s="221">
        <f t="shared" si="8"/>
        <v>0</v>
      </c>
      <c r="M95" s="221">
        <f t="shared" si="9"/>
        <v>0</v>
      </c>
      <c r="N95" s="222"/>
      <c r="O95" s="234" t="str">
        <f t="shared" si="10"/>
        <v/>
      </c>
      <c r="P95" s="171"/>
    </row>
    <row r="96" spans="1:16" ht="15" hidden="1" customHeight="1">
      <c r="A96" s="171"/>
      <c r="B96" s="199">
        <f>IF(O96="",0,MAX($B$32:B95)+1)</f>
        <v>0</v>
      </c>
      <c r="C96" s="84">
        <f>DMHH!C72</f>
        <v>0</v>
      </c>
      <c r="D96" s="84">
        <f>DMHH!D72</f>
        <v>0</v>
      </c>
      <c r="E96" s="220">
        <f>DMHH!E72</f>
        <v>0</v>
      </c>
      <c r="F96" s="221">
        <f t="shared" ref="F96:F159" si="12">IF(D96=0,0,SUMIF(QuanLyHangHoa,$D96,tinh_SLtondau))</f>
        <v>0</v>
      </c>
      <c r="G96" s="221">
        <f t="shared" ref="G96:G159" si="13">IF(D96=0,0,SUMIF(QuanLyHangHoa,$D96,tinh_SLnhap))</f>
        <v>0</v>
      </c>
      <c r="H96" s="221">
        <f t="shared" ref="H96:H159" si="14">IF(D96=0,0,SUMIF(QuanLyHangHoa,$D96,tinh_SLxuat))</f>
        <v>0</v>
      </c>
      <c r="I96" s="221">
        <f t="shared" ref="I96:I127" si="15">F96+G96-H96</f>
        <v>0</v>
      </c>
      <c r="J96" s="221">
        <f>DMHH!G72</f>
        <v>0</v>
      </c>
      <c r="K96" s="221">
        <f>DMHH!H72</f>
        <v>0</v>
      </c>
      <c r="L96" s="221">
        <f t="shared" si="8"/>
        <v>0</v>
      </c>
      <c r="M96" s="221">
        <f t="shared" si="9"/>
        <v>0</v>
      </c>
      <c r="N96" s="222"/>
      <c r="O96" s="234" t="str">
        <f t="shared" si="10"/>
        <v/>
      </c>
      <c r="P96" s="171"/>
    </row>
    <row r="97" spans="1:16" ht="15" hidden="1" customHeight="1">
      <c r="A97" s="171"/>
      <c r="B97" s="199">
        <f>IF(O97="",0,MAX($B$32:B96)+1)</f>
        <v>0</v>
      </c>
      <c r="C97" s="84">
        <f>DMHH!C73</f>
        <v>0</v>
      </c>
      <c r="D97" s="84">
        <f>DMHH!D73</f>
        <v>0</v>
      </c>
      <c r="E97" s="220">
        <f>DMHH!E73</f>
        <v>0</v>
      </c>
      <c r="F97" s="221">
        <f t="shared" si="12"/>
        <v>0</v>
      </c>
      <c r="G97" s="221">
        <f t="shared" si="13"/>
        <v>0</v>
      </c>
      <c r="H97" s="221">
        <f t="shared" si="14"/>
        <v>0</v>
      </c>
      <c r="I97" s="221">
        <f t="shared" si="15"/>
        <v>0</v>
      </c>
      <c r="J97" s="221">
        <f>DMHH!G73</f>
        <v>0</v>
      </c>
      <c r="K97" s="221">
        <f>DMHH!H73</f>
        <v>0</v>
      </c>
      <c r="L97" s="221">
        <f t="shared" ref="L97:L160" si="16">G97*J97</f>
        <v>0</v>
      </c>
      <c r="M97" s="221">
        <f t="shared" ref="M97:M160" si="17">H97*K97</f>
        <v>0</v>
      </c>
      <c r="N97" s="222"/>
      <c r="O97" s="234" t="str">
        <f t="shared" ref="O97:O160" si="18">IF(C97=0,"","x")</f>
        <v/>
      </c>
      <c r="P97" s="171"/>
    </row>
    <row r="98" spans="1:16" ht="15" hidden="1" customHeight="1">
      <c r="A98" s="171"/>
      <c r="B98" s="199">
        <f>IF(O98="",0,MAX($B$32:B97)+1)</f>
        <v>0</v>
      </c>
      <c r="C98" s="84">
        <f>DMHH!C74</f>
        <v>0</v>
      </c>
      <c r="D98" s="84">
        <f>DMHH!D74</f>
        <v>0</v>
      </c>
      <c r="E98" s="220">
        <f>DMHH!E74</f>
        <v>0</v>
      </c>
      <c r="F98" s="221">
        <f t="shared" si="12"/>
        <v>0</v>
      </c>
      <c r="G98" s="221">
        <f t="shared" si="13"/>
        <v>0</v>
      </c>
      <c r="H98" s="221">
        <f t="shared" si="14"/>
        <v>0</v>
      </c>
      <c r="I98" s="221">
        <f t="shared" si="15"/>
        <v>0</v>
      </c>
      <c r="J98" s="221">
        <f>DMHH!G74</f>
        <v>0</v>
      </c>
      <c r="K98" s="221">
        <f>DMHH!H74</f>
        <v>0</v>
      </c>
      <c r="L98" s="221">
        <f t="shared" si="16"/>
        <v>0</v>
      </c>
      <c r="M98" s="221">
        <f t="shared" si="17"/>
        <v>0</v>
      </c>
      <c r="N98" s="222"/>
      <c r="O98" s="234" t="str">
        <f t="shared" si="18"/>
        <v/>
      </c>
      <c r="P98" s="171"/>
    </row>
    <row r="99" spans="1:16" ht="15" hidden="1" customHeight="1">
      <c r="A99" s="171"/>
      <c r="B99" s="199">
        <f>IF(O99="",0,MAX($B$32:B98)+1)</f>
        <v>0</v>
      </c>
      <c r="C99" s="84">
        <f>DMHH!C75</f>
        <v>0</v>
      </c>
      <c r="D99" s="84">
        <f>DMHH!D75</f>
        <v>0</v>
      </c>
      <c r="E99" s="220">
        <f>DMHH!E75</f>
        <v>0</v>
      </c>
      <c r="F99" s="221">
        <f t="shared" si="12"/>
        <v>0</v>
      </c>
      <c r="G99" s="221">
        <f t="shared" si="13"/>
        <v>0</v>
      </c>
      <c r="H99" s="221">
        <f t="shared" si="14"/>
        <v>0</v>
      </c>
      <c r="I99" s="221">
        <f t="shared" si="15"/>
        <v>0</v>
      </c>
      <c r="J99" s="221">
        <f>DMHH!G75</f>
        <v>0</v>
      </c>
      <c r="K99" s="221">
        <f>DMHH!H75</f>
        <v>0</v>
      </c>
      <c r="L99" s="221">
        <f t="shared" si="16"/>
        <v>0</v>
      </c>
      <c r="M99" s="221">
        <f t="shared" si="17"/>
        <v>0</v>
      </c>
      <c r="N99" s="222"/>
      <c r="O99" s="234" t="str">
        <f t="shared" si="18"/>
        <v/>
      </c>
      <c r="P99" s="171"/>
    </row>
    <row r="100" spans="1:16" ht="15" hidden="1" customHeight="1">
      <c r="A100" s="171"/>
      <c r="B100" s="199">
        <f>IF(O100="",0,MAX($B$32:B99)+1)</f>
        <v>0</v>
      </c>
      <c r="C100" s="84">
        <f>DMHH!C76</f>
        <v>0</v>
      </c>
      <c r="D100" s="84">
        <f>DMHH!D76</f>
        <v>0</v>
      </c>
      <c r="E100" s="220">
        <f>DMHH!E76</f>
        <v>0</v>
      </c>
      <c r="F100" s="221">
        <f t="shared" si="12"/>
        <v>0</v>
      </c>
      <c r="G100" s="221">
        <f t="shared" si="13"/>
        <v>0</v>
      </c>
      <c r="H100" s="221">
        <f t="shared" si="14"/>
        <v>0</v>
      </c>
      <c r="I100" s="221">
        <f t="shared" si="15"/>
        <v>0</v>
      </c>
      <c r="J100" s="221">
        <f>DMHH!G76</f>
        <v>0</v>
      </c>
      <c r="K100" s="221">
        <f>DMHH!H76</f>
        <v>0</v>
      </c>
      <c r="L100" s="221">
        <f t="shared" si="16"/>
        <v>0</v>
      </c>
      <c r="M100" s="221">
        <f t="shared" si="17"/>
        <v>0</v>
      </c>
      <c r="N100" s="222"/>
      <c r="O100" s="234" t="str">
        <f t="shared" si="18"/>
        <v/>
      </c>
      <c r="P100" s="171"/>
    </row>
    <row r="101" spans="1:16" ht="15" hidden="1" customHeight="1">
      <c r="A101" s="171"/>
      <c r="B101" s="199">
        <f>IF(O101="",0,MAX($B$32:B100)+1)</f>
        <v>0</v>
      </c>
      <c r="C101" s="84">
        <f>DMHH!C77</f>
        <v>0</v>
      </c>
      <c r="D101" s="84">
        <f>DMHH!D77</f>
        <v>0</v>
      </c>
      <c r="E101" s="220">
        <f>DMHH!E77</f>
        <v>0</v>
      </c>
      <c r="F101" s="221">
        <f t="shared" si="12"/>
        <v>0</v>
      </c>
      <c r="G101" s="221">
        <f t="shared" si="13"/>
        <v>0</v>
      </c>
      <c r="H101" s="221">
        <f t="shared" si="14"/>
        <v>0</v>
      </c>
      <c r="I101" s="221">
        <f t="shared" si="15"/>
        <v>0</v>
      </c>
      <c r="J101" s="221">
        <f>DMHH!G77</f>
        <v>0</v>
      </c>
      <c r="K101" s="221">
        <f>DMHH!H77</f>
        <v>0</v>
      </c>
      <c r="L101" s="221">
        <f t="shared" si="16"/>
        <v>0</v>
      </c>
      <c r="M101" s="221">
        <f t="shared" si="17"/>
        <v>0</v>
      </c>
      <c r="N101" s="222"/>
      <c r="O101" s="234" t="str">
        <f t="shared" si="18"/>
        <v/>
      </c>
      <c r="P101" s="171"/>
    </row>
    <row r="102" spans="1:16" ht="15" hidden="1" customHeight="1">
      <c r="A102" s="171"/>
      <c r="B102" s="199">
        <f>IF(O102="",0,MAX($B$32:B101)+1)</f>
        <v>0</v>
      </c>
      <c r="C102" s="84">
        <f>DMHH!C78</f>
        <v>0</v>
      </c>
      <c r="D102" s="84">
        <f>DMHH!D78</f>
        <v>0</v>
      </c>
      <c r="E102" s="220">
        <f>DMHH!E78</f>
        <v>0</v>
      </c>
      <c r="F102" s="221">
        <f t="shared" si="12"/>
        <v>0</v>
      </c>
      <c r="G102" s="221">
        <f t="shared" si="13"/>
        <v>0</v>
      </c>
      <c r="H102" s="221">
        <f t="shared" si="14"/>
        <v>0</v>
      </c>
      <c r="I102" s="221">
        <f t="shared" si="15"/>
        <v>0</v>
      </c>
      <c r="J102" s="221">
        <f>DMHH!G78</f>
        <v>0</v>
      </c>
      <c r="K102" s="221">
        <f>DMHH!H78</f>
        <v>0</v>
      </c>
      <c r="L102" s="221">
        <f t="shared" si="16"/>
        <v>0</v>
      </c>
      <c r="M102" s="221">
        <f t="shared" si="17"/>
        <v>0</v>
      </c>
      <c r="N102" s="222"/>
      <c r="O102" s="234" t="str">
        <f t="shared" si="18"/>
        <v/>
      </c>
      <c r="P102" s="171"/>
    </row>
    <row r="103" spans="1:16" ht="15" hidden="1" customHeight="1">
      <c r="A103" s="171"/>
      <c r="B103" s="199">
        <f>IF(O103="",0,MAX($B$32:B102)+1)</f>
        <v>0</v>
      </c>
      <c r="C103" s="84">
        <f>DMHH!C79</f>
        <v>0</v>
      </c>
      <c r="D103" s="84">
        <f>DMHH!D79</f>
        <v>0</v>
      </c>
      <c r="E103" s="220">
        <f>DMHH!E79</f>
        <v>0</v>
      </c>
      <c r="F103" s="221">
        <f t="shared" si="12"/>
        <v>0</v>
      </c>
      <c r="G103" s="221">
        <f t="shared" si="13"/>
        <v>0</v>
      </c>
      <c r="H103" s="221">
        <f t="shared" si="14"/>
        <v>0</v>
      </c>
      <c r="I103" s="221">
        <f t="shared" si="15"/>
        <v>0</v>
      </c>
      <c r="J103" s="221">
        <f>DMHH!G79</f>
        <v>0</v>
      </c>
      <c r="K103" s="221">
        <f>DMHH!H79</f>
        <v>0</v>
      </c>
      <c r="L103" s="221">
        <f t="shared" si="16"/>
        <v>0</v>
      </c>
      <c r="M103" s="221">
        <f t="shared" si="17"/>
        <v>0</v>
      </c>
      <c r="N103" s="222"/>
      <c r="O103" s="234" t="str">
        <f t="shared" si="18"/>
        <v/>
      </c>
      <c r="P103" s="171"/>
    </row>
    <row r="104" spans="1:16" ht="15" hidden="1" customHeight="1">
      <c r="A104" s="171"/>
      <c r="B104" s="199">
        <f>IF(O104="",0,MAX($B$32:B103)+1)</f>
        <v>0</v>
      </c>
      <c r="C104" s="84">
        <f>DMHH!C80</f>
        <v>0</v>
      </c>
      <c r="D104" s="84">
        <f>DMHH!D80</f>
        <v>0</v>
      </c>
      <c r="E104" s="220">
        <f>DMHH!E80</f>
        <v>0</v>
      </c>
      <c r="F104" s="221">
        <f t="shared" si="12"/>
        <v>0</v>
      </c>
      <c r="G104" s="221">
        <f t="shared" si="13"/>
        <v>0</v>
      </c>
      <c r="H104" s="221">
        <f t="shared" si="14"/>
        <v>0</v>
      </c>
      <c r="I104" s="221">
        <f t="shared" si="15"/>
        <v>0</v>
      </c>
      <c r="J104" s="221">
        <f>DMHH!G80</f>
        <v>0</v>
      </c>
      <c r="K104" s="221">
        <f>DMHH!H80</f>
        <v>0</v>
      </c>
      <c r="L104" s="221">
        <f t="shared" si="16"/>
        <v>0</v>
      </c>
      <c r="M104" s="221">
        <f t="shared" si="17"/>
        <v>0</v>
      </c>
      <c r="N104" s="222"/>
      <c r="O104" s="234" t="str">
        <f t="shared" si="18"/>
        <v/>
      </c>
      <c r="P104" s="171"/>
    </row>
    <row r="105" spans="1:16" ht="15" hidden="1" customHeight="1">
      <c r="A105" s="171"/>
      <c r="B105" s="199">
        <f>IF(O105="",0,MAX($B$32:B104)+1)</f>
        <v>0</v>
      </c>
      <c r="C105" s="84">
        <f>DMHH!C81</f>
        <v>0</v>
      </c>
      <c r="D105" s="84">
        <f>DMHH!D81</f>
        <v>0</v>
      </c>
      <c r="E105" s="220">
        <f>DMHH!E81</f>
        <v>0</v>
      </c>
      <c r="F105" s="221">
        <f t="shared" si="12"/>
        <v>0</v>
      </c>
      <c r="G105" s="221">
        <f t="shared" si="13"/>
        <v>0</v>
      </c>
      <c r="H105" s="221">
        <f t="shared" si="14"/>
        <v>0</v>
      </c>
      <c r="I105" s="221">
        <f t="shared" si="15"/>
        <v>0</v>
      </c>
      <c r="J105" s="221">
        <f>DMHH!G81</f>
        <v>0</v>
      </c>
      <c r="K105" s="221">
        <f>DMHH!H81</f>
        <v>0</v>
      </c>
      <c r="L105" s="221">
        <f t="shared" si="16"/>
        <v>0</v>
      </c>
      <c r="M105" s="221">
        <f t="shared" si="17"/>
        <v>0</v>
      </c>
      <c r="N105" s="222"/>
      <c r="O105" s="234" t="str">
        <f t="shared" si="18"/>
        <v/>
      </c>
      <c r="P105" s="171"/>
    </row>
    <row r="106" spans="1:16" ht="15" hidden="1" customHeight="1">
      <c r="A106" s="171"/>
      <c r="B106" s="199">
        <f>IF(O106="",0,MAX($B$32:B105)+1)</f>
        <v>0</v>
      </c>
      <c r="C106" s="84">
        <f>DMHH!C82</f>
        <v>0</v>
      </c>
      <c r="D106" s="84">
        <f>DMHH!D82</f>
        <v>0</v>
      </c>
      <c r="E106" s="220">
        <f>DMHH!E82</f>
        <v>0</v>
      </c>
      <c r="F106" s="221">
        <f t="shared" si="12"/>
        <v>0</v>
      </c>
      <c r="G106" s="221">
        <f t="shared" si="13"/>
        <v>0</v>
      </c>
      <c r="H106" s="221">
        <f t="shared" si="14"/>
        <v>0</v>
      </c>
      <c r="I106" s="221">
        <f t="shared" si="15"/>
        <v>0</v>
      </c>
      <c r="J106" s="221">
        <f>DMHH!G82</f>
        <v>0</v>
      </c>
      <c r="K106" s="221">
        <f>DMHH!H82</f>
        <v>0</v>
      </c>
      <c r="L106" s="221">
        <f t="shared" si="16"/>
        <v>0</v>
      </c>
      <c r="M106" s="221">
        <f t="shared" si="17"/>
        <v>0</v>
      </c>
      <c r="N106" s="222"/>
      <c r="O106" s="234" t="str">
        <f t="shared" si="18"/>
        <v/>
      </c>
      <c r="P106" s="171"/>
    </row>
    <row r="107" spans="1:16" ht="15" hidden="1" customHeight="1">
      <c r="A107" s="171"/>
      <c r="B107" s="199">
        <f>IF(O107="",0,MAX($B$32:B106)+1)</f>
        <v>0</v>
      </c>
      <c r="C107" s="84">
        <f>DMHH!C83</f>
        <v>0</v>
      </c>
      <c r="D107" s="84">
        <f>DMHH!D83</f>
        <v>0</v>
      </c>
      <c r="E107" s="220">
        <f>DMHH!E83</f>
        <v>0</v>
      </c>
      <c r="F107" s="221">
        <f t="shared" si="12"/>
        <v>0</v>
      </c>
      <c r="G107" s="221">
        <f t="shared" si="13"/>
        <v>0</v>
      </c>
      <c r="H107" s="221">
        <f t="shared" si="14"/>
        <v>0</v>
      </c>
      <c r="I107" s="221">
        <f t="shared" si="15"/>
        <v>0</v>
      </c>
      <c r="J107" s="221">
        <f>DMHH!G83</f>
        <v>0</v>
      </c>
      <c r="K107" s="221">
        <f>DMHH!H83</f>
        <v>0</v>
      </c>
      <c r="L107" s="221">
        <f t="shared" si="16"/>
        <v>0</v>
      </c>
      <c r="M107" s="221">
        <f t="shared" si="17"/>
        <v>0</v>
      </c>
      <c r="N107" s="222"/>
      <c r="O107" s="234" t="str">
        <f t="shared" si="18"/>
        <v/>
      </c>
      <c r="P107" s="171"/>
    </row>
    <row r="108" spans="1:16" ht="15" hidden="1" customHeight="1">
      <c r="A108" s="171"/>
      <c r="B108" s="199">
        <f>IF(O108="",0,MAX($B$32:B107)+1)</f>
        <v>0</v>
      </c>
      <c r="C108" s="84">
        <f>DMHH!C84</f>
        <v>0</v>
      </c>
      <c r="D108" s="84">
        <f>DMHH!D84</f>
        <v>0</v>
      </c>
      <c r="E108" s="220">
        <f>DMHH!E84</f>
        <v>0</v>
      </c>
      <c r="F108" s="221">
        <f t="shared" si="12"/>
        <v>0</v>
      </c>
      <c r="G108" s="221">
        <f t="shared" si="13"/>
        <v>0</v>
      </c>
      <c r="H108" s="221">
        <f t="shared" si="14"/>
        <v>0</v>
      </c>
      <c r="I108" s="221">
        <f t="shared" si="15"/>
        <v>0</v>
      </c>
      <c r="J108" s="221">
        <f>DMHH!G84</f>
        <v>0</v>
      </c>
      <c r="K108" s="221">
        <f>DMHH!H84</f>
        <v>0</v>
      </c>
      <c r="L108" s="221">
        <f t="shared" si="16"/>
        <v>0</v>
      </c>
      <c r="M108" s="221">
        <f t="shared" si="17"/>
        <v>0</v>
      </c>
      <c r="N108" s="222"/>
      <c r="O108" s="234" t="str">
        <f t="shared" si="18"/>
        <v/>
      </c>
      <c r="P108" s="171"/>
    </row>
    <row r="109" spans="1:16" ht="15" hidden="1" customHeight="1">
      <c r="A109" s="171"/>
      <c r="B109" s="199">
        <f>IF(O109="",0,MAX($B$32:B108)+1)</f>
        <v>0</v>
      </c>
      <c r="C109" s="84">
        <f>DMHH!C85</f>
        <v>0</v>
      </c>
      <c r="D109" s="84">
        <f>DMHH!D85</f>
        <v>0</v>
      </c>
      <c r="E109" s="220">
        <f>DMHH!E85</f>
        <v>0</v>
      </c>
      <c r="F109" s="221">
        <f t="shared" si="12"/>
        <v>0</v>
      </c>
      <c r="G109" s="221">
        <f t="shared" si="13"/>
        <v>0</v>
      </c>
      <c r="H109" s="221">
        <f t="shared" si="14"/>
        <v>0</v>
      </c>
      <c r="I109" s="221">
        <f t="shared" si="15"/>
        <v>0</v>
      </c>
      <c r="J109" s="221">
        <f>DMHH!G85</f>
        <v>0</v>
      </c>
      <c r="K109" s="221">
        <f>DMHH!H85</f>
        <v>0</v>
      </c>
      <c r="L109" s="221">
        <f t="shared" si="16"/>
        <v>0</v>
      </c>
      <c r="M109" s="221">
        <f t="shared" si="17"/>
        <v>0</v>
      </c>
      <c r="N109" s="222"/>
      <c r="O109" s="234" t="str">
        <f t="shared" si="18"/>
        <v/>
      </c>
      <c r="P109" s="171"/>
    </row>
    <row r="110" spans="1:16" ht="15" hidden="1" customHeight="1">
      <c r="A110" s="171"/>
      <c r="B110" s="199">
        <f>IF(O110="",0,MAX($B$32:B109)+1)</f>
        <v>0</v>
      </c>
      <c r="C110" s="84">
        <f>DMHH!C86</f>
        <v>0</v>
      </c>
      <c r="D110" s="84">
        <f>DMHH!D86</f>
        <v>0</v>
      </c>
      <c r="E110" s="220">
        <f>DMHH!E86</f>
        <v>0</v>
      </c>
      <c r="F110" s="221">
        <f t="shared" si="12"/>
        <v>0</v>
      </c>
      <c r="G110" s="221">
        <f t="shared" si="13"/>
        <v>0</v>
      </c>
      <c r="H110" s="221">
        <f t="shared" si="14"/>
        <v>0</v>
      </c>
      <c r="I110" s="221">
        <f t="shared" si="15"/>
        <v>0</v>
      </c>
      <c r="J110" s="221">
        <f>DMHH!G86</f>
        <v>0</v>
      </c>
      <c r="K110" s="221">
        <f>DMHH!H86</f>
        <v>0</v>
      </c>
      <c r="L110" s="221">
        <f t="shared" si="16"/>
        <v>0</v>
      </c>
      <c r="M110" s="221">
        <f t="shared" si="17"/>
        <v>0</v>
      </c>
      <c r="N110" s="222"/>
      <c r="O110" s="234" t="str">
        <f t="shared" si="18"/>
        <v/>
      </c>
      <c r="P110" s="171"/>
    </row>
    <row r="111" spans="1:16" ht="15" hidden="1" customHeight="1">
      <c r="A111" s="171"/>
      <c r="B111" s="199">
        <f>IF(O111="",0,MAX($B$32:B110)+1)</f>
        <v>0</v>
      </c>
      <c r="C111" s="84">
        <f>DMHH!C87</f>
        <v>0</v>
      </c>
      <c r="D111" s="84">
        <f>DMHH!D87</f>
        <v>0</v>
      </c>
      <c r="E111" s="220">
        <f>DMHH!E87</f>
        <v>0</v>
      </c>
      <c r="F111" s="221">
        <f t="shared" si="12"/>
        <v>0</v>
      </c>
      <c r="G111" s="221">
        <f t="shared" si="13"/>
        <v>0</v>
      </c>
      <c r="H111" s="221">
        <f t="shared" si="14"/>
        <v>0</v>
      </c>
      <c r="I111" s="221">
        <f t="shared" si="15"/>
        <v>0</v>
      </c>
      <c r="J111" s="221">
        <f>DMHH!G87</f>
        <v>0</v>
      </c>
      <c r="K111" s="221">
        <f>DMHH!H87</f>
        <v>0</v>
      </c>
      <c r="L111" s="221">
        <f t="shared" si="16"/>
        <v>0</v>
      </c>
      <c r="M111" s="221">
        <f t="shared" si="17"/>
        <v>0</v>
      </c>
      <c r="N111" s="222"/>
      <c r="O111" s="234" t="str">
        <f t="shared" si="18"/>
        <v/>
      </c>
      <c r="P111" s="171"/>
    </row>
    <row r="112" spans="1:16" ht="15" hidden="1" customHeight="1">
      <c r="A112" s="171"/>
      <c r="B112" s="199">
        <f>IF(O112="",0,MAX($B$32:B111)+1)</f>
        <v>0</v>
      </c>
      <c r="C112" s="84">
        <f>DMHH!C88</f>
        <v>0</v>
      </c>
      <c r="D112" s="84">
        <f>DMHH!D88</f>
        <v>0</v>
      </c>
      <c r="E112" s="220">
        <f>DMHH!E88</f>
        <v>0</v>
      </c>
      <c r="F112" s="221">
        <f t="shared" si="12"/>
        <v>0</v>
      </c>
      <c r="G112" s="221">
        <f t="shared" si="13"/>
        <v>0</v>
      </c>
      <c r="H112" s="221">
        <f t="shared" si="14"/>
        <v>0</v>
      </c>
      <c r="I112" s="221">
        <f t="shared" si="15"/>
        <v>0</v>
      </c>
      <c r="J112" s="221">
        <f>DMHH!G88</f>
        <v>0</v>
      </c>
      <c r="K112" s="221">
        <f>DMHH!H88</f>
        <v>0</v>
      </c>
      <c r="L112" s="221">
        <f t="shared" si="16"/>
        <v>0</v>
      </c>
      <c r="M112" s="221">
        <f t="shared" si="17"/>
        <v>0</v>
      </c>
      <c r="N112" s="222"/>
      <c r="O112" s="234" t="str">
        <f t="shared" si="18"/>
        <v/>
      </c>
      <c r="P112" s="171"/>
    </row>
    <row r="113" spans="1:16" ht="15" hidden="1" customHeight="1">
      <c r="A113" s="171"/>
      <c r="B113" s="199">
        <f>IF(O113="",0,MAX($B$32:B112)+1)</f>
        <v>0</v>
      </c>
      <c r="C113" s="84">
        <f>DMHH!C89</f>
        <v>0</v>
      </c>
      <c r="D113" s="84">
        <f>DMHH!D89</f>
        <v>0</v>
      </c>
      <c r="E113" s="220">
        <f>DMHH!E89</f>
        <v>0</v>
      </c>
      <c r="F113" s="221">
        <f t="shared" si="12"/>
        <v>0</v>
      </c>
      <c r="G113" s="221">
        <f t="shared" si="13"/>
        <v>0</v>
      </c>
      <c r="H113" s="221">
        <f t="shared" si="14"/>
        <v>0</v>
      </c>
      <c r="I113" s="221">
        <f t="shared" si="15"/>
        <v>0</v>
      </c>
      <c r="J113" s="221">
        <f>DMHH!G89</f>
        <v>0</v>
      </c>
      <c r="K113" s="221">
        <f>DMHH!H89</f>
        <v>0</v>
      </c>
      <c r="L113" s="221">
        <f t="shared" si="16"/>
        <v>0</v>
      </c>
      <c r="M113" s="221">
        <f t="shared" si="17"/>
        <v>0</v>
      </c>
      <c r="N113" s="222"/>
      <c r="O113" s="234" t="str">
        <f t="shared" si="18"/>
        <v/>
      </c>
      <c r="P113" s="171"/>
    </row>
    <row r="114" spans="1:16" ht="15" hidden="1" customHeight="1">
      <c r="A114" s="171"/>
      <c r="B114" s="199">
        <f>IF(O114="",0,MAX($B$32:B113)+1)</f>
        <v>0</v>
      </c>
      <c r="C114" s="84">
        <f>DMHH!C90</f>
        <v>0</v>
      </c>
      <c r="D114" s="84">
        <f>DMHH!D90</f>
        <v>0</v>
      </c>
      <c r="E114" s="220">
        <f>DMHH!E90</f>
        <v>0</v>
      </c>
      <c r="F114" s="221">
        <f t="shared" si="12"/>
        <v>0</v>
      </c>
      <c r="G114" s="221">
        <f t="shared" si="13"/>
        <v>0</v>
      </c>
      <c r="H114" s="221">
        <f t="shared" si="14"/>
        <v>0</v>
      </c>
      <c r="I114" s="221">
        <f t="shared" si="15"/>
        <v>0</v>
      </c>
      <c r="J114" s="221">
        <f>DMHH!G90</f>
        <v>0</v>
      </c>
      <c r="K114" s="221">
        <f>DMHH!H90</f>
        <v>0</v>
      </c>
      <c r="L114" s="221">
        <f t="shared" si="16"/>
        <v>0</v>
      </c>
      <c r="M114" s="221">
        <f t="shared" si="17"/>
        <v>0</v>
      </c>
      <c r="N114" s="222"/>
      <c r="O114" s="234" t="str">
        <f t="shared" si="18"/>
        <v/>
      </c>
      <c r="P114" s="171"/>
    </row>
    <row r="115" spans="1:16" ht="15" hidden="1" customHeight="1">
      <c r="A115" s="171"/>
      <c r="B115" s="199">
        <f>IF(O115="",0,MAX($B$32:B114)+1)</f>
        <v>0</v>
      </c>
      <c r="C115" s="84">
        <f>DMHH!C91</f>
        <v>0</v>
      </c>
      <c r="D115" s="84">
        <f>DMHH!D91</f>
        <v>0</v>
      </c>
      <c r="E115" s="220">
        <f>DMHH!E91</f>
        <v>0</v>
      </c>
      <c r="F115" s="221">
        <f t="shared" si="12"/>
        <v>0</v>
      </c>
      <c r="G115" s="221">
        <f t="shared" si="13"/>
        <v>0</v>
      </c>
      <c r="H115" s="221">
        <f t="shared" si="14"/>
        <v>0</v>
      </c>
      <c r="I115" s="221">
        <f t="shared" si="15"/>
        <v>0</v>
      </c>
      <c r="J115" s="221">
        <f>DMHH!G91</f>
        <v>0</v>
      </c>
      <c r="K115" s="221">
        <f>DMHH!H91</f>
        <v>0</v>
      </c>
      <c r="L115" s="221">
        <f t="shared" si="16"/>
        <v>0</v>
      </c>
      <c r="M115" s="221">
        <f t="shared" si="17"/>
        <v>0</v>
      </c>
      <c r="N115" s="222"/>
      <c r="O115" s="234" t="str">
        <f t="shared" si="18"/>
        <v/>
      </c>
      <c r="P115" s="171"/>
    </row>
    <row r="116" spans="1:16" ht="15" hidden="1" customHeight="1">
      <c r="A116" s="171"/>
      <c r="B116" s="199">
        <f>IF(O116="",0,MAX($B$32:B115)+1)</f>
        <v>0</v>
      </c>
      <c r="C116" s="84">
        <f>DMHH!C92</f>
        <v>0</v>
      </c>
      <c r="D116" s="84">
        <f>DMHH!D92</f>
        <v>0</v>
      </c>
      <c r="E116" s="220">
        <f>DMHH!E92</f>
        <v>0</v>
      </c>
      <c r="F116" s="221">
        <f t="shared" si="12"/>
        <v>0</v>
      </c>
      <c r="G116" s="221">
        <f t="shared" si="13"/>
        <v>0</v>
      </c>
      <c r="H116" s="221">
        <f t="shared" si="14"/>
        <v>0</v>
      </c>
      <c r="I116" s="221">
        <f t="shared" si="15"/>
        <v>0</v>
      </c>
      <c r="J116" s="221">
        <f>DMHH!G92</f>
        <v>0</v>
      </c>
      <c r="K116" s="221">
        <f>DMHH!H92</f>
        <v>0</v>
      </c>
      <c r="L116" s="221">
        <f t="shared" si="16"/>
        <v>0</v>
      </c>
      <c r="M116" s="221">
        <f t="shared" si="17"/>
        <v>0</v>
      </c>
      <c r="N116" s="222"/>
      <c r="O116" s="234" t="str">
        <f t="shared" si="18"/>
        <v/>
      </c>
      <c r="P116" s="171"/>
    </row>
    <row r="117" spans="1:16" ht="15" hidden="1" customHeight="1">
      <c r="A117" s="171"/>
      <c r="B117" s="199">
        <f>IF(O117="",0,MAX($B$32:B116)+1)</f>
        <v>0</v>
      </c>
      <c r="C117" s="84">
        <f>DMHH!C93</f>
        <v>0</v>
      </c>
      <c r="D117" s="84">
        <f>DMHH!D93</f>
        <v>0</v>
      </c>
      <c r="E117" s="220">
        <f>DMHH!E93</f>
        <v>0</v>
      </c>
      <c r="F117" s="221">
        <f t="shared" si="12"/>
        <v>0</v>
      </c>
      <c r="G117" s="221">
        <f t="shared" si="13"/>
        <v>0</v>
      </c>
      <c r="H117" s="221">
        <f t="shared" si="14"/>
        <v>0</v>
      </c>
      <c r="I117" s="221">
        <f t="shared" si="15"/>
        <v>0</v>
      </c>
      <c r="J117" s="221">
        <f>DMHH!G93</f>
        <v>0</v>
      </c>
      <c r="K117" s="221">
        <f>DMHH!H93</f>
        <v>0</v>
      </c>
      <c r="L117" s="221">
        <f t="shared" si="16"/>
        <v>0</v>
      </c>
      <c r="M117" s="221">
        <f t="shared" si="17"/>
        <v>0</v>
      </c>
      <c r="N117" s="222"/>
      <c r="O117" s="234" t="str">
        <f t="shared" si="18"/>
        <v/>
      </c>
      <c r="P117" s="171"/>
    </row>
    <row r="118" spans="1:16" ht="15" hidden="1" customHeight="1">
      <c r="A118" s="171"/>
      <c r="B118" s="199">
        <f>IF(O118="",0,MAX($B$32:B117)+1)</f>
        <v>0</v>
      </c>
      <c r="C118" s="84">
        <f>DMHH!C94</f>
        <v>0</v>
      </c>
      <c r="D118" s="84">
        <f>DMHH!D94</f>
        <v>0</v>
      </c>
      <c r="E118" s="220">
        <f>DMHH!E94</f>
        <v>0</v>
      </c>
      <c r="F118" s="221">
        <f t="shared" si="12"/>
        <v>0</v>
      </c>
      <c r="G118" s="221">
        <f t="shared" si="13"/>
        <v>0</v>
      </c>
      <c r="H118" s="221">
        <f t="shared" si="14"/>
        <v>0</v>
      </c>
      <c r="I118" s="221">
        <f t="shared" si="15"/>
        <v>0</v>
      </c>
      <c r="J118" s="221">
        <f>DMHH!G94</f>
        <v>0</v>
      </c>
      <c r="K118" s="221">
        <f>DMHH!H94</f>
        <v>0</v>
      </c>
      <c r="L118" s="221">
        <f t="shared" si="16"/>
        <v>0</v>
      </c>
      <c r="M118" s="221">
        <f t="shared" si="17"/>
        <v>0</v>
      </c>
      <c r="N118" s="222"/>
      <c r="O118" s="234" t="str">
        <f t="shared" si="18"/>
        <v/>
      </c>
      <c r="P118" s="171"/>
    </row>
    <row r="119" spans="1:16" ht="15" hidden="1" customHeight="1">
      <c r="A119" s="171"/>
      <c r="B119" s="199">
        <f>IF(O119="",0,MAX($B$32:B118)+1)</f>
        <v>0</v>
      </c>
      <c r="C119" s="84">
        <f>DMHH!C95</f>
        <v>0</v>
      </c>
      <c r="D119" s="84">
        <f>DMHH!D95</f>
        <v>0</v>
      </c>
      <c r="E119" s="220">
        <f>DMHH!E95</f>
        <v>0</v>
      </c>
      <c r="F119" s="221">
        <f t="shared" si="12"/>
        <v>0</v>
      </c>
      <c r="G119" s="221">
        <f t="shared" si="13"/>
        <v>0</v>
      </c>
      <c r="H119" s="221">
        <f t="shared" si="14"/>
        <v>0</v>
      </c>
      <c r="I119" s="221">
        <f t="shared" si="15"/>
        <v>0</v>
      </c>
      <c r="J119" s="221">
        <f>DMHH!G95</f>
        <v>0</v>
      </c>
      <c r="K119" s="221">
        <f>DMHH!H95</f>
        <v>0</v>
      </c>
      <c r="L119" s="221">
        <f t="shared" si="16"/>
        <v>0</v>
      </c>
      <c r="M119" s="221">
        <f t="shared" si="17"/>
        <v>0</v>
      </c>
      <c r="N119" s="222"/>
      <c r="O119" s="234" t="str">
        <f t="shared" si="18"/>
        <v/>
      </c>
      <c r="P119" s="171"/>
    </row>
    <row r="120" spans="1:16" ht="15" hidden="1" customHeight="1">
      <c r="A120" s="171"/>
      <c r="B120" s="199">
        <f>IF(O120="",0,MAX($B$32:B119)+1)</f>
        <v>0</v>
      </c>
      <c r="C120" s="84">
        <f>DMHH!C96</f>
        <v>0</v>
      </c>
      <c r="D120" s="84">
        <f>DMHH!D96</f>
        <v>0</v>
      </c>
      <c r="E120" s="220">
        <f>DMHH!E96</f>
        <v>0</v>
      </c>
      <c r="F120" s="221">
        <f t="shared" si="12"/>
        <v>0</v>
      </c>
      <c r="G120" s="221">
        <f t="shared" si="13"/>
        <v>0</v>
      </c>
      <c r="H120" s="221">
        <f t="shared" si="14"/>
        <v>0</v>
      </c>
      <c r="I120" s="221">
        <f t="shared" si="15"/>
        <v>0</v>
      </c>
      <c r="J120" s="221">
        <f>DMHH!G96</f>
        <v>0</v>
      </c>
      <c r="K120" s="221">
        <f>DMHH!H96</f>
        <v>0</v>
      </c>
      <c r="L120" s="221">
        <f t="shared" si="16"/>
        <v>0</v>
      </c>
      <c r="M120" s="221">
        <f t="shared" si="17"/>
        <v>0</v>
      </c>
      <c r="N120" s="222"/>
      <c r="O120" s="234" t="str">
        <f t="shared" si="18"/>
        <v/>
      </c>
      <c r="P120" s="171"/>
    </row>
    <row r="121" spans="1:16" ht="15" hidden="1" customHeight="1">
      <c r="A121" s="171"/>
      <c r="B121" s="199">
        <f>IF(O121="",0,MAX($B$32:B120)+1)</f>
        <v>0</v>
      </c>
      <c r="C121" s="84">
        <f>DMHH!C97</f>
        <v>0</v>
      </c>
      <c r="D121" s="84">
        <f>DMHH!D97</f>
        <v>0</v>
      </c>
      <c r="E121" s="220">
        <f>DMHH!E97</f>
        <v>0</v>
      </c>
      <c r="F121" s="221">
        <f t="shared" si="12"/>
        <v>0</v>
      </c>
      <c r="G121" s="221">
        <f t="shared" si="13"/>
        <v>0</v>
      </c>
      <c r="H121" s="221">
        <f t="shared" si="14"/>
        <v>0</v>
      </c>
      <c r="I121" s="221">
        <f t="shared" si="15"/>
        <v>0</v>
      </c>
      <c r="J121" s="221">
        <f>DMHH!G97</f>
        <v>0</v>
      </c>
      <c r="K121" s="221">
        <f>DMHH!H97</f>
        <v>0</v>
      </c>
      <c r="L121" s="221">
        <f t="shared" si="16"/>
        <v>0</v>
      </c>
      <c r="M121" s="221">
        <f t="shared" si="17"/>
        <v>0</v>
      </c>
      <c r="N121" s="222"/>
      <c r="O121" s="234" t="str">
        <f t="shared" si="18"/>
        <v/>
      </c>
      <c r="P121" s="171"/>
    </row>
    <row r="122" spans="1:16" ht="15" hidden="1" customHeight="1">
      <c r="A122" s="171"/>
      <c r="B122" s="199">
        <f>IF(O122="",0,MAX($B$32:B121)+1)</f>
        <v>0</v>
      </c>
      <c r="C122" s="84">
        <f>DMHH!C98</f>
        <v>0</v>
      </c>
      <c r="D122" s="84">
        <f>DMHH!D98</f>
        <v>0</v>
      </c>
      <c r="E122" s="220">
        <f>DMHH!E98</f>
        <v>0</v>
      </c>
      <c r="F122" s="221">
        <f t="shared" si="12"/>
        <v>0</v>
      </c>
      <c r="G122" s="221">
        <f t="shared" si="13"/>
        <v>0</v>
      </c>
      <c r="H122" s="221">
        <f t="shared" si="14"/>
        <v>0</v>
      </c>
      <c r="I122" s="221">
        <f t="shared" si="15"/>
        <v>0</v>
      </c>
      <c r="J122" s="221">
        <f>DMHH!G98</f>
        <v>0</v>
      </c>
      <c r="K122" s="221">
        <f>DMHH!H98</f>
        <v>0</v>
      </c>
      <c r="L122" s="221">
        <f t="shared" si="16"/>
        <v>0</v>
      </c>
      <c r="M122" s="221">
        <f t="shared" si="17"/>
        <v>0</v>
      </c>
      <c r="N122" s="222"/>
      <c r="O122" s="234" t="str">
        <f t="shared" si="18"/>
        <v/>
      </c>
      <c r="P122" s="171"/>
    </row>
    <row r="123" spans="1:16" ht="15" hidden="1" customHeight="1">
      <c r="A123" s="171"/>
      <c r="B123" s="199">
        <f>IF(O123="",0,MAX($B$32:B122)+1)</f>
        <v>0</v>
      </c>
      <c r="C123" s="84">
        <f>DMHH!C99</f>
        <v>0</v>
      </c>
      <c r="D123" s="84">
        <f>DMHH!D99</f>
        <v>0</v>
      </c>
      <c r="E123" s="220">
        <f>DMHH!E99</f>
        <v>0</v>
      </c>
      <c r="F123" s="221">
        <f t="shared" si="12"/>
        <v>0</v>
      </c>
      <c r="G123" s="221">
        <f t="shared" si="13"/>
        <v>0</v>
      </c>
      <c r="H123" s="221">
        <f t="shared" si="14"/>
        <v>0</v>
      </c>
      <c r="I123" s="221">
        <f t="shared" si="15"/>
        <v>0</v>
      </c>
      <c r="J123" s="221">
        <f>DMHH!G99</f>
        <v>0</v>
      </c>
      <c r="K123" s="221">
        <f>DMHH!H99</f>
        <v>0</v>
      </c>
      <c r="L123" s="221">
        <f t="shared" si="16"/>
        <v>0</v>
      </c>
      <c r="M123" s="221">
        <f t="shared" si="17"/>
        <v>0</v>
      </c>
      <c r="N123" s="222"/>
      <c r="O123" s="234" t="str">
        <f t="shared" si="18"/>
        <v/>
      </c>
      <c r="P123" s="171"/>
    </row>
    <row r="124" spans="1:16" ht="15" hidden="1" customHeight="1">
      <c r="A124" s="171"/>
      <c r="B124" s="199">
        <f>IF(O124="",0,MAX($B$32:B123)+1)</f>
        <v>0</v>
      </c>
      <c r="C124" s="84">
        <f>DMHH!C100</f>
        <v>0</v>
      </c>
      <c r="D124" s="84">
        <f>DMHH!D100</f>
        <v>0</v>
      </c>
      <c r="E124" s="220">
        <f>DMHH!E100</f>
        <v>0</v>
      </c>
      <c r="F124" s="221">
        <f t="shared" si="12"/>
        <v>0</v>
      </c>
      <c r="G124" s="221">
        <f t="shared" si="13"/>
        <v>0</v>
      </c>
      <c r="H124" s="221">
        <f t="shared" si="14"/>
        <v>0</v>
      </c>
      <c r="I124" s="221">
        <f t="shared" si="15"/>
        <v>0</v>
      </c>
      <c r="J124" s="221">
        <f>DMHH!G100</f>
        <v>0</v>
      </c>
      <c r="K124" s="221">
        <f>DMHH!H100</f>
        <v>0</v>
      </c>
      <c r="L124" s="221">
        <f t="shared" si="16"/>
        <v>0</v>
      </c>
      <c r="M124" s="221">
        <f t="shared" si="17"/>
        <v>0</v>
      </c>
      <c r="N124" s="222"/>
      <c r="O124" s="234" t="str">
        <f t="shared" si="18"/>
        <v/>
      </c>
      <c r="P124" s="171"/>
    </row>
    <row r="125" spans="1:16" ht="15" hidden="1" customHeight="1">
      <c r="A125" s="171"/>
      <c r="B125" s="199">
        <f>IF(O125="",0,MAX($B$32:B124)+1)</f>
        <v>0</v>
      </c>
      <c r="C125" s="84">
        <f>DMHH!C101</f>
        <v>0</v>
      </c>
      <c r="D125" s="84">
        <f>DMHH!D101</f>
        <v>0</v>
      </c>
      <c r="E125" s="220">
        <f>DMHH!E101</f>
        <v>0</v>
      </c>
      <c r="F125" s="221">
        <f t="shared" si="12"/>
        <v>0</v>
      </c>
      <c r="G125" s="221">
        <f t="shared" si="13"/>
        <v>0</v>
      </c>
      <c r="H125" s="221">
        <f t="shared" si="14"/>
        <v>0</v>
      </c>
      <c r="I125" s="221">
        <f t="shared" si="15"/>
        <v>0</v>
      </c>
      <c r="J125" s="221">
        <f>DMHH!G101</f>
        <v>0</v>
      </c>
      <c r="K125" s="221">
        <f>DMHH!H101</f>
        <v>0</v>
      </c>
      <c r="L125" s="221">
        <f t="shared" si="16"/>
        <v>0</v>
      </c>
      <c r="M125" s="221">
        <f t="shared" si="17"/>
        <v>0</v>
      </c>
      <c r="N125" s="222"/>
      <c r="O125" s="234" t="str">
        <f t="shared" si="18"/>
        <v/>
      </c>
      <c r="P125" s="171"/>
    </row>
    <row r="126" spans="1:16" ht="15" hidden="1" customHeight="1">
      <c r="A126" s="171"/>
      <c r="B126" s="199">
        <f>IF(O126="",0,MAX($B$32:B125)+1)</f>
        <v>0</v>
      </c>
      <c r="C126" s="84">
        <f>DMHH!C102</f>
        <v>0</v>
      </c>
      <c r="D126" s="84">
        <f>DMHH!D102</f>
        <v>0</v>
      </c>
      <c r="E126" s="220">
        <f>DMHH!E102</f>
        <v>0</v>
      </c>
      <c r="F126" s="221">
        <f t="shared" si="12"/>
        <v>0</v>
      </c>
      <c r="G126" s="221">
        <f t="shared" si="13"/>
        <v>0</v>
      </c>
      <c r="H126" s="221">
        <f t="shared" si="14"/>
        <v>0</v>
      </c>
      <c r="I126" s="221">
        <f t="shared" si="15"/>
        <v>0</v>
      </c>
      <c r="J126" s="221">
        <f>DMHH!G102</f>
        <v>0</v>
      </c>
      <c r="K126" s="221">
        <f>DMHH!H102</f>
        <v>0</v>
      </c>
      <c r="L126" s="221">
        <f t="shared" si="16"/>
        <v>0</v>
      </c>
      <c r="M126" s="221">
        <f t="shared" si="17"/>
        <v>0</v>
      </c>
      <c r="N126" s="222"/>
      <c r="O126" s="234" t="str">
        <f t="shared" si="18"/>
        <v/>
      </c>
      <c r="P126" s="171"/>
    </row>
    <row r="127" spans="1:16" ht="15" hidden="1" customHeight="1">
      <c r="A127" s="171"/>
      <c r="B127" s="199">
        <f>IF(O127="",0,MAX($B$32:B126)+1)</f>
        <v>0</v>
      </c>
      <c r="C127" s="84">
        <f>DMHH!C103</f>
        <v>0</v>
      </c>
      <c r="D127" s="84">
        <f>DMHH!D103</f>
        <v>0</v>
      </c>
      <c r="E127" s="220">
        <f>DMHH!E103</f>
        <v>0</v>
      </c>
      <c r="F127" s="221">
        <f t="shared" si="12"/>
        <v>0</v>
      </c>
      <c r="G127" s="221">
        <f t="shared" si="13"/>
        <v>0</v>
      </c>
      <c r="H127" s="221">
        <f t="shared" si="14"/>
        <v>0</v>
      </c>
      <c r="I127" s="221">
        <f t="shared" si="15"/>
        <v>0</v>
      </c>
      <c r="J127" s="221">
        <f>DMHH!G103</f>
        <v>0</v>
      </c>
      <c r="K127" s="221">
        <f>DMHH!H103</f>
        <v>0</v>
      </c>
      <c r="L127" s="221">
        <f t="shared" si="16"/>
        <v>0</v>
      </c>
      <c r="M127" s="221">
        <f t="shared" si="17"/>
        <v>0</v>
      </c>
      <c r="N127" s="222"/>
      <c r="O127" s="234" t="str">
        <f t="shared" si="18"/>
        <v/>
      </c>
      <c r="P127" s="171"/>
    </row>
    <row r="128" spans="1:16" ht="15" hidden="1" customHeight="1">
      <c r="A128" s="171"/>
      <c r="B128" s="199">
        <f>IF(O128="",0,MAX($B$32:B127)+1)</f>
        <v>0</v>
      </c>
      <c r="C128" s="84">
        <f>DMHH!C104</f>
        <v>0</v>
      </c>
      <c r="D128" s="84">
        <f>DMHH!D104</f>
        <v>0</v>
      </c>
      <c r="E128" s="220">
        <f>DMHH!E104</f>
        <v>0</v>
      </c>
      <c r="F128" s="221">
        <f t="shared" si="12"/>
        <v>0</v>
      </c>
      <c r="G128" s="221">
        <f t="shared" si="13"/>
        <v>0</v>
      </c>
      <c r="H128" s="221">
        <f t="shared" si="14"/>
        <v>0</v>
      </c>
      <c r="I128" s="221">
        <f t="shared" ref="I128:I159" si="19">F128+G128-H128</f>
        <v>0</v>
      </c>
      <c r="J128" s="221">
        <f>DMHH!G104</f>
        <v>0</v>
      </c>
      <c r="K128" s="221">
        <f>DMHH!H104</f>
        <v>0</v>
      </c>
      <c r="L128" s="221">
        <f t="shared" si="16"/>
        <v>0</v>
      </c>
      <c r="M128" s="221">
        <f t="shared" si="17"/>
        <v>0</v>
      </c>
      <c r="N128" s="222"/>
      <c r="O128" s="234" t="str">
        <f t="shared" si="18"/>
        <v/>
      </c>
      <c r="P128" s="171"/>
    </row>
    <row r="129" spans="1:16" ht="15" hidden="1" customHeight="1">
      <c r="A129" s="171"/>
      <c r="B129" s="199">
        <f>IF(O129="",0,MAX($B$32:B128)+1)</f>
        <v>0</v>
      </c>
      <c r="C129" s="84">
        <f>DMHH!C105</f>
        <v>0</v>
      </c>
      <c r="D129" s="84">
        <f>DMHH!D105</f>
        <v>0</v>
      </c>
      <c r="E129" s="220">
        <f>DMHH!E105</f>
        <v>0</v>
      </c>
      <c r="F129" s="221">
        <f t="shared" si="12"/>
        <v>0</v>
      </c>
      <c r="G129" s="221">
        <f t="shared" si="13"/>
        <v>0</v>
      </c>
      <c r="H129" s="221">
        <f t="shared" si="14"/>
        <v>0</v>
      </c>
      <c r="I129" s="221">
        <f t="shared" si="19"/>
        <v>0</v>
      </c>
      <c r="J129" s="221">
        <f>DMHH!G105</f>
        <v>0</v>
      </c>
      <c r="K129" s="221">
        <f>DMHH!H105</f>
        <v>0</v>
      </c>
      <c r="L129" s="221">
        <f t="shared" si="16"/>
        <v>0</v>
      </c>
      <c r="M129" s="221">
        <f t="shared" si="17"/>
        <v>0</v>
      </c>
      <c r="N129" s="222"/>
      <c r="O129" s="234" t="str">
        <f t="shared" si="18"/>
        <v/>
      </c>
      <c r="P129" s="171"/>
    </row>
    <row r="130" spans="1:16" ht="15" hidden="1" customHeight="1">
      <c r="A130" s="171"/>
      <c r="B130" s="199">
        <f>IF(O130="",0,MAX($B$32:B129)+1)</f>
        <v>0</v>
      </c>
      <c r="C130" s="84">
        <f>DMHH!C106</f>
        <v>0</v>
      </c>
      <c r="D130" s="84">
        <f>DMHH!D106</f>
        <v>0</v>
      </c>
      <c r="E130" s="220">
        <f>DMHH!E106</f>
        <v>0</v>
      </c>
      <c r="F130" s="221">
        <f t="shared" si="12"/>
        <v>0</v>
      </c>
      <c r="G130" s="221">
        <f t="shared" si="13"/>
        <v>0</v>
      </c>
      <c r="H130" s="221">
        <f t="shared" si="14"/>
        <v>0</v>
      </c>
      <c r="I130" s="221">
        <f t="shared" si="19"/>
        <v>0</v>
      </c>
      <c r="J130" s="221">
        <f>DMHH!G106</f>
        <v>0</v>
      </c>
      <c r="K130" s="221">
        <f>DMHH!H106</f>
        <v>0</v>
      </c>
      <c r="L130" s="221">
        <f t="shared" si="16"/>
        <v>0</v>
      </c>
      <c r="M130" s="221">
        <f t="shared" si="17"/>
        <v>0</v>
      </c>
      <c r="N130" s="222"/>
      <c r="O130" s="234" t="str">
        <f t="shared" si="18"/>
        <v/>
      </c>
      <c r="P130" s="171"/>
    </row>
    <row r="131" spans="1:16" ht="15" hidden="1" customHeight="1">
      <c r="A131" s="171"/>
      <c r="B131" s="199">
        <f>IF(O131="",0,MAX($B$32:B130)+1)</f>
        <v>0</v>
      </c>
      <c r="C131" s="84">
        <f>DMHH!C107</f>
        <v>0</v>
      </c>
      <c r="D131" s="84">
        <f>DMHH!D107</f>
        <v>0</v>
      </c>
      <c r="E131" s="220">
        <f>DMHH!E107</f>
        <v>0</v>
      </c>
      <c r="F131" s="221">
        <f t="shared" si="12"/>
        <v>0</v>
      </c>
      <c r="G131" s="221">
        <f t="shared" si="13"/>
        <v>0</v>
      </c>
      <c r="H131" s="221">
        <f t="shared" si="14"/>
        <v>0</v>
      </c>
      <c r="I131" s="221">
        <f t="shared" si="19"/>
        <v>0</v>
      </c>
      <c r="J131" s="221">
        <f>DMHH!G107</f>
        <v>0</v>
      </c>
      <c r="K131" s="221">
        <f>DMHH!H107</f>
        <v>0</v>
      </c>
      <c r="L131" s="221">
        <f t="shared" si="16"/>
        <v>0</v>
      </c>
      <c r="M131" s="221">
        <f t="shared" si="17"/>
        <v>0</v>
      </c>
      <c r="N131" s="222"/>
      <c r="O131" s="234" t="str">
        <f t="shared" si="18"/>
        <v/>
      </c>
      <c r="P131" s="171"/>
    </row>
    <row r="132" spans="1:16" ht="15" hidden="1" customHeight="1">
      <c r="A132" s="171"/>
      <c r="B132" s="199">
        <f>IF(O132="",0,MAX($B$32:B131)+1)</f>
        <v>0</v>
      </c>
      <c r="C132" s="84">
        <f>DMHH!C108</f>
        <v>0</v>
      </c>
      <c r="D132" s="84">
        <f>DMHH!D108</f>
        <v>0</v>
      </c>
      <c r="E132" s="220">
        <f>DMHH!E108</f>
        <v>0</v>
      </c>
      <c r="F132" s="221">
        <f t="shared" si="12"/>
        <v>0</v>
      </c>
      <c r="G132" s="221">
        <f t="shared" si="13"/>
        <v>0</v>
      </c>
      <c r="H132" s="221">
        <f t="shared" si="14"/>
        <v>0</v>
      </c>
      <c r="I132" s="221">
        <f t="shared" si="19"/>
        <v>0</v>
      </c>
      <c r="J132" s="221">
        <f>DMHH!G108</f>
        <v>0</v>
      </c>
      <c r="K132" s="221">
        <f>DMHH!H108</f>
        <v>0</v>
      </c>
      <c r="L132" s="221">
        <f t="shared" si="16"/>
        <v>0</v>
      </c>
      <c r="M132" s="221">
        <f t="shared" si="17"/>
        <v>0</v>
      </c>
      <c r="N132" s="222"/>
      <c r="O132" s="234" t="str">
        <f t="shared" si="18"/>
        <v/>
      </c>
      <c r="P132" s="171"/>
    </row>
    <row r="133" spans="1:16" ht="15" hidden="1" customHeight="1">
      <c r="A133" s="171"/>
      <c r="B133" s="199">
        <f>IF(O133="",0,MAX($B$32:B132)+1)</f>
        <v>0</v>
      </c>
      <c r="C133" s="84">
        <f>DMHH!C109</f>
        <v>0</v>
      </c>
      <c r="D133" s="84">
        <f>DMHH!D109</f>
        <v>0</v>
      </c>
      <c r="E133" s="220">
        <f>DMHH!E109</f>
        <v>0</v>
      </c>
      <c r="F133" s="221">
        <f t="shared" si="12"/>
        <v>0</v>
      </c>
      <c r="G133" s="221">
        <f t="shared" si="13"/>
        <v>0</v>
      </c>
      <c r="H133" s="221">
        <f t="shared" si="14"/>
        <v>0</v>
      </c>
      <c r="I133" s="221">
        <f t="shared" si="19"/>
        <v>0</v>
      </c>
      <c r="J133" s="221">
        <f>DMHH!G109</f>
        <v>0</v>
      </c>
      <c r="K133" s="221">
        <f>DMHH!H109</f>
        <v>0</v>
      </c>
      <c r="L133" s="221">
        <f t="shared" si="16"/>
        <v>0</v>
      </c>
      <c r="M133" s="221">
        <f t="shared" si="17"/>
        <v>0</v>
      </c>
      <c r="N133" s="222"/>
      <c r="O133" s="234" t="str">
        <f t="shared" si="18"/>
        <v/>
      </c>
      <c r="P133" s="171"/>
    </row>
    <row r="134" spans="1:16" ht="15" hidden="1" customHeight="1">
      <c r="A134" s="171"/>
      <c r="B134" s="199">
        <f>IF(O134="",0,MAX($B$32:B133)+1)</f>
        <v>0</v>
      </c>
      <c r="C134" s="84">
        <f>DMHH!C110</f>
        <v>0</v>
      </c>
      <c r="D134" s="84">
        <f>DMHH!D110</f>
        <v>0</v>
      </c>
      <c r="E134" s="220">
        <f>DMHH!E110</f>
        <v>0</v>
      </c>
      <c r="F134" s="221">
        <f t="shared" si="12"/>
        <v>0</v>
      </c>
      <c r="G134" s="221">
        <f t="shared" si="13"/>
        <v>0</v>
      </c>
      <c r="H134" s="221">
        <f t="shared" si="14"/>
        <v>0</v>
      </c>
      <c r="I134" s="221">
        <f t="shared" si="19"/>
        <v>0</v>
      </c>
      <c r="J134" s="221">
        <f>DMHH!G110</f>
        <v>0</v>
      </c>
      <c r="K134" s="221">
        <f>DMHH!H110</f>
        <v>0</v>
      </c>
      <c r="L134" s="221">
        <f t="shared" si="16"/>
        <v>0</v>
      </c>
      <c r="M134" s="221">
        <f t="shared" si="17"/>
        <v>0</v>
      </c>
      <c r="N134" s="222"/>
      <c r="O134" s="234" t="str">
        <f t="shared" si="18"/>
        <v/>
      </c>
      <c r="P134" s="171"/>
    </row>
    <row r="135" spans="1:16" ht="15" hidden="1" customHeight="1">
      <c r="A135" s="171"/>
      <c r="B135" s="199">
        <f>IF(O135="",0,MAX($B$32:B134)+1)</f>
        <v>0</v>
      </c>
      <c r="C135" s="84">
        <f>DMHH!C111</f>
        <v>0</v>
      </c>
      <c r="D135" s="84">
        <f>DMHH!D111</f>
        <v>0</v>
      </c>
      <c r="E135" s="220">
        <f>DMHH!E111</f>
        <v>0</v>
      </c>
      <c r="F135" s="221">
        <f t="shared" si="12"/>
        <v>0</v>
      </c>
      <c r="G135" s="221">
        <f t="shared" si="13"/>
        <v>0</v>
      </c>
      <c r="H135" s="221">
        <f t="shared" si="14"/>
        <v>0</v>
      </c>
      <c r="I135" s="221">
        <f t="shared" si="19"/>
        <v>0</v>
      </c>
      <c r="J135" s="221">
        <f>DMHH!G111</f>
        <v>0</v>
      </c>
      <c r="K135" s="221">
        <f>DMHH!H111</f>
        <v>0</v>
      </c>
      <c r="L135" s="221">
        <f t="shared" si="16"/>
        <v>0</v>
      </c>
      <c r="M135" s="221">
        <f t="shared" si="17"/>
        <v>0</v>
      </c>
      <c r="N135" s="222"/>
      <c r="O135" s="234" t="str">
        <f t="shared" si="18"/>
        <v/>
      </c>
      <c r="P135" s="171"/>
    </row>
    <row r="136" spans="1:16" ht="15" hidden="1" customHeight="1">
      <c r="A136" s="171"/>
      <c r="B136" s="199">
        <f>IF(O136="",0,MAX($B$32:B135)+1)</f>
        <v>0</v>
      </c>
      <c r="C136" s="84">
        <f>DMHH!C112</f>
        <v>0</v>
      </c>
      <c r="D136" s="84">
        <f>DMHH!D112</f>
        <v>0</v>
      </c>
      <c r="E136" s="220">
        <f>DMHH!E112</f>
        <v>0</v>
      </c>
      <c r="F136" s="221">
        <f t="shared" si="12"/>
        <v>0</v>
      </c>
      <c r="G136" s="221">
        <f t="shared" si="13"/>
        <v>0</v>
      </c>
      <c r="H136" s="221">
        <f t="shared" si="14"/>
        <v>0</v>
      </c>
      <c r="I136" s="221">
        <f t="shared" si="19"/>
        <v>0</v>
      </c>
      <c r="J136" s="221">
        <f>DMHH!G112</f>
        <v>0</v>
      </c>
      <c r="K136" s="221">
        <f>DMHH!H112</f>
        <v>0</v>
      </c>
      <c r="L136" s="221">
        <f t="shared" si="16"/>
        <v>0</v>
      </c>
      <c r="M136" s="221">
        <f t="shared" si="17"/>
        <v>0</v>
      </c>
      <c r="N136" s="222"/>
      <c r="O136" s="234" t="str">
        <f t="shared" si="18"/>
        <v/>
      </c>
      <c r="P136" s="171"/>
    </row>
    <row r="137" spans="1:16" ht="15" hidden="1" customHeight="1">
      <c r="A137" s="171"/>
      <c r="B137" s="199">
        <f>IF(O137="",0,MAX($B$32:B136)+1)</f>
        <v>0</v>
      </c>
      <c r="C137" s="84">
        <f>DMHH!C113</f>
        <v>0</v>
      </c>
      <c r="D137" s="84">
        <f>DMHH!D113</f>
        <v>0</v>
      </c>
      <c r="E137" s="220">
        <f>DMHH!E113</f>
        <v>0</v>
      </c>
      <c r="F137" s="221">
        <f t="shared" si="12"/>
        <v>0</v>
      </c>
      <c r="G137" s="221">
        <f t="shared" si="13"/>
        <v>0</v>
      </c>
      <c r="H137" s="221">
        <f t="shared" si="14"/>
        <v>0</v>
      </c>
      <c r="I137" s="221">
        <f t="shared" si="19"/>
        <v>0</v>
      </c>
      <c r="J137" s="221">
        <f>DMHH!G113</f>
        <v>0</v>
      </c>
      <c r="K137" s="221">
        <f>DMHH!H113</f>
        <v>0</v>
      </c>
      <c r="L137" s="221">
        <f t="shared" si="16"/>
        <v>0</v>
      </c>
      <c r="M137" s="221">
        <f t="shared" si="17"/>
        <v>0</v>
      </c>
      <c r="N137" s="222"/>
      <c r="O137" s="234" t="str">
        <f t="shared" si="18"/>
        <v/>
      </c>
      <c r="P137" s="171"/>
    </row>
    <row r="138" spans="1:16" ht="15" hidden="1" customHeight="1">
      <c r="A138" s="171"/>
      <c r="B138" s="199">
        <f>IF(O138="",0,MAX($B$32:B137)+1)</f>
        <v>0</v>
      </c>
      <c r="C138" s="84">
        <f>DMHH!C114</f>
        <v>0</v>
      </c>
      <c r="D138" s="84">
        <f>DMHH!D114</f>
        <v>0</v>
      </c>
      <c r="E138" s="220">
        <f>DMHH!E114</f>
        <v>0</v>
      </c>
      <c r="F138" s="221">
        <f t="shared" si="12"/>
        <v>0</v>
      </c>
      <c r="G138" s="221">
        <f t="shared" si="13"/>
        <v>0</v>
      </c>
      <c r="H138" s="221">
        <f t="shared" si="14"/>
        <v>0</v>
      </c>
      <c r="I138" s="221">
        <f t="shared" si="19"/>
        <v>0</v>
      </c>
      <c r="J138" s="221">
        <f>DMHH!G114</f>
        <v>0</v>
      </c>
      <c r="K138" s="221">
        <f>DMHH!H114</f>
        <v>0</v>
      </c>
      <c r="L138" s="221">
        <f t="shared" si="16"/>
        <v>0</v>
      </c>
      <c r="M138" s="221">
        <f t="shared" si="17"/>
        <v>0</v>
      </c>
      <c r="N138" s="222"/>
      <c r="O138" s="234" t="str">
        <f t="shared" si="18"/>
        <v/>
      </c>
      <c r="P138" s="171"/>
    </row>
    <row r="139" spans="1:16" ht="15" hidden="1" customHeight="1">
      <c r="A139" s="171"/>
      <c r="B139" s="199">
        <f>IF(O139="",0,MAX($B$32:B138)+1)</f>
        <v>0</v>
      </c>
      <c r="C139" s="84">
        <f>DMHH!C115</f>
        <v>0</v>
      </c>
      <c r="D139" s="84">
        <f>DMHH!D115</f>
        <v>0</v>
      </c>
      <c r="E139" s="220">
        <f>DMHH!E115</f>
        <v>0</v>
      </c>
      <c r="F139" s="221">
        <f t="shared" si="12"/>
        <v>0</v>
      </c>
      <c r="G139" s="221">
        <f t="shared" si="13"/>
        <v>0</v>
      </c>
      <c r="H139" s="221">
        <f t="shared" si="14"/>
        <v>0</v>
      </c>
      <c r="I139" s="221">
        <f t="shared" si="19"/>
        <v>0</v>
      </c>
      <c r="J139" s="221">
        <f>DMHH!G115</f>
        <v>0</v>
      </c>
      <c r="K139" s="221">
        <f>DMHH!H115</f>
        <v>0</v>
      </c>
      <c r="L139" s="221">
        <f t="shared" si="16"/>
        <v>0</v>
      </c>
      <c r="M139" s="221">
        <f t="shared" si="17"/>
        <v>0</v>
      </c>
      <c r="N139" s="222"/>
      <c r="O139" s="234" t="str">
        <f t="shared" si="18"/>
        <v/>
      </c>
      <c r="P139" s="171"/>
    </row>
    <row r="140" spans="1:16" ht="15" hidden="1" customHeight="1">
      <c r="A140" s="171"/>
      <c r="B140" s="199">
        <f>IF(O140="",0,MAX($B$32:B139)+1)</f>
        <v>0</v>
      </c>
      <c r="C140" s="84">
        <f>DMHH!C116</f>
        <v>0</v>
      </c>
      <c r="D140" s="84">
        <f>DMHH!D116</f>
        <v>0</v>
      </c>
      <c r="E140" s="220">
        <f>DMHH!E116</f>
        <v>0</v>
      </c>
      <c r="F140" s="221">
        <f t="shared" si="12"/>
        <v>0</v>
      </c>
      <c r="G140" s="221">
        <f t="shared" si="13"/>
        <v>0</v>
      </c>
      <c r="H140" s="221">
        <f t="shared" si="14"/>
        <v>0</v>
      </c>
      <c r="I140" s="221">
        <f t="shared" si="19"/>
        <v>0</v>
      </c>
      <c r="J140" s="221">
        <f>DMHH!G116</f>
        <v>0</v>
      </c>
      <c r="K140" s="221">
        <f>DMHH!H116</f>
        <v>0</v>
      </c>
      <c r="L140" s="221">
        <f t="shared" si="16"/>
        <v>0</v>
      </c>
      <c r="M140" s="221">
        <f t="shared" si="17"/>
        <v>0</v>
      </c>
      <c r="N140" s="222"/>
      <c r="O140" s="234" t="str">
        <f t="shared" si="18"/>
        <v/>
      </c>
      <c r="P140" s="171"/>
    </row>
    <row r="141" spans="1:16" ht="15" hidden="1" customHeight="1">
      <c r="A141" s="171"/>
      <c r="B141" s="199">
        <f>IF(O141="",0,MAX($B$32:B140)+1)</f>
        <v>0</v>
      </c>
      <c r="C141" s="84">
        <f>DMHH!C117</f>
        <v>0</v>
      </c>
      <c r="D141" s="84">
        <f>DMHH!D117</f>
        <v>0</v>
      </c>
      <c r="E141" s="220">
        <f>DMHH!E117</f>
        <v>0</v>
      </c>
      <c r="F141" s="221">
        <f t="shared" si="12"/>
        <v>0</v>
      </c>
      <c r="G141" s="221">
        <f t="shared" si="13"/>
        <v>0</v>
      </c>
      <c r="H141" s="221">
        <f t="shared" si="14"/>
        <v>0</v>
      </c>
      <c r="I141" s="221">
        <f t="shared" si="19"/>
        <v>0</v>
      </c>
      <c r="J141" s="221">
        <f>DMHH!G117</f>
        <v>0</v>
      </c>
      <c r="K141" s="221">
        <f>DMHH!H117</f>
        <v>0</v>
      </c>
      <c r="L141" s="221">
        <f t="shared" si="16"/>
        <v>0</v>
      </c>
      <c r="M141" s="221">
        <f t="shared" si="17"/>
        <v>0</v>
      </c>
      <c r="N141" s="222"/>
      <c r="O141" s="234" t="str">
        <f t="shared" si="18"/>
        <v/>
      </c>
      <c r="P141" s="171"/>
    </row>
    <row r="142" spans="1:16" ht="15" hidden="1" customHeight="1">
      <c r="A142" s="171"/>
      <c r="B142" s="199">
        <f>IF(O142="",0,MAX($B$32:B141)+1)</f>
        <v>0</v>
      </c>
      <c r="C142" s="84">
        <f>DMHH!C118</f>
        <v>0</v>
      </c>
      <c r="D142" s="84">
        <f>DMHH!D118</f>
        <v>0</v>
      </c>
      <c r="E142" s="220">
        <f>DMHH!E118</f>
        <v>0</v>
      </c>
      <c r="F142" s="221">
        <f t="shared" si="12"/>
        <v>0</v>
      </c>
      <c r="G142" s="221">
        <f t="shared" si="13"/>
        <v>0</v>
      </c>
      <c r="H142" s="221">
        <f t="shared" si="14"/>
        <v>0</v>
      </c>
      <c r="I142" s="221">
        <f t="shared" si="19"/>
        <v>0</v>
      </c>
      <c r="J142" s="221">
        <f>DMHH!G118</f>
        <v>0</v>
      </c>
      <c r="K142" s="221">
        <f>DMHH!H118</f>
        <v>0</v>
      </c>
      <c r="L142" s="221">
        <f t="shared" si="16"/>
        <v>0</v>
      </c>
      <c r="M142" s="221">
        <f t="shared" si="17"/>
        <v>0</v>
      </c>
      <c r="N142" s="222"/>
      <c r="O142" s="234" t="str">
        <f t="shared" si="18"/>
        <v/>
      </c>
      <c r="P142" s="171"/>
    </row>
    <row r="143" spans="1:16" ht="15" hidden="1" customHeight="1">
      <c r="A143" s="171"/>
      <c r="B143" s="199">
        <f>IF(O143="",0,MAX($B$32:B142)+1)</f>
        <v>0</v>
      </c>
      <c r="C143" s="84">
        <f>DMHH!C119</f>
        <v>0</v>
      </c>
      <c r="D143" s="84">
        <f>DMHH!D119</f>
        <v>0</v>
      </c>
      <c r="E143" s="220">
        <f>DMHH!E119</f>
        <v>0</v>
      </c>
      <c r="F143" s="221">
        <f t="shared" si="12"/>
        <v>0</v>
      </c>
      <c r="G143" s="221">
        <f t="shared" si="13"/>
        <v>0</v>
      </c>
      <c r="H143" s="221">
        <f t="shared" si="14"/>
        <v>0</v>
      </c>
      <c r="I143" s="221">
        <f t="shared" si="19"/>
        <v>0</v>
      </c>
      <c r="J143" s="221">
        <f>DMHH!G119</f>
        <v>0</v>
      </c>
      <c r="K143" s="221">
        <f>DMHH!H119</f>
        <v>0</v>
      </c>
      <c r="L143" s="221">
        <f t="shared" si="16"/>
        <v>0</v>
      </c>
      <c r="M143" s="221">
        <f t="shared" si="17"/>
        <v>0</v>
      </c>
      <c r="N143" s="222"/>
      <c r="O143" s="234" t="str">
        <f t="shared" si="18"/>
        <v/>
      </c>
      <c r="P143" s="171"/>
    </row>
    <row r="144" spans="1:16" ht="15" hidden="1" customHeight="1">
      <c r="A144" s="171"/>
      <c r="B144" s="199">
        <f>IF(O144="",0,MAX($B$32:B143)+1)</f>
        <v>0</v>
      </c>
      <c r="C144" s="84">
        <f>DMHH!C120</f>
        <v>0</v>
      </c>
      <c r="D144" s="84">
        <f>DMHH!D120</f>
        <v>0</v>
      </c>
      <c r="E144" s="220">
        <f>DMHH!E120</f>
        <v>0</v>
      </c>
      <c r="F144" s="221">
        <f t="shared" si="12"/>
        <v>0</v>
      </c>
      <c r="G144" s="221">
        <f t="shared" si="13"/>
        <v>0</v>
      </c>
      <c r="H144" s="221">
        <f t="shared" si="14"/>
        <v>0</v>
      </c>
      <c r="I144" s="221">
        <f t="shared" si="19"/>
        <v>0</v>
      </c>
      <c r="J144" s="221">
        <f>DMHH!G120</f>
        <v>0</v>
      </c>
      <c r="K144" s="221">
        <f>DMHH!H120</f>
        <v>0</v>
      </c>
      <c r="L144" s="221">
        <f t="shared" si="16"/>
        <v>0</v>
      </c>
      <c r="M144" s="221">
        <f t="shared" si="17"/>
        <v>0</v>
      </c>
      <c r="N144" s="222"/>
      <c r="O144" s="234" t="str">
        <f t="shared" si="18"/>
        <v/>
      </c>
      <c r="P144" s="171"/>
    </row>
    <row r="145" spans="1:16" ht="15" hidden="1" customHeight="1">
      <c r="A145" s="171"/>
      <c r="B145" s="199">
        <f>IF(O145="",0,MAX($B$32:B144)+1)</f>
        <v>0</v>
      </c>
      <c r="C145" s="84">
        <f>DMHH!C121</f>
        <v>0</v>
      </c>
      <c r="D145" s="84">
        <f>DMHH!D121</f>
        <v>0</v>
      </c>
      <c r="E145" s="220">
        <f>DMHH!E121</f>
        <v>0</v>
      </c>
      <c r="F145" s="221">
        <f t="shared" si="12"/>
        <v>0</v>
      </c>
      <c r="G145" s="221">
        <f t="shared" si="13"/>
        <v>0</v>
      </c>
      <c r="H145" s="221">
        <f t="shared" si="14"/>
        <v>0</v>
      </c>
      <c r="I145" s="221">
        <f t="shared" si="19"/>
        <v>0</v>
      </c>
      <c r="J145" s="221">
        <f>DMHH!G121</f>
        <v>0</v>
      </c>
      <c r="K145" s="221">
        <f>DMHH!H121</f>
        <v>0</v>
      </c>
      <c r="L145" s="221">
        <f t="shared" si="16"/>
        <v>0</v>
      </c>
      <c r="M145" s="221">
        <f t="shared" si="17"/>
        <v>0</v>
      </c>
      <c r="N145" s="222"/>
      <c r="O145" s="234" t="str">
        <f t="shared" si="18"/>
        <v/>
      </c>
      <c r="P145" s="171"/>
    </row>
    <row r="146" spans="1:16" ht="15" hidden="1" customHeight="1">
      <c r="A146" s="171"/>
      <c r="B146" s="199">
        <f>IF(O146="",0,MAX($B$32:B145)+1)</f>
        <v>0</v>
      </c>
      <c r="C146" s="84">
        <f>DMHH!C122</f>
        <v>0</v>
      </c>
      <c r="D146" s="84">
        <f>DMHH!D122</f>
        <v>0</v>
      </c>
      <c r="E146" s="220">
        <f>DMHH!E122</f>
        <v>0</v>
      </c>
      <c r="F146" s="221">
        <f t="shared" si="12"/>
        <v>0</v>
      </c>
      <c r="G146" s="221">
        <f t="shared" si="13"/>
        <v>0</v>
      </c>
      <c r="H146" s="221">
        <f t="shared" si="14"/>
        <v>0</v>
      </c>
      <c r="I146" s="221">
        <f t="shared" si="19"/>
        <v>0</v>
      </c>
      <c r="J146" s="221">
        <f>DMHH!G122</f>
        <v>0</v>
      </c>
      <c r="K146" s="221">
        <f>DMHH!H122</f>
        <v>0</v>
      </c>
      <c r="L146" s="221">
        <f t="shared" si="16"/>
        <v>0</v>
      </c>
      <c r="M146" s="221">
        <f t="shared" si="17"/>
        <v>0</v>
      </c>
      <c r="N146" s="222"/>
      <c r="O146" s="234" t="str">
        <f t="shared" si="18"/>
        <v/>
      </c>
      <c r="P146" s="171"/>
    </row>
    <row r="147" spans="1:16" ht="15" hidden="1" customHeight="1">
      <c r="A147" s="171"/>
      <c r="B147" s="199">
        <f>IF(O147="",0,MAX($B$32:B146)+1)</f>
        <v>0</v>
      </c>
      <c r="C147" s="84">
        <f>DMHH!C123</f>
        <v>0</v>
      </c>
      <c r="D147" s="84">
        <f>DMHH!D123</f>
        <v>0</v>
      </c>
      <c r="E147" s="220">
        <f>DMHH!E123</f>
        <v>0</v>
      </c>
      <c r="F147" s="221">
        <f t="shared" si="12"/>
        <v>0</v>
      </c>
      <c r="G147" s="221">
        <f t="shared" si="13"/>
        <v>0</v>
      </c>
      <c r="H147" s="221">
        <f t="shared" si="14"/>
        <v>0</v>
      </c>
      <c r="I147" s="221">
        <f t="shared" si="19"/>
        <v>0</v>
      </c>
      <c r="J147" s="221">
        <f>DMHH!G123</f>
        <v>0</v>
      </c>
      <c r="K147" s="221">
        <f>DMHH!H123</f>
        <v>0</v>
      </c>
      <c r="L147" s="221">
        <f t="shared" si="16"/>
        <v>0</v>
      </c>
      <c r="M147" s="221">
        <f t="shared" si="17"/>
        <v>0</v>
      </c>
      <c r="N147" s="222"/>
      <c r="O147" s="234" t="str">
        <f t="shared" si="18"/>
        <v/>
      </c>
      <c r="P147" s="171"/>
    </row>
    <row r="148" spans="1:16" ht="15" hidden="1" customHeight="1">
      <c r="A148" s="171"/>
      <c r="B148" s="199">
        <f>IF(O148="",0,MAX($B$32:B147)+1)</f>
        <v>0</v>
      </c>
      <c r="C148" s="84">
        <f>DMHH!C124</f>
        <v>0</v>
      </c>
      <c r="D148" s="84">
        <f>DMHH!D124</f>
        <v>0</v>
      </c>
      <c r="E148" s="220">
        <f>DMHH!E124</f>
        <v>0</v>
      </c>
      <c r="F148" s="221">
        <f t="shared" si="12"/>
        <v>0</v>
      </c>
      <c r="G148" s="221">
        <f t="shared" si="13"/>
        <v>0</v>
      </c>
      <c r="H148" s="221">
        <f t="shared" si="14"/>
        <v>0</v>
      </c>
      <c r="I148" s="221">
        <f t="shared" si="19"/>
        <v>0</v>
      </c>
      <c r="J148" s="221">
        <f>DMHH!G124</f>
        <v>0</v>
      </c>
      <c r="K148" s="221">
        <f>DMHH!H124</f>
        <v>0</v>
      </c>
      <c r="L148" s="221">
        <f t="shared" si="16"/>
        <v>0</v>
      </c>
      <c r="M148" s="221">
        <f t="shared" si="17"/>
        <v>0</v>
      </c>
      <c r="N148" s="222"/>
      <c r="O148" s="234" t="str">
        <f t="shared" si="18"/>
        <v/>
      </c>
      <c r="P148" s="171"/>
    </row>
    <row r="149" spans="1:16" ht="15" hidden="1" customHeight="1">
      <c r="A149" s="171"/>
      <c r="B149" s="199">
        <f>IF(O149="",0,MAX($B$32:B148)+1)</f>
        <v>0</v>
      </c>
      <c r="C149" s="84">
        <f>DMHH!C125</f>
        <v>0</v>
      </c>
      <c r="D149" s="84">
        <f>DMHH!D125</f>
        <v>0</v>
      </c>
      <c r="E149" s="220">
        <f>DMHH!E125</f>
        <v>0</v>
      </c>
      <c r="F149" s="221">
        <f t="shared" si="12"/>
        <v>0</v>
      </c>
      <c r="G149" s="221">
        <f t="shared" si="13"/>
        <v>0</v>
      </c>
      <c r="H149" s="221">
        <f t="shared" si="14"/>
        <v>0</v>
      </c>
      <c r="I149" s="221">
        <f t="shared" si="19"/>
        <v>0</v>
      </c>
      <c r="J149" s="221">
        <f>DMHH!G125</f>
        <v>0</v>
      </c>
      <c r="K149" s="221">
        <f>DMHH!H125</f>
        <v>0</v>
      </c>
      <c r="L149" s="221">
        <f t="shared" si="16"/>
        <v>0</v>
      </c>
      <c r="M149" s="221">
        <f t="shared" si="17"/>
        <v>0</v>
      </c>
      <c r="N149" s="222"/>
      <c r="O149" s="234" t="str">
        <f t="shared" si="18"/>
        <v/>
      </c>
      <c r="P149" s="171"/>
    </row>
    <row r="150" spans="1:16" ht="15" hidden="1" customHeight="1">
      <c r="A150" s="171"/>
      <c r="B150" s="199">
        <f>IF(O150="",0,MAX($B$32:B149)+1)</f>
        <v>0</v>
      </c>
      <c r="C150" s="84">
        <f>DMHH!C126</f>
        <v>0</v>
      </c>
      <c r="D150" s="84">
        <f>DMHH!D126</f>
        <v>0</v>
      </c>
      <c r="E150" s="220">
        <f>DMHH!E126</f>
        <v>0</v>
      </c>
      <c r="F150" s="221">
        <f t="shared" si="12"/>
        <v>0</v>
      </c>
      <c r="G150" s="221">
        <f t="shared" si="13"/>
        <v>0</v>
      </c>
      <c r="H150" s="221">
        <f t="shared" si="14"/>
        <v>0</v>
      </c>
      <c r="I150" s="221">
        <f t="shared" si="19"/>
        <v>0</v>
      </c>
      <c r="J150" s="221">
        <f>DMHH!G126</f>
        <v>0</v>
      </c>
      <c r="K150" s="221">
        <f>DMHH!H126</f>
        <v>0</v>
      </c>
      <c r="L150" s="221">
        <f t="shared" si="16"/>
        <v>0</v>
      </c>
      <c r="M150" s="221">
        <f t="shared" si="17"/>
        <v>0</v>
      </c>
      <c r="N150" s="222"/>
      <c r="O150" s="234" t="str">
        <f t="shared" si="18"/>
        <v/>
      </c>
      <c r="P150" s="171"/>
    </row>
    <row r="151" spans="1:16" ht="15" hidden="1" customHeight="1">
      <c r="A151" s="171"/>
      <c r="B151" s="199">
        <f>IF(O151="",0,MAX($B$32:B150)+1)</f>
        <v>0</v>
      </c>
      <c r="C151" s="84">
        <f>DMHH!C127</f>
        <v>0</v>
      </c>
      <c r="D151" s="84">
        <f>DMHH!D127</f>
        <v>0</v>
      </c>
      <c r="E151" s="220">
        <f>DMHH!E127</f>
        <v>0</v>
      </c>
      <c r="F151" s="221">
        <f t="shared" si="12"/>
        <v>0</v>
      </c>
      <c r="G151" s="221">
        <f t="shared" si="13"/>
        <v>0</v>
      </c>
      <c r="H151" s="221">
        <f t="shared" si="14"/>
        <v>0</v>
      </c>
      <c r="I151" s="221">
        <f t="shared" si="19"/>
        <v>0</v>
      </c>
      <c r="J151" s="221">
        <f>DMHH!G127</f>
        <v>0</v>
      </c>
      <c r="K151" s="221">
        <f>DMHH!H127</f>
        <v>0</v>
      </c>
      <c r="L151" s="221">
        <f t="shared" si="16"/>
        <v>0</v>
      </c>
      <c r="M151" s="221">
        <f t="shared" si="17"/>
        <v>0</v>
      </c>
      <c r="N151" s="222"/>
      <c r="O151" s="234" t="str">
        <f t="shared" si="18"/>
        <v/>
      </c>
      <c r="P151" s="171"/>
    </row>
    <row r="152" spans="1:16" ht="15" hidden="1" customHeight="1">
      <c r="A152" s="171"/>
      <c r="B152" s="199">
        <f>IF(O152="",0,MAX($B$32:B151)+1)</f>
        <v>0</v>
      </c>
      <c r="C152" s="84">
        <f>DMHH!C128</f>
        <v>0</v>
      </c>
      <c r="D152" s="84">
        <f>DMHH!D128</f>
        <v>0</v>
      </c>
      <c r="E152" s="220">
        <f>DMHH!E128</f>
        <v>0</v>
      </c>
      <c r="F152" s="221">
        <f t="shared" si="12"/>
        <v>0</v>
      </c>
      <c r="G152" s="221">
        <f t="shared" si="13"/>
        <v>0</v>
      </c>
      <c r="H152" s="221">
        <f t="shared" si="14"/>
        <v>0</v>
      </c>
      <c r="I152" s="221">
        <f t="shared" si="19"/>
        <v>0</v>
      </c>
      <c r="J152" s="221">
        <f>DMHH!G128</f>
        <v>0</v>
      </c>
      <c r="K152" s="221">
        <f>DMHH!H128</f>
        <v>0</v>
      </c>
      <c r="L152" s="221">
        <f t="shared" si="16"/>
        <v>0</v>
      </c>
      <c r="M152" s="221">
        <f t="shared" si="17"/>
        <v>0</v>
      </c>
      <c r="N152" s="222"/>
      <c r="O152" s="234" t="str">
        <f t="shared" si="18"/>
        <v/>
      </c>
      <c r="P152" s="171"/>
    </row>
    <row r="153" spans="1:16" ht="15" hidden="1" customHeight="1">
      <c r="A153" s="171"/>
      <c r="B153" s="199">
        <f>IF(O153="",0,MAX($B$32:B152)+1)</f>
        <v>0</v>
      </c>
      <c r="C153" s="84">
        <f>DMHH!C129</f>
        <v>0</v>
      </c>
      <c r="D153" s="84">
        <f>DMHH!D129</f>
        <v>0</v>
      </c>
      <c r="E153" s="220">
        <f>DMHH!E129</f>
        <v>0</v>
      </c>
      <c r="F153" s="221">
        <f t="shared" si="12"/>
        <v>0</v>
      </c>
      <c r="G153" s="221">
        <f t="shared" si="13"/>
        <v>0</v>
      </c>
      <c r="H153" s="221">
        <f t="shared" si="14"/>
        <v>0</v>
      </c>
      <c r="I153" s="221">
        <f t="shared" si="19"/>
        <v>0</v>
      </c>
      <c r="J153" s="221">
        <f>DMHH!G129</f>
        <v>0</v>
      </c>
      <c r="K153" s="221">
        <f>DMHH!H129</f>
        <v>0</v>
      </c>
      <c r="L153" s="221">
        <f t="shared" si="16"/>
        <v>0</v>
      </c>
      <c r="M153" s="221">
        <f t="shared" si="17"/>
        <v>0</v>
      </c>
      <c r="N153" s="222"/>
      <c r="O153" s="234" t="str">
        <f t="shared" si="18"/>
        <v/>
      </c>
      <c r="P153" s="171"/>
    </row>
    <row r="154" spans="1:16" ht="15" hidden="1" customHeight="1">
      <c r="A154" s="171"/>
      <c r="B154" s="199">
        <f>IF(O154="",0,MAX($B$32:B153)+1)</f>
        <v>0</v>
      </c>
      <c r="C154" s="84">
        <f>DMHH!C130</f>
        <v>0</v>
      </c>
      <c r="D154" s="84">
        <f>DMHH!D130</f>
        <v>0</v>
      </c>
      <c r="E154" s="220">
        <f>DMHH!E130</f>
        <v>0</v>
      </c>
      <c r="F154" s="221">
        <f t="shared" si="12"/>
        <v>0</v>
      </c>
      <c r="G154" s="221">
        <f t="shared" si="13"/>
        <v>0</v>
      </c>
      <c r="H154" s="221">
        <f t="shared" si="14"/>
        <v>0</v>
      </c>
      <c r="I154" s="221">
        <f t="shared" si="19"/>
        <v>0</v>
      </c>
      <c r="J154" s="221">
        <f>DMHH!G130</f>
        <v>0</v>
      </c>
      <c r="K154" s="221">
        <f>DMHH!H130</f>
        <v>0</v>
      </c>
      <c r="L154" s="221">
        <f t="shared" si="16"/>
        <v>0</v>
      </c>
      <c r="M154" s="221">
        <f t="shared" si="17"/>
        <v>0</v>
      </c>
      <c r="N154" s="222"/>
      <c r="O154" s="234" t="str">
        <f t="shared" si="18"/>
        <v/>
      </c>
      <c r="P154" s="171"/>
    </row>
    <row r="155" spans="1:16" ht="15" hidden="1" customHeight="1">
      <c r="A155" s="171"/>
      <c r="B155" s="199">
        <f>IF(O155="",0,MAX($B$32:B154)+1)</f>
        <v>0</v>
      </c>
      <c r="C155" s="84">
        <f>DMHH!C131</f>
        <v>0</v>
      </c>
      <c r="D155" s="84">
        <f>DMHH!D131</f>
        <v>0</v>
      </c>
      <c r="E155" s="220">
        <f>DMHH!E131</f>
        <v>0</v>
      </c>
      <c r="F155" s="221">
        <f t="shared" si="12"/>
        <v>0</v>
      </c>
      <c r="G155" s="221">
        <f t="shared" si="13"/>
        <v>0</v>
      </c>
      <c r="H155" s="221">
        <f t="shared" si="14"/>
        <v>0</v>
      </c>
      <c r="I155" s="221">
        <f t="shared" si="19"/>
        <v>0</v>
      </c>
      <c r="J155" s="221">
        <f>DMHH!G131</f>
        <v>0</v>
      </c>
      <c r="K155" s="221">
        <f>DMHH!H131</f>
        <v>0</v>
      </c>
      <c r="L155" s="221">
        <f t="shared" si="16"/>
        <v>0</v>
      </c>
      <c r="M155" s="221">
        <f t="shared" si="17"/>
        <v>0</v>
      </c>
      <c r="N155" s="222"/>
      <c r="O155" s="234" t="str">
        <f t="shared" si="18"/>
        <v/>
      </c>
      <c r="P155" s="171"/>
    </row>
    <row r="156" spans="1:16" ht="15" hidden="1" customHeight="1">
      <c r="A156" s="171"/>
      <c r="B156" s="199">
        <f>IF(O156="",0,MAX($B$32:B155)+1)</f>
        <v>0</v>
      </c>
      <c r="C156" s="84">
        <f>DMHH!C132</f>
        <v>0</v>
      </c>
      <c r="D156" s="84">
        <f>DMHH!D132</f>
        <v>0</v>
      </c>
      <c r="E156" s="220">
        <f>DMHH!E132</f>
        <v>0</v>
      </c>
      <c r="F156" s="221">
        <f t="shared" si="12"/>
        <v>0</v>
      </c>
      <c r="G156" s="221">
        <f t="shared" si="13"/>
        <v>0</v>
      </c>
      <c r="H156" s="221">
        <f t="shared" si="14"/>
        <v>0</v>
      </c>
      <c r="I156" s="221">
        <f t="shared" si="19"/>
        <v>0</v>
      </c>
      <c r="J156" s="221">
        <f>DMHH!G132</f>
        <v>0</v>
      </c>
      <c r="K156" s="221">
        <f>DMHH!H132</f>
        <v>0</v>
      </c>
      <c r="L156" s="221">
        <f t="shared" si="16"/>
        <v>0</v>
      </c>
      <c r="M156" s="221">
        <f t="shared" si="17"/>
        <v>0</v>
      </c>
      <c r="N156" s="222"/>
      <c r="O156" s="234" t="str">
        <f t="shared" si="18"/>
        <v/>
      </c>
      <c r="P156" s="171"/>
    </row>
    <row r="157" spans="1:16" ht="15" hidden="1" customHeight="1">
      <c r="A157" s="171"/>
      <c r="B157" s="199">
        <f>IF(O157="",0,MAX($B$32:B156)+1)</f>
        <v>0</v>
      </c>
      <c r="C157" s="84">
        <f>DMHH!C133</f>
        <v>0</v>
      </c>
      <c r="D157" s="84">
        <f>DMHH!D133</f>
        <v>0</v>
      </c>
      <c r="E157" s="220">
        <f>DMHH!E133</f>
        <v>0</v>
      </c>
      <c r="F157" s="221">
        <f t="shared" si="12"/>
        <v>0</v>
      </c>
      <c r="G157" s="221">
        <f t="shared" si="13"/>
        <v>0</v>
      </c>
      <c r="H157" s="221">
        <f t="shared" si="14"/>
        <v>0</v>
      </c>
      <c r="I157" s="221">
        <f t="shared" si="19"/>
        <v>0</v>
      </c>
      <c r="J157" s="221">
        <f>DMHH!G133</f>
        <v>0</v>
      </c>
      <c r="K157" s="221">
        <f>DMHH!H133</f>
        <v>0</v>
      </c>
      <c r="L157" s="221">
        <f t="shared" si="16"/>
        <v>0</v>
      </c>
      <c r="M157" s="221">
        <f t="shared" si="17"/>
        <v>0</v>
      </c>
      <c r="N157" s="222"/>
      <c r="O157" s="234" t="str">
        <f t="shared" si="18"/>
        <v/>
      </c>
      <c r="P157" s="171"/>
    </row>
    <row r="158" spans="1:16" ht="15" hidden="1" customHeight="1">
      <c r="A158" s="171"/>
      <c r="B158" s="199">
        <f>IF(O158="",0,MAX($B$32:B157)+1)</f>
        <v>0</v>
      </c>
      <c r="C158" s="84">
        <f>DMHH!C134</f>
        <v>0</v>
      </c>
      <c r="D158" s="84">
        <f>DMHH!D134</f>
        <v>0</v>
      </c>
      <c r="E158" s="220">
        <f>DMHH!E134</f>
        <v>0</v>
      </c>
      <c r="F158" s="221">
        <f t="shared" si="12"/>
        <v>0</v>
      </c>
      <c r="G158" s="221">
        <f t="shared" si="13"/>
        <v>0</v>
      </c>
      <c r="H158" s="221">
        <f t="shared" si="14"/>
        <v>0</v>
      </c>
      <c r="I158" s="221">
        <f t="shared" si="19"/>
        <v>0</v>
      </c>
      <c r="J158" s="221">
        <f>DMHH!G134</f>
        <v>0</v>
      </c>
      <c r="K158" s="221">
        <f>DMHH!H134</f>
        <v>0</v>
      </c>
      <c r="L158" s="221">
        <f t="shared" si="16"/>
        <v>0</v>
      </c>
      <c r="M158" s="221">
        <f t="shared" si="17"/>
        <v>0</v>
      </c>
      <c r="N158" s="222"/>
      <c r="O158" s="234" t="str">
        <f t="shared" si="18"/>
        <v/>
      </c>
      <c r="P158" s="171"/>
    </row>
    <row r="159" spans="1:16" ht="15" hidden="1" customHeight="1">
      <c r="A159" s="171"/>
      <c r="B159" s="199">
        <f>IF(O159="",0,MAX($B$32:B158)+1)</f>
        <v>0</v>
      </c>
      <c r="C159" s="84">
        <f>DMHH!C135</f>
        <v>0</v>
      </c>
      <c r="D159" s="84">
        <f>DMHH!D135</f>
        <v>0</v>
      </c>
      <c r="E159" s="220">
        <f>DMHH!E135</f>
        <v>0</v>
      </c>
      <c r="F159" s="221">
        <f t="shared" si="12"/>
        <v>0</v>
      </c>
      <c r="G159" s="221">
        <f t="shared" si="13"/>
        <v>0</v>
      </c>
      <c r="H159" s="221">
        <f t="shared" si="14"/>
        <v>0</v>
      </c>
      <c r="I159" s="221">
        <f t="shared" si="19"/>
        <v>0</v>
      </c>
      <c r="J159" s="221">
        <f>DMHH!G135</f>
        <v>0</v>
      </c>
      <c r="K159" s="221">
        <f>DMHH!H135</f>
        <v>0</v>
      </c>
      <c r="L159" s="221">
        <f t="shared" si="16"/>
        <v>0</v>
      </c>
      <c r="M159" s="221">
        <f t="shared" si="17"/>
        <v>0</v>
      </c>
      <c r="N159" s="222"/>
      <c r="O159" s="234" t="str">
        <f t="shared" si="18"/>
        <v/>
      </c>
      <c r="P159" s="171"/>
    </row>
    <row r="160" spans="1:16" ht="15" hidden="1" customHeight="1">
      <c r="A160" s="171"/>
      <c r="B160" s="199">
        <f>IF(O160="",0,MAX($B$32:B159)+1)</f>
        <v>0</v>
      </c>
      <c r="C160" s="84">
        <f>DMHH!C136</f>
        <v>0</v>
      </c>
      <c r="D160" s="84">
        <f>DMHH!D136</f>
        <v>0</v>
      </c>
      <c r="E160" s="220">
        <f>DMHH!E136</f>
        <v>0</v>
      </c>
      <c r="F160" s="221">
        <f t="shared" ref="F160:F223" si="20">IF(D160=0,0,SUMIF(QuanLyHangHoa,$D160,tinh_SLtondau))</f>
        <v>0</v>
      </c>
      <c r="G160" s="221">
        <f t="shared" ref="G160:G223" si="21">IF(D160=0,0,SUMIF(QuanLyHangHoa,$D160,tinh_SLnhap))</f>
        <v>0</v>
      </c>
      <c r="H160" s="221">
        <f t="shared" ref="H160:H223" si="22">IF(D160=0,0,SUMIF(QuanLyHangHoa,$D160,tinh_SLxuat))</f>
        <v>0</v>
      </c>
      <c r="I160" s="221">
        <f t="shared" ref="I160:I186" si="23">F160+G160-H160</f>
        <v>0</v>
      </c>
      <c r="J160" s="221">
        <f>DMHH!G136</f>
        <v>0</v>
      </c>
      <c r="K160" s="221">
        <f>DMHH!H136</f>
        <v>0</v>
      </c>
      <c r="L160" s="221">
        <f t="shared" si="16"/>
        <v>0</v>
      </c>
      <c r="M160" s="221">
        <f t="shared" si="17"/>
        <v>0</v>
      </c>
      <c r="N160" s="222"/>
      <c r="O160" s="234" t="str">
        <f t="shared" si="18"/>
        <v/>
      </c>
      <c r="P160" s="171"/>
    </row>
    <row r="161" spans="1:16" ht="15" hidden="1" customHeight="1">
      <c r="A161" s="171"/>
      <c r="B161" s="199">
        <f>IF(O161="",0,MAX($B$32:B160)+1)</f>
        <v>0</v>
      </c>
      <c r="C161" s="84">
        <f>DMHH!C137</f>
        <v>0</v>
      </c>
      <c r="D161" s="84">
        <f>DMHH!D137</f>
        <v>0</v>
      </c>
      <c r="E161" s="220">
        <f>DMHH!E137</f>
        <v>0</v>
      </c>
      <c r="F161" s="221">
        <f t="shared" si="20"/>
        <v>0</v>
      </c>
      <c r="G161" s="221">
        <f t="shared" si="21"/>
        <v>0</v>
      </c>
      <c r="H161" s="221">
        <f t="shared" si="22"/>
        <v>0</v>
      </c>
      <c r="I161" s="221">
        <f t="shared" si="23"/>
        <v>0</v>
      </c>
      <c r="J161" s="221">
        <f>DMHH!G137</f>
        <v>0</v>
      </c>
      <c r="K161" s="221">
        <f>DMHH!H137</f>
        <v>0</v>
      </c>
      <c r="L161" s="221">
        <f t="shared" ref="L161:L224" si="24">G161*J161</f>
        <v>0</v>
      </c>
      <c r="M161" s="221">
        <f t="shared" ref="M161:M224" si="25">H161*K161</f>
        <v>0</v>
      </c>
      <c r="N161" s="222"/>
      <c r="O161" s="234" t="str">
        <f t="shared" ref="O161:O224" si="26">IF(C161=0,"","x")</f>
        <v/>
      </c>
      <c r="P161" s="171"/>
    </row>
    <row r="162" spans="1:16" ht="15" hidden="1" customHeight="1">
      <c r="A162" s="171"/>
      <c r="B162" s="199">
        <f>IF(O162="",0,MAX($B$32:B161)+1)</f>
        <v>0</v>
      </c>
      <c r="C162" s="84">
        <f>DMHH!C138</f>
        <v>0</v>
      </c>
      <c r="D162" s="84">
        <f>DMHH!D138</f>
        <v>0</v>
      </c>
      <c r="E162" s="220">
        <f>DMHH!E138</f>
        <v>0</v>
      </c>
      <c r="F162" s="221">
        <f t="shared" si="20"/>
        <v>0</v>
      </c>
      <c r="G162" s="221">
        <f t="shared" si="21"/>
        <v>0</v>
      </c>
      <c r="H162" s="221">
        <f t="shared" si="22"/>
        <v>0</v>
      </c>
      <c r="I162" s="221">
        <f t="shared" si="23"/>
        <v>0</v>
      </c>
      <c r="J162" s="221">
        <f>DMHH!G138</f>
        <v>0</v>
      </c>
      <c r="K162" s="221">
        <f>DMHH!H138</f>
        <v>0</v>
      </c>
      <c r="L162" s="221">
        <f t="shared" si="24"/>
        <v>0</v>
      </c>
      <c r="M162" s="221">
        <f t="shared" si="25"/>
        <v>0</v>
      </c>
      <c r="N162" s="222"/>
      <c r="O162" s="234" t="str">
        <f t="shared" si="26"/>
        <v/>
      </c>
      <c r="P162" s="171"/>
    </row>
    <row r="163" spans="1:16" ht="15" hidden="1" customHeight="1">
      <c r="A163" s="171"/>
      <c r="B163" s="199">
        <f>IF(O163="",0,MAX($B$32:B162)+1)</f>
        <v>0</v>
      </c>
      <c r="C163" s="84">
        <f>DMHH!C139</f>
        <v>0</v>
      </c>
      <c r="D163" s="84">
        <f>DMHH!D139</f>
        <v>0</v>
      </c>
      <c r="E163" s="220">
        <f>DMHH!E139</f>
        <v>0</v>
      </c>
      <c r="F163" s="221">
        <f t="shared" si="20"/>
        <v>0</v>
      </c>
      <c r="G163" s="221">
        <f t="shared" si="21"/>
        <v>0</v>
      </c>
      <c r="H163" s="221">
        <f t="shared" si="22"/>
        <v>0</v>
      </c>
      <c r="I163" s="221">
        <f t="shared" si="23"/>
        <v>0</v>
      </c>
      <c r="J163" s="221">
        <f>DMHH!G139</f>
        <v>0</v>
      </c>
      <c r="K163" s="221">
        <f>DMHH!H139</f>
        <v>0</v>
      </c>
      <c r="L163" s="221">
        <f t="shared" si="24"/>
        <v>0</v>
      </c>
      <c r="M163" s="221">
        <f t="shared" si="25"/>
        <v>0</v>
      </c>
      <c r="N163" s="222"/>
      <c r="O163" s="234" t="str">
        <f t="shared" si="26"/>
        <v/>
      </c>
      <c r="P163" s="171"/>
    </row>
    <row r="164" spans="1:16" ht="15" hidden="1" customHeight="1">
      <c r="A164" s="171"/>
      <c r="B164" s="199">
        <f>IF(O164="",0,MAX($B$32:B163)+1)</f>
        <v>0</v>
      </c>
      <c r="C164" s="84">
        <f>DMHH!C140</f>
        <v>0</v>
      </c>
      <c r="D164" s="84">
        <f>DMHH!D140</f>
        <v>0</v>
      </c>
      <c r="E164" s="220">
        <f>DMHH!E140</f>
        <v>0</v>
      </c>
      <c r="F164" s="221">
        <f t="shared" si="20"/>
        <v>0</v>
      </c>
      <c r="G164" s="221">
        <f t="shared" si="21"/>
        <v>0</v>
      </c>
      <c r="H164" s="221">
        <f t="shared" si="22"/>
        <v>0</v>
      </c>
      <c r="I164" s="221">
        <f t="shared" si="23"/>
        <v>0</v>
      </c>
      <c r="J164" s="221">
        <f>DMHH!G140</f>
        <v>0</v>
      </c>
      <c r="K164" s="221">
        <f>DMHH!H140</f>
        <v>0</v>
      </c>
      <c r="L164" s="221">
        <f t="shared" si="24"/>
        <v>0</v>
      </c>
      <c r="M164" s="221">
        <f t="shared" si="25"/>
        <v>0</v>
      </c>
      <c r="N164" s="222"/>
      <c r="O164" s="234" t="str">
        <f t="shared" si="26"/>
        <v/>
      </c>
      <c r="P164" s="171"/>
    </row>
    <row r="165" spans="1:16" ht="15" hidden="1" customHeight="1">
      <c r="A165" s="171"/>
      <c r="B165" s="199">
        <f>IF(O165="",0,MAX($B$32:B164)+1)</f>
        <v>0</v>
      </c>
      <c r="C165" s="84">
        <f>DMHH!C141</f>
        <v>0</v>
      </c>
      <c r="D165" s="84">
        <f>DMHH!D141</f>
        <v>0</v>
      </c>
      <c r="E165" s="220">
        <f>DMHH!E141</f>
        <v>0</v>
      </c>
      <c r="F165" s="221">
        <f t="shared" si="20"/>
        <v>0</v>
      </c>
      <c r="G165" s="221">
        <f t="shared" si="21"/>
        <v>0</v>
      </c>
      <c r="H165" s="221">
        <f t="shared" si="22"/>
        <v>0</v>
      </c>
      <c r="I165" s="221">
        <f t="shared" si="23"/>
        <v>0</v>
      </c>
      <c r="J165" s="221">
        <f>DMHH!G141</f>
        <v>0</v>
      </c>
      <c r="K165" s="221">
        <f>DMHH!H141</f>
        <v>0</v>
      </c>
      <c r="L165" s="221">
        <f t="shared" si="24"/>
        <v>0</v>
      </c>
      <c r="M165" s="221">
        <f t="shared" si="25"/>
        <v>0</v>
      </c>
      <c r="N165" s="222"/>
      <c r="O165" s="234" t="str">
        <f t="shared" si="26"/>
        <v/>
      </c>
      <c r="P165" s="171"/>
    </row>
    <row r="166" spans="1:16" ht="15" hidden="1" customHeight="1">
      <c r="A166" s="171"/>
      <c r="B166" s="199">
        <f>IF(O166="",0,MAX($B$32:B165)+1)</f>
        <v>0</v>
      </c>
      <c r="C166" s="84">
        <f>DMHH!C142</f>
        <v>0</v>
      </c>
      <c r="D166" s="84">
        <f>DMHH!D142</f>
        <v>0</v>
      </c>
      <c r="E166" s="220">
        <f>DMHH!E142</f>
        <v>0</v>
      </c>
      <c r="F166" s="221">
        <f t="shared" si="20"/>
        <v>0</v>
      </c>
      <c r="G166" s="221">
        <f t="shared" si="21"/>
        <v>0</v>
      </c>
      <c r="H166" s="221">
        <f t="shared" si="22"/>
        <v>0</v>
      </c>
      <c r="I166" s="221">
        <f t="shared" si="23"/>
        <v>0</v>
      </c>
      <c r="J166" s="221">
        <f>DMHH!G142</f>
        <v>0</v>
      </c>
      <c r="K166" s="221">
        <f>DMHH!H142</f>
        <v>0</v>
      </c>
      <c r="L166" s="221">
        <f t="shared" si="24"/>
        <v>0</v>
      </c>
      <c r="M166" s="221">
        <f t="shared" si="25"/>
        <v>0</v>
      </c>
      <c r="N166" s="222"/>
      <c r="O166" s="234" t="str">
        <f t="shared" si="26"/>
        <v/>
      </c>
      <c r="P166" s="171"/>
    </row>
    <row r="167" spans="1:16" ht="15" hidden="1" customHeight="1">
      <c r="A167" s="171"/>
      <c r="B167" s="199">
        <f>IF(O167="",0,MAX($B$32:B166)+1)</f>
        <v>0</v>
      </c>
      <c r="C167" s="84">
        <f>DMHH!C143</f>
        <v>0</v>
      </c>
      <c r="D167" s="84">
        <f>DMHH!D143</f>
        <v>0</v>
      </c>
      <c r="E167" s="220">
        <f>DMHH!E143</f>
        <v>0</v>
      </c>
      <c r="F167" s="221">
        <f t="shared" si="20"/>
        <v>0</v>
      </c>
      <c r="G167" s="221">
        <f t="shared" si="21"/>
        <v>0</v>
      </c>
      <c r="H167" s="221">
        <f t="shared" si="22"/>
        <v>0</v>
      </c>
      <c r="I167" s="221">
        <f t="shared" si="23"/>
        <v>0</v>
      </c>
      <c r="J167" s="221">
        <f>DMHH!G143</f>
        <v>0</v>
      </c>
      <c r="K167" s="221">
        <f>DMHH!H143</f>
        <v>0</v>
      </c>
      <c r="L167" s="221">
        <f t="shared" si="24"/>
        <v>0</v>
      </c>
      <c r="M167" s="221">
        <f t="shared" si="25"/>
        <v>0</v>
      </c>
      <c r="N167" s="222"/>
      <c r="O167" s="234" t="str">
        <f t="shared" si="26"/>
        <v/>
      </c>
      <c r="P167" s="171"/>
    </row>
    <row r="168" spans="1:16" ht="15" hidden="1" customHeight="1">
      <c r="A168" s="171"/>
      <c r="B168" s="199">
        <f>IF(O168="",0,MAX($B$32:B167)+1)</f>
        <v>0</v>
      </c>
      <c r="C168" s="84">
        <f>DMHH!C144</f>
        <v>0</v>
      </c>
      <c r="D168" s="84">
        <f>DMHH!D144</f>
        <v>0</v>
      </c>
      <c r="E168" s="220">
        <f>DMHH!E144</f>
        <v>0</v>
      </c>
      <c r="F168" s="221">
        <f t="shared" si="20"/>
        <v>0</v>
      </c>
      <c r="G168" s="221">
        <f t="shared" si="21"/>
        <v>0</v>
      </c>
      <c r="H168" s="221">
        <f t="shared" si="22"/>
        <v>0</v>
      </c>
      <c r="I168" s="221">
        <f t="shared" si="23"/>
        <v>0</v>
      </c>
      <c r="J168" s="221">
        <f>DMHH!G144</f>
        <v>0</v>
      </c>
      <c r="K168" s="221">
        <f>DMHH!H144</f>
        <v>0</v>
      </c>
      <c r="L168" s="221">
        <f t="shared" si="24"/>
        <v>0</v>
      </c>
      <c r="M168" s="221">
        <f t="shared" si="25"/>
        <v>0</v>
      </c>
      <c r="N168" s="222"/>
      <c r="O168" s="234" t="str">
        <f t="shared" si="26"/>
        <v/>
      </c>
      <c r="P168" s="171"/>
    </row>
    <row r="169" spans="1:16" ht="15" hidden="1" customHeight="1">
      <c r="A169" s="171"/>
      <c r="B169" s="199">
        <f>IF(O169="",0,MAX($B$32:B168)+1)</f>
        <v>0</v>
      </c>
      <c r="C169" s="84">
        <f>DMHH!C145</f>
        <v>0</v>
      </c>
      <c r="D169" s="84">
        <f>DMHH!D145</f>
        <v>0</v>
      </c>
      <c r="E169" s="220">
        <f>DMHH!E145</f>
        <v>0</v>
      </c>
      <c r="F169" s="221">
        <f t="shared" si="20"/>
        <v>0</v>
      </c>
      <c r="G169" s="221">
        <f t="shared" si="21"/>
        <v>0</v>
      </c>
      <c r="H169" s="221">
        <f t="shared" si="22"/>
        <v>0</v>
      </c>
      <c r="I169" s="221">
        <f t="shared" si="23"/>
        <v>0</v>
      </c>
      <c r="J169" s="221">
        <f>DMHH!G145</f>
        <v>0</v>
      </c>
      <c r="K169" s="221">
        <f>DMHH!H145</f>
        <v>0</v>
      </c>
      <c r="L169" s="221">
        <f t="shared" si="24"/>
        <v>0</v>
      </c>
      <c r="M169" s="221">
        <f t="shared" si="25"/>
        <v>0</v>
      </c>
      <c r="N169" s="222"/>
      <c r="O169" s="234" t="str">
        <f t="shared" si="26"/>
        <v/>
      </c>
      <c r="P169" s="171"/>
    </row>
    <row r="170" spans="1:16" ht="15" hidden="1" customHeight="1">
      <c r="A170" s="171"/>
      <c r="B170" s="199">
        <f>IF(O170="",0,MAX($B$32:B169)+1)</f>
        <v>0</v>
      </c>
      <c r="C170" s="84">
        <f>DMHH!C146</f>
        <v>0</v>
      </c>
      <c r="D170" s="84">
        <f>DMHH!D146</f>
        <v>0</v>
      </c>
      <c r="E170" s="220">
        <f>DMHH!E146</f>
        <v>0</v>
      </c>
      <c r="F170" s="221">
        <f t="shared" si="20"/>
        <v>0</v>
      </c>
      <c r="G170" s="221">
        <f t="shared" si="21"/>
        <v>0</v>
      </c>
      <c r="H170" s="221">
        <f t="shared" si="22"/>
        <v>0</v>
      </c>
      <c r="I170" s="221">
        <f t="shared" si="23"/>
        <v>0</v>
      </c>
      <c r="J170" s="221">
        <f>DMHH!G146</f>
        <v>0</v>
      </c>
      <c r="K170" s="221">
        <f>DMHH!H146</f>
        <v>0</v>
      </c>
      <c r="L170" s="221">
        <f t="shared" si="24"/>
        <v>0</v>
      </c>
      <c r="M170" s="221">
        <f t="shared" si="25"/>
        <v>0</v>
      </c>
      <c r="N170" s="222"/>
      <c r="O170" s="234" t="str">
        <f t="shared" si="26"/>
        <v/>
      </c>
      <c r="P170" s="171"/>
    </row>
    <row r="171" spans="1:16" ht="15" hidden="1" customHeight="1">
      <c r="A171" s="171"/>
      <c r="B171" s="199">
        <f>IF(O171="",0,MAX($B$32:B170)+1)</f>
        <v>0</v>
      </c>
      <c r="C171" s="84">
        <f>DMHH!C147</f>
        <v>0</v>
      </c>
      <c r="D171" s="84">
        <f>DMHH!D147</f>
        <v>0</v>
      </c>
      <c r="E171" s="220">
        <f>DMHH!E147</f>
        <v>0</v>
      </c>
      <c r="F171" s="221">
        <f t="shared" si="20"/>
        <v>0</v>
      </c>
      <c r="G171" s="221">
        <f t="shared" si="21"/>
        <v>0</v>
      </c>
      <c r="H171" s="221">
        <f t="shared" si="22"/>
        <v>0</v>
      </c>
      <c r="I171" s="221">
        <f t="shared" si="23"/>
        <v>0</v>
      </c>
      <c r="J171" s="221">
        <f>DMHH!G147</f>
        <v>0</v>
      </c>
      <c r="K171" s="221">
        <f>DMHH!H147</f>
        <v>0</v>
      </c>
      <c r="L171" s="221">
        <f t="shared" si="24"/>
        <v>0</v>
      </c>
      <c r="M171" s="221">
        <f t="shared" si="25"/>
        <v>0</v>
      </c>
      <c r="N171" s="222"/>
      <c r="O171" s="234" t="str">
        <f t="shared" si="26"/>
        <v/>
      </c>
      <c r="P171" s="171"/>
    </row>
    <row r="172" spans="1:16" ht="15" hidden="1" customHeight="1">
      <c r="A172" s="171"/>
      <c r="B172" s="199">
        <f>IF(O172="",0,MAX($B$32:B171)+1)</f>
        <v>0</v>
      </c>
      <c r="C172" s="84">
        <f>DMHH!C148</f>
        <v>0</v>
      </c>
      <c r="D172" s="84">
        <f>DMHH!D148</f>
        <v>0</v>
      </c>
      <c r="E172" s="220">
        <f>DMHH!E148</f>
        <v>0</v>
      </c>
      <c r="F172" s="221">
        <f t="shared" si="20"/>
        <v>0</v>
      </c>
      <c r="G172" s="221">
        <f t="shared" si="21"/>
        <v>0</v>
      </c>
      <c r="H172" s="221">
        <f t="shared" si="22"/>
        <v>0</v>
      </c>
      <c r="I172" s="221">
        <f t="shared" si="23"/>
        <v>0</v>
      </c>
      <c r="J172" s="221">
        <f>DMHH!G148</f>
        <v>0</v>
      </c>
      <c r="K172" s="221">
        <f>DMHH!H148</f>
        <v>0</v>
      </c>
      <c r="L172" s="221">
        <f t="shared" si="24"/>
        <v>0</v>
      </c>
      <c r="M172" s="221">
        <f t="shared" si="25"/>
        <v>0</v>
      </c>
      <c r="N172" s="222"/>
      <c r="O172" s="234" t="str">
        <f t="shared" si="26"/>
        <v/>
      </c>
      <c r="P172" s="171"/>
    </row>
    <row r="173" spans="1:16" ht="15" hidden="1" customHeight="1">
      <c r="A173" s="171"/>
      <c r="B173" s="199">
        <f>IF(O173="",0,MAX($B$32:B172)+1)</f>
        <v>0</v>
      </c>
      <c r="C173" s="84">
        <f>DMHH!C149</f>
        <v>0</v>
      </c>
      <c r="D173" s="84">
        <f>DMHH!D149</f>
        <v>0</v>
      </c>
      <c r="E173" s="220">
        <f>DMHH!E149</f>
        <v>0</v>
      </c>
      <c r="F173" s="221">
        <f t="shared" si="20"/>
        <v>0</v>
      </c>
      <c r="G173" s="221">
        <f t="shared" si="21"/>
        <v>0</v>
      </c>
      <c r="H173" s="221">
        <f t="shared" si="22"/>
        <v>0</v>
      </c>
      <c r="I173" s="221">
        <f t="shared" si="23"/>
        <v>0</v>
      </c>
      <c r="J173" s="221">
        <f>DMHH!G149</f>
        <v>0</v>
      </c>
      <c r="K173" s="221">
        <f>DMHH!H149</f>
        <v>0</v>
      </c>
      <c r="L173" s="221">
        <f t="shared" si="24"/>
        <v>0</v>
      </c>
      <c r="M173" s="221">
        <f t="shared" si="25"/>
        <v>0</v>
      </c>
      <c r="N173" s="222"/>
      <c r="O173" s="234" t="str">
        <f t="shared" si="26"/>
        <v/>
      </c>
      <c r="P173" s="171"/>
    </row>
    <row r="174" spans="1:16" ht="15" hidden="1" customHeight="1">
      <c r="A174" s="171"/>
      <c r="B174" s="199">
        <f>IF(O174="",0,MAX($B$32:B173)+1)</f>
        <v>0</v>
      </c>
      <c r="C174" s="84">
        <f>DMHH!C150</f>
        <v>0</v>
      </c>
      <c r="D174" s="84">
        <f>DMHH!D150</f>
        <v>0</v>
      </c>
      <c r="E174" s="220">
        <f>DMHH!E150</f>
        <v>0</v>
      </c>
      <c r="F174" s="221">
        <f t="shared" si="20"/>
        <v>0</v>
      </c>
      <c r="G174" s="221">
        <f t="shared" si="21"/>
        <v>0</v>
      </c>
      <c r="H174" s="221">
        <f t="shared" si="22"/>
        <v>0</v>
      </c>
      <c r="I174" s="221">
        <f t="shared" si="23"/>
        <v>0</v>
      </c>
      <c r="J174" s="221">
        <f>DMHH!G150</f>
        <v>0</v>
      </c>
      <c r="K174" s="221">
        <f>DMHH!H150</f>
        <v>0</v>
      </c>
      <c r="L174" s="221">
        <f t="shared" si="24"/>
        <v>0</v>
      </c>
      <c r="M174" s="221">
        <f t="shared" si="25"/>
        <v>0</v>
      </c>
      <c r="N174" s="222"/>
      <c r="O174" s="234" t="str">
        <f t="shared" si="26"/>
        <v/>
      </c>
      <c r="P174" s="171"/>
    </row>
    <row r="175" spans="1:16" ht="15" hidden="1" customHeight="1">
      <c r="A175" s="171"/>
      <c r="B175" s="199">
        <f>IF(O175="",0,MAX($B$32:B174)+1)</f>
        <v>0</v>
      </c>
      <c r="C175" s="84">
        <f>DMHH!C151</f>
        <v>0</v>
      </c>
      <c r="D175" s="84">
        <f>DMHH!D151</f>
        <v>0</v>
      </c>
      <c r="E175" s="220">
        <f>DMHH!E151</f>
        <v>0</v>
      </c>
      <c r="F175" s="221">
        <f t="shared" si="20"/>
        <v>0</v>
      </c>
      <c r="G175" s="221">
        <f t="shared" si="21"/>
        <v>0</v>
      </c>
      <c r="H175" s="221">
        <f t="shared" si="22"/>
        <v>0</v>
      </c>
      <c r="I175" s="221">
        <f t="shared" si="23"/>
        <v>0</v>
      </c>
      <c r="J175" s="221">
        <f>DMHH!G151</f>
        <v>0</v>
      </c>
      <c r="K175" s="221">
        <f>DMHH!H151</f>
        <v>0</v>
      </c>
      <c r="L175" s="221">
        <f t="shared" si="24"/>
        <v>0</v>
      </c>
      <c r="M175" s="221">
        <f t="shared" si="25"/>
        <v>0</v>
      </c>
      <c r="N175" s="222"/>
      <c r="O175" s="234" t="str">
        <f t="shared" si="26"/>
        <v/>
      </c>
      <c r="P175" s="171"/>
    </row>
    <row r="176" spans="1:16" ht="15" hidden="1" customHeight="1">
      <c r="A176" s="171"/>
      <c r="B176" s="199">
        <f>IF(O176="",0,MAX($B$32:B175)+1)</f>
        <v>0</v>
      </c>
      <c r="C176" s="84">
        <f>DMHH!C152</f>
        <v>0</v>
      </c>
      <c r="D176" s="84">
        <f>DMHH!D152</f>
        <v>0</v>
      </c>
      <c r="E176" s="220">
        <f>DMHH!E152</f>
        <v>0</v>
      </c>
      <c r="F176" s="221">
        <f t="shared" si="20"/>
        <v>0</v>
      </c>
      <c r="G176" s="221">
        <f t="shared" si="21"/>
        <v>0</v>
      </c>
      <c r="H176" s="221">
        <f t="shared" si="22"/>
        <v>0</v>
      </c>
      <c r="I176" s="221">
        <f t="shared" si="23"/>
        <v>0</v>
      </c>
      <c r="J176" s="221">
        <f>DMHH!G152</f>
        <v>0</v>
      </c>
      <c r="K176" s="221">
        <f>DMHH!H152</f>
        <v>0</v>
      </c>
      <c r="L176" s="221">
        <f t="shared" si="24"/>
        <v>0</v>
      </c>
      <c r="M176" s="221">
        <f t="shared" si="25"/>
        <v>0</v>
      </c>
      <c r="N176" s="222"/>
      <c r="O176" s="234" t="str">
        <f t="shared" si="26"/>
        <v/>
      </c>
      <c r="P176" s="171"/>
    </row>
    <row r="177" spans="1:16" ht="15" hidden="1" customHeight="1">
      <c r="A177" s="171"/>
      <c r="B177" s="199">
        <f>IF(O177="",0,MAX($B$32:B176)+1)</f>
        <v>0</v>
      </c>
      <c r="C177" s="84">
        <f>DMHH!C153</f>
        <v>0</v>
      </c>
      <c r="D177" s="84">
        <f>DMHH!D153</f>
        <v>0</v>
      </c>
      <c r="E177" s="220">
        <f>DMHH!E153</f>
        <v>0</v>
      </c>
      <c r="F177" s="221">
        <f t="shared" si="20"/>
        <v>0</v>
      </c>
      <c r="G177" s="221">
        <f t="shared" si="21"/>
        <v>0</v>
      </c>
      <c r="H177" s="221">
        <f t="shared" si="22"/>
        <v>0</v>
      </c>
      <c r="I177" s="221">
        <f t="shared" si="23"/>
        <v>0</v>
      </c>
      <c r="J177" s="221">
        <f>DMHH!G153</f>
        <v>0</v>
      </c>
      <c r="K177" s="221">
        <f>DMHH!H153</f>
        <v>0</v>
      </c>
      <c r="L177" s="221">
        <f t="shared" si="24"/>
        <v>0</v>
      </c>
      <c r="M177" s="221">
        <f t="shared" si="25"/>
        <v>0</v>
      </c>
      <c r="N177" s="222"/>
      <c r="O177" s="234" t="str">
        <f t="shared" si="26"/>
        <v/>
      </c>
      <c r="P177" s="171"/>
    </row>
    <row r="178" spans="1:16" ht="15" hidden="1" customHeight="1">
      <c r="A178" s="171"/>
      <c r="B178" s="199">
        <f>IF(O178="",0,MAX($B$32:B177)+1)</f>
        <v>0</v>
      </c>
      <c r="C178" s="84">
        <f>DMHH!C154</f>
        <v>0</v>
      </c>
      <c r="D178" s="84">
        <f>DMHH!D154</f>
        <v>0</v>
      </c>
      <c r="E178" s="220">
        <f>DMHH!E154</f>
        <v>0</v>
      </c>
      <c r="F178" s="221">
        <f t="shared" si="20"/>
        <v>0</v>
      </c>
      <c r="G178" s="221">
        <f t="shared" si="21"/>
        <v>0</v>
      </c>
      <c r="H178" s="221">
        <f t="shared" si="22"/>
        <v>0</v>
      </c>
      <c r="I178" s="221">
        <f t="shared" si="23"/>
        <v>0</v>
      </c>
      <c r="J178" s="221">
        <f>DMHH!G154</f>
        <v>0</v>
      </c>
      <c r="K178" s="221">
        <f>DMHH!H154</f>
        <v>0</v>
      </c>
      <c r="L178" s="221">
        <f t="shared" si="24"/>
        <v>0</v>
      </c>
      <c r="M178" s="221">
        <f t="shared" si="25"/>
        <v>0</v>
      </c>
      <c r="N178" s="222"/>
      <c r="O178" s="234" t="str">
        <f t="shared" si="26"/>
        <v/>
      </c>
      <c r="P178" s="171"/>
    </row>
    <row r="179" spans="1:16" ht="15" hidden="1" customHeight="1">
      <c r="A179" s="171"/>
      <c r="B179" s="199">
        <f>IF(O179="",0,MAX($B$32:B178)+1)</f>
        <v>0</v>
      </c>
      <c r="C179" s="84">
        <f>DMHH!C155</f>
        <v>0</v>
      </c>
      <c r="D179" s="84">
        <f>DMHH!D155</f>
        <v>0</v>
      </c>
      <c r="E179" s="220">
        <f>DMHH!E155</f>
        <v>0</v>
      </c>
      <c r="F179" s="221">
        <f t="shared" si="20"/>
        <v>0</v>
      </c>
      <c r="G179" s="221">
        <f t="shared" si="21"/>
        <v>0</v>
      </c>
      <c r="H179" s="221">
        <f t="shared" si="22"/>
        <v>0</v>
      </c>
      <c r="I179" s="221">
        <f t="shared" si="23"/>
        <v>0</v>
      </c>
      <c r="J179" s="221">
        <f>DMHH!G155</f>
        <v>0</v>
      </c>
      <c r="K179" s="221">
        <f>DMHH!H155</f>
        <v>0</v>
      </c>
      <c r="L179" s="221">
        <f t="shared" si="24"/>
        <v>0</v>
      </c>
      <c r="M179" s="221">
        <f t="shared" si="25"/>
        <v>0</v>
      </c>
      <c r="N179" s="222"/>
      <c r="O179" s="234" t="str">
        <f t="shared" si="26"/>
        <v/>
      </c>
      <c r="P179" s="171"/>
    </row>
    <row r="180" spans="1:16" ht="15" hidden="1" customHeight="1">
      <c r="A180" s="171"/>
      <c r="B180" s="199">
        <f>IF(O180="",0,MAX($B$32:B179)+1)</f>
        <v>0</v>
      </c>
      <c r="C180" s="84">
        <f>DMHH!C156</f>
        <v>0</v>
      </c>
      <c r="D180" s="84">
        <f>DMHH!D156</f>
        <v>0</v>
      </c>
      <c r="E180" s="220">
        <f>DMHH!E156</f>
        <v>0</v>
      </c>
      <c r="F180" s="221">
        <f t="shared" si="20"/>
        <v>0</v>
      </c>
      <c r="G180" s="221">
        <f t="shared" si="21"/>
        <v>0</v>
      </c>
      <c r="H180" s="221">
        <f t="shared" si="22"/>
        <v>0</v>
      </c>
      <c r="I180" s="221">
        <f t="shared" si="23"/>
        <v>0</v>
      </c>
      <c r="J180" s="221">
        <f>DMHH!G156</f>
        <v>0</v>
      </c>
      <c r="K180" s="221">
        <f>DMHH!H156</f>
        <v>0</v>
      </c>
      <c r="L180" s="221">
        <f t="shared" si="24"/>
        <v>0</v>
      </c>
      <c r="M180" s="221">
        <f t="shared" si="25"/>
        <v>0</v>
      </c>
      <c r="N180" s="222"/>
      <c r="O180" s="234" t="str">
        <f t="shared" si="26"/>
        <v/>
      </c>
      <c r="P180" s="171"/>
    </row>
    <row r="181" spans="1:16" ht="15" hidden="1" customHeight="1">
      <c r="A181" s="171"/>
      <c r="B181" s="199">
        <f>IF(O181="",0,MAX($B$32:B180)+1)</f>
        <v>0</v>
      </c>
      <c r="C181" s="84">
        <f>DMHH!C157</f>
        <v>0</v>
      </c>
      <c r="D181" s="84">
        <f>DMHH!D157</f>
        <v>0</v>
      </c>
      <c r="E181" s="220">
        <f>DMHH!E157</f>
        <v>0</v>
      </c>
      <c r="F181" s="221">
        <f t="shared" si="20"/>
        <v>0</v>
      </c>
      <c r="G181" s="221">
        <f t="shared" si="21"/>
        <v>0</v>
      </c>
      <c r="H181" s="221">
        <f t="shared" si="22"/>
        <v>0</v>
      </c>
      <c r="I181" s="221">
        <f t="shared" si="23"/>
        <v>0</v>
      </c>
      <c r="J181" s="221">
        <f>DMHH!G157</f>
        <v>0</v>
      </c>
      <c r="K181" s="221">
        <f>DMHH!H157</f>
        <v>0</v>
      </c>
      <c r="L181" s="221">
        <f t="shared" si="24"/>
        <v>0</v>
      </c>
      <c r="M181" s="221">
        <f t="shared" si="25"/>
        <v>0</v>
      </c>
      <c r="N181" s="222"/>
      <c r="O181" s="234" t="str">
        <f t="shared" si="26"/>
        <v/>
      </c>
      <c r="P181" s="171"/>
    </row>
    <row r="182" spans="1:16" ht="15" hidden="1" customHeight="1">
      <c r="A182" s="171"/>
      <c r="B182" s="199">
        <f>IF(O182="",0,MAX($B$32:B181)+1)</f>
        <v>0</v>
      </c>
      <c r="C182" s="84">
        <f>DMHH!C158</f>
        <v>0</v>
      </c>
      <c r="D182" s="84">
        <f>DMHH!D158</f>
        <v>0</v>
      </c>
      <c r="E182" s="220">
        <f>DMHH!E158</f>
        <v>0</v>
      </c>
      <c r="F182" s="221">
        <f t="shared" si="20"/>
        <v>0</v>
      </c>
      <c r="G182" s="221">
        <f t="shared" si="21"/>
        <v>0</v>
      </c>
      <c r="H182" s="221">
        <f t="shared" si="22"/>
        <v>0</v>
      </c>
      <c r="I182" s="221">
        <f t="shared" si="23"/>
        <v>0</v>
      </c>
      <c r="J182" s="221">
        <f>DMHH!G158</f>
        <v>0</v>
      </c>
      <c r="K182" s="221">
        <f>DMHH!H158</f>
        <v>0</v>
      </c>
      <c r="L182" s="221">
        <f t="shared" si="24"/>
        <v>0</v>
      </c>
      <c r="M182" s="221">
        <f t="shared" si="25"/>
        <v>0</v>
      </c>
      <c r="N182" s="222"/>
      <c r="O182" s="234" t="str">
        <f t="shared" si="26"/>
        <v/>
      </c>
      <c r="P182" s="171"/>
    </row>
    <row r="183" spans="1:16" ht="15" hidden="1" customHeight="1">
      <c r="A183" s="171"/>
      <c r="B183" s="199">
        <f>IF(O183="",0,MAX($B$32:B182)+1)</f>
        <v>0</v>
      </c>
      <c r="C183" s="84">
        <f>DMHH!C159</f>
        <v>0</v>
      </c>
      <c r="D183" s="84">
        <f>DMHH!D159</f>
        <v>0</v>
      </c>
      <c r="E183" s="220">
        <f>DMHH!E159</f>
        <v>0</v>
      </c>
      <c r="F183" s="221">
        <f t="shared" si="20"/>
        <v>0</v>
      </c>
      <c r="G183" s="221">
        <f t="shared" si="21"/>
        <v>0</v>
      </c>
      <c r="H183" s="221">
        <f t="shared" si="22"/>
        <v>0</v>
      </c>
      <c r="I183" s="221">
        <f t="shared" si="23"/>
        <v>0</v>
      </c>
      <c r="J183" s="221">
        <f>DMHH!G159</f>
        <v>0</v>
      </c>
      <c r="K183" s="221">
        <f>DMHH!H159</f>
        <v>0</v>
      </c>
      <c r="L183" s="221">
        <f t="shared" si="24"/>
        <v>0</v>
      </c>
      <c r="M183" s="221">
        <f t="shared" si="25"/>
        <v>0</v>
      </c>
      <c r="N183" s="222"/>
      <c r="O183" s="234" t="str">
        <f t="shared" si="26"/>
        <v/>
      </c>
      <c r="P183" s="171"/>
    </row>
    <row r="184" spans="1:16" ht="15" hidden="1" customHeight="1">
      <c r="A184" s="171"/>
      <c r="B184" s="199">
        <f>IF(O184="",0,MAX($B$32:B183)+1)</f>
        <v>0</v>
      </c>
      <c r="C184" s="84">
        <f>DMHH!C160</f>
        <v>0</v>
      </c>
      <c r="D184" s="84">
        <f>DMHH!D160</f>
        <v>0</v>
      </c>
      <c r="E184" s="220">
        <f>DMHH!E160</f>
        <v>0</v>
      </c>
      <c r="F184" s="221">
        <f t="shared" si="20"/>
        <v>0</v>
      </c>
      <c r="G184" s="221">
        <f t="shared" si="21"/>
        <v>0</v>
      </c>
      <c r="H184" s="221">
        <f t="shared" si="22"/>
        <v>0</v>
      </c>
      <c r="I184" s="221">
        <f t="shared" si="23"/>
        <v>0</v>
      </c>
      <c r="J184" s="221">
        <f>DMHH!G160</f>
        <v>0</v>
      </c>
      <c r="K184" s="221">
        <f>DMHH!H160</f>
        <v>0</v>
      </c>
      <c r="L184" s="221">
        <f t="shared" si="24"/>
        <v>0</v>
      </c>
      <c r="M184" s="221">
        <f t="shared" si="25"/>
        <v>0</v>
      </c>
      <c r="N184" s="222"/>
      <c r="O184" s="234" t="str">
        <f t="shared" si="26"/>
        <v/>
      </c>
      <c r="P184" s="171"/>
    </row>
    <row r="185" spans="1:16" ht="15" hidden="1" customHeight="1">
      <c r="A185" s="171"/>
      <c r="B185" s="199">
        <f>IF(O185="",0,MAX($B$32:B184)+1)</f>
        <v>0</v>
      </c>
      <c r="C185" s="84">
        <f>DMHH!C161</f>
        <v>0</v>
      </c>
      <c r="D185" s="84">
        <f>DMHH!D161</f>
        <v>0</v>
      </c>
      <c r="E185" s="220">
        <f>DMHH!E161</f>
        <v>0</v>
      </c>
      <c r="F185" s="221">
        <f t="shared" si="20"/>
        <v>0</v>
      </c>
      <c r="G185" s="221">
        <f t="shared" si="21"/>
        <v>0</v>
      </c>
      <c r="H185" s="221">
        <f t="shared" si="22"/>
        <v>0</v>
      </c>
      <c r="I185" s="221">
        <f t="shared" si="23"/>
        <v>0</v>
      </c>
      <c r="J185" s="221">
        <f>DMHH!G161</f>
        <v>0</v>
      </c>
      <c r="K185" s="221">
        <f>DMHH!H161</f>
        <v>0</v>
      </c>
      <c r="L185" s="221">
        <f t="shared" si="24"/>
        <v>0</v>
      </c>
      <c r="M185" s="221">
        <f t="shared" si="25"/>
        <v>0</v>
      </c>
      <c r="N185" s="222"/>
      <c r="O185" s="234" t="str">
        <f t="shared" si="26"/>
        <v/>
      </c>
      <c r="P185" s="171"/>
    </row>
    <row r="186" spans="1:16" ht="15" hidden="1" customHeight="1">
      <c r="A186" s="171"/>
      <c r="B186" s="199">
        <f>IF(O186="",0,MAX($B$32:B185)+1)</f>
        <v>0</v>
      </c>
      <c r="C186" s="84">
        <f>DMHH!C162</f>
        <v>0</v>
      </c>
      <c r="D186" s="84">
        <f>DMHH!D162</f>
        <v>0</v>
      </c>
      <c r="E186" s="220">
        <f>DMHH!E162</f>
        <v>0</v>
      </c>
      <c r="F186" s="221">
        <f t="shared" si="20"/>
        <v>0</v>
      </c>
      <c r="G186" s="221">
        <f t="shared" si="21"/>
        <v>0</v>
      </c>
      <c r="H186" s="221">
        <f t="shared" si="22"/>
        <v>0</v>
      </c>
      <c r="I186" s="221">
        <f t="shared" si="23"/>
        <v>0</v>
      </c>
      <c r="J186" s="221">
        <f>DMHH!G162</f>
        <v>0</v>
      </c>
      <c r="K186" s="221">
        <f>DMHH!H162</f>
        <v>0</v>
      </c>
      <c r="L186" s="221">
        <f t="shared" si="24"/>
        <v>0</v>
      </c>
      <c r="M186" s="221">
        <f t="shared" si="25"/>
        <v>0</v>
      </c>
      <c r="N186" s="222"/>
      <c r="O186" s="234" t="str">
        <f t="shared" si="26"/>
        <v/>
      </c>
      <c r="P186" s="171"/>
    </row>
    <row r="187" spans="1:16" ht="15" hidden="1" customHeight="1">
      <c r="A187" s="171"/>
      <c r="B187" s="199">
        <f>IF(O187="",0,MAX($B$32:B186)+1)</f>
        <v>0</v>
      </c>
      <c r="C187" s="84">
        <f>DMHH!C163</f>
        <v>0</v>
      </c>
      <c r="D187" s="84">
        <f>DMHH!D163</f>
        <v>0</v>
      </c>
      <c r="E187" s="220">
        <f>DMHH!E163</f>
        <v>0</v>
      </c>
      <c r="F187" s="221">
        <f t="shared" si="20"/>
        <v>0</v>
      </c>
      <c r="G187" s="221">
        <f t="shared" si="21"/>
        <v>0</v>
      </c>
      <c r="H187" s="221">
        <f t="shared" si="22"/>
        <v>0</v>
      </c>
      <c r="I187" s="221">
        <f t="shared" ref="I187:I195" si="27">F187+G187-H187</f>
        <v>0</v>
      </c>
      <c r="J187" s="221">
        <f>DMHH!G163</f>
        <v>0</v>
      </c>
      <c r="K187" s="221">
        <f>DMHH!H163</f>
        <v>0</v>
      </c>
      <c r="L187" s="221">
        <f t="shared" si="24"/>
        <v>0</v>
      </c>
      <c r="M187" s="221">
        <f t="shared" si="25"/>
        <v>0</v>
      </c>
      <c r="N187" s="222"/>
      <c r="O187" s="234" t="str">
        <f t="shared" si="26"/>
        <v/>
      </c>
      <c r="P187" s="171"/>
    </row>
    <row r="188" spans="1:16" ht="15" hidden="1" customHeight="1">
      <c r="A188" s="171"/>
      <c r="B188" s="199">
        <f>IF(O188="",0,MAX($B$32:B187)+1)</f>
        <v>0</v>
      </c>
      <c r="C188" s="84">
        <f>DMHH!C164</f>
        <v>0</v>
      </c>
      <c r="D188" s="84">
        <f>DMHH!D164</f>
        <v>0</v>
      </c>
      <c r="E188" s="220">
        <f>DMHH!E164</f>
        <v>0</v>
      </c>
      <c r="F188" s="221">
        <f t="shared" si="20"/>
        <v>0</v>
      </c>
      <c r="G188" s="221">
        <f t="shared" si="21"/>
        <v>0</v>
      </c>
      <c r="H188" s="221">
        <f t="shared" si="22"/>
        <v>0</v>
      </c>
      <c r="I188" s="221">
        <f t="shared" si="27"/>
        <v>0</v>
      </c>
      <c r="J188" s="221">
        <f>DMHH!G164</f>
        <v>0</v>
      </c>
      <c r="K188" s="221">
        <f>DMHH!H164</f>
        <v>0</v>
      </c>
      <c r="L188" s="221">
        <f t="shared" si="24"/>
        <v>0</v>
      </c>
      <c r="M188" s="221">
        <f t="shared" si="25"/>
        <v>0</v>
      </c>
      <c r="N188" s="222"/>
      <c r="O188" s="234" t="str">
        <f t="shared" si="26"/>
        <v/>
      </c>
      <c r="P188" s="171"/>
    </row>
    <row r="189" spans="1:16" ht="15" hidden="1" customHeight="1">
      <c r="A189" s="171"/>
      <c r="B189" s="199">
        <f>IF(O189="",0,MAX($B$32:B188)+1)</f>
        <v>0</v>
      </c>
      <c r="C189" s="84">
        <f>DMHH!C165</f>
        <v>0</v>
      </c>
      <c r="D189" s="84">
        <f>DMHH!D165</f>
        <v>0</v>
      </c>
      <c r="E189" s="220">
        <f>DMHH!E165</f>
        <v>0</v>
      </c>
      <c r="F189" s="221">
        <f t="shared" si="20"/>
        <v>0</v>
      </c>
      <c r="G189" s="221">
        <f t="shared" si="21"/>
        <v>0</v>
      </c>
      <c r="H189" s="221">
        <f t="shared" si="22"/>
        <v>0</v>
      </c>
      <c r="I189" s="221">
        <f t="shared" si="27"/>
        <v>0</v>
      </c>
      <c r="J189" s="221">
        <f>DMHH!G165</f>
        <v>0</v>
      </c>
      <c r="K189" s="221">
        <f>DMHH!H165</f>
        <v>0</v>
      </c>
      <c r="L189" s="221">
        <f t="shared" si="24"/>
        <v>0</v>
      </c>
      <c r="M189" s="221">
        <f t="shared" si="25"/>
        <v>0</v>
      </c>
      <c r="N189" s="222"/>
      <c r="O189" s="234" t="str">
        <f t="shared" si="26"/>
        <v/>
      </c>
      <c r="P189" s="171"/>
    </row>
    <row r="190" spans="1:16" ht="15" hidden="1" customHeight="1">
      <c r="A190" s="171"/>
      <c r="B190" s="199">
        <f>IF(O190="",0,MAX($B$32:B189)+1)</f>
        <v>0</v>
      </c>
      <c r="C190" s="84">
        <f>DMHH!C166</f>
        <v>0</v>
      </c>
      <c r="D190" s="84">
        <f>DMHH!D166</f>
        <v>0</v>
      </c>
      <c r="E190" s="220">
        <f>DMHH!E166</f>
        <v>0</v>
      </c>
      <c r="F190" s="221">
        <f t="shared" si="20"/>
        <v>0</v>
      </c>
      <c r="G190" s="221">
        <f t="shared" si="21"/>
        <v>0</v>
      </c>
      <c r="H190" s="221">
        <f t="shared" si="22"/>
        <v>0</v>
      </c>
      <c r="I190" s="221">
        <f t="shared" si="27"/>
        <v>0</v>
      </c>
      <c r="J190" s="221">
        <f>DMHH!G166</f>
        <v>0</v>
      </c>
      <c r="K190" s="221">
        <f>DMHH!H166</f>
        <v>0</v>
      </c>
      <c r="L190" s="221">
        <f t="shared" si="24"/>
        <v>0</v>
      </c>
      <c r="M190" s="221">
        <f t="shared" si="25"/>
        <v>0</v>
      </c>
      <c r="N190" s="222"/>
      <c r="O190" s="234" t="str">
        <f t="shared" si="26"/>
        <v/>
      </c>
      <c r="P190" s="171"/>
    </row>
    <row r="191" spans="1:16" ht="15" hidden="1" customHeight="1">
      <c r="A191" s="171"/>
      <c r="B191" s="199">
        <f>IF(O191="",0,MAX($B$32:B190)+1)</f>
        <v>0</v>
      </c>
      <c r="C191" s="84">
        <f>DMHH!C167</f>
        <v>0</v>
      </c>
      <c r="D191" s="84">
        <f>DMHH!D167</f>
        <v>0</v>
      </c>
      <c r="E191" s="220">
        <f>DMHH!E167</f>
        <v>0</v>
      </c>
      <c r="F191" s="221">
        <f t="shared" si="20"/>
        <v>0</v>
      </c>
      <c r="G191" s="221">
        <f t="shared" si="21"/>
        <v>0</v>
      </c>
      <c r="H191" s="221">
        <f t="shared" si="22"/>
        <v>0</v>
      </c>
      <c r="I191" s="221">
        <f t="shared" si="27"/>
        <v>0</v>
      </c>
      <c r="J191" s="221">
        <f>DMHH!G167</f>
        <v>0</v>
      </c>
      <c r="K191" s="221">
        <f>DMHH!H167</f>
        <v>0</v>
      </c>
      <c r="L191" s="221">
        <f t="shared" si="24"/>
        <v>0</v>
      </c>
      <c r="M191" s="221">
        <f t="shared" si="25"/>
        <v>0</v>
      </c>
      <c r="N191" s="222"/>
      <c r="O191" s="234" t="str">
        <f t="shared" si="26"/>
        <v/>
      </c>
      <c r="P191" s="171"/>
    </row>
    <row r="192" spans="1:16" ht="15" hidden="1" customHeight="1">
      <c r="A192" s="171"/>
      <c r="B192" s="199">
        <f>IF(O192="",0,MAX($B$32:B191)+1)</f>
        <v>0</v>
      </c>
      <c r="C192" s="84">
        <f>DMHH!C168</f>
        <v>0</v>
      </c>
      <c r="D192" s="84">
        <f>DMHH!D168</f>
        <v>0</v>
      </c>
      <c r="E192" s="220">
        <f>DMHH!E168</f>
        <v>0</v>
      </c>
      <c r="F192" s="221">
        <f t="shared" si="20"/>
        <v>0</v>
      </c>
      <c r="G192" s="221">
        <f t="shared" si="21"/>
        <v>0</v>
      </c>
      <c r="H192" s="221">
        <f t="shared" si="22"/>
        <v>0</v>
      </c>
      <c r="I192" s="221">
        <f t="shared" si="27"/>
        <v>0</v>
      </c>
      <c r="J192" s="221">
        <f>DMHH!G168</f>
        <v>0</v>
      </c>
      <c r="K192" s="221">
        <f>DMHH!H168</f>
        <v>0</v>
      </c>
      <c r="L192" s="221">
        <f t="shared" si="24"/>
        <v>0</v>
      </c>
      <c r="M192" s="221">
        <f t="shared" si="25"/>
        <v>0</v>
      </c>
      <c r="N192" s="222"/>
      <c r="O192" s="234" t="str">
        <f t="shared" si="26"/>
        <v/>
      </c>
      <c r="P192" s="171"/>
    </row>
    <row r="193" spans="1:16" ht="15" hidden="1" customHeight="1">
      <c r="A193" s="171"/>
      <c r="B193" s="199">
        <f>IF(O193="",0,MAX($B$32:B192)+1)</f>
        <v>0</v>
      </c>
      <c r="C193" s="84">
        <f>DMHH!C169</f>
        <v>0</v>
      </c>
      <c r="D193" s="84">
        <f>DMHH!D169</f>
        <v>0</v>
      </c>
      <c r="E193" s="220">
        <f>DMHH!E169</f>
        <v>0</v>
      </c>
      <c r="F193" s="221">
        <f t="shared" si="20"/>
        <v>0</v>
      </c>
      <c r="G193" s="221">
        <f t="shared" si="21"/>
        <v>0</v>
      </c>
      <c r="H193" s="221">
        <f t="shared" si="22"/>
        <v>0</v>
      </c>
      <c r="I193" s="221">
        <f t="shared" si="27"/>
        <v>0</v>
      </c>
      <c r="J193" s="221">
        <f>DMHH!G169</f>
        <v>0</v>
      </c>
      <c r="K193" s="221">
        <f>DMHH!H169</f>
        <v>0</v>
      </c>
      <c r="L193" s="221">
        <f t="shared" si="24"/>
        <v>0</v>
      </c>
      <c r="M193" s="221">
        <f t="shared" si="25"/>
        <v>0</v>
      </c>
      <c r="N193" s="222"/>
      <c r="O193" s="234" t="str">
        <f t="shared" si="26"/>
        <v/>
      </c>
      <c r="P193" s="171"/>
    </row>
    <row r="194" spans="1:16" ht="15" hidden="1" customHeight="1">
      <c r="A194" s="171"/>
      <c r="B194" s="199">
        <f>IF(O194="",0,MAX($B$32:B193)+1)</f>
        <v>0</v>
      </c>
      <c r="C194" s="84">
        <f>DMHH!C170</f>
        <v>0</v>
      </c>
      <c r="D194" s="84">
        <f>DMHH!D170</f>
        <v>0</v>
      </c>
      <c r="E194" s="220">
        <f>DMHH!E170</f>
        <v>0</v>
      </c>
      <c r="F194" s="221">
        <f t="shared" si="20"/>
        <v>0</v>
      </c>
      <c r="G194" s="221">
        <f t="shared" si="21"/>
        <v>0</v>
      </c>
      <c r="H194" s="221">
        <f t="shared" si="22"/>
        <v>0</v>
      </c>
      <c r="I194" s="221">
        <f t="shared" si="27"/>
        <v>0</v>
      </c>
      <c r="J194" s="221">
        <f>DMHH!G170</f>
        <v>0</v>
      </c>
      <c r="K194" s="221">
        <f>DMHH!H170</f>
        <v>0</v>
      </c>
      <c r="L194" s="221">
        <f t="shared" si="24"/>
        <v>0</v>
      </c>
      <c r="M194" s="221">
        <f t="shared" si="25"/>
        <v>0</v>
      </c>
      <c r="N194" s="222"/>
      <c r="O194" s="234" t="str">
        <f t="shared" si="26"/>
        <v/>
      </c>
      <c r="P194" s="171"/>
    </row>
    <row r="195" spans="1:16" ht="15" hidden="1" customHeight="1">
      <c r="A195" s="171"/>
      <c r="B195" s="199">
        <f>IF(O195="",0,MAX($B$32:B194)+1)</f>
        <v>0</v>
      </c>
      <c r="C195" s="84">
        <f>DMHH!C171</f>
        <v>0</v>
      </c>
      <c r="D195" s="84">
        <f>DMHH!D171</f>
        <v>0</v>
      </c>
      <c r="E195" s="220">
        <f>DMHH!E171</f>
        <v>0</v>
      </c>
      <c r="F195" s="221">
        <f t="shared" si="20"/>
        <v>0</v>
      </c>
      <c r="G195" s="221">
        <f t="shared" si="21"/>
        <v>0</v>
      </c>
      <c r="H195" s="221">
        <f t="shared" si="22"/>
        <v>0</v>
      </c>
      <c r="I195" s="221">
        <f t="shared" si="27"/>
        <v>0</v>
      </c>
      <c r="J195" s="221">
        <f>DMHH!G171</f>
        <v>0</v>
      </c>
      <c r="K195" s="221">
        <f>DMHH!H171</f>
        <v>0</v>
      </c>
      <c r="L195" s="221">
        <f t="shared" si="24"/>
        <v>0</v>
      </c>
      <c r="M195" s="221">
        <f t="shared" si="25"/>
        <v>0</v>
      </c>
      <c r="N195" s="222"/>
      <c r="O195" s="234" t="str">
        <f t="shared" si="26"/>
        <v/>
      </c>
      <c r="P195" s="171"/>
    </row>
    <row r="196" spans="1:16" ht="15" hidden="1" customHeight="1">
      <c r="A196" s="171"/>
      <c r="B196" s="199">
        <f>IF(O196="",0,MAX($B$32:B195)+1)</f>
        <v>0</v>
      </c>
      <c r="C196" s="84">
        <f>DMHH!C172</f>
        <v>0</v>
      </c>
      <c r="D196" s="84">
        <f>DMHH!D172</f>
        <v>0</v>
      </c>
      <c r="E196" s="220">
        <f>DMHH!E172</f>
        <v>0</v>
      </c>
      <c r="F196" s="221">
        <f t="shared" si="20"/>
        <v>0</v>
      </c>
      <c r="G196" s="221">
        <f t="shared" si="21"/>
        <v>0</v>
      </c>
      <c r="H196" s="221">
        <f t="shared" si="22"/>
        <v>0</v>
      </c>
      <c r="I196" s="221">
        <f t="shared" ref="I196:I202" si="28">F196+G196-H196</f>
        <v>0</v>
      </c>
      <c r="J196" s="221">
        <f>DMHH!G172</f>
        <v>0</v>
      </c>
      <c r="K196" s="221">
        <f>DMHH!H172</f>
        <v>0</v>
      </c>
      <c r="L196" s="221">
        <f t="shared" si="24"/>
        <v>0</v>
      </c>
      <c r="M196" s="221">
        <f t="shared" si="25"/>
        <v>0</v>
      </c>
      <c r="N196" s="222"/>
      <c r="O196" s="234" t="str">
        <f t="shared" si="26"/>
        <v/>
      </c>
      <c r="P196" s="171"/>
    </row>
    <row r="197" spans="1:16" ht="15" hidden="1" customHeight="1">
      <c r="A197" s="171"/>
      <c r="B197" s="199">
        <f>IF(O197="",0,MAX($B$32:B196)+1)</f>
        <v>0</v>
      </c>
      <c r="C197" s="84">
        <f>DMHH!C173</f>
        <v>0</v>
      </c>
      <c r="D197" s="84">
        <f>DMHH!D173</f>
        <v>0</v>
      </c>
      <c r="E197" s="220">
        <f>DMHH!E173</f>
        <v>0</v>
      </c>
      <c r="F197" s="221">
        <f t="shared" si="20"/>
        <v>0</v>
      </c>
      <c r="G197" s="221">
        <f t="shared" si="21"/>
        <v>0</v>
      </c>
      <c r="H197" s="221">
        <f t="shared" si="22"/>
        <v>0</v>
      </c>
      <c r="I197" s="221">
        <f t="shared" si="28"/>
        <v>0</v>
      </c>
      <c r="J197" s="221">
        <f>DMHH!G173</f>
        <v>0</v>
      </c>
      <c r="K197" s="221">
        <f>DMHH!H173</f>
        <v>0</v>
      </c>
      <c r="L197" s="221">
        <f t="shared" si="24"/>
        <v>0</v>
      </c>
      <c r="M197" s="221">
        <f t="shared" si="25"/>
        <v>0</v>
      </c>
      <c r="N197" s="222"/>
      <c r="O197" s="234" t="str">
        <f t="shared" si="26"/>
        <v/>
      </c>
      <c r="P197" s="171"/>
    </row>
    <row r="198" spans="1:16" ht="15" hidden="1" customHeight="1">
      <c r="A198" s="171"/>
      <c r="B198" s="199">
        <f>IF(O198="",0,MAX($B$32:B197)+1)</f>
        <v>0</v>
      </c>
      <c r="C198" s="84">
        <f>DMHH!C174</f>
        <v>0</v>
      </c>
      <c r="D198" s="84">
        <f>DMHH!D174</f>
        <v>0</v>
      </c>
      <c r="E198" s="220">
        <f>DMHH!E174</f>
        <v>0</v>
      </c>
      <c r="F198" s="221">
        <f t="shared" si="20"/>
        <v>0</v>
      </c>
      <c r="G198" s="221">
        <f t="shared" si="21"/>
        <v>0</v>
      </c>
      <c r="H198" s="221">
        <f t="shared" si="22"/>
        <v>0</v>
      </c>
      <c r="I198" s="221">
        <f t="shared" si="28"/>
        <v>0</v>
      </c>
      <c r="J198" s="221">
        <f>DMHH!G174</f>
        <v>0</v>
      </c>
      <c r="K198" s="221">
        <f>DMHH!H174</f>
        <v>0</v>
      </c>
      <c r="L198" s="221">
        <f t="shared" si="24"/>
        <v>0</v>
      </c>
      <c r="M198" s="221">
        <f t="shared" si="25"/>
        <v>0</v>
      </c>
      <c r="N198" s="222"/>
      <c r="O198" s="234" t="str">
        <f t="shared" si="26"/>
        <v/>
      </c>
      <c r="P198" s="171"/>
    </row>
    <row r="199" spans="1:16" ht="15" hidden="1" customHeight="1">
      <c r="A199" s="171"/>
      <c r="B199" s="199">
        <f>IF(O199="",0,MAX($B$32:B198)+1)</f>
        <v>0</v>
      </c>
      <c r="C199" s="84">
        <f>DMHH!C175</f>
        <v>0</v>
      </c>
      <c r="D199" s="84">
        <f>DMHH!D175</f>
        <v>0</v>
      </c>
      <c r="E199" s="220">
        <f>DMHH!E175</f>
        <v>0</v>
      </c>
      <c r="F199" s="221">
        <f t="shared" si="20"/>
        <v>0</v>
      </c>
      <c r="G199" s="221">
        <f t="shared" si="21"/>
        <v>0</v>
      </c>
      <c r="H199" s="221">
        <f t="shared" si="22"/>
        <v>0</v>
      </c>
      <c r="I199" s="221">
        <f t="shared" si="28"/>
        <v>0</v>
      </c>
      <c r="J199" s="221">
        <f>DMHH!G175</f>
        <v>0</v>
      </c>
      <c r="K199" s="221">
        <f>DMHH!H175</f>
        <v>0</v>
      </c>
      <c r="L199" s="221">
        <f t="shared" si="24"/>
        <v>0</v>
      </c>
      <c r="M199" s="221">
        <f t="shared" si="25"/>
        <v>0</v>
      </c>
      <c r="N199" s="222"/>
      <c r="O199" s="234" t="str">
        <f t="shared" si="26"/>
        <v/>
      </c>
      <c r="P199" s="171"/>
    </row>
    <row r="200" spans="1:16" ht="15" hidden="1" customHeight="1">
      <c r="A200" s="171"/>
      <c r="B200" s="199">
        <f>IF(O200="",0,MAX($B$32:B199)+1)</f>
        <v>0</v>
      </c>
      <c r="C200" s="84">
        <f>DMHH!C176</f>
        <v>0</v>
      </c>
      <c r="D200" s="84">
        <f>DMHH!D176</f>
        <v>0</v>
      </c>
      <c r="E200" s="220">
        <f>DMHH!E176</f>
        <v>0</v>
      </c>
      <c r="F200" s="221">
        <f t="shared" si="20"/>
        <v>0</v>
      </c>
      <c r="G200" s="221">
        <f t="shared" si="21"/>
        <v>0</v>
      </c>
      <c r="H200" s="221">
        <f t="shared" si="22"/>
        <v>0</v>
      </c>
      <c r="I200" s="221">
        <f t="shared" si="28"/>
        <v>0</v>
      </c>
      <c r="J200" s="221">
        <f>DMHH!G176</f>
        <v>0</v>
      </c>
      <c r="K200" s="221">
        <f>DMHH!H176</f>
        <v>0</v>
      </c>
      <c r="L200" s="221">
        <f t="shared" si="24"/>
        <v>0</v>
      </c>
      <c r="M200" s="221">
        <f t="shared" si="25"/>
        <v>0</v>
      </c>
      <c r="N200" s="222"/>
      <c r="O200" s="234" t="str">
        <f t="shared" si="26"/>
        <v/>
      </c>
      <c r="P200" s="171"/>
    </row>
    <row r="201" spans="1:16" ht="15" hidden="1" customHeight="1">
      <c r="A201" s="171"/>
      <c r="B201" s="199">
        <f>IF(O201="",0,MAX($B$32:B200)+1)</f>
        <v>0</v>
      </c>
      <c r="C201" s="84">
        <f>DMHH!C177</f>
        <v>0</v>
      </c>
      <c r="D201" s="84">
        <f>DMHH!D177</f>
        <v>0</v>
      </c>
      <c r="E201" s="220">
        <f>DMHH!E177</f>
        <v>0</v>
      </c>
      <c r="F201" s="221">
        <f t="shared" si="20"/>
        <v>0</v>
      </c>
      <c r="G201" s="221">
        <f t="shared" si="21"/>
        <v>0</v>
      </c>
      <c r="H201" s="221">
        <f t="shared" si="22"/>
        <v>0</v>
      </c>
      <c r="I201" s="221">
        <f t="shared" si="28"/>
        <v>0</v>
      </c>
      <c r="J201" s="221">
        <f>DMHH!G177</f>
        <v>0</v>
      </c>
      <c r="K201" s="221">
        <f>DMHH!H177</f>
        <v>0</v>
      </c>
      <c r="L201" s="221">
        <f t="shared" si="24"/>
        <v>0</v>
      </c>
      <c r="M201" s="221">
        <f t="shared" si="25"/>
        <v>0</v>
      </c>
      <c r="N201" s="222"/>
      <c r="O201" s="234" t="str">
        <f t="shared" si="26"/>
        <v/>
      </c>
      <c r="P201" s="171"/>
    </row>
    <row r="202" spans="1:16" ht="15" hidden="1" customHeight="1">
      <c r="A202" s="171"/>
      <c r="B202" s="199">
        <f>IF(O202="",0,MAX($B$32:B201)+1)</f>
        <v>0</v>
      </c>
      <c r="C202" s="84">
        <f>DMHH!C178</f>
        <v>0</v>
      </c>
      <c r="D202" s="84">
        <f>DMHH!D178</f>
        <v>0</v>
      </c>
      <c r="E202" s="220">
        <f>DMHH!E178</f>
        <v>0</v>
      </c>
      <c r="F202" s="221">
        <f t="shared" si="20"/>
        <v>0</v>
      </c>
      <c r="G202" s="221">
        <f t="shared" si="21"/>
        <v>0</v>
      </c>
      <c r="H202" s="221">
        <f t="shared" si="22"/>
        <v>0</v>
      </c>
      <c r="I202" s="221">
        <f t="shared" si="28"/>
        <v>0</v>
      </c>
      <c r="J202" s="221">
        <f>DMHH!G178</f>
        <v>0</v>
      </c>
      <c r="K202" s="221">
        <f>DMHH!H178</f>
        <v>0</v>
      </c>
      <c r="L202" s="221">
        <f t="shared" si="24"/>
        <v>0</v>
      </c>
      <c r="M202" s="221">
        <f t="shared" si="25"/>
        <v>0</v>
      </c>
      <c r="N202" s="222"/>
      <c r="O202" s="234" t="str">
        <f t="shared" si="26"/>
        <v/>
      </c>
      <c r="P202" s="171"/>
    </row>
    <row r="203" spans="1:16" ht="15" hidden="1" customHeight="1">
      <c r="A203" s="171"/>
      <c r="B203" s="199">
        <f>IF(O203="",0,MAX($B$32:B202)+1)</f>
        <v>0</v>
      </c>
      <c r="C203" s="84">
        <f>DMHH!C179</f>
        <v>0</v>
      </c>
      <c r="D203" s="84">
        <f>DMHH!D179</f>
        <v>0</v>
      </c>
      <c r="E203" s="220">
        <f>DMHH!E179</f>
        <v>0</v>
      </c>
      <c r="F203" s="221">
        <f t="shared" si="20"/>
        <v>0</v>
      </c>
      <c r="G203" s="221">
        <f t="shared" si="21"/>
        <v>0</v>
      </c>
      <c r="H203" s="221">
        <f t="shared" si="22"/>
        <v>0</v>
      </c>
      <c r="I203" s="221">
        <f t="shared" ref="I203:I221" si="29">F203+G203-H203</f>
        <v>0</v>
      </c>
      <c r="J203" s="221">
        <f>DMHH!G179</f>
        <v>0</v>
      </c>
      <c r="K203" s="221">
        <f>DMHH!H179</f>
        <v>0</v>
      </c>
      <c r="L203" s="221">
        <f t="shared" si="24"/>
        <v>0</v>
      </c>
      <c r="M203" s="221">
        <f t="shared" si="25"/>
        <v>0</v>
      </c>
      <c r="N203" s="222"/>
      <c r="O203" s="234" t="str">
        <f t="shared" si="26"/>
        <v/>
      </c>
      <c r="P203" s="171"/>
    </row>
    <row r="204" spans="1:16" ht="15" hidden="1" customHeight="1">
      <c r="A204" s="171"/>
      <c r="B204" s="199">
        <f>IF(O204="",0,MAX($B$32:B203)+1)</f>
        <v>0</v>
      </c>
      <c r="C204" s="84">
        <f>DMHH!C180</f>
        <v>0</v>
      </c>
      <c r="D204" s="84">
        <f>DMHH!D180</f>
        <v>0</v>
      </c>
      <c r="E204" s="220">
        <f>DMHH!E180</f>
        <v>0</v>
      </c>
      <c r="F204" s="221">
        <f t="shared" si="20"/>
        <v>0</v>
      </c>
      <c r="G204" s="221">
        <f t="shared" si="21"/>
        <v>0</v>
      </c>
      <c r="H204" s="221">
        <f t="shared" si="22"/>
        <v>0</v>
      </c>
      <c r="I204" s="221">
        <f t="shared" si="29"/>
        <v>0</v>
      </c>
      <c r="J204" s="221">
        <f>DMHH!G180</f>
        <v>0</v>
      </c>
      <c r="K204" s="221">
        <f>DMHH!H180</f>
        <v>0</v>
      </c>
      <c r="L204" s="221">
        <f t="shared" si="24"/>
        <v>0</v>
      </c>
      <c r="M204" s="221">
        <f t="shared" si="25"/>
        <v>0</v>
      </c>
      <c r="N204" s="222"/>
      <c r="O204" s="234" t="str">
        <f t="shared" si="26"/>
        <v/>
      </c>
      <c r="P204" s="171"/>
    </row>
    <row r="205" spans="1:16" ht="15" hidden="1" customHeight="1">
      <c r="A205" s="171"/>
      <c r="B205" s="199">
        <f>IF(O205="",0,MAX($B$32:B204)+1)</f>
        <v>0</v>
      </c>
      <c r="C205" s="84">
        <f>DMHH!C181</f>
        <v>0</v>
      </c>
      <c r="D205" s="84">
        <f>DMHH!D181</f>
        <v>0</v>
      </c>
      <c r="E205" s="220">
        <f>DMHH!E181</f>
        <v>0</v>
      </c>
      <c r="F205" s="221">
        <f t="shared" si="20"/>
        <v>0</v>
      </c>
      <c r="G205" s="221">
        <f t="shared" si="21"/>
        <v>0</v>
      </c>
      <c r="H205" s="221">
        <f t="shared" si="22"/>
        <v>0</v>
      </c>
      <c r="I205" s="221">
        <f t="shared" si="29"/>
        <v>0</v>
      </c>
      <c r="J205" s="221">
        <f>DMHH!G181</f>
        <v>0</v>
      </c>
      <c r="K205" s="221">
        <f>DMHH!H181</f>
        <v>0</v>
      </c>
      <c r="L205" s="221">
        <f t="shared" si="24"/>
        <v>0</v>
      </c>
      <c r="M205" s="221">
        <f t="shared" si="25"/>
        <v>0</v>
      </c>
      <c r="N205" s="222"/>
      <c r="O205" s="234" t="str">
        <f t="shared" si="26"/>
        <v/>
      </c>
      <c r="P205" s="171"/>
    </row>
    <row r="206" spans="1:16" ht="15" hidden="1" customHeight="1">
      <c r="A206" s="171"/>
      <c r="B206" s="199">
        <f>IF(O206="",0,MAX($B$32:B205)+1)</f>
        <v>0</v>
      </c>
      <c r="C206" s="84">
        <f>DMHH!C182</f>
        <v>0</v>
      </c>
      <c r="D206" s="84">
        <f>DMHH!D182</f>
        <v>0</v>
      </c>
      <c r="E206" s="220">
        <f>DMHH!E182</f>
        <v>0</v>
      </c>
      <c r="F206" s="221">
        <f t="shared" si="20"/>
        <v>0</v>
      </c>
      <c r="G206" s="221">
        <f t="shared" si="21"/>
        <v>0</v>
      </c>
      <c r="H206" s="221">
        <f t="shared" si="22"/>
        <v>0</v>
      </c>
      <c r="I206" s="221">
        <f t="shared" si="29"/>
        <v>0</v>
      </c>
      <c r="J206" s="221">
        <f>DMHH!G182</f>
        <v>0</v>
      </c>
      <c r="K206" s="221">
        <f>DMHH!H182</f>
        <v>0</v>
      </c>
      <c r="L206" s="221">
        <f t="shared" si="24"/>
        <v>0</v>
      </c>
      <c r="M206" s="221">
        <f t="shared" si="25"/>
        <v>0</v>
      </c>
      <c r="N206" s="222"/>
      <c r="O206" s="234" t="str">
        <f t="shared" si="26"/>
        <v/>
      </c>
      <c r="P206" s="171"/>
    </row>
    <row r="207" spans="1:16" ht="15" hidden="1" customHeight="1">
      <c r="A207" s="171"/>
      <c r="B207" s="199">
        <f>IF(O207="",0,MAX($B$32:B206)+1)</f>
        <v>0</v>
      </c>
      <c r="C207" s="84">
        <f>DMHH!C183</f>
        <v>0</v>
      </c>
      <c r="D207" s="84">
        <f>DMHH!D183</f>
        <v>0</v>
      </c>
      <c r="E207" s="220">
        <f>DMHH!E183</f>
        <v>0</v>
      </c>
      <c r="F207" s="221">
        <f t="shared" si="20"/>
        <v>0</v>
      </c>
      <c r="G207" s="221">
        <f t="shared" si="21"/>
        <v>0</v>
      </c>
      <c r="H207" s="221">
        <f t="shared" si="22"/>
        <v>0</v>
      </c>
      <c r="I207" s="221">
        <f t="shared" si="29"/>
        <v>0</v>
      </c>
      <c r="J207" s="221">
        <f>DMHH!G183</f>
        <v>0</v>
      </c>
      <c r="K207" s="221">
        <f>DMHH!H183</f>
        <v>0</v>
      </c>
      <c r="L207" s="221">
        <f t="shared" si="24"/>
        <v>0</v>
      </c>
      <c r="M207" s="221">
        <f t="shared" si="25"/>
        <v>0</v>
      </c>
      <c r="N207" s="222"/>
      <c r="O207" s="234" t="str">
        <f t="shared" si="26"/>
        <v/>
      </c>
      <c r="P207" s="171"/>
    </row>
    <row r="208" spans="1:16" ht="15" hidden="1" customHeight="1">
      <c r="A208" s="171"/>
      <c r="B208" s="199">
        <f>IF(O208="",0,MAX($B$32:B207)+1)</f>
        <v>0</v>
      </c>
      <c r="C208" s="84">
        <f>DMHH!C184</f>
        <v>0</v>
      </c>
      <c r="D208" s="84">
        <f>DMHH!D184</f>
        <v>0</v>
      </c>
      <c r="E208" s="220">
        <f>DMHH!E184</f>
        <v>0</v>
      </c>
      <c r="F208" s="221">
        <f t="shared" si="20"/>
        <v>0</v>
      </c>
      <c r="G208" s="221">
        <f t="shared" si="21"/>
        <v>0</v>
      </c>
      <c r="H208" s="221">
        <f t="shared" si="22"/>
        <v>0</v>
      </c>
      <c r="I208" s="221">
        <f t="shared" si="29"/>
        <v>0</v>
      </c>
      <c r="J208" s="221">
        <f>DMHH!G184</f>
        <v>0</v>
      </c>
      <c r="K208" s="221">
        <f>DMHH!H184</f>
        <v>0</v>
      </c>
      <c r="L208" s="221">
        <f t="shared" si="24"/>
        <v>0</v>
      </c>
      <c r="M208" s="221">
        <f t="shared" si="25"/>
        <v>0</v>
      </c>
      <c r="N208" s="222"/>
      <c r="O208" s="234" t="str">
        <f t="shared" si="26"/>
        <v/>
      </c>
      <c r="P208" s="171"/>
    </row>
    <row r="209" spans="1:16" ht="15" hidden="1" customHeight="1">
      <c r="A209" s="171"/>
      <c r="B209" s="199">
        <f>IF(O209="",0,MAX($B$32:B208)+1)</f>
        <v>0</v>
      </c>
      <c r="C209" s="84">
        <f>DMHH!C185</f>
        <v>0</v>
      </c>
      <c r="D209" s="84">
        <f>DMHH!D185</f>
        <v>0</v>
      </c>
      <c r="E209" s="220">
        <f>DMHH!E185</f>
        <v>0</v>
      </c>
      <c r="F209" s="221">
        <f t="shared" si="20"/>
        <v>0</v>
      </c>
      <c r="G209" s="221">
        <f t="shared" si="21"/>
        <v>0</v>
      </c>
      <c r="H209" s="221">
        <f t="shared" si="22"/>
        <v>0</v>
      </c>
      <c r="I209" s="221">
        <f t="shared" si="29"/>
        <v>0</v>
      </c>
      <c r="J209" s="221">
        <f>DMHH!G185</f>
        <v>0</v>
      </c>
      <c r="K209" s="221">
        <f>DMHH!H185</f>
        <v>0</v>
      </c>
      <c r="L209" s="221">
        <f t="shared" si="24"/>
        <v>0</v>
      </c>
      <c r="M209" s="221">
        <f t="shared" si="25"/>
        <v>0</v>
      </c>
      <c r="N209" s="222"/>
      <c r="O209" s="234" t="str">
        <f t="shared" si="26"/>
        <v/>
      </c>
      <c r="P209" s="171"/>
    </row>
    <row r="210" spans="1:16" ht="15" hidden="1" customHeight="1">
      <c r="A210" s="171"/>
      <c r="B210" s="199">
        <f>IF(O210="",0,MAX($B$32:B209)+1)</f>
        <v>0</v>
      </c>
      <c r="C210" s="84">
        <f>DMHH!C186</f>
        <v>0</v>
      </c>
      <c r="D210" s="84">
        <f>DMHH!D186</f>
        <v>0</v>
      </c>
      <c r="E210" s="220">
        <f>DMHH!E186</f>
        <v>0</v>
      </c>
      <c r="F210" s="221">
        <f t="shared" si="20"/>
        <v>0</v>
      </c>
      <c r="G210" s="221">
        <f t="shared" si="21"/>
        <v>0</v>
      </c>
      <c r="H210" s="221">
        <f t="shared" si="22"/>
        <v>0</v>
      </c>
      <c r="I210" s="221">
        <f t="shared" si="29"/>
        <v>0</v>
      </c>
      <c r="J210" s="221">
        <f>DMHH!G186</f>
        <v>0</v>
      </c>
      <c r="K210" s="221">
        <f>DMHH!H186</f>
        <v>0</v>
      </c>
      <c r="L210" s="221">
        <f t="shared" si="24"/>
        <v>0</v>
      </c>
      <c r="M210" s="221">
        <f t="shared" si="25"/>
        <v>0</v>
      </c>
      <c r="N210" s="222"/>
      <c r="O210" s="234" t="str">
        <f t="shared" si="26"/>
        <v/>
      </c>
      <c r="P210" s="171"/>
    </row>
    <row r="211" spans="1:16" ht="15" hidden="1" customHeight="1">
      <c r="A211" s="171"/>
      <c r="B211" s="199">
        <f>IF(O211="",0,MAX($B$32:B210)+1)</f>
        <v>0</v>
      </c>
      <c r="C211" s="84">
        <f>DMHH!C187</f>
        <v>0</v>
      </c>
      <c r="D211" s="84">
        <f>DMHH!D187</f>
        <v>0</v>
      </c>
      <c r="E211" s="220">
        <f>DMHH!E187</f>
        <v>0</v>
      </c>
      <c r="F211" s="221">
        <f t="shared" si="20"/>
        <v>0</v>
      </c>
      <c r="G211" s="221">
        <f t="shared" si="21"/>
        <v>0</v>
      </c>
      <c r="H211" s="221">
        <f t="shared" si="22"/>
        <v>0</v>
      </c>
      <c r="I211" s="221">
        <f t="shared" si="29"/>
        <v>0</v>
      </c>
      <c r="J211" s="221">
        <f>DMHH!G187</f>
        <v>0</v>
      </c>
      <c r="K211" s="221">
        <f>DMHH!H187</f>
        <v>0</v>
      </c>
      <c r="L211" s="221">
        <f t="shared" si="24"/>
        <v>0</v>
      </c>
      <c r="M211" s="221">
        <f t="shared" si="25"/>
        <v>0</v>
      </c>
      <c r="N211" s="222"/>
      <c r="O211" s="234" t="str">
        <f t="shared" si="26"/>
        <v/>
      </c>
      <c r="P211" s="171"/>
    </row>
    <row r="212" spans="1:16" ht="15" hidden="1" customHeight="1">
      <c r="A212" s="171"/>
      <c r="B212" s="199">
        <f>IF(O212="",0,MAX($B$32:B211)+1)</f>
        <v>0</v>
      </c>
      <c r="C212" s="84">
        <f>DMHH!C188</f>
        <v>0</v>
      </c>
      <c r="D212" s="84">
        <f>DMHH!D188</f>
        <v>0</v>
      </c>
      <c r="E212" s="220">
        <f>DMHH!E188</f>
        <v>0</v>
      </c>
      <c r="F212" s="221">
        <f t="shared" si="20"/>
        <v>0</v>
      </c>
      <c r="G212" s="221">
        <f t="shared" si="21"/>
        <v>0</v>
      </c>
      <c r="H212" s="221">
        <f t="shared" si="22"/>
        <v>0</v>
      </c>
      <c r="I212" s="221">
        <f t="shared" si="29"/>
        <v>0</v>
      </c>
      <c r="J212" s="221">
        <f>DMHH!G188</f>
        <v>0</v>
      </c>
      <c r="K212" s="221">
        <f>DMHH!H188</f>
        <v>0</v>
      </c>
      <c r="L212" s="221">
        <f t="shared" si="24"/>
        <v>0</v>
      </c>
      <c r="M212" s="221">
        <f t="shared" si="25"/>
        <v>0</v>
      </c>
      <c r="N212" s="222"/>
      <c r="O212" s="234" t="str">
        <f t="shared" si="26"/>
        <v/>
      </c>
      <c r="P212" s="171"/>
    </row>
    <row r="213" spans="1:16" ht="15" hidden="1" customHeight="1">
      <c r="A213" s="171"/>
      <c r="B213" s="199">
        <f>IF(O213="",0,MAX($B$32:B212)+1)</f>
        <v>0</v>
      </c>
      <c r="C213" s="84">
        <f>DMHH!C189</f>
        <v>0</v>
      </c>
      <c r="D213" s="84">
        <f>DMHH!D189</f>
        <v>0</v>
      </c>
      <c r="E213" s="220">
        <f>DMHH!E189</f>
        <v>0</v>
      </c>
      <c r="F213" s="221">
        <f t="shared" si="20"/>
        <v>0</v>
      </c>
      <c r="G213" s="221">
        <f t="shared" si="21"/>
        <v>0</v>
      </c>
      <c r="H213" s="221">
        <f t="shared" si="22"/>
        <v>0</v>
      </c>
      <c r="I213" s="221">
        <f t="shared" si="29"/>
        <v>0</v>
      </c>
      <c r="J213" s="221">
        <f>DMHH!G189</f>
        <v>0</v>
      </c>
      <c r="K213" s="221">
        <f>DMHH!H189</f>
        <v>0</v>
      </c>
      <c r="L213" s="221">
        <f t="shared" si="24"/>
        <v>0</v>
      </c>
      <c r="M213" s="221">
        <f t="shared" si="25"/>
        <v>0</v>
      </c>
      <c r="N213" s="222"/>
      <c r="O213" s="234" t="str">
        <f t="shared" si="26"/>
        <v/>
      </c>
      <c r="P213" s="171"/>
    </row>
    <row r="214" spans="1:16" ht="15" hidden="1" customHeight="1">
      <c r="A214" s="171"/>
      <c r="B214" s="199">
        <f>IF(O214="",0,MAX($B$32:B213)+1)</f>
        <v>0</v>
      </c>
      <c r="C214" s="84">
        <f>DMHH!C190</f>
        <v>0</v>
      </c>
      <c r="D214" s="84">
        <f>DMHH!D190</f>
        <v>0</v>
      </c>
      <c r="E214" s="220">
        <f>DMHH!E190</f>
        <v>0</v>
      </c>
      <c r="F214" s="221">
        <f t="shared" si="20"/>
        <v>0</v>
      </c>
      <c r="G214" s="221">
        <f t="shared" si="21"/>
        <v>0</v>
      </c>
      <c r="H214" s="221">
        <f t="shared" si="22"/>
        <v>0</v>
      </c>
      <c r="I214" s="221">
        <f t="shared" si="29"/>
        <v>0</v>
      </c>
      <c r="J214" s="221">
        <f>DMHH!G190</f>
        <v>0</v>
      </c>
      <c r="K214" s="221">
        <f>DMHH!H190</f>
        <v>0</v>
      </c>
      <c r="L214" s="221">
        <f t="shared" si="24"/>
        <v>0</v>
      </c>
      <c r="M214" s="221">
        <f t="shared" si="25"/>
        <v>0</v>
      </c>
      <c r="N214" s="222"/>
      <c r="O214" s="234" t="str">
        <f t="shared" si="26"/>
        <v/>
      </c>
      <c r="P214" s="171"/>
    </row>
    <row r="215" spans="1:16" ht="15" hidden="1" customHeight="1">
      <c r="A215" s="171"/>
      <c r="B215" s="199">
        <f>IF(O215="",0,MAX($B$32:B214)+1)</f>
        <v>0</v>
      </c>
      <c r="C215" s="84">
        <f>DMHH!C191</f>
        <v>0</v>
      </c>
      <c r="D215" s="84">
        <f>DMHH!D191</f>
        <v>0</v>
      </c>
      <c r="E215" s="220">
        <f>DMHH!E191</f>
        <v>0</v>
      </c>
      <c r="F215" s="221">
        <f t="shared" si="20"/>
        <v>0</v>
      </c>
      <c r="G215" s="221">
        <f t="shared" si="21"/>
        <v>0</v>
      </c>
      <c r="H215" s="221">
        <f t="shared" si="22"/>
        <v>0</v>
      </c>
      <c r="I215" s="221">
        <f t="shared" si="29"/>
        <v>0</v>
      </c>
      <c r="J215" s="221">
        <f>DMHH!G191</f>
        <v>0</v>
      </c>
      <c r="K215" s="221">
        <f>DMHH!H191</f>
        <v>0</v>
      </c>
      <c r="L215" s="221">
        <f t="shared" si="24"/>
        <v>0</v>
      </c>
      <c r="M215" s="221">
        <f t="shared" si="25"/>
        <v>0</v>
      </c>
      <c r="N215" s="222"/>
      <c r="O215" s="234" t="str">
        <f t="shared" si="26"/>
        <v/>
      </c>
      <c r="P215" s="171"/>
    </row>
    <row r="216" spans="1:16" ht="15" hidden="1" customHeight="1">
      <c r="A216" s="171"/>
      <c r="B216" s="199">
        <f>IF(O216="",0,MAX($B$32:B215)+1)</f>
        <v>0</v>
      </c>
      <c r="C216" s="84">
        <f>DMHH!C192</f>
        <v>0</v>
      </c>
      <c r="D216" s="84">
        <f>DMHH!D192</f>
        <v>0</v>
      </c>
      <c r="E216" s="220">
        <f>DMHH!E192</f>
        <v>0</v>
      </c>
      <c r="F216" s="221">
        <f t="shared" si="20"/>
        <v>0</v>
      </c>
      <c r="G216" s="221">
        <f t="shared" si="21"/>
        <v>0</v>
      </c>
      <c r="H216" s="221">
        <f t="shared" si="22"/>
        <v>0</v>
      </c>
      <c r="I216" s="221">
        <f t="shared" si="29"/>
        <v>0</v>
      </c>
      <c r="J216" s="221">
        <f>DMHH!G192</f>
        <v>0</v>
      </c>
      <c r="K216" s="221">
        <f>DMHH!H192</f>
        <v>0</v>
      </c>
      <c r="L216" s="221">
        <f t="shared" si="24"/>
        <v>0</v>
      </c>
      <c r="M216" s="221">
        <f t="shared" si="25"/>
        <v>0</v>
      </c>
      <c r="N216" s="222"/>
      <c r="O216" s="234" t="str">
        <f t="shared" si="26"/>
        <v/>
      </c>
      <c r="P216" s="171"/>
    </row>
    <row r="217" spans="1:16" ht="15" hidden="1" customHeight="1">
      <c r="A217" s="171"/>
      <c r="B217" s="199">
        <f>IF(O217="",0,MAX($B$32:B216)+1)</f>
        <v>0</v>
      </c>
      <c r="C217" s="84">
        <f>DMHH!C193</f>
        <v>0</v>
      </c>
      <c r="D217" s="84">
        <f>DMHH!D193</f>
        <v>0</v>
      </c>
      <c r="E217" s="220">
        <f>DMHH!E193</f>
        <v>0</v>
      </c>
      <c r="F217" s="221">
        <f t="shared" si="20"/>
        <v>0</v>
      </c>
      <c r="G217" s="221">
        <f t="shared" si="21"/>
        <v>0</v>
      </c>
      <c r="H217" s="221">
        <f t="shared" si="22"/>
        <v>0</v>
      </c>
      <c r="I217" s="221">
        <f t="shared" si="29"/>
        <v>0</v>
      </c>
      <c r="J217" s="221">
        <f>DMHH!G193</f>
        <v>0</v>
      </c>
      <c r="K217" s="221">
        <f>DMHH!H193</f>
        <v>0</v>
      </c>
      <c r="L217" s="221">
        <f t="shared" si="24"/>
        <v>0</v>
      </c>
      <c r="M217" s="221">
        <f t="shared" si="25"/>
        <v>0</v>
      </c>
      <c r="N217" s="222"/>
      <c r="O217" s="234" t="str">
        <f t="shared" si="26"/>
        <v/>
      </c>
      <c r="P217" s="171"/>
    </row>
    <row r="218" spans="1:16" ht="15" hidden="1" customHeight="1">
      <c r="A218" s="171"/>
      <c r="B218" s="199">
        <f>IF(O218="",0,MAX($B$32:B217)+1)</f>
        <v>0</v>
      </c>
      <c r="C218" s="84">
        <f>DMHH!C194</f>
        <v>0</v>
      </c>
      <c r="D218" s="84">
        <f>DMHH!D194</f>
        <v>0</v>
      </c>
      <c r="E218" s="220">
        <f>DMHH!E194</f>
        <v>0</v>
      </c>
      <c r="F218" s="221">
        <f t="shared" si="20"/>
        <v>0</v>
      </c>
      <c r="G218" s="221">
        <f t="shared" si="21"/>
        <v>0</v>
      </c>
      <c r="H218" s="221">
        <f t="shared" si="22"/>
        <v>0</v>
      </c>
      <c r="I218" s="221">
        <f t="shared" si="29"/>
        <v>0</v>
      </c>
      <c r="J218" s="221">
        <f>DMHH!G194</f>
        <v>0</v>
      </c>
      <c r="K218" s="221">
        <f>DMHH!H194</f>
        <v>0</v>
      </c>
      <c r="L218" s="221">
        <f t="shared" si="24"/>
        <v>0</v>
      </c>
      <c r="M218" s="221">
        <f t="shared" si="25"/>
        <v>0</v>
      </c>
      <c r="N218" s="222"/>
      <c r="O218" s="234" t="str">
        <f t="shared" si="26"/>
        <v/>
      </c>
      <c r="P218" s="171"/>
    </row>
    <row r="219" spans="1:16" ht="15" hidden="1" customHeight="1">
      <c r="A219" s="171"/>
      <c r="B219" s="199">
        <f>IF(O219="",0,MAX($B$32:B218)+1)</f>
        <v>0</v>
      </c>
      <c r="C219" s="84">
        <f>DMHH!C195</f>
        <v>0</v>
      </c>
      <c r="D219" s="84">
        <f>DMHH!D195</f>
        <v>0</v>
      </c>
      <c r="E219" s="220">
        <f>DMHH!E195</f>
        <v>0</v>
      </c>
      <c r="F219" s="221">
        <f t="shared" si="20"/>
        <v>0</v>
      </c>
      <c r="G219" s="221">
        <f t="shared" si="21"/>
        <v>0</v>
      </c>
      <c r="H219" s="221">
        <f t="shared" si="22"/>
        <v>0</v>
      </c>
      <c r="I219" s="221">
        <f t="shared" si="29"/>
        <v>0</v>
      </c>
      <c r="J219" s="221">
        <f>DMHH!G195</f>
        <v>0</v>
      </c>
      <c r="K219" s="221">
        <f>DMHH!H195</f>
        <v>0</v>
      </c>
      <c r="L219" s="221">
        <f t="shared" si="24"/>
        <v>0</v>
      </c>
      <c r="M219" s="221">
        <f t="shared" si="25"/>
        <v>0</v>
      </c>
      <c r="N219" s="222"/>
      <c r="O219" s="234" t="str">
        <f t="shared" si="26"/>
        <v/>
      </c>
      <c r="P219" s="171"/>
    </row>
    <row r="220" spans="1:16" ht="15" hidden="1" customHeight="1">
      <c r="A220" s="171"/>
      <c r="B220" s="199">
        <f>IF(O220="",0,MAX($B$32:B219)+1)</f>
        <v>0</v>
      </c>
      <c r="C220" s="84">
        <f>DMHH!C196</f>
        <v>0</v>
      </c>
      <c r="D220" s="84">
        <f>DMHH!D196</f>
        <v>0</v>
      </c>
      <c r="E220" s="220">
        <f>DMHH!E196</f>
        <v>0</v>
      </c>
      <c r="F220" s="221">
        <f t="shared" si="20"/>
        <v>0</v>
      </c>
      <c r="G220" s="221">
        <f t="shared" si="21"/>
        <v>0</v>
      </c>
      <c r="H220" s="221">
        <f t="shared" si="22"/>
        <v>0</v>
      </c>
      <c r="I220" s="221">
        <f t="shared" si="29"/>
        <v>0</v>
      </c>
      <c r="J220" s="221">
        <f>DMHH!G196</f>
        <v>0</v>
      </c>
      <c r="K220" s="221">
        <f>DMHH!H196</f>
        <v>0</v>
      </c>
      <c r="L220" s="221">
        <f t="shared" si="24"/>
        <v>0</v>
      </c>
      <c r="M220" s="221">
        <f t="shared" si="25"/>
        <v>0</v>
      </c>
      <c r="N220" s="222"/>
      <c r="O220" s="234" t="str">
        <f t="shared" si="26"/>
        <v/>
      </c>
      <c r="P220" s="171"/>
    </row>
    <row r="221" spans="1:16" ht="15" hidden="1" customHeight="1">
      <c r="A221" s="171"/>
      <c r="B221" s="199">
        <f>IF(O221="",0,MAX($B$32:B220)+1)</f>
        <v>0</v>
      </c>
      <c r="C221" s="84">
        <f>DMHH!C197</f>
        <v>0</v>
      </c>
      <c r="D221" s="84">
        <f>DMHH!D197</f>
        <v>0</v>
      </c>
      <c r="E221" s="220">
        <f>DMHH!E197</f>
        <v>0</v>
      </c>
      <c r="F221" s="221">
        <f t="shared" si="20"/>
        <v>0</v>
      </c>
      <c r="G221" s="221">
        <f t="shared" si="21"/>
        <v>0</v>
      </c>
      <c r="H221" s="221">
        <f t="shared" si="22"/>
        <v>0</v>
      </c>
      <c r="I221" s="221">
        <f t="shared" si="29"/>
        <v>0</v>
      </c>
      <c r="J221" s="221">
        <f>DMHH!G197</f>
        <v>0</v>
      </c>
      <c r="K221" s="221">
        <f>DMHH!H197</f>
        <v>0</v>
      </c>
      <c r="L221" s="221">
        <f t="shared" si="24"/>
        <v>0</v>
      </c>
      <c r="M221" s="221">
        <f t="shared" si="25"/>
        <v>0</v>
      </c>
      <c r="N221" s="222"/>
      <c r="O221" s="234" t="str">
        <f t="shared" si="26"/>
        <v/>
      </c>
      <c r="P221" s="171"/>
    </row>
    <row r="222" spans="1:16" ht="15" hidden="1" customHeight="1">
      <c r="A222" s="171"/>
      <c r="B222" s="199">
        <f>IF(O222="",0,MAX($B$32:B221)+1)</f>
        <v>0</v>
      </c>
      <c r="C222" s="84">
        <f>DMHH!C198</f>
        <v>0</v>
      </c>
      <c r="D222" s="84">
        <f>DMHH!D198</f>
        <v>0</v>
      </c>
      <c r="E222" s="220">
        <f>DMHH!E198</f>
        <v>0</v>
      </c>
      <c r="F222" s="221">
        <f t="shared" si="20"/>
        <v>0</v>
      </c>
      <c r="G222" s="221">
        <f t="shared" si="21"/>
        <v>0</v>
      </c>
      <c r="H222" s="221">
        <f t="shared" si="22"/>
        <v>0</v>
      </c>
      <c r="I222" s="221">
        <f t="shared" ref="I222:I285" si="30">F222+G222-H222</f>
        <v>0</v>
      </c>
      <c r="J222" s="221">
        <f>DMHH!G198</f>
        <v>0</v>
      </c>
      <c r="K222" s="221">
        <f>DMHH!H198</f>
        <v>0</v>
      </c>
      <c r="L222" s="221">
        <f t="shared" si="24"/>
        <v>0</v>
      </c>
      <c r="M222" s="221">
        <f t="shared" si="25"/>
        <v>0</v>
      </c>
      <c r="N222" s="222"/>
      <c r="O222" s="234" t="str">
        <f t="shared" si="26"/>
        <v/>
      </c>
      <c r="P222" s="171"/>
    </row>
    <row r="223" spans="1:16" ht="15" hidden="1" customHeight="1">
      <c r="A223" s="171"/>
      <c r="B223" s="199">
        <f>IF(O223="",0,MAX($B$32:B222)+1)</f>
        <v>0</v>
      </c>
      <c r="C223" s="84">
        <f>DMHH!C199</f>
        <v>0</v>
      </c>
      <c r="D223" s="84">
        <f>DMHH!D199</f>
        <v>0</v>
      </c>
      <c r="E223" s="220">
        <f>DMHH!E199</f>
        <v>0</v>
      </c>
      <c r="F223" s="221">
        <f t="shared" si="20"/>
        <v>0</v>
      </c>
      <c r="G223" s="221">
        <f t="shared" si="21"/>
        <v>0</v>
      </c>
      <c r="H223" s="221">
        <f t="shared" si="22"/>
        <v>0</v>
      </c>
      <c r="I223" s="221">
        <f t="shared" si="30"/>
        <v>0</v>
      </c>
      <c r="J223" s="221">
        <f>DMHH!G199</f>
        <v>0</v>
      </c>
      <c r="K223" s="221">
        <f>DMHH!H199</f>
        <v>0</v>
      </c>
      <c r="L223" s="221">
        <f t="shared" si="24"/>
        <v>0</v>
      </c>
      <c r="M223" s="221">
        <f t="shared" si="25"/>
        <v>0</v>
      </c>
      <c r="N223" s="222"/>
      <c r="O223" s="234" t="str">
        <f t="shared" si="26"/>
        <v/>
      </c>
      <c r="P223" s="171"/>
    </row>
    <row r="224" spans="1:16" ht="15" hidden="1" customHeight="1">
      <c r="A224" s="171"/>
      <c r="B224" s="199">
        <f>IF(O224="",0,MAX($B$32:B223)+1)</f>
        <v>0</v>
      </c>
      <c r="C224" s="84">
        <f>DMHH!C200</f>
        <v>0</v>
      </c>
      <c r="D224" s="84">
        <f>DMHH!D200</f>
        <v>0</v>
      </c>
      <c r="E224" s="220">
        <f>DMHH!E200</f>
        <v>0</v>
      </c>
      <c r="F224" s="221">
        <f t="shared" ref="F224:F287" si="31">IF(D224=0,0,SUMIF(QuanLyHangHoa,$D224,tinh_SLtondau))</f>
        <v>0</v>
      </c>
      <c r="G224" s="221">
        <f t="shared" ref="G224:G287" si="32">IF(D224=0,0,SUMIF(QuanLyHangHoa,$D224,tinh_SLnhap))</f>
        <v>0</v>
      </c>
      <c r="H224" s="221">
        <f t="shared" ref="H224:H287" si="33">IF(D224=0,0,SUMIF(QuanLyHangHoa,$D224,tinh_SLxuat))</f>
        <v>0</v>
      </c>
      <c r="I224" s="221">
        <f t="shared" si="30"/>
        <v>0</v>
      </c>
      <c r="J224" s="221">
        <f>DMHH!G200</f>
        <v>0</v>
      </c>
      <c r="K224" s="221">
        <f>DMHH!H200</f>
        <v>0</v>
      </c>
      <c r="L224" s="221">
        <f t="shared" si="24"/>
        <v>0</v>
      </c>
      <c r="M224" s="221">
        <f t="shared" si="25"/>
        <v>0</v>
      </c>
      <c r="N224" s="222"/>
      <c r="O224" s="234" t="str">
        <f t="shared" si="26"/>
        <v/>
      </c>
      <c r="P224" s="171"/>
    </row>
    <row r="225" spans="1:16" ht="15" hidden="1" customHeight="1">
      <c r="A225" s="171"/>
      <c r="B225" s="199">
        <f>IF(O225="",0,MAX($B$32:B224)+1)</f>
        <v>0</v>
      </c>
      <c r="C225" s="84">
        <f>DMHH!C201</f>
        <v>0</v>
      </c>
      <c r="D225" s="84">
        <f>DMHH!D201</f>
        <v>0</v>
      </c>
      <c r="E225" s="220">
        <f>DMHH!E201</f>
        <v>0</v>
      </c>
      <c r="F225" s="221">
        <f t="shared" si="31"/>
        <v>0</v>
      </c>
      <c r="G225" s="221">
        <f t="shared" si="32"/>
        <v>0</v>
      </c>
      <c r="H225" s="221">
        <f t="shared" si="33"/>
        <v>0</v>
      </c>
      <c r="I225" s="221">
        <f t="shared" si="30"/>
        <v>0</v>
      </c>
      <c r="J225" s="221">
        <f>DMHH!G201</f>
        <v>0</v>
      </c>
      <c r="K225" s="221">
        <f>DMHH!H201</f>
        <v>0</v>
      </c>
      <c r="L225" s="221">
        <f t="shared" ref="L225:L288" si="34">G225*J225</f>
        <v>0</v>
      </c>
      <c r="M225" s="221">
        <f t="shared" ref="M225:M288" si="35">H225*K225</f>
        <v>0</v>
      </c>
      <c r="N225" s="222"/>
      <c r="O225" s="234" t="str">
        <f t="shared" ref="O225:O288" si="36">IF(C225=0,"","x")</f>
        <v/>
      </c>
      <c r="P225" s="171"/>
    </row>
    <row r="226" spans="1:16" ht="15" hidden="1" customHeight="1">
      <c r="A226" s="171"/>
      <c r="B226" s="199">
        <f>IF(O226="",0,MAX($B$32:B225)+1)</f>
        <v>0</v>
      </c>
      <c r="C226" s="84">
        <f>DMHH!C202</f>
        <v>0</v>
      </c>
      <c r="D226" s="84">
        <f>DMHH!D202</f>
        <v>0</v>
      </c>
      <c r="E226" s="220">
        <f>DMHH!E202</f>
        <v>0</v>
      </c>
      <c r="F226" s="221">
        <f t="shared" si="31"/>
        <v>0</v>
      </c>
      <c r="G226" s="221">
        <f t="shared" si="32"/>
        <v>0</v>
      </c>
      <c r="H226" s="221">
        <f t="shared" si="33"/>
        <v>0</v>
      </c>
      <c r="I226" s="221">
        <f t="shared" si="30"/>
        <v>0</v>
      </c>
      <c r="J226" s="221">
        <f>DMHH!G202</f>
        <v>0</v>
      </c>
      <c r="K226" s="221">
        <f>DMHH!H202</f>
        <v>0</v>
      </c>
      <c r="L226" s="221">
        <f t="shared" si="34"/>
        <v>0</v>
      </c>
      <c r="M226" s="221">
        <f t="shared" si="35"/>
        <v>0</v>
      </c>
      <c r="N226" s="222"/>
      <c r="O226" s="234" t="str">
        <f t="shared" si="36"/>
        <v/>
      </c>
      <c r="P226" s="171"/>
    </row>
    <row r="227" spans="1:16" ht="15" hidden="1" customHeight="1">
      <c r="A227" s="171"/>
      <c r="B227" s="199">
        <f>IF(O227="",0,MAX($B$32:B226)+1)</f>
        <v>0</v>
      </c>
      <c r="C227" s="84">
        <f>DMHH!C203</f>
        <v>0</v>
      </c>
      <c r="D227" s="84">
        <f>DMHH!D203</f>
        <v>0</v>
      </c>
      <c r="E227" s="220">
        <f>DMHH!E203</f>
        <v>0</v>
      </c>
      <c r="F227" s="221">
        <f t="shared" si="31"/>
        <v>0</v>
      </c>
      <c r="G227" s="221">
        <f t="shared" si="32"/>
        <v>0</v>
      </c>
      <c r="H227" s="221">
        <f t="shared" si="33"/>
        <v>0</v>
      </c>
      <c r="I227" s="221">
        <f t="shared" si="30"/>
        <v>0</v>
      </c>
      <c r="J227" s="221">
        <f>DMHH!G203</f>
        <v>0</v>
      </c>
      <c r="K227" s="221">
        <f>DMHH!H203</f>
        <v>0</v>
      </c>
      <c r="L227" s="221">
        <f t="shared" si="34"/>
        <v>0</v>
      </c>
      <c r="M227" s="221">
        <f t="shared" si="35"/>
        <v>0</v>
      </c>
      <c r="N227" s="222"/>
      <c r="O227" s="234" t="str">
        <f t="shared" si="36"/>
        <v/>
      </c>
      <c r="P227" s="171"/>
    </row>
    <row r="228" spans="1:16" ht="15" hidden="1" customHeight="1">
      <c r="A228" s="171"/>
      <c r="B228" s="199">
        <f>IF(O228="",0,MAX($B$32:B227)+1)</f>
        <v>0</v>
      </c>
      <c r="C228" s="84">
        <f>DMHH!C204</f>
        <v>0</v>
      </c>
      <c r="D228" s="84">
        <f>DMHH!D204</f>
        <v>0</v>
      </c>
      <c r="E228" s="220">
        <f>DMHH!E204</f>
        <v>0</v>
      </c>
      <c r="F228" s="221">
        <f t="shared" si="31"/>
        <v>0</v>
      </c>
      <c r="G228" s="221">
        <f t="shared" si="32"/>
        <v>0</v>
      </c>
      <c r="H228" s="221">
        <f t="shared" si="33"/>
        <v>0</v>
      </c>
      <c r="I228" s="221">
        <f t="shared" si="30"/>
        <v>0</v>
      </c>
      <c r="J228" s="221">
        <f>DMHH!G204</f>
        <v>0</v>
      </c>
      <c r="K228" s="221">
        <f>DMHH!H204</f>
        <v>0</v>
      </c>
      <c r="L228" s="221">
        <f t="shared" si="34"/>
        <v>0</v>
      </c>
      <c r="M228" s="221">
        <f t="shared" si="35"/>
        <v>0</v>
      </c>
      <c r="N228" s="222"/>
      <c r="O228" s="234" t="str">
        <f t="shared" si="36"/>
        <v/>
      </c>
      <c r="P228" s="171"/>
    </row>
    <row r="229" spans="1:16" ht="15" hidden="1" customHeight="1">
      <c r="A229" s="171"/>
      <c r="B229" s="199">
        <f>IF(O229="",0,MAX($B$32:B228)+1)</f>
        <v>0</v>
      </c>
      <c r="C229" s="84">
        <f>DMHH!C205</f>
        <v>0</v>
      </c>
      <c r="D229" s="84">
        <f>DMHH!D205</f>
        <v>0</v>
      </c>
      <c r="E229" s="220">
        <f>DMHH!E205</f>
        <v>0</v>
      </c>
      <c r="F229" s="221">
        <f t="shared" si="31"/>
        <v>0</v>
      </c>
      <c r="G229" s="221">
        <f t="shared" si="32"/>
        <v>0</v>
      </c>
      <c r="H229" s="221">
        <f t="shared" si="33"/>
        <v>0</v>
      </c>
      <c r="I229" s="221">
        <f t="shared" si="30"/>
        <v>0</v>
      </c>
      <c r="J229" s="221">
        <f>DMHH!G205</f>
        <v>0</v>
      </c>
      <c r="K229" s="221">
        <f>DMHH!H205</f>
        <v>0</v>
      </c>
      <c r="L229" s="221">
        <f t="shared" si="34"/>
        <v>0</v>
      </c>
      <c r="M229" s="221">
        <f t="shared" si="35"/>
        <v>0</v>
      </c>
      <c r="N229" s="222"/>
      <c r="O229" s="234" t="str">
        <f t="shared" si="36"/>
        <v/>
      </c>
      <c r="P229" s="171"/>
    </row>
    <row r="230" spans="1:16" ht="15" hidden="1" customHeight="1">
      <c r="A230" s="171"/>
      <c r="B230" s="199">
        <f>IF(O230="",0,MAX($B$32:B229)+1)</f>
        <v>0</v>
      </c>
      <c r="C230" s="84">
        <f>DMHH!C206</f>
        <v>0</v>
      </c>
      <c r="D230" s="84">
        <f>DMHH!D206</f>
        <v>0</v>
      </c>
      <c r="E230" s="220">
        <f>DMHH!E206</f>
        <v>0</v>
      </c>
      <c r="F230" s="221">
        <f t="shared" si="31"/>
        <v>0</v>
      </c>
      <c r="G230" s="221">
        <f t="shared" si="32"/>
        <v>0</v>
      </c>
      <c r="H230" s="221">
        <f t="shared" si="33"/>
        <v>0</v>
      </c>
      <c r="I230" s="221">
        <f t="shared" si="30"/>
        <v>0</v>
      </c>
      <c r="J230" s="221">
        <f>DMHH!G206</f>
        <v>0</v>
      </c>
      <c r="K230" s="221">
        <f>DMHH!H206</f>
        <v>0</v>
      </c>
      <c r="L230" s="221">
        <f t="shared" si="34"/>
        <v>0</v>
      </c>
      <c r="M230" s="221">
        <f t="shared" si="35"/>
        <v>0</v>
      </c>
      <c r="N230" s="222"/>
      <c r="O230" s="234" t="str">
        <f t="shared" si="36"/>
        <v/>
      </c>
      <c r="P230" s="171"/>
    </row>
    <row r="231" spans="1:16" ht="15" hidden="1" customHeight="1">
      <c r="A231" s="171"/>
      <c r="B231" s="199">
        <f>IF(O231="",0,MAX($B$32:B230)+1)</f>
        <v>0</v>
      </c>
      <c r="C231" s="84">
        <f>DMHH!C207</f>
        <v>0</v>
      </c>
      <c r="D231" s="84">
        <f>DMHH!D207</f>
        <v>0</v>
      </c>
      <c r="E231" s="220">
        <f>DMHH!E207</f>
        <v>0</v>
      </c>
      <c r="F231" s="221">
        <f t="shared" si="31"/>
        <v>0</v>
      </c>
      <c r="G231" s="221">
        <f t="shared" si="32"/>
        <v>0</v>
      </c>
      <c r="H231" s="221">
        <f t="shared" si="33"/>
        <v>0</v>
      </c>
      <c r="I231" s="221">
        <f t="shared" si="30"/>
        <v>0</v>
      </c>
      <c r="J231" s="221">
        <f>DMHH!G207</f>
        <v>0</v>
      </c>
      <c r="K231" s="221">
        <f>DMHH!H207</f>
        <v>0</v>
      </c>
      <c r="L231" s="221">
        <f t="shared" si="34"/>
        <v>0</v>
      </c>
      <c r="M231" s="221">
        <f t="shared" si="35"/>
        <v>0</v>
      </c>
      <c r="N231" s="222"/>
      <c r="O231" s="234" t="str">
        <f t="shared" si="36"/>
        <v/>
      </c>
      <c r="P231" s="171"/>
    </row>
    <row r="232" spans="1:16" ht="15" hidden="1" customHeight="1">
      <c r="A232" s="171"/>
      <c r="B232" s="199">
        <f>IF(O232="",0,MAX($B$32:B231)+1)</f>
        <v>0</v>
      </c>
      <c r="C232" s="84">
        <f>DMHH!C208</f>
        <v>0</v>
      </c>
      <c r="D232" s="84">
        <f>DMHH!D208</f>
        <v>0</v>
      </c>
      <c r="E232" s="220">
        <f>DMHH!E208</f>
        <v>0</v>
      </c>
      <c r="F232" s="221">
        <f t="shared" si="31"/>
        <v>0</v>
      </c>
      <c r="G232" s="221">
        <f t="shared" si="32"/>
        <v>0</v>
      </c>
      <c r="H232" s="221">
        <f t="shared" si="33"/>
        <v>0</v>
      </c>
      <c r="I232" s="221">
        <f t="shared" si="30"/>
        <v>0</v>
      </c>
      <c r="J232" s="221">
        <f>DMHH!G208</f>
        <v>0</v>
      </c>
      <c r="K232" s="221">
        <f>DMHH!H208</f>
        <v>0</v>
      </c>
      <c r="L232" s="221">
        <f t="shared" si="34"/>
        <v>0</v>
      </c>
      <c r="M232" s="221">
        <f t="shared" si="35"/>
        <v>0</v>
      </c>
      <c r="N232" s="222"/>
      <c r="O232" s="234" t="str">
        <f t="shared" si="36"/>
        <v/>
      </c>
      <c r="P232" s="171"/>
    </row>
    <row r="233" spans="1:16" ht="15" hidden="1" customHeight="1">
      <c r="A233" s="171"/>
      <c r="B233" s="199">
        <f>IF(O233="",0,MAX($B$32:B232)+1)</f>
        <v>0</v>
      </c>
      <c r="C233" s="84">
        <f>DMHH!C209</f>
        <v>0</v>
      </c>
      <c r="D233" s="84">
        <f>DMHH!D209</f>
        <v>0</v>
      </c>
      <c r="E233" s="220">
        <f>DMHH!E209</f>
        <v>0</v>
      </c>
      <c r="F233" s="221">
        <f t="shared" si="31"/>
        <v>0</v>
      </c>
      <c r="G233" s="221">
        <f t="shared" si="32"/>
        <v>0</v>
      </c>
      <c r="H233" s="221">
        <f t="shared" si="33"/>
        <v>0</v>
      </c>
      <c r="I233" s="221">
        <f t="shared" si="30"/>
        <v>0</v>
      </c>
      <c r="J233" s="221">
        <f>DMHH!G209</f>
        <v>0</v>
      </c>
      <c r="K233" s="221">
        <f>DMHH!H209</f>
        <v>0</v>
      </c>
      <c r="L233" s="221">
        <f t="shared" si="34"/>
        <v>0</v>
      </c>
      <c r="M233" s="221">
        <f t="shared" si="35"/>
        <v>0</v>
      </c>
      <c r="N233" s="222"/>
      <c r="O233" s="234" t="str">
        <f t="shared" si="36"/>
        <v/>
      </c>
      <c r="P233" s="171"/>
    </row>
    <row r="234" spans="1:16" ht="15" hidden="1" customHeight="1">
      <c r="A234" s="171"/>
      <c r="B234" s="199">
        <f>IF(O234="",0,MAX($B$32:B233)+1)</f>
        <v>0</v>
      </c>
      <c r="C234" s="84">
        <f>DMHH!C210</f>
        <v>0</v>
      </c>
      <c r="D234" s="84">
        <f>DMHH!D210</f>
        <v>0</v>
      </c>
      <c r="E234" s="220">
        <f>DMHH!E210</f>
        <v>0</v>
      </c>
      <c r="F234" s="221">
        <f t="shared" si="31"/>
        <v>0</v>
      </c>
      <c r="G234" s="221">
        <f t="shared" si="32"/>
        <v>0</v>
      </c>
      <c r="H234" s="221">
        <f t="shared" si="33"/>
        <v>0</v>
      </c>
      <c r="I234" s="221">
        <f t="shared" si="30"/>
        <v>0</v>
      </c>
      <c r="J234" s="221">
        <f>DMHH!G210</f>
        <v>0</v>
      </c>
      <c r="K234" s="221">
        <f>DMHH!H210</f>
        <v>0</v>
      </c>
      <c r="L234" s="221">
        <f t="shared" si="34"/>
        <v>0</v>
      </c>
      <c r="M234" s="221">
        <f t="shared" si="35"/>
        <v>0</v>
      </c>
      <c r="N234" s="222"/>
      <c r="O234" s="234" t="str">
        <f t="shared" si="36"/>
        <v/>
      </c>
      <c r="P234" s="171"/>
    </row>
    <row r="235" spans="1:16" ht="15" hidden="1" customHeight="1">
      <c r="A235" s="171"/>
      <c r="B235" s="199">
        <f>IF(O235="",0,MAX($B$32:B234)+1)</f>
        <v>0</v>
      </c>
      <c r="C235" s="84">
        <f>DMHH!C211</f>
        <v>0</v>
      </c>
      <c r="D235" s="84">
        <f>DMHH!D211</f>
        <v>0</v>
      </c>
      <c r="E235" s="220">
        <f>DMHH!E211</f>
        <v>0</v>
      </c>
      <c r="F235" s="221">
        <f t="shared" si="31"/>
        <v>0</v>
      </c>
      <c r="G235" s="221">
        <f t="shared" si="32"/>
        <v>0</v>
      </c>
      <c r="H235" s="221">
        <f t="shared" si="33"/>
        <v>0</v>
      </c>
      <c r="I235" s="221">
        <f t="shared" si="30"/>
        <v>0</v>
      </c>
      <c r="J235" s="221">
        <f>DMHH!G211</f>
        <v>0</v>
      </c>
      <c r="K235" s="221">
        <f>DMHH!H211</f>
        <v>0</v>
      </c>
      <c r="L235" s="221">
        <f t="shared" si="34"/>
        <v>0</v>
      </c>
      <c r="M235" s="221">
        <f t="shared" si="35"/>
        <v>0</v>
      </c>
      <c r="N235" s="222"/>
      <c r="O235" s="234" t="str">
        <f t="shared" si="36"/>
        <v/>
      </c>
      <c r="P235" s="171"/>
    </row>
    <row r="236" spans="1:16" ht="15" hidden="1" customHeight="1">
      <c r="A236" s="171"/>
      <c r="B236" s="199">
        <f>IF(O236="",0,MAX($B$32:B235)+1)</f>
        <v>0</v>
      </c>
      <c r="C236" s="84">
        <f>DMHH!C212</f>
        <v>0</v>
      </c>
      <c r="D236" s="84">
        <f>DMHH!D212</f>
        <v>0</v>
      </c>
      <c r="E236" s="220">
        <f>DMHH!E212</f>
        <v>0</v>
      </c>
      <c r="F236" s="221">
        <f t="shared" si="31"/>
        <v>0</v>
      </c>
      <c r="G236" s="221">
        <f t="shared" si="32"/>
        <v>0</v>
      </c>
      <c r="H236" s="221">
        <f t="shared" si="33"/>
        <v>0</v>
      </c>
      <c r="I236" s="221">
        <f t="shared" si="30"/>
        <v>0</v>
      </c>
      <c r="J236" s="221">
        <f>DMHH!G212</f>
        <v>0</v>
      </c>
      <c r="K236" s="221">
        <f>DMHH!H212</f>
        <v>0</v>
      </c>
      <c r="L236" s="221">
        <f t="shared" si="34"/>
        <v>0</v>
      </c>
      <c r="M236" s="221">
        <f t="shared" si="35"/>
        <v>0</v>
      </c>
      <c r="N236" s="222"/>
      <c r="O236" s="234" t="str">
        <f t="shared" si="36"/>
        <v/>
      </c>
      <c r="P236" s="171"/>
    </row>
    <row r="237" spans="1:16" ht="15" hidden="1" customHeight="1">
      <c r="A237" s="171"/>
      <c r="B237" s="199">
        <f>IF(O237="",0,MAX($B$32:B236)+1)</f>
        <v>0</v>
      </c>
      <c r="C237" s="84">
        <f>DMHH!C213</f>
        <v>0</v>
      </c>
      <c r="D237" s="84">
        <f>DMHH!D213</f>
        <v>0</v>
      </c>
      <c r="E237" s="220">
        <f>DMHH!E213</f>
        <v>0</v>
      </c>
      <c r="F237" s="221">
        <f t="shared" si="31"/>
        <v>0</v>
      </c>
      <c r="G237" s="221">
        <f t="shared" si="32"/>
        <v>0</v>
      </c>
      <c r="H237" s="221">
        <f t="shared" si="33"/>
        <v>0</v>
      </c>
      <c r="I237" s="221">
        <f t="shared" si="30"/>
        <v>0</v>
      </c>
      <c r="J237" s="221">
        <f>DMHH!G213</f>
        <v>0</v>
      </c>
      <c r="K237" s="221">
        <f>DMHH!H213</f>
        <v>0</v>
      </c>
      <c r="L237" s="221">
        <f t="shared" si="34"/>
        <v>0</v>
      </c>
      <c r="M237" s="221">
        <f t="shared" si="35"/>
        <v>0</v>
      </c>
      <c r="N237" s="222"/>
      <c r="O237" s="234" t="str">
        <f t="shared" si="36"/>
        <v/>
      </c>
      <c r="P237" s="171"/>
    </row>
    <row r="238" spans="1:16" ht="15" hidden="1" customHeight="1">
      <c r="A238" s="171"/>
      <c r="B238" s="199">
        <f>IF(O238="",0,MAX($B$32:B237)+1)</f>
        <v>0</v>
      </c>
      <c r="C238" s="84">
        <f>DMHH!C214</f>
        <v>0</v>
      </c>
      <c r="D238" s="84">
        <f>DMHH!D214</f>
        <v>0</v>
      </c>
      <c r="E238" s="220">
        <f>DMHH!E214</f>
        <v>0</v>
      </c>
      <c r="F238" s="221">
        <f t="shared" si="31"/>
        <v>0</v>
      </c>
      <c r="G238" s="221">
        <f t="shared" si="32"/>
        <v>0</v>
      </c>
      <c r="H238" s="221">
        <f t="shared" si="33"/>
        <v>0</v>
      </c>
      <c r="I238" s="221">
        <f t="shared" si="30"/>
        <v>0</v>
      </c>
      <c r="J238" s="221">
        <f>DMHH!G214</f>
        <v>0</v>
      </c>
      <c r="K238" s="221">
        <f>DMHH!H214</f>
        <v>0</v>
      </c>
      <c r="L238" s="221">
        <f t="shared" si="34"/>
        <v>0</v>
      </c>
      <c r="M238" s="221">
        <f t="shared" si="35"/>
        <v>0</v>
      </c>
      <c r="N238" s="222"/>
      <c r="O238" s="234" t="str">
        <f t="shared" si="36"/>
        <v/>
      </c>
      <c r="P238" s="171"/>
    </row>
    <row r="239" spans="1:16" ht="15" hidden="1" customHeight="1">
      <c r="A239" s="171"/>
      <c r="B239" s="199">
        <f>IF(O239="",0,MAX($B$32:B238)+1)</f>
        <v>0</v>
      </c>
      <c r="C239" s="84">
        <f>DMHH!C215</f>
        <v>0</v>
      </c>
      <c r="D239" s="84">
        <f>DMHH!D215</f>
        <v>0</v>
      </c>
      <c r="E239" s="220">
        <f>DMHH!E215</f>
        <v>0</v>
      </c>
      <c r="F239" s="221">
        <f t="shared" si="31"/>
        <v>0</v>
      </c>
      <c r="G239" s="221">
        <f t="shared" si="32"/>
        <v>0</v>
      </c>
      <c r="H239" s="221">
        <f t="shared" si="33"/>
        <v>0</v>
      </c>
      <c r="I239" s="221">
        <f t="shared" si="30"/>
        <v>0</v>
      </c>
      <c r="J239" s="221">
        <f>DMHH!G215</f>
        <v>0</v>
      </c>
      <c r="K239" s="221">
        <f>DMHH!H215</f>
        <v>0</v>
      </c>
      <c r="L239" s="221">
        <f t="shared" si="34"/>
        <v>0</v>
      </c>
      <c r="M239" s="221">
        <f t="shared" si="35"/>
        <v>0</v>
      </c>
      <c r="N239" s="222"/>
      <c r="O239" s="234" t="str">
        <f t="shared" si="36"/>
        <v/>
      </c>
      <c r="P239" s="171"/>
    </row>
    <row r="240" spans="1:16" ht="15" hidden="1" customHeight="1">
      <c r="A240" s="171"/>
      <c r="B240" s="199">
        <f>IF(O240="",0,MAX($B$32:B239)+1)</f>
        <v>0</v>
      </c>
      <c r="C240" s="84">
        <f>DMHH!C216</f>
        <v>0</v>
      </c>
      <c r="D240" s="84">
        <f>DMHH!D216</f>
        <v>0</v>
      </c>
      <c r="E240" s="220">
        <f>DMHH!E216</f>
        <v>0</v>
      </c>
      <c r="F240" s="221">
        <f t="shared" si="31"/>
        <v>0</v>
      </c>
      <c r="G240" s="221">
        <f t="shared" si="32"/>
        <v>0</v>
      </c>
      <c r="H240" s="221">
        <f t="shared" si="33"/>
        <v>0</v>
      </c>
      <c r="I240" s="221">
        <f t="shared" si="30"/>
        <v>0</v>
      </c>
      <c r="J240" s="221">
        <f>DMHH!G216</f>
        <v>0</v>
      </c>
      <c r="K240" s="221">
        <f>DMHH!H216</f>
        <v>0</v>
      </c>
      <c r="L240" s="221">
        <f t="shared" si="34"/>
        <v>0</v>
      </c>
      <c r="M240" s="221">
        <f t="shared" si="35"/>
        <v>0</v>
      </c>
      <c r="N240" s="222"/>
      <c r="O240" s="234" t="str">
        <f t="shared" si="36"/>
        <v/>
      </c>
      <c r="P240" s="171"/>
    </row>
    <row r="241" spans="1:16" ht="15" hidden="1" customHeight="1">
      <c r="A241" s="171"/>
      <c r="B241" s="199">
        <f>IF(O241="",0,MAX($B$32:B240)+1)</f>
        <v>0</v>
      </c>
      <c r="C241" s="84">
        <f>DMHH!C217</f>
        <v>0</v>
      </c>
      <c r="D241" s="84">
        <f>DMHH!D217</f>
        <v>0</v>
      </c>
      <c r="E241" s="220">
        <f>DMHH!E217</f>
        <v>0</v>
      </c>
      <c r="F241" s="221">
        <f t="shared" si="31"/>
        <v>0</v>
      </c>
      <c r="G241" s="221">
        <f t="shared" si="32"/>
        <v>0</v>
      </c>
      <c r="H241" s="221">
        <f t="shared" si="33"/>
        <v>0</v>
      </c>
      <c r="I241" s="221">
        <f t="shared" si="30"/>
        <v>0</v>
      </c>
      <c r="J241" s="221">
        <f>DMHH!G217</f>
        <v>0</v>
      </c>
      <c r="K241" s="221">
        <f>DMHH!H217</f>
        <v>0</v>
      </c>
      <c r="L241" s="221">
        <f t="shared" si="34"/>
        <v>0</v>
      </c>
      <c r="M241" s="221">
        <f t="shared" si="35"/>
        <v>0</v>
      </c>
      <c r="N241" s="222"/>
      <c r="O241" s="234" t="str">
        <f t="shared" si="36"/>
        <v/>
      </c>
      <c r="P241" s="171"/>
    </row>
    <row r="242" spans="1:16" ht="15" hidden="1" customHeight="1">
      <c r="A242" s="171"/>
      <c r="B242" s="199">
        <f>IF(O242="",0,MAX($B$32:B241)+1)</f>
        <v>0</v>
      </c>
      <c r="C242" s="84">
        <f>DMHH!C218</f>
        <v>0</v>
      </c>
      <c r="D242" s="84">
        <f>DMHH!D218</f>
        <v>0</v>
      </c>
      <c r="E242" s="220">
        <f>DMHH!E218</f>
        <v>0</v>
      </c>
      <c r="F242" s="221">
        <f t="shared" si="31"/>
        <v>0</v>
      </c>
      <c r="G242" s="221">
        <f t="shared" si="32"/>
        <v>0</v>
      </c>
      <c r="H242" s="221">
        <f t="shared" si="33"/>
        <v>0</v>
      </c>
      <c r="I242" s="221">
        <f t="shared" si="30"/>
        <v>0</v>
      </c>
      <c r="J242" s="221">
        <f>DMHH!G218</f>
        <v>0</v>
      </c>
      <c r="K242" s="221">
        <f>DMHH!H218</f>
        <v>0</v>
      </c>
      <c r="L242" s="221">
        <f t="shared" si="34"/>
        <v>0</v>
      </c>
      <c r="M242" s="221">
        <f t="shared" si="35"/>
        <v>0</v>
      </c>
      <c r="N242" s="222"/>
      <c r="O242" s="234" t="str">
        <f t="shared" si="36"/>
        <v/>
      </c>
      <c r="P242" s="171"/>
    </row>
    <row r="243" spans="1:16" ht="15" hidden="1" customHeight="1">
      <c r="A243" s="171"/>
      <c r="B243" s="199">
        <f>IF(O243="",0,MAX($B$32:B242)+1)</f>
        <v>0</v>
      </c>
      <c r="C243" s="84">
        <f>DMHH!C219</f>
        <v>0</v>
      </c>
      <c r="D243" s="84">
        <f>DMHH!D219</f>
        <v>0</v>
      </c>
      <c r="E243" s="220">
        <f>DMHH!E219</f>
        <v>0</v>
      </c>
      <c r="F243" s="221">
        <f t="shared" si="31"/>
        <v>0</v>
      </c>
      <c r="G243" s="221">
        <f t="shared" si="32"/>
        <v>0</v>
      </c>
      <c r="H243" s="221">
        <f t="shared" si="33"/>
        <v>0</v>
      </c>
      <c r="I243" s="221">
        <f t="shared" si="30"/>
        <v>0</v>
      </c>
      <c r="J243" s="221">
        <f>DMHH!G219</f>
        <v>0</v>
      </c>
      <c r="K243" s="221">
        <f>DMHH!H219</f>
        <v>0</v>
      </c>
      <c r="L243" s="221">
        <f t="shared" si="34"/>
        <v>0</v>
      </c>
      <c r="M243" s="221">
        <f t="shared" si="35"/>
        <v>0</v>
      </c>
      <c r="N243" s="222"/>
      <c r="O243" s="234" t="str">
        <f t="shared" si="36"/>
        <v/>
      </c>
      <c r="P243" s="171"/>
    </row>
    <row r="244" spans="1:16" ht="15" hidden="1" customHeight="1">
      <c r="A244" s="171"/>
      <c r="B244" s="199">
        <f>IF(O244="",0,MAX($B$32:B243)+1)</f>
        <v>0</v>
      </c>
      <c r="C244" s="84">
        <f>DMHH!C220</f>
        <v>0</v>
      </c>
      <c r="D244" s="84">
        <f>DMHH!D220</f>
        <v>0</v>
      </c>
      <c r="E244" s="220">
        <f>DMHH!E220</f>
        <v>0</v>
      </c>
      <c r="F244" s="221">
        <f t="shared" si="31"/>
        <v>0</v>
      </c>
      <c r="G244" s="221">
        <f t="shared" si="32"/>
        <v>0</v>
      </c>
      <c r="H244" s="221">
        <f t="shared" si="33"/>
        <v>0</v>
      </c>
      <c r="I244" s="221">
        <f t="shared" si="30"/>
        <v>0</v>
      </c>
      <c r="J244" s="221">
        <f>DMHH!G220</f>
        <v>0</v>
      </c>
      <c r="K244" s="221">
        <f>DMHH!H220</f>
        <v>0</v>
      </c>
      <c r="L244" s="221">
        <f t="shared" si="34"/>
        <v>0</v>
      </c>
      <c r="M244" s="221">
        <f t="shared" si="35"/>
        <v>0</v>
      </c>
      <c r="N244" s="222"/>
      <c r="O244" s="234" t="str">
        <f t="shared" si="36"/>
        <v/>
      </c>
      <c r="P244" s="171"/>
    </row>
    <row r="245" spans="1:16" ht="15" hidden="1" customHeight="1">
      <c r="A245" s="171"/>
      <c r="B245" s="199">
        <f>IF(O245="",0,MAX($B$32:B244)+1)</f>
        <v>0</v>
      </c>
      <c r="C245" s="84">
        <f>DMHH!C221</f>
        <v>0</v>
      </c>
      <c r="D245" s="84">
        <f>DMHH!D221</f>
        <v>0</v>
      </c>
      <c r="E245" s="220">
        <f>DMHH!E221</f>
        <v>0</v>
      </c>
      <c r="F245" s="221">
        <f t="shared" si="31"/>
        <v>0</v>
      </c>
      <c r="G245" s="221">
        <f t="shared" si="32"/>
        <v>0</v>
      </c>
      <c r="H245" s="221">
        <f t="shared" si="33"/>
        <v>0</v>
      </c>
      <c r="I245" s="221">
        <f t="shared" si="30"/>
        <v>0</v>
      </c>
      <c r="J245" s="221">
        <f>DMHH!G221</f>
        <v>0</v>
      </c>
      <c r="K245" s="221">
        <f>DMHH!H221</f>
        <v>0</v>
      </c>
      <c r="L245" s="221">
        <f t="shared" si="34"/>
        <v>0</v>
      </c>
      <c r="M245" s="221">
        <f t="shared" si="35"/>
        <v>0</v>
      </c>
      <c r="N245" s="222"/>
      <c r="O245" s="234" t="str">
        <f t="shared" si="36"/>
        <v/>
      </c>
      <c r="P245" s="171"/>
    </row>
    <row r="246" spans="1:16" ht="15" hidden="1" customHeight="1">
      <c r="A246" s="171"/>
      <c r="B246" s="199">
        <f>IF(O246="",0,MAX($B$32:B245)+1)</f>
        <v>0</v>
      </c>
      <c r="C246" s="84">
        <f>DMHH!C222</f>
        <v>0</v>
      </c>
      <c r="D246" s="84">
        <f>DMHH!D222</f>
        <v>0</v>
      </c>
      <c r="E246" s="220">
        <f>DMHH!E222</f>
        <v>0</v>
      </c>
      <c r="F246" s="221">
        <f t="shared" si="31"/>
        <v>0</v>
      </c>
      <c r="G246" s="221">
        <f t="shared" si="32"/>
        <v>0</v>
      </c>
      <c r="H246" s="221">
        <f t="shared" si="33"/>
        <v>0</v>
      </c>
      <c r="I246" s="221">
        <f t="shared" si="30"/>
        <v>0</v>
      </c>
      <c r="J246" s="221">
        <f>DMHH!G222</f>
        <v>0</v>
      </c>
      <c r="K246" s="221">
        <f>DMHH!H222</f>
        <v>0</v>
      </c>
      <c r="L246" s="221">
        <f t="shared" si="34"/>
        <v>0</v>
      </c>
      <c r="M246" s="221">
        <f t="shared" si="35"/>
        <v>0</v>
      </c>
      <c r="N246" s="222"/>
      <c r="O246" s="234" t="str">
        <f t="shared" si="36"/>
        <v/>
      </c>
      <c r="P246" s="171"/>
    </row>
    <row r="247" spans="1:16" ht="15" hidden="1" customHeight="1">
      <c r="A247" s="171"/>
      <c r="B247" s="199">
        <f>IF(O247="",0,MAX($B$32:B246)+1)</f>
        <v>0</v>
      </c>
      <c r="C247" s="84">
        <f>DMHH!C223</f>
        <v>0</v>
      </c>
      <c r="D247" s="84">
        <f>DMHH!D223</f>
        <v>0</v>
      </c>
      <c r="E247" s="220">
        <f>DMHH!E223</f>
        <v>0</v>
      </c>
      <c r="F247" s="221">
        <f t="shared" si="31"/>
        <v>0</v>
      </c>
      <c r="G247" s="221">
        <f t="shared" si="32"/>
        <v>0</v>
      </c>
      <c r="H247" s="221">
        <f t="shared" si="33"/>
        <v>0</v>
      </c>
      <c r="I247" s="221">
        <f t="shared" si="30"/>
        <v>0</v>
      </c>
      <c r="J247" s="221">
        <f>DMHH!G223</f>
        <v>0</v>
      </c>
      <c r="K247" s="221">
        <f>DMHH!H223</f>
        <v>0</v>
      </c>
      <c r="L247" s="221">
        <f t="shared" si="34"/>
        <v>0</v>
      </c>
      <c r="M247" s="221">
        <f t="shared" si="35"/>
        <v>0</v>
      </c>
      <c r="N247" s="222"/>
      <c r="O247" s="234" t="str">
        <f t="shared" si="36"/>
        <v/>
      </c>
      <c r="P247" s="171"/>
    </row>
    <row r="248" spans="1:16" ht="15" hidden="1" customHeight="1">
      <c r="A248" s="171"/>
      <c r="B248" s="199">
        <f>IF(O248="",0,MAX($B$32:B247)+1)</f>
        <v>0</v>
      </c>
      <c r="C248" s="84">
        <f>DMHH!C224</f>
        <v>0</v>
      </c>
      <c r="D248" s="84">
        <f>DMHH!D224</f>
        <v>0</v>
      </c>
      <c r="E248" s="220">
        <f>DMHH!E224</f>
        <v>0</v>
      </c>
      <c r="F248" s="221">
        <f t="shared" si="31"/>
        <v>0</v>
      </c>
      <c r="G248" s="221">
        <f t="shared" si="32"/>
        <v>0</v>
      </c>
      <c r="H248" s="221">
        <f t="shared" si="33"/>
        <v>0</v>
      </c>
      <c r="I248" s="221">
        <f t="shared" si="30"/>
        <v>0</v>
      </c>
      <c r="J248" s="221">
        <f>DMHH!G224</f>
        <v>0</v>
      </c>
      <c r="K248" s="221">
        <f>DMHH!H224</f>
        <v>0</v>
      </c>
      <c r="L248" s="221">
        <f t="shared" si="34"/>
        <v>0</v>
      </c>
      <c r="M248" s="221">
        <f t="shared" si="35"/>
        <v>0</v>
      </c>
      <c r="N248" s="222"/>
      <c r="O248" s="234" t="str">
        <f t="shared" si="36"/>
        <v/>
      </c>
      <c r="P248" s="171"/>
    </row>
    <row r="249" spans="1:16" ht="15" hidden="1" customHeight="1">
      <c r="A249" s="171"/>
      <c r="B249" s="199">
        <f>IF(O249="",0,MAX($B$32:B248)+1)</f>
        <v>0</v>
      </c>
      <c r="C249" s="84">
        <f>DMHH!C225</f>
        <v>0</v>
      </c>
      <c r="D249" s="84">
        <f>DMHH!D225</f>
        <v>0</v>
      </c>
      <c r="E249" s="220">
        <f>DMHH!E225</f>
        <v>0</v>
      </c>
      <c r="F249" s="221">
        <f t="shared" si="31"/>
        <v>0</v>
      </c>
      <c r="G249" s="221">
        <f t="shared" si="32"/>
        <v>0</v>
      </c>
      <c r="H249" s="221">
        <f t="shared" si="33"/>
        <v>0</v>
      </c>
      <c r="I249" s="221">
        <f t="shared" si="30"/>
        <v>0</v>
      </c>
      <c r="J249" s="221">
        <f>DMHH!G225</f>
        <v>0</v>
      </c>
      <c r="K249" s="221">
        <f>DMHH!H225</f>
        <v>0</v>
      </c>
      <c r="L249" s="221">
        <f t="shared" si="34"/>
        <v>0</v>
      </c>
      <c r="M249" s="221">
        <f t="shared" si="35"/>
        <v>0</v>
      </c>
      <c r="N249" s="222"/>
      <c r="O249" s="234" t="str">
        <f t="shared" si="36"/>
        <v/>
      </c>
      <c r="P249" s="171"/>
    </row>
    <row r="250" spans="1:16" ht="15" hidden="1" customHeight="1">
      <c r="A250" s="171"/>
      <c r="B250" s="199">
        <f>IF(O250="",0,MAX($B$32:B249)+1)</f>
        <v>0</v>
      </c>
      <c r="C250" s="84">
        <f>DMHH!C226</f>
        <v>0</v>
      </c>
      <c r="D250" s="84">
        <f>DMHH!D226</f>
        <v>0</v>
      </c>
      <c r="E250" s="220">
        <f>DMHH!E226</f>
        <v>0</v>
      </c>
      <c r="F250" s="221">
        <f t="shared" si="31"/>
        <v>0</v>
      </c>
      <c r="G250" s="221">
        <f t="shared" si="32"/>
        <v>0</v>
      </c>
      <c r="H250" s="221">
        <f t="shared" si="33"/>
        <v>0</v>
      </c>
      <c r="I250" s="221">
        <f t="shared" si="30"/>
        <v>0</v>
      </c>
      <c r="J250" s="221">
        <f>DMHH!G226</f>
        <v>0</v>
      </c>
      <c r="K250" s="221">
        <f>DMHH!H226</f>
        <v>0</v>
      </c>
      <c r="L250" s="221">
        <f t="shared" si="34"/>
        <v>0</v>
      </c>
      <c r="M250" s="221">
        <f t="shared" si="35"/>
        <v>0</v>
      </c>
      <c r="N250" s="222"/>
      <c r="O250" s="234" t="str">
        <f t="shared" si="36"/>
        <v/>
      </c>
      <c r="P250" s="171"/>
    </row>
    <row r="251" spans="1:16" ht="15" hidden="1" customHeight="1">
      <c r="A251" s="171"/>
      <c r="B251" s="199">
        <f>IF(O251="",0,MAX($B$32:B250)+1)</f>
        <v>0</v>
      </c>
      <c r="C251" s="84">
        <f>DMHH!C227</f>
        <v>0</v>
      </c>
      <c r="D251" s="84">
        <f>DMHH!D227</f>
        <v>0</v>
      </c>
      <c r="E251" s="220">
        <f>DMHH!E227</f>
        <v>0</v>
      </c>
      <c r="F251" s="221">
        <f t="shared" si="31"/>
        <v>0</v>
      </c>
      <c r="G251" s="221">
        <f t="shared" si="32"/>
        <v>0</v>
      </c>
      <c r="H251" s="221">
        <f t="shared" si="33"/>
        <v>0</v>
      </c>
      <c r="I251" s="221">
        <f t="shared" si="30"/>
        <v>0</v>
      </c>
      <c r="J251" s="221">
        <f>DMHH!G227</f>
        <v>0</v>
      </c>
      <c r="K251" s="221">
        <f>DMHH!H227</f>
        <v>0</v>
      </c>
      <c r="L251" s="221">
        <f t="shared" si="34"/>
        <v>0</v>
      </c>
      <c r="M251" s="221">
        <f t="shared" si="35"/>
        <v>0</v>
      </c>
      <c r="N251" s="222"/>
      <c r="O251" s="234" t="str">
        <f t="shared" si="36"/>
        <v/>
      </c>
      <c r="P251" s="171"/>
    </row>
    <row r="252" spans="1:16" ht="15" hidden="1" customHeight="1">
      <c r="A252" s="171"/>
      <c r="B252" s="199">
        <f>IF(O252="",0,MAX($B$32:B251)+1)</f>
        <v>0</v>
      </c>
      <c r="C252" s="84">
        <f>DMHH!C228</f>
        <v>0</v>
      </c>
      <c r="D252" s="84">
        <f>DMHH!D228</f>
        <v>0</v>
      </c>
      <c r="E252" s="220">
        <f>DMHH!E228</f>
        <v>0</v>
      </c>
      <c r="F252" s="221">
        <f t="shared" si="31"/>
        <v>0</v>
      </c>
      <c r="G252" s="221">
        <f t="shared" si="32"/>
        <v>0</v>
      </c>
      <c r="H252" s="221">
        <f t="shared" si="33"/>
        <v>0</v>
      </c>
      <c r="I252" s="221">
        <f t="shared" si="30"/>
        <v>0</v>
      </c>
      <c r="J252" s="221">
        <f>DMHH!G228</f>
        <v>0</v>
      </c>
      <c r="K252" s="221">
        <f>DMHH!H228</f>
        <v>0</v>
      </c>
      <c r="L252" s="221">
        <f t="shared" si="34"/>
        <v>0</v>
      </c>
      <c r="M252" s="221">
        <f t="shared" si="35"/>
        <v>0</v>
      </c>
      <c r="N252" s="222"/>
      <c r="O252" s="234" t="str">
        <f t="shared" si="36"/>
        <v/>
      </c>
      <c r="P252" s="171"/>
    </row>
    <row r="253" spans="1:16" ht="15" hidden="1" customHeight="1">
      <c r="A253" s="171"/>
      <c r="B253" s="199">
        <f>IF(O253="",0,MAX($B$32:B252)+1)</f>
        <v>0</v>
      </c>
      <c r="C253" s="84">
        <f>DMHH!C229</f>
        <v>0</v>
      </c>
      <c r="D253" s="84">
        <f>DMHH!D229</f>
        <v>0</v>
      </c>
      <c r="E253" s="220">
        <f>DMHH!E229</f>
        <v>0</v>
      </c>
      <c r="F253" s="221">
        <f t="shared" si="31"/>
        <v>0</v>
      </c>
      <c r="G253" s="221">
        <f t="shared" si="32"/>
        <v>0</v>
      </c>
      <c r="H253" s="221">
        <f t="shared" si="33"/>
        <v>0</v>
      </c>
      <c r="I253" s="221">
        <f t="shared" si="30"/>
        <v>0</v>
      </c>
      <c r="J253" s="221">
        <f>DMHH!G229</f>
        <v>0</v>
      </c>
      <c r="K253" s="221">
        <f>DMHH!H229</f>
        <v>0</v>
      </c>
      <c r="L253" s="221">
        <f t="shared" si="34"/>
        <v>0</v>
      </c>
      <c r="M253" s="221">
        <f t="shared" si="35"/>
        <v>0</v>
      </c>
      <c r="N253" s="222"/>
      <c r="O253" s="234" t="str">
        <f t="shared" si="36"/>
        <v/>
      </c>
      <c r="P253" s="171"/>
    </row>
    <row r="254" spans="1:16" ht="15" hidden="1" customHeight="1">
      <c r="A254" s="171"/>
      <c r="B254" s="199">
        <f>IF(O254="",0,MAX($B$32:B253)+1)</f>
        <v>0</v>
      </c>
      <c r="C254" s="84">
        <f>DMHH!C230</f>
        <v>0</v>
      </c>
      <c r="D254" s="84">
        <f>DMHH!D230</f>
        <v>0</v>
      </c>
      <c r="E254" s="220">
        <f>DMHH!E230</f>
        <v>0</v>
      </c>
      <c r="F254" s="221">
        <f t="shared" si="31"/>
        <v>0</v>
      </c>
      <c r="G254" s="221">
        <f t="shared" si="32"/>
        <v>0</v>
      </c>
      <c r="H254" s="221">
        <f t="shared" si="33"/>
        <v>0</v>
      </c>
      <c r="I254" s="221">
        <f t="shared" si="30"/>
        <v>0</v>
      </c>
      <c r="J254" s="221">
        <f>DMHH!G230</f>
        <v>0</v>
      </c>
      <c r="K254" s="221">
        <f>DMHH!H230</f>
        <v>0</v>
      </c>
      <c r="L254" s="221">
        <f t="shared" si="34"/>
        <v>0</v>
      </c>
      <c r="M254" s="221">
        <f t="shared" si="35"/>
        <v>0</v>
      </c>
      <c r="N254" s="222"/>
      <c r="O254" s="234" t="str">
        <f t="shared" si="36"/>
        <v/>
      </c>
      <c r="P254" s="171"/>
    </row>
    <row r="255" spans="1:16" ht="15" hidden="1" customHeight="1">
      <c r="A255" s="171"/>
      <c r="B255" s="199">
        <f>IF(O255="",0,MAX($B$32:B254)+1)</f>
        <v>0</v>
      </c>
      <c r="C255" s="84">
        <f>DMHH!C231</f>
        <v>0</v>
      </c>
      <c r="D255" s="84">
        <f>DMHH!D231</f>
        <v>0</v>
      </c>
      <c r="E255" s="220">
        <f>DMHH!E231</f>
        <v>0</v>
      </c>
      <c r="F255" s="221">
        <f t="shared" si="31"/>
        <v>0</v>
      </c>
      <c r="G255" s="221">
        <f t="shared" si="32"/>
        <v>0</v>
      </c>
      <c r="H255" s="221">
        <f t="shared" si="33"/>
        <v>0</v>
      </c>
      <c r="I255" s="221">
        <f t="shared" si="30"/>
        <v>0</v>
      </c>
      <c r="J255" s="221">
        <f>DMHH!G231</f>
        <v>0</v>
      </c>
      <c r="K255" s="221">
        <f>DMHH!H231</f>
        <v>0</v>
      </c>
      <c r="L255" s="221">
        <f t="shared" si="34"/>
        <v>0</v>
      </c>
      <c r="M255" s="221">
        <f t="shared" si="35"/>
        <v>0</v>
      </c>
      <c r="N255" s="222"/>
      <c r="O255" s="234" t="str">
        <f t="shared" si="36"/>
        <v/>
      </c>
      <c r="P255" s="171"/>
    </row>
    <row r="256" spans="1:16" ht="15" hidden="1" customHeight="1">
      <c r="A256" s="171"/>
      <c r="B256" s="199">
        <f>IF(O256="",0,MAX($B$32:B255)+1)</f>
        <v>0</v>
      </c>
      <c r="C256" s="84">
        <f>DMHH!C232</f>
        <v>0</v>
      </c>
      <c r="D256" s="84">
        <f>DMHH!D232</f>
        <v>0</v>
      </c>
      <c r="E256" s="220">
        <f>DMHH!E232</f>
        <v>0</v>
      </c>
      <c r="F256" s="221">
        <f t="shared" si="31"/>
        <v>0</v>
      </c>
      <c r="G256" s="221">
        <f t="shared" si="32"/>
        <v>0</v>
      </c>
      <c r="H256" s="221">
        <f t="shared" si="33"/>
        <v>0</v>
      </c>
      <c r="I256" s="221">
        <f t="shared" si="30"/>
        <v>0</v>
      </c>
      <c r="J256" s="221">
        <f>DMHH!G232</f>
        <v>0</v>
      </c>
      <c r="K256" s="221">
        <f>DMHH!H232</f>
        <v>0</v>
      </c>
      <c r="L256" s="221">
        <f t="shared" si="34"/>
        <v>0</v>
      </c>
      <c r="M256" s="221">
        <f t="shared" si="35"/>
        <v>0</v>
      </c>
      <c r="N256" s="222"/>
      <c r="O256" s="234" t="str">
        <f t="shared" si="36"/>
        <v/>
      </c>
      <c r="P256" s="171"/>
    </row>
    <row r="257" spans="1:16" ht="15" hidden="1" customHeight="1">
      <c r="A257" s="171"/>
      <c r="B257" s="199">
        <f>IF(O257="",0,MAX($B$32:B256)+1)</f>
        <v>0</v>
      </c>
      <c r="C257" s="84">
        <f>DMHH!C233</f>
        <v>0</v>
      </c>
      <c r="D257" s="84">
        <f>DMHH!D233</f>
        <v>0</v>
      </c>
      <c r="E257" s="220">
        <f>DMHH!E233</f>
        <v>0</v>
      </c>
      <c r="F257" s="221">
        <f t="shared" si="31"/>
        <v>0</v>
      </c>
      <c r="G257" s="221">
        <f t="shared" si="32"/>
        <v>0</v>
      </c>
      <c r="H257" s="221">
        <f t="shared" si="33"/>
        <v>0</v>
      </c>
      <c r="I257" s="221">
        <f t="shared" si="30"/>
        <v>0</v>
      </c>
      <c r="J257" s="221">
        <f>DMHH!G233</f>
        <v>0</v>
      </c>
      <c r="K257" s="221">
        <f>DMHH!H233</f>
        <v>0</v>
      </c>
      <c r="L257" s="221">
        <f t="shared" si="34"/>
        <v>0</v>
      </c>
      <c r="M257" s="221">
        <f t="shared" si="35"/>
        <v>0</v>
      </c>
      <c r="N257" s="222"/>
      <c r="O257" s="234" t="str">
        <f t="shared" si="36"/>
        <v/>
      </c>
      <c r="P257" s="171"/>
    </row>
    <row r="258" spans="1:16" ht="15" hidden="1" customHeight="1">
      <c r="A258" s="171"/>
      <c r="B258" s="199">
        <f>IF(O258="",0,MAX($B$32:B257)+1)</f>
        <v>0</v>
      </c>
      <c r="C258" s="84">
        <f>DMHH!C234</f>
        <v>0</v>
      </c>
      <c r="D258" s="84">
        <f>DMHH!D234</f>
        <v>0</v>
      </c>
      <c r="E258" s="220">
        <f>DMHH!E234</f>
        <v>0</v>
      </c>
      <c r="F258" s="221">
        <f t="shared" si="31"/>
        <v>0</v>
      </c>
      <c r="G258" s="221">
        <f t="shared" si="32"/>
        <v>0</v>
      </c>
      <c r="H258" s="221">
        <f t="shared" si="33"/>
        <v>0</v>
      </c>
      <c r="I258" s="221">
        <f t="shared" si="30"/>
        <v>0</v>
      </c>
      <c r="J258" s="221">
        <f>DMHH!G234</f>
        <v>0</v>
      </c>
      <c r="K258" s="221">
        <f>DMHH!H234</f>
        <v>0</v>
      </c>
      <c r="L258" s="221">
        <f t="shared" si="34"/>
        <v>0</v>
      </c>
      <c r="M258" s="221">
        <f t="shared" si="35"/>
        <v>0</v>
      </c>
      <c r="N258" s="222"/>
      <c r="O258" s="234" t="str">
        <f t="shared" si="36"/>
        <v/>
      </c>
      <c r="P258" s="171"/>
    </row>
    <row r="259" spans="1:16" ht="15" hidden="1" customHeight="1">
      <c r="A259" s="171"/>
      <c r="B259" s="199">
        <f>IF(O259="",0,MAX($B$32:B258)+1)</f>
        <v>0</v>
      </c>
      <c r="C259" s="84">
        <f>DMHH!C235</f>
        <v>0</v>
      </c>
      <c r="D259" s="84">
        <f>DMHH!D235</f>
        <v>0</v>
      </c>
      <c r="E259" s="220">
        <f>DMHH!E235</f>
        <v>0</v>
      </c>
      <c r="F259" s="221">
        <f t="shared" si="31"/>
        <v>0</v>
      </c>
      <c r="G259" s="221">
        <f t="shared" si="32"/>
        <v>0</v>
      </c>
      <c r="H259" s="221">
        <f t="shared" si="33"/>
        <v>0</v>
      </c>
      <c r="I259" s="221">
        <f t="shared" si="30"/>
        <v>0</v>
      </c>
      <c r="J259" s="221">
        <f>DMHH!G235</f>
        <v>0</v>
      </c>
      <c r="K259" s="221">
        <f>DMHH!H235</f>
        <v>0</v>
      </c>
      <c r="L259" s="221">
        <f t="shared" si="34"/>
        <v>0</v>
      </c>
      <c r="M259" s="221">
        <f t="shared" si="35"/>
        <v>0</v>
      </c>
      <c r="N259" s="222"/>
      <c r="O259" s="234" t="str">
        <f t="shared" si="36"/>
        <v/>
      </c>
      <c r="P259" s="171"/>
    </row>
    <row r="260" spans="1:16" ht="15" hidden="1" customHeight="1">
      <c r="A260" s="171"/>
      <c r="B260" s="199">
        <f>IF(O260="",0,MAX($B$32:B259)+1)</f>
        <v>0</v>
      </c>
      <c r="C260" s="84">
        <f>DMHH!C236</f>
        <v>0</v>
      </c>
      <c r="D260" s="84">
        <f>DMHH!D236</f>
        <v>0</v>
      </c>
      <c r="E260" s="220">
        <f>DMHH!E236</f>
        <v>0</v>
      </c>
      <c r="F260" s="221">
        <f t="shared" si="31"/>
        <v>0</v>
      </c>
      <c r="G260" s="221">
        <f t="shared" si="32"/>
        <v>0</v>
      </c>
      <c r="H260" s="221">
        <f t="shared" si="33"/>
        <v>0</v>
      </c>
      <c r="I260" s="221">
        <f t="shared" si="30"/>
        <v>0</v>
      </c>
      <c r="J260" s="221">
        <f>DMHH!G236</f>
        <v>0</v>
      </c>
      <c r="K260" s="221">
        <f>DMHH!H236</f>
        <v>0</v>
      </c>
      <c r="L260" s="221">
        <f t="shared" si="34"/>
        <v>0</v>
      </c>
      <c r="M260" s="221">
        <f t="shared" si="35"/>
        <v>0</v>
      </c>
      <c r="N260" s="222"/>
      <c r="O260" s="234" t="str">
        <f t="shared" si="36"/>
        <v/>
      </c>
      <c r="P260" s="171"/>
    </row>
    <row r="261" spans="1:16" ht="15" hidden="1" customHeight="1">
      <c r="A261" s="171"/>
      <c r="B261" s="199">
        <f>IF(O261="",0,MAX($B$32:B260)+1)</f>
        <v>0</v>
      </c>
      <c r="C261" s="84">
        <f>DMHH!C237</f>
        <v>0</v>
      </c>
      <c r="D261" s="84">
        <f>DMHH!D237</f>
        <v>0</v>
      </c>
      <c r="E261" s="220">
        <f>DMHH!E237</f>
        <v>0</v>
      </c>
      <c r="F261" s="221">
        <f t="shared" si="31"/>
        <v>0</v>
      </c>
      <c r="G261" s="221">
        <f t="shared" si="32"/>
        <v>0</v>
      </c>
      <c r="H261" s="221">
        <f t="shared" si="33"/>
        <v>0</v>
      </c>
      <c r="I261" s="221">
        <f t="shared" si="30"/>
        <v>0</v>
      </c>
      <c r="J261" s="221">
        <f>DMHH!G237</f>
        <v>0</v>
      </c>
      <c r="K261" s="221">
        <f>DMHH!H237</f>
        <v>0</v>
      </c>
      <c r="L261" s="221">
        <f t="shared" si="34"/>
        <v>0</v>
      </c>
      <c r="M261" s="221">
        <f t="shared" si="35"/>
        <v>0</v>
      </c>
      <c r="N261" s="222"/>
      <c r="O261" s="234" t="str">
        <f t="shared" si="36"/>
        <v/>
      </c>
      <c r="P261" s="171"/>
    </row>
    <row r="262" spans="1:16" ht="15" hidden="1" customHeight="1">
      <c r="A262" s="171"/>
      <c r="B262" s="199">
        <f>IF(O262="",0,MAX($B$32:B261)+1)</f>
        <v>0</v>
      </c>
      <c r="C262" s="84">
        <f>DMHH!C238</f>
        <v>0</v>
      </c>
      <c r="D262" s="84">
        <f>DMHH!D238</f>
        <v>0</v>
      </c>
      <c r="E262" s="220">
        <f>DMHH!E238</f>
        <v>0</v>
      </c>
      <c r="F262" s="221">
        <f t="shared" si="31"/>
        <v>0</v>
      </c>
      <c r="G262" s="221">
        <f t="shared" si="32"/>
        <v>0</v>
      </c>
      <c r="H262" s="221">
        <f t="shared" si="33"/>
        <v>0</v>
      </c>
      <c r="I262" s="221">
        <f t="shared" si="30"/>
        <v>0</v>
      </c>
      <c r="J262" s="221">
        <f>DMHH!G238</f>
        <v>0</v>
      </c>
      <c r="K262" s="221">
        <f>DMHH!H238</f>
        <v>0</v>
      </c>
      <c r="L262" s="221">
        <f t="shared" si="34"/>
        <v>0</v>
      </c>
      <c r="M262" s="221">
        <f t="shared" si="35"/>
        <v>0</v>
      </c>
      <c r="N262" s="222"/>
      <c r="O262" s="234" t="str">
        <f t="shared" si="36"/>
        <v/>
      </c>
      <c r="P262" s="171"/>
    </row>
    <row r="263" spans="1:16" ht="15" hidden="1" customHeight="1">
      <c r="A263" s="171"/>
      <c r="B263" s="199">
        <f>IF(O263="",0,MAX($B$32:B262)+1)</f>
        <v>0</v>
      </c>
      <c r="C263" s="84">
        <f>DMHH!C239</f>
        <v>0</v>
      </c>
      <c r="D263" s="84">
        <f>DMHH!D239</f>
        <v>0</v>
      </c>
      <c r="E263" s="220">
        <f>DMHH!E239</f>
        <v>0</v>
      </c>
      <c r="F263" s="221">
        <f t="shared" si="31"/>
        <v>0</v>
      </c>
      <c r="G263" s="221">
        <f t="shared" si="32"/>
        <v>0</v>
      </c>
      <c r="H263" s="221">
        <f t="shared" si="33"/>
        <v>0</v>
      </c>
      <c r="I263" s="221">
        <f t="shared" si="30"/>
        <v>0</v>
      </c>
      <c r="J263" s="221">
        <f>DMHH!G239</f>
        <v>0</v>
      </c>
      <c r="K263" s="221">
        <f>DMHH!H239</f>
        <v>0</v>
      </c>
      <c r="L263" s="221">
        <f t="shared" si="34"/>
        <v>0</v>
      </c>
      <c r="M263" s="221">
        <f t="shared" si="35"/>
        <v>0</v>
      </c>
      <c r="N263" s="222"/>
      <c r="O263" s="234" t="str">
        <f t="shared" si="36"/>
        <v/>
      </c>
      <c r="P263" s="171"/>
    </row>
    <row r="264" spans="1:16" ht="15" hidden="1" customHeight="1">
      <c r="A264" s="171"/>
      <c r="B264" s="199">
        <f>IF(O264="",0,MAX($B$32:B263)+1)</f>
        <v>0</v>
      </c>
      <c r="C264" s="84">
        <f>DMHH!C240</f>
        <v>0</v>
      </c>
      <c r="D264" s="84">
        <f>DMHH!D240</f>
        <v>0</v>
      </c>
      <c r="E264" s="220">
        <f>DMHH!E240</f>
        <v>0</v>
      </c>
      <c r="F264" s="221">
        <f t="shared" si="31"/>
        <v>0</v>
      </c>
      <c r="G264" s="221">
        <f t="shared" si="32"/>
        <v>0</v>
      </c>
      <c r="H264" s="221">
        <f t="shared" si="33"/>
        <v>0</v>
      </c>
      <c r="I264" s="221">
        <f t="shared" si="30"/>
        <v>0</v>
      </c>
      <c r="J264" s="221">
        <f>DMHH!G240</f>
        <v>0</v>
      </c>
      <c r="K264" s="221">
        <f>DMHH!H240</f>
        <v>0</v>
      </c>
      <c r="L264" s="221">
        <f t="shared" si="34"/>
        <v>0</v>
      </c>
      <c r="M264" s="221">
        <f t="shared" si="35"/>
        <v>0</v>
      </c>
      <c r="N264" s="222"/>
      <c r="O264" s="234" t="str">
        <f t="shared" si="36"/>
        <v/>
      </c>
      <c r="P264" s="171"/>
    </row>
    <row r="265" spans="1:16" ht="15" hidden="1" customHeight="1">
      <c r="A265" s="171"/>
      <c r="B265" s="199">
        <f>IF(O265="",0,MAX($B$32:B264)+1)</f>
        <v>0</v>
      </c>
      <c r="C265" s="84">
        <f>DMHH!C241</f>
        <v>0</v>
      </c>
      <c r="D265" s="84">
        <f>DMHH!D241</f>
        <v>0</v>
      </c>
      <c r="E265" s="220">
        <f>DMHH!E241</f>
        <v>0</v>
      </c>
      <c r="F265" s="221">
        <f t="shared" si="31"/>
        <v>0</v>
      </c>
      <c r="G265" s="221">
        <f t="shared" si="32"/>
        <v>0</v>
      </c>
      <c r="H265" s="221">
        <f t="shared" si="33"/>
        <v>0</v>
      </c>
      <c r="I265" s="221">
        <f t="shared" si="30"/>
        <v>0</v>
      </c>
      <c r="J265" s="221">
        <f>DMHH!G241</f>
        <v>0</v>
      </c>
      <c r="K265" s="221">
        <f>DMHH!H241</f>
        <v>0</v>
      </c>
      <c r="L265" s="221">
        <f t="shared" si="34"/>
        <v>0</v>
      </c>
      <c r="M265" s="221">
        <f t="shared" si="35"/>
        <v>0</v>
      </c>
      <c r="N265" s="222"/>
      <c r="O265" s="234" t="str">
        <f t="shared" si="36"/>
        <v/>
      </c>
      <c r="P265" s="171"/>
    </row>
    <row r="266" spans="1:16" ht="15" hidden="1" customHeight="1">
      <c r="A266" s="171"/>
      <c r="B266" s="199">
        <f>IF(O266="",0,MAX($B$32:B265)+1)</f>
        <v>0</v>
      </c>
      <c r="C266" s="84">
        <f>DMHH!C242</f>
        <v>0</v>
      </c>
      <c r="D266" s="84">
        <f>DMHH!D242</f>
        <v>0</v>
      </c>
      <c r="E266" s="220">
        <f>DMHH!E242</f>
        <v>0</v>
      </c>
      <c r="F266" s="221">
        <f t="shared" si="31"/>
        <v>0</v>
      </c>
      <c r="G266" s="221">
        <f t="shared" si="32"/>
        <v>0</v>
      </c>
      <c r="H266" s="221">
        <f t="shared" si="33"/>
        <v>0</v>
      </c>
      <c r="I266" s="221">
        <f t="shared" si="30"/>
        <v>0</v>
      </c>
      <c r="J266" s="221">
        <f>DMHH!G242</f>
        <v>0</v>
      </c>
      <c r="K266" s="221">
        <f>DMHH!H242</f>
        <v>0</v>
      </c>
      <c r="L266" s="221">
        <f t="shared" si="34"/>
        <v>0</v>
      </c>
      <c r="M266" s="221">
        <f t="shared" si="35"/>
        <v>0</v>
      </c>
      <c r="N266" s="222"/>
      <c r="O266" s="234" t="str">
        <f t="shared" si="36"/>
        <v/>
      </c>
      <c r="P266" s="171"/>
    </row>
    <row r="267" spans="1:16" ht="15" hidden="1" customHeight="1">
      <c r="A267" s="171"/>
      <c r="B267" s="199">
        <f>IF(O267="",0,MAX($B$32:B266)+1)</f>
        <v>0</v>
      </c>
      <c r="C267" s="84">
        <f>DMHH!C243</f>
        <v>0</v>
      </c>
      <c r="D267" s="84">
        <f>DMHH!D243</f>
        <v>0</v>
      </c>
      <c r="E267" s="220">
        <f>DMHH!E243</f>
        <v>0</v>
      </c>
      <c r="F267" s="221">
        <f t="shared" si="31"/>
        <v>0</v>
      </c>
      <c r="G267" s="221">
        <f t="shared" si="32"/>
        <v>0</v>
      </c>
      <c r="H267" s="221">
        <f t="shared" si="33"/>
        <v>0</v>
      </c>
      <c r="I267" s="221">
        <f t="shared" si="30"/>
        <v>0</v>
      </c>
      <c r="J267" s="221">
        <f>DMHH!G243</f>
        <v>0</v>
      </c>
      <c r="K267" s="221">
        <f>DMHH!H243</f>
        <v>0</v>
      </c>
      <c r="L267" s="221">
        <f t="shared" si="34"/>
        <v>0</v>
      </c>
      <c r="M267" s="221">
        <f t="shared" si="35"/>
        <v>0</v>
      </c>
      <c r="N267" s="222"/>
      <c r="O267" s="234" t="str">
        <f t="shared" si="36"/>
        <v/>
      </c>
      <c r="P267" s="171"/>
    </row>
    <row r="268" spans="1:16" ht="15" hidden="1" customHeight="1">
      <c r="A268" s="171"/>
      <c r="B268" s="199">
        <f>IF(O268="",0,MAX($B$32:B267)+1)</f>
        <v>0</v>
      </c>
      <c r="C268" s="84">
        <f>DMHH!C244</f>
        <v>0</v>
      </c>
      <c r="D268" s="84">
        <f>DMHH!D244</f>
        <v>0</v>
      </c>
      <c r="E268" s="220">
        <f>DMHH!E244</f>
        <v>0</v>
      </c>
      <c r="F268" s="221">
        <f t="shared" si="31"/>
        <v>0</v>
      </c>
      <c r="G268" s="221">
        <f t="shared" si="32"/>
        <v>0</v>
      </c>
      <c r="H268" s="221">
        <f t="shared" si="33"/>
        <v>0</v>
      </c>
      <c r="I268" s="221">
        <f t="shared" si="30"/>
        <v>0</v>
      </c>
      <c r="J268" s="221">
        <f>DMHH!G244</f>
        <v>0</v>
      </c>
      <c r="K268" s="221">
        <f>DMHH!H244</f>
        <v>0</v>
      </c>
      <c r="L268" s="221">
        <f t="shared" si="34"/>
        <v>0</v>
      </c>
      <c r="M268" s="221">
        <f t="shared" si="35"/>
        <v>0</v>
      </c>
      <c r="N268" s="222"/>
      <c r="O268" s="234" t="str">
        <f t="shared" si="36"/>
        <v/>
      </c>
      <c r="P268" s="171"/>
    </row>
    <row r="269" spans="1:16" ht="15" hidden="1" customHeight="1">
      <c r="A269" s="171"/>
      <c r="B269" s="199">
        <f>IF(O269="",0,MAX($B$32:B268)+1)</f>
        <v>0</v>
      </c>
      <c r="C269" s="84">
        <f>DMHH!C245</f>
        <v>0</v>
      </c>
      <c r="D269" s="84">
        <f>DMHH!D245</f>
        <v>0</v>
      </c>
      <c r="E269" s="220">
        <f>DMHH!E245</f>
        <v>0</v>
      </c>
      <c r="F269" s="221">
        <f t="shared" si="31"/>
        <v>0</v>
      </c>
      <c r="G269" s="221">
        <f t="shared" si="32"/>
        <v>0</v>
      </c>
      <c r="H269" s="221">
        <f t="shared" si="33"/>
        <v>0</v>
      </c>
      <c r="I269" s="221">
        <f t="shared" si="30"/>
        <v>0</v>
      </c>
      <c r="J269" s="221">
        <f>DMHH!G245</f>
        <v>0</v>
      </c>
      <c r="K269" s="221">
        <f>DMHH!H245</f>
        <v>0</v>
      </c>
      <c r="L269" s="221">
        <f t="shared" si="34"/>
        <v>0</v>
      </c>
      <c r="M269" s="221">
        <f t="shared" si="35"/>
        <v>0</v>
      </c>
      <c r="N269" s="222"/>
      <c r="O269" s="234" t="str">
        <f t="shared" si="36"/>
        <v/>
      </c>
      <c r="P269" s="171"/>
    </row>
    <row r="270" spans="1:16" ht="15" hidden="1" customHeight="1">
      <c r="A270" s="171"/>
      <c r="B270" s="199">
        <f>IF(O270="",0,MAX($B$32:B269)+1)</f>
        <v>0</v>
      </c>
      <c r="C270" s="84">
        <f>DMHH!C246</f>
        <v>0</v>
      </c>
      <c r="D270" s="84">
        <f>DMHH!D246</f>
        <v>0</v>
      </c>
      <c r="E270" s="220">
        <f>DMHH!E246</f>
        <v>0</v>
      </c>
      <c r="F270" s="221">
        <f t="shared" si="31"/>
        <v>0</v>
      </c>
      <c r="G270" s="221">
        <f t="shared" si="32"/>
        <v>0</v>
      </c>
      <c r="H270" s="221">
        <f t="shared" si="33"/>
        <v>0</v>
      </c>
      <c r="I270" s="221">
        <f t="shared" si="30"/>
        <v>0</v>
      </c>
      <c r="J270" s="221">
        <f>DMHH!G246</f>
        <v>0</v>
      </c>
      <c r="K270" s="221">
        <f>DMHH!H246</f>
        <v>0</v>
      </c>
      <c r="L270" s="221">
        <f t="shared" si="34"/>
        <v>0</v>
      </c>
      <c r="M270" s="221">
        <f t="shared" si="35"/>
        <v>0</v>
      </c>
      <c r="N270" s="222"/>
      <c r="O270" s="234" t="str">
        <f t="shared" si="36"/>
        <v/>
      </c>
      <c r="P270" s="171"/>
    </row>
    <row r="271" spans="1:16" ht="15" hidden="1" customHeight="1">
      <c r="A271" s="171"/>
      <c r="B271" s="199">
        <f>IF(O271="",0,MAX($B$32:B270)+1)</f>
        <v>0</v>
      </c>
      <c r="C271" s="84">
        <f>DMHH!C247</f>
        <v>0</v>
      </c>
      <c r="D271" s="84">
        <f>DMHH!D247</f>
        <v>0</v>
      </c>
      <c r="E271" s="220">
        <f>DMHH!E247</f>
        <v>0</v>
      </c>
      <c r="F271" s="221">
        <f t="shared" si="31"/>
        <v>0</v>
      </c>
      <c r="G271" s="221">
        <f t="shared" si="32"/>
        <v>0</v>
      </c>
      <c r="H271" s="221">
        <f t="shared" si="33"/>
        <v>0</v>
      </c>
      <c r="I271" s="221">
        <f t="shared" si="30"/>
        <v>0</v>
      </c>
      <c r="J271" s="221">
        <f>DMHH!G247</f>
        <v>0</v>
      </c>
      <c r="K271" s="221">
        <f>DMHH!H247</f>
        <v>0</v>
      </c>
      <c r="L271" s="221">
        <f t="shared" si="34"/>
        <v>0</v>
      </c>
      <c r="M271" s="221">
        <f t="shared" si="35"/>
        <v>0</v>
      </c>
      <c r="N271" s="222"/>
      <c r="O271" s="234" t="str">
        <f t="shared" si="36"/>
        <v/>
      </c>
      <c r="P271" s="171"/>
    </row>
    <row r="272" spans="1:16" ht="15" hidden="1" customHeight="1">
      <c r="A272" s="171"/>
      <c r="B272" s="199">
        <f>IF(O272="",0,MAX($B$32:B271)+1)</f>
        <v>0</v>
      </c>
      <c r="C272" s="84">
        <f>DMHH!C248</f>
        <v>0</v>
      </c>
      <c r="D272" s="84">
        <f>DMHH!D248</f>
        <v>0</v>
      </c>
      <c r="E272" s="220">
        <f>DMHH!E248</f>
        <v>0</v>
      </c>
      <c r="F272" s="221">
        <f t="shared" si="31"/>
        <v>0</v>
      </c>
      <c r="G272" s="221">
        <f t="shared" si="32"/>
        <v>0</v>
      </c>
      <c r="H272" s="221">
        <f t="shared" si="33"/>
        <v>0</v>
      </c>
      <c r="I272" s="221">
        <f t="shared" si="30"/>
        <v>0</v>
      </c>
      <c r="J272" s="221">
        <f>DMHH!G248</f>
        <v>0</v>
      </c>
      <c r="K272" s="221">
        <f>DMHH!H248</f>
        <v>0</v>
      </c>
      <c r="L272" s="221">
        <f t="shared" si="34"/>
        <v>0</v>
      </c>
      <c r="M272" s="221">
        <f t="shared" si="35"/>
        <v>0</v>
      </c>
      <c r="N272" s="222"/>
      <c r="O272" s="234" t="str">
        <f t="shared" si="36"/>
        <v/>
      </c>
      <c r="P272" s="171"/>
    </row>
    <row r="273" spans="1:16" ht="15" hidden="1" customHeight="1">
      <c r="A273" s="171"/>
      <c r="B273" s="199">
        <f>IF(O273="",0,MAX($B$32:B272)+1)</f>
        <v>0</v>
      </c>
      <c r="C273" s="84">
        <f>DMHH!C249</f>
        <v>0</v>
      </c>
      <c r="D273" s="84">
        <f>DMHH!D249</f>
        <v>0</v>
      </c>
      <c r="E273" s="220">
        <f>DMHH!E249</f>
        <v>0</v>
      </c>
      <c r="F273" s="221">
        <f t="shared" si="31"/>
        <v>0</v>
      </c>
      <c r="G273" s="221">
        <f t="shared" si="32"/>
        <v>0</v>
      </c>
      <c r="H273" s="221">
        <f t="shared" si="33"/>
        <v>0</v>
      </c>
      <c r="I273" s="221">
        <f t="shared" si="30"/>
        <v>0</v>
      </c>
      <c r="J273" s="221">
        <f>DMHH!G249</f>
        <v>0</v>
      </c>
      <c r="K273" s="221">
        <f>DMHH!H249</f>
        <v>0</v>
      </c>
      <c r="L273" s="221">
        <f t="shared" si="34"/>
        <v>0</v>
      </c>
      <c r="M273" s="221">
        <f t="shared" si="35"/>
        <v>0</v>
      </c>
      <c r="N273" s="222"/>
      <c r="O273" s="234" t="str">
        <f t="shared" si="36"/>
        <v/>
      </c>
      <c r="P273" s="171"/>
    </row>
    <row r="274" spans="1:16" ht="15" hidden="1" customHeight="1">
      <c r="A274" s="171"/>
      <c r="B274" s="199">
        <f>IF(O274="",0,MAX($B$32:B273)+1)</f>
        <v>0</v>
      </c>
      <c r="C274" s="84">
        <f>DMHH!C250</f>
        <v>0</v>
      </c>
      <c r="D274" s="84">
        <f>DMHH!D250</f>
        <v>0</v>
      </c>
      <c r="E274" s="220">
        <f>DMHH!E250</f>
        <v>0</v>
      </c>
      <c r="F274" s="221">
        <f t="shared" si="31"/>
        <v>0</v>
      </c>
      <c r="G274" s="221">
        <f t="shared" si="32"/>
        <v>0</v>
      </c>
      <c r="H274" s="221">
        <f t="shared" si="33"/>
        <v>0</v>
      </c>
      <c r="I274" s="221">
        <f t="shared" si="30"/>
        <v>0</v>
      </c>
      <c r="J274" s="221">
        <f>DMHH!G250</f>
        <v>0</v>
      </c>
      <c r="K274" s="221">
        <f>DMHH!H250</f>
        <v>0</v>
      </c>
      <c r="L274" s="221">
        <f t="shared" si="34"/>
        <v>0</v>
      </c>
      <c r="M274" s="221">
        <f t="shared" si="35"/>
        <v>0</v>
      </c>
      <c r="N274" s="222"/>
      <c r="O274" s="234" t="str">
        <f t="shared" si="36"/>
        <v/>
      </c>
      <c r="P274" s="171"/>
    </row>
    <row r="275" spans="1:16" ht="15" hidden="1" customHeight="1">
      <c r="A275" s="171"/>
      <c r="B275" s="199">
        <f>IF(O275="",0,MAX($B$32:B274)+1)</f>
        <v>0</v>
      </c>
      <c r="C275" s="84">
        <f>DMHH!C251</f>
        <v>0</v>
      </c>
      <c r="D275" s="84">
        <f>DMHH!D251</f>
        <v>0</v>
      </c>
      <c r="E275" s="220">
        <f>DMHH!E251</f>
        <v>0</v>
      </c>
      <c r="F275" s="221">
        <f t="shared" si="31"/>
        <v>0</v>
      </c>
      <c r="G275" s="221">
        <f t="shared" si="32"/>
        <v>0</v>
      </c>
      <c r="H275" s="221">
        <f t="shared" si="33"/>
        <v>0</v>
      </c>
      <c r="I275" s="221">
        <f t="shared" si="30"/>
        <v>0</v>
      </c>
      <c r="J275" s="221">
        <f>DMHH!G251</f>
        <v>0</v>
      </c>
      <c r="K275" s="221">
        <f>DMHH!H251</f>
        <v>0</v>
      </c>
      <c r="L275" s="221">
        <f t="shared" si="34"/>
        <v>0</v>
      </c>
      <c r="M275" s="221">
        <f t="shared" si="35"/>
        <v>0</v>
      </c>
      <c r="N275" s="222"/>
      <c r="O275" s="234" t="str">
        <f t="shared" si="36"/>
        <v/>
      </c>
      <c r="P275" s="171"/>
    </row>
    <row r="276" spans="1:16" ht="15" hidden="1" customHeight="1">
      <c r="A276" s="171"/>
      <c r="B276" s="199">
        <f>IF(O276="",0,MAX($B$32:B275)+1)</f>
        <v>0</v>
      </c>
      <c r="C276" s="84">
        <f>DMHH!C252</f>
        <v>0</v>
      </c>
      <c r="D276" s="84">
        <f>DMHH!D252</f>
        <v>0</v>
      </c>
      <c r="E276" s="220">
        <f>DMHH!E252</f>
        <v>0</v>
      </c>
      <c r="F276" s="221">
        <f t="shared" si="31"/>
        <v>0</v>
      </c>
      <c r="G276" s="221">
        <f t="shared" si="32"/>
        <v>0</v>
      </c>
      <c r="H276" s="221">
        <f t="shared" si="33"/>
        <v>0</v>
      </c>
      <c r="I276" s="221">
        <f t="shared" si="30"/>
        <v>0</v>
      </c>
      <c r="J276" s="221">
        <f>DMHH!G252</f>
        <v>0</v>
      </c>
      <c r="K276" s="221">
        <f>DMHH!H252</f>
        <v>0</v>
      </c>
      <c r="L276" s="221">
        <f t="shared" si="34"/>
        <v>0</v>
      </c>
      <c r="M276" s="221">
        <f t="shared" si="35"/>
        <v>0</v>
      </c>
      <c r="N276" s="222"/>
      <c r="O276" s="234" t="str">
        <f t="shared" si="36"/>
        <v/>
      </c>
      <c r="P276" s="171"/>
    </row>
    <row r="277" spans="1:16" ht="15" hidden="1" customHeight="1">
      <c r="A277" s="171"/>
      <c r="B277" s="199">
        <f>IF(O277="",0,MAX($B$32:B276)+1)</f>
        <v>0</v>
      </c>
      <c r="C277" s="84">
        <f>DMHH!C253</f>
        <v>0</v>
      </c>
      <c r="D277" s="84">
        <f>DMHH!D253</f>
        <v>0</v>
      </c>
      <c r="E277" s="220">
        <f>DMHH!E253</f>
        <v>0</v>
      </c>
      <c r="F277" s="221">
        <f t="shared" si="31"/>
        <v>0</v>
      </c>
      <c r="G277" s="221">
        <f t="shared" si="32"/>
        <v>0</v>
      </c>
      <c r="H277" s="221">
        <f t="shared" si="33"/>
        <v>0</v>
      </c>
      <c r="I277" s="221">
        <f t="shared" si="30"/>
        <v>0</v>
      </c>
      <c r="J277" s="221">
        <f>DMHH!G253</f>
        <v>0</v>
      </c>
      <c r="K277" s="221">
        <f>DMHH!H253</f>
        <v>0</v>
      </c>
      <c r="L277" s="221">
        <f t="shared" si="34"/>
        <v>0</v>
      </c>
      <c r="M277" s="221">
        <f t="shared" si="35"/>
        <v>0</v>
      </c>
      <c r="N277" s="222"/>
      <c r="O277" s="234" t="str">
        <f t="shared" si="36"/>
        <v/>
      </c>
      <c r="P277" s="171"/>
    </row>
    <row r="278" spans="1:16" ht="15" hidden="1" customHeight="1">
      <c r="A278" s="171"/>
      <c r="B278" s="199">
        <f>IF(O278="",0,MAX($B$32:B277)+1)</f>
        <v>0</v>
      </c>
      <c r="C278" s="84">
        <f>DMHH!C254</f>
        <v>0</v>
      </c>
      <c r="D278" s="84">
        <f>DMHH!D254</f>
        <v>0</v>
      </c>
      <c r="E278" s="220">
        <f>DMHH!E254</f>
        <v>0</v>
      </c>
      <c r="F278" s="221">
        <f t="shared" si="31"/>
        <v>0</v>
      </c>
      <c r="G278" s="221">
        <f t="shared" si="32"/>
        <v>0</v>
      </c>
      <c r="H278" s="221">
        <f t="shared" si="33"/>
        <v>0</v>
      </c>
      <c r="I278" s="221">
        <f t="shared" si="30"/>
        <v>0</v>
      </c>
      <c r="J278" s="221">
        <f>DMHH!G254</f>
        <v>0</v>
      </c>
      <c r="K278" s="221">
        <f>DMHH!H254</f>
        <v>0</v>
      </c>
      <c r="L278" s="221">
        <f t="shared" si="34"/>
        <v>0</v>
      </c>
      <c r="M278" s="221">
        <f t="shared" si="35"/>
        <v>0</v>
      </c>
      <c r="N278" s="222"/>
      <c r="O278" s="234" t="str">
        <f t="shared" si="36"/>
        <v/>
      </c>
      <c r="P278" s="171"/>
    </row>
    <row r="279" spans="1:16" ht="15" hidden="1" customHeight="1">
      <c r="A279" s="171"/>
      <c r="B279" s="199">
        <f>IF(O279="",0,MAX($B$32:B278)+1)</f>
        <v>0</v>
      </c>
      <c r="C279" s="84">
        <f>DMHH!C255</f>
        <v>0</v>
      </c>
      <c r="D279" s="84">
        <f>DMHH!D255</f>
        <v>0</v>
      </c>
      <c r="E279" s="220">
        <f>DMHH!E255</f>
        <v>0</v>
      </c>
      <c r="F279" s="221">
        <f t="shared" si="31"/>
        <v>0</v>
      </c>
      <c r="G279" s="221">
        <f t="shared" si="32"/>
        <v>0</v>
      </c>
      <c r="H279" s="221">
        <f t="shared" si="33"/>
        <v>0</v>
      </c>
      <c r="I279" s="221">
        <f t="shared" si="30"/>
        <v>0</v>
      </c>
      <c r="J279" s="221">
        <f>DMHH!G255</f>
        <v>0</v>
      </c>
      <c r="K279" s="221">
        <f>DMHH!H255</f>
        <v>0</v>
      </c>
      <c r="L279" s="221">
        <f t="shared" si="34"/>
        <v>0</v>
      </c>
      <c r="M279" s="221">
        <f t="shared" si="35"/>
        <v>0</v>
      </c>
      <c r="N279" s="222"/>
      <c r="O279" s="234" t="str">
        <f t="shared" si="36"/>
        <v/>
      </c>
      <c r="P279" s="171"/>
    </row>
    <row r="280" spans="1:16" ht="15" hidden="1" customHeight="1">
      <c r="A280" s="171"/>
      <c r="B280" s="199">
        <f>IF(O280="",0,MAX($B$32:B279)+1)</f>
        <v>0</v>
      </c>
      <c r="C280" s="84">
        <f>DMHH!C256</f>
        <v>0</v>
      </c>
      <c r="D280" s="84">
        <f>DMHH!D256</f>
        <v>0</v>
      </c>
      <c r="E280" s="220">
        <f>DMHH!E256</f>
        <v>0</v>
      </c>
      <c r="F280" s="221">
        <f t="shared" si="31"/>
        <v>0</v>
      </c>
      <c r="G280" s="221">
        <f t="shared" si="32"/>
        <v>0</v>
      </c>
      <c r="H280" s="221">
        <f t="shared" si="33"/>
        <v>0</v>
      </c>
      <c r="I280" s="221">
        <f t="shared" si="30"/>
        <v>0</v>
      </c>
      <c r="J280" s="221">
        <f>DMHH!G256</f>
        <v>0</v>
      </c>
      <c r="K280" s="221">
        <f>DMHH!H256</f>
        <v>0</v>
      </c>
      <c r="L280" s="221">
        <f t="shared" si="34"/>
        <v>0</v>
      </c>
      <c r="M280" s="221">
        <f t="shared" si="35"/>
        <v>0</v>
      </c>
      <c r="N280" s="222"/>
      <c r="O280" s="234" t="str">
        <f t="shared" si="36"/>
        <v/>
      </c>
      <c r="P280" s="171"/>
    </row>
    <row r="281" spans="1:16" ht="15" hidden="1" customHeight="1">
      <c r="A281" s="171"/>
      <c r="B281" s="199">
        <f>IF(O281="",0,MAX($B$32:B280)+1)</f>
        <v>0</v>
      </c>
      <c r="C281" s="84">
        <f>DMHH!C257</f>
        <v>0</v>
      </c>
      <c r="D281" s="84">
        <f>DMHH!D257</f>
        <v>0</v>
      </c>
      <c r="E281" s="220">
        <f>DMHH!E257</f>
        <v>0</v>
      </c>
      <c r="F281" s="221">
        <f t="shared" si="31"/>
        <v>0</v>
      </c>
      <c r="G281" s="221">
        <f t="shared" si="32"/>
        <v>0</v>
      </c>
      <c r="H281" s="221">
        <f t="shared" si="33"/>
        <v>0</v>
      </c>
      <c r="I281" s="221">
        <f t="shared" si="30"/>
        <v>0</v>
      </c>
      <c r="J281" s="221">
        <f>DMHH!G257</f>
        <v>0</v>
      </c>
      <c r="K281" s="221">
        <f>DMHH!H257</f>
        <v>0</v>
      </c>
      <c r="L281" s="221">
        <f t="shared" si="34"/>
        <v>0</v>
      </c>
      <c r="M281" s="221">
        <f t="shared" si="35"/>
        <v>0</v>
      </c>
      <c r="N281" s="222"/>
      <c r="O281" s="234" t="str">
        <f t="shared" si="36"/>
        <v/>
      </c>
      <c r="P281" s="171"/>
    </row>
    <row r="282" spans="1:16" ht="15" hidden="1" customHeight="1">
      <c r="A282" s="171"/>
      <c r="B282" s="199">
        <f>IF(O282="",0,MAX($B$32:B281)+1)</f>
        <v>0</v>
      </c>
      <c r="C282" s="84">
        <f>DMHH!C258</f>
        <v>0</v>
      </c>
      <c r="D282" s="84">
        <f>DMHH!D258</f>
        <v>0</v>
      </c>
      <c r="E282" s="220">
        <f>DMHH!E258</f>
        <v>0</v>
      </c>
      <c r="F282" s="221">
        <f t="shared" si="31"/>
        <v>0</v>
      </c>
      <c r="G282" s="221">
        <f t="shared" si="32"/>
        <v>0</v>
      </c>
      <c r="H282" s="221">
        <f t="shared" si="33"/>
        <v>0</v>
      </c>
      <c r="I282" s="221">
        <f t="shared" si="30"/>
        <v>0</v>
      </c>
      <c r="J282" s="221">
        <f>DMHH!G258</f>
        <v>0</v>
      </c>
      <c r="K282" s="221">
        <f>DMHH!H258</f>
        <v>0</v>
      </c>
      <c r="L282" s="221">
        <f t="shared" si="34"/>
        <v>0</v>
      </c>
      <c r="M282" s="221">
        <f t="shared" si="35"/>
        <v>0</v>
      </c>
      <c r="N282" s="222"/>
      <c r="O282" s="234" t="str">
        <f t="shared" si="36"/>
        <v/>
      </c>
      <c r="P282" s="171"/>
    </row>
    <row r="283" spans="1:16" ht="15" hidden="1" customHeight="1">
      <c r="A283" s="171"/>
      <c r="B283" s="199">
        <f>IF(O283="",0,MAX($B$32:B282)+1)</f>
        <v>0</v>
      </c>
      <c r="C283" s="84">
        <f>DMHH!C259</f>
        <v>0</v>
      </c>
      <c r="D283" s="84">
        <f>DMHH!D259</f>
        <v>0</v>
      </c>
      <c r="E283" s="220">
        <f>DMHH!E259</f>
        <v>0</v>
      </c>
      <c r="F283" s="221">
        <f t="shared" si="31"/>
        <v>0</v>
      </c>
      <c r="G283" s="221">
        <f t="shared" si="32"/>
        <v>0</v>
      </c>
      <c r="H283" s="221">
        <f t="shared" si="33"/>
        <v>0</v>
      </c>
      <c r="I283" s="221">
        <f t="shared" si="30"/>
        <v>0</v>
      </c>
      <c r="J283" s="221">
        <f>DMHH!G259</f>
        <v>0</v>
      </c>
      <c r="K283" s="221">
        <f>DMHH!H259</f>
        <v>0</v>
      </c>
      <c r="L283" s="221">
        <f t="shared" si="34"/>
        <v>0</v>
      </c>
      <c r="M283" s="221">
        <f t="shared" si="35"/>
        <v>0</v>
      </c>
      <c r="N283" s="222"/>
      <c r="O283" s="234" t="str">
        <f t="shared" si="36"/>
        <v/>
      </c>
      <c r="P283" s="171"/>
    </row>
    <row r="284" spans="1:16" ht="15" hidden="1" customHeight="1">
      <c r="A284" s="171"/>
      <c r="B284" s="199">
        <f>IF(O284="",0,MAX($B$32:B283)+1)</f>
        <v>0</v>
      </c>
      <c r="C284" s="84">
        <f>DMHH!C260</f>
        <v>0</v>
      </c>
      <c r="D284" s="84">
        <f>DMHH!D260</f>
        <v>0</v>
      </c>
      <c r="E284" s="220">
        <f>DMHH!E260</f>
        <v>0</v>
      </c>
      <c r="F284" s="221">
        <f t="shared" si="31"/>
        <v>0</v>
      </c>
      <c r="G284" s="221">
        <f t="shared" si="32"/>
        <v>0</v>
      </c>
      <c r="H284" s="221">
        <f t="shared" si="33"/>
        <v>0</v>
      </c>
      <c r="I284" s="221">
        <f t="shared" si="30"/>
        <v>0</v>
      </c>
      <c r="J284" s="221">
        <f>DMHH!G260</f>
        <v>0</v>
      </c>
      <c r="K284" s="221">
        <f>DMHH!H260</f>
        <v>0</v>
      </c>
      <c r="L284" s="221">
        <f t="shared" si="34"/>
        <v>0</v>
      </c>
      <c r="M284" s="221">
        <f t="shared" si="35"/>
        <v>0</v>
      </c>
      <c r="N284" s="222"/>
      <c r="O284" s="234" t="str">
        <f t="shared" si="36"/>
        <v/>
      </c>
      <c r="P284" s="171"/>
    </row>
    <row r="285" spans="1:16" ht="15" hidden="1" customHeight="1">
      <c r="A285" s="171"/>
      <c r="B285" s="199">
        <f>IF(O285="",0,MAX($B$32:B284)+1)</f>
        <v>0</v>
      </c>
      <c r="C285" s="84">
        <f>DMHH!C261</f>
        <v>0</v>
      </c>
      <c r="D285" s="84">
        <f>DMHH!D261</f>
        <v>0</v>
      </c>
      <c r="E285" s="220">
        <f>DMHH!E261</f>
        <v>0</v>
      </c>
      <c r="F285" s="221">
        <f t="shared" si="31"/>
        <v>0</v>
      </c>
      <c r="G285" s="221">
        <f t="shared" si="32"/>
        <v>0</v>
      </c>
      <c r="H285" s="221">
        <f t="shared" si="33"/>
        <v>0</v>
      </c>
      <c r="I285" s="221">
        <f t="shared" si="30"/>
        <v>0</v>
      </c>
      <c r="J285" s="221">
        <f>DMHH!G261</f>
        <v>0</v>
      </c>
      <c r="K285" s="221">
        <f>DMHH!H261</f>
        <v>0</v>
      </c>
      <c r="L285" s="221">
        <f t="shared" si="34"/>
        <v>0</v>
      </c>
      <c r="M285" s="221">
        <f t="shared" si="35"/>
        <v>0</v>
      </c>
      <c r="N285" s="222"/>
      <c r="O285" s="234" t="str">
        <f t="shared" si="36"/>
        <v/>
      </c>
      <c r="P285" s="171"/>
    </row>
    <row r="286" spans="1:16" ht="15" hidden="1" customHeight="1">
      <c r="A286" s="171"/>
      <c r="B286" s="199">
        <f>IF(O286="",0,MAX($B$32:B285)+1)</f>
        <v>0</v>
      </c>
      <c r="C286" s="84">
        <f>DMHH!C262</f>
        <v>0</v>
      </c>
      <c r="D286" s="84">
        <f>DMHH!D262</f>
        <v>0</v>
      </c>
      <c r="E286" s="220">
        <f>DMHH!E262</f>
        <v>0</v>
      </c>
      <c r="F286" s="221">
        <f t="shared" si="31"/>
        <v>0</v>
      </c>
      <c r="G286" s="221">
        <f t="shared" si="32"/>
        <v>0</v>
      </c>
      <c r="H286" s="221">
        <f t="shared" si="33"/>
        <v>0</v>
      </c>
      <c r="I286" s="221">
        <f t="shared" ref="I286:I349" si="37">F286+G286-H286</f>
        <v>0</v>
      </c>
      <c r="J286" s="221">
        <f>DMHH!G262</f>
        <v>0</v>
      </c>
      <c r="K286" s="221">
        <f>DMHH!H262</f>
        <v>0</v>
      </c>
      <c r="L286" s="221">
        <f t="shared" si="34"/>
        <v>0</v>
      </c>
      <c r="M286" s="221">
        <f t="shared" si="35"/>
        <v>0</v>
      </c>
      <c r="N286" s="222"/>
      <c r="O286" s="234" t="str">
        <f t="shared" si="36"/>
        <v/>
      </c>
      <c r="P286" s="171"/>
    </row>
    <row r="287" spans="1:16" ht="15" hidden="1" customHeight="1">
      <c r="A287" s="171"/>
      <c r="B287" s="199">
        <f>IF(O287="",0,MAX($B$32:B286)+1)</f>
        <v>0</v>
      </c>
      <c r="C287" s="84">
        <f>DMHH!C263</f>
        <v>0</v>
      </c>
      <c r="D287" s="84">
        <f>DMHH!D263</f>
        <v>0</v>
      </c>
      <c r="E287" s="220">
        <f>DMHH!E263</f>
        <v>0</v>
      </c>
      <c r="F287" s="221">
        <f t="shared" si="31"/>
        <v>0</v>
      </c>
      <c r="G287" s="221">
        <f t="shared" si="32"/>
        <v>0</v>
      </c>
      <c r="H287" s="221">
        <f t="shared" si="33"/>
        <v>0</v>
      </c>
      <c r="I287" s="221">
        <f t="shared" si="37"/>
        <v>0</v>
      </c>
      <c r="J287" s="221">
        <f>DMHH!G263</f>
        <v>0</v>
      </c>
      <c r="K287" s="221">
        <f>DMHH!H263</f>
        <v>0</v>
      </c>
      <c r="L287" s="221">
        <f t="shared" si="34"/>
        <v>0</v>
      </c>
      <c r="M287" s="221">
        <f t="shared" si="35"/>
        <v>0</v>
      </c>
      <c r="N287" s="222"/>
      <c r="O287" s="234" t="str">
        <f t="shared" si="36"/>
        <v/>
      </c>
      <c r="P287" s="171"/>
    </row>
    <row r="288" spans="1:16" ht="15" hidden="1" customHeight="1">
      <c r="A288" s="171"/>
      <c r="B288" s="199">
        <f>IF(O288="",0,MAX($B$32:B287)+1)</f>
        <v>0</v>
      </c>
      <c r="C288" s="84">
        <f>DMHH!C264</f>
        <v>0</v>
      </c>
      <c r="D288" s="84">
        <f>DMHH!D264</f>
        <v>0</v>
      </c>
      <c r="E288" s="220">
        <f>DMHH!E264</f>
        <v>0</v>
      </c>
      <c r="F288" s="221">
        <f t="shared" ref="F288:F351" si="38">IF(D288=0,0,SUMIF(QuanLyHangHoa,$D288,tinh_SLtondau))</f>
        <v>0</v>
      </c>
      <c r="G288" s="221">
        <f t="shared" ref="G288:G351" si="39">IF(D288=0,0,SUMIF(QuanLyHangHoa,$D288,tinh_SLnhap))</f>
        <v>0</v>
      </c>
      <c r="H288" s="221">
        <f t="shared" ref="H288:H351" si="40">IF(D288=0,0,SUMIF(QuanLyHangHoa,$D288,tinh_SLxuat))</f>
        <v>0</v>
      </c>
      <c r="I288" s="221">
        <f t="shared" si="37"/>
        <v>0</v>
      </c>
      <c r="J288" s="221">
        <f>DMHH!G264</f>
        <v>0</v>
      </c>
      <c r="K288" s="221">
        <f>DMHH!H264</f>
        <v>0</v>
      </c>
      <c r="L288" s="221">
        <f t="shared" si="34"/>
        <v>0</v>
      </c>
      <c r="M288" s="221">
        <f t="shared" si="35"/>
        <v>0</v>
      </c>
      <c r="N288" s="222"/>
      <c r="O288" s="234" t="str">
        <f t="shared" si="36"/>
        <v/>
      </c>
      <c r="P288" s="171"/>
    </row>
    <row r="289" spans="1:16" ht="15" hidden="1" customHeight="1">
      <c r="A289" s="171"/>
      <c r="B289" s="199">
        <f>IF(O289="",0,MAX($B$32:B288)+1)</f>
        <v>0</v>
      </c>
      <c r="C289" s="84">
        <f>DMHH!C265</f>
        <v>0</v>
      </c>
      <c r="D289" s="84">
        <f>DMHH!D265</f>
        <v>0</v>
      </c>
      <c r="E289" s="220">
        <f>DMHH!E265</f>
        <v>0</v>
      </c>
      <c r="F289" s="221">
        <f t="shared" si="38"/>
        <v>0</v>
      </c>
      <c r="G289" s="221">
        <f t="shared" si="39"/>
        <v>0</v>
      </c>
      <c r="H289" s="221">
        <f t="shared" si="40"/>
        <v>0</v>
      </c>
      <c r="I289" s="221">
        <f t="shared" si="37"/>
        <v>0</v>
      </c>
      <c r="J289" s="221">
        <f>DMHH!G265</f>
        <v>0</v>
      </c>
      <c r="K289" s="221">
        <f>DMHH!H265</f>
        <v>0</v>
      </c>
      <c r="L289" s="221">
        <f t="shared" ref="L289:L352" si="41">G289*J289</f>
        <v>0</v>
      </c>
      <c r="M289" s="221">
        <f t="shared" ref="M289:M352" si="42">H289*K289</f>
        <v>0</v>
      </c>
      <c r="N289" s="222"/>
      <c r="O289" s="234" t="str">
        <f t="shared" ref="O289:O352" si="43">IF(C289=0,"","x")</f>
        <v/>
      </c>
      <c r="P289" s="171"/>
    </row>
    <row r="290" spans="1:16" ht="15" hidden="1" customHeight="1">
      <c r="A290" s="171"/>
      <c r="B290" s="199">
        <f>IF(O290="",0,MAX($B$32:B289)+1)</f>
        <v>0</v>
      </c>
      <c r="C290" s="84">
        <f>DMHH!C266</f>
        <v>0</v>
      </c>
      <c r="D290" s="84">
        <f>DMHH!D266</f>
        <v>0</v>
      </c>
      <c r="E290" s="220">
        <f>DMHH!E266</f>
        <v>0</v>
      </c>
      <c r="F290" s="221">
        <f t="shared" si="38"/>
        <v>0</v>
      </c>
      <c r="G290" s="221">
        <f t="shared" si="39"/>
        <v>0</v>
      </c>
      <c r="H290" s="221">
        <f t="shared" si="40"/>
        <v>0</v>
      </c>
      <c r="I290" s="221">
        <f t="shared" si="37"/>
        <v>0</v>
      </c>
      <c r="J290" s="221">
        <f>DMHH!G266</f>
        <v>0</v>
      </c>
      <c r="K290" s="221">
        <f>DMHH!H266</f>
        <v>0</v>
      </c>
      <c r="L290" s="221">
        <f t="shared" si="41"/>
        <v>0</v>
      </c>
      <c r="M290" s="221">
        <f t="shared" si="42"/>
        <v>0</v>
      </c>
      <c r="N290" s="222"/>
      <c r="O290" s="234" t="str">
        <f t="shared" si="43"/>
        <v/>
      </c>
      <c r="P290" s="171"/>
    </row>
    <row r="291" spans="1:16" ht="15" hidden="1" customHeight="1">
      <c r="A291" s="171"/>
      <c r="B291" s="199">
        <f>IF(O291="",0,MAX($B$32:B290)+1)</f>
        <v>0</v>
      </c>
      <c r="C291" s="84">
        <f>DMHH!C267</f>
        <v>0</v>
      </c>
      <c r="D291" s="84">
        <f>DMHH!D267</f>
        <v>0</v>
      </c>
      <c r="E291" s="220">
        <f>DMHH!E267</f>
        <v>0</v>
      </c>
      <c r="F291" s="221">
        <f t="shared" si="38"/>
        <v>0</v>
      </c>
      <c r="G291" s="221">
        <f t="shared" si="39"/>
        <v>0</v>
      </c>
      <c r="H291" s="221">
        <f t="shared" si="40"/>
        <v>0</v>
      </c>
      <c r="I291" s="221">
        <f t="shared" si="37"/>
        <v>0</v>
      </c>
      <c r="J291" s="221">
        <f>DMHH!G267</f>
        <v>0</v>
      </c>
      <c r="K291" s="221">
        <f>DMHH!H267</f>
        <v>0</v>
      </c>
      <c r="L291" s="221">
        <f t="shared" si="41"/>
        <v>0</v>
      </c>
      <c r="M291" s="221">
        <f t="shared" si="42"/>
        <v>0</v>
      </c>
      <c r="N291" s="222"/>
      <c r="O291" s="234" t="str">
        <f t="shared" si="43"/>
        <v/>
      </c>
      <c r="P291" s="171"/>
    </row>
    <row r="292" spans="1:16" ht="15" hidden="1" customHeight="1">
      <c r="A292" s="171"/>
      <c r="B292" s="199">
        <f>IF(O292="",0,MAX($B$32:B291)+1)</f>
        <v>0</v>
      </c>
      <c r="C292" s="84">
        <f>DMHH!C268</f>
        <v>0</v>
      </c>
      <c r="D292" s="84">
        <f>DMHH!D268</f>
        <v>0</v>
      </c>
      <c r="E292" s="220">
        <f>DMHH!E268</f>
        <v>0</v>
      </c>
      <c r="F292" s="221">
        <f t="shared" si="38"/>
        <v>0</v>
      </c>
      <c r="G292" s="221">
        <f t="shared" si="39"/>
        <v>0</v>
      </c>
      <c r="H292" s="221">
        <f t="shared" si="40"/>
        <v>0</v>
      </c>
      <c r="I292" s="221">
        <f t="shared" si="37"/>
        <v>0</v>
      </c>
      <c r="J292" s="221">
        <f>DMHH!G268</f>
        <v>0</v>
      </c>
      <c r="K292" s="221">
        <f>DMHH!H268</f>
        <v>0</v>
      </c>
      <c r="L292" s="221">
        <f t="shared" si="41"/>
        <v>0</v>
      </c>
      <c r="M292" s="221">
        <f t="shared" si="42"/>
        <v>0</v>
      </c>
      <c r="N292" s="222"/>
      <c r="O292" s="234" t="str">
        <f t="shared" si="43"/>
        <v/>
      </c>
      <c r="P292" s="171"/>
    </row>
    <row r="293" spans="1:16" ht="15" hidden="1" customHeight="1">
      <c r="A293" s="171"/>
      <c r="B293" s="199">
        <f>IF(O293="",0,MAX($B$32:B292)+1)</f>
        <v>0</v>
      </c>
      <c r="C293" s="84">
        <f>DMHH!C269</f>
        <v>0</v>
      </c>
      <c r="D293" s="84">
        <f>DMHH!D269</f>
        <v>0</v>
      </c>
      <c r="E293" s="220">
        <f>DMHH!E269</f>
        <v>0</v>
      </c>
      <c r="F293" s="221">
        <f t="shared" si="38"/>
        <v>0</v>
      </c>
      <c r="G293" s="221">
        <f t="shared" si="39"/>
        <v>0</v>
      </c>
      <c r="H293" s="221">
        <f t="shared" si="40"/>
        <v>0</v>
      </c>
      <c r="I293" s="221">
        <f t="shared" si="37"/>
        <v>0</v>
      </c>
      <c r="J293" s="221">
        <f>DMHH!G269</f>
        <v>0</v>
      </c>
      <c r="K293" s="221">
        <f>DMHH!H269</f>
        <v>0</v>
      </c>
      <c r="L293" s="221">
        <f t="shared" si="41"/>
        <v>0</v>
      </c>
      <c r="M293" s="221">
        <f t="shared" si="42"/>
        <v>0</v>
      </c>
      <c r="N293" s="222"/>
      <c r="O293" s="234" t="str">
        <f t="shared" si="43"/>
        <v/>
      </c>
      <c r="P293" s="171"/>
    </row>
    <row r="294" spans="1:16" ht="15" hidden="1" customHeight="1">
      <c r="A294" s="171"/>
      <c r="B294" s="199">
        <f>IF(O294="",0,MAX($B$32:B293)+1)</f>
        <v>0</v>
      </c>
      <c r="C294" s="84">
        <f>DMHH!C270</f>
        <v>0</v>
      </c>
      <c r="D294" s="84">
        <f>DMHH!D270</f>
        <v>0</v>
      </c>
      <c r="E294" s="220">
        <f>DMHH!E270</f>
        <v>0</v>
      </c>
      <c r="F294" s="221">
        <f t="shared" si="38"/>
        <v>0</v>
      </c>
      <c r="G294" s="221">
        <f t="shared" si="39"/>
        <v>0</v>
      </c>
      <c r="H294" s="221">
        <f t="shared" si="40"/>
        <v>0</v>
      </c>
      <c r="I294" s="221">
        <f t="shared" si="37"/>
        <v>0</v>
      </c>
      <c r="J294" s="221">
        <f>DMHH!G270</f>
        <v>0</v>
      </c>
      <c r="K294" s="221">
        <f>DMHH!H270</f>
        <v>0</v>
      </c>
      <c r="L294" s="221">
        <f t="shared" si="41"/>
        <v>0</v>
      </c>
      <c r="M294" s="221">
        <f t="shared" si="42"/>
        <v>0</v>
      </c>
      <c r="N294" s="222"/>
      <c r="O294" s="234" t="str">
        <f t="shared" si="43"/>
        <v/>
      </c>
      <c r="P294" s="171"/>
    </row>
    <row r="295" spans="1:16" ht="15" hidden="1" customHeight="1">
      <c r="A295" s="171"/>
      <c r="B295" s="199">
        <f>IF(O295="",0,MAX($B$32:B294)+1)</f>
        <v>0</v>
      </c>
      <c r="C295" s="84">
        <f>DMHH!C271</f>
        <v>0</v>
      </c>
      <c r="D295" s="84">
        <f>DMHH!D271</f>
        <v>0</v>
      </c>
      <c r="E295" s="220">
        <f>DMHH!E271</f>
        <v>0</v>
      </c>
      <c r="F295" s="221">
        <f t="shared" si="38"/>
        <v>0</v>
      </c>
      <c r="G295" s="221">
        <f t="shared" si="39"/>
        <v>0</v>
      </c>
      <c r="H295" s="221">
        <f t="shared" si="40"/>
        <v>0</v>
      </c>
      <c r="I295" s="221">
        <f t="shared" si="37"/>
        <v>0</v>
      </c>
      <c r="J295" s="221">
        <f>DMHH!G271</f>
        <v>0</v>
      </c>
      <c r="K295" s="221">
        <f>DMHH!H271</f>
        <v>0</v>
      </c>
      <c r="L295" s="221">
        <f t="shared" si="41"/>
        <v>0</v>
      </c>
      <c r="M295" s="221">
        <f t="shared" si="42"/>
        <v>0</v>
      </c>
      <c r="N295" s="222"/>
      <c r="O295" s="234" t="str">
        <f t="shared" si="43"/>
        <v/>
      </c>
      <c r="P295" s="171"/>
    </row>
    <row r="296" spans="1:16" ht="15" hidden="1" customHeight="1">
      <c r="A296" s="171"/>
      <c r="B296" s="199">
        <f>IF(O296="",0,MAX($B$32:B295)+1)</f>
        <v>0</v>
      </c>
      <c r="C296" s="84">
        <f>DMHH!C272</f>
        <v>0</v>
      </c>
      <c r="D296" s="84">
        <f>DMHH!D272</f>
        <v>0</v>
      </c>
      <c r="E296" s="220">
        <f>DMHH!E272</f>
        <v>0</v>
      </c>
      <c r="F296" s="221">
        <f t="shared" si="38"/>
        <v>0</v>
      </c>
      <c r="G296" s="221">
        <f t="shared" si="39"/>
        <v>0</v>
      </c>
      <c r="H296" s="221">
        <f t="shared" si="40"/>
        <v>0</v>
      </c>
      <c r="I296" s="221">
        <f t="shared" si="37"/>
        <v>0</v>
      </c>
      <c r="J296" s="221">
        <f>DMHH!G272</f>
        <v>0</v>
      </c>
      <c r="K296" s="221">
        <f>DMHH!H272</f>
        <v>0</v>
      </c>
      <c r="L296" s="221">
        <f t="shared" si="41"/>
        <v>0</v>
      </c>
      <c r="M296" s="221">
        <f t="shared" si="42"/>
        <v>0</v>
      </c>
      <c r="N296" s="222"/>
      <c r="O296" s="234" t="str">
        <f t="shared" si="43"/>
        <v/>
      </c>
      <c r="P296" s="171"/>
    </row>
    <row r="297" spans="1:16" ht="15" hidden="1" customHeight="1">
      <c r="A297" s="171"/>
      <c r="B297" s="199">
        <f>IF(O297="",0,MAX($B$32:B296)+1)</f>
        <v>0</v>
      </c>
      <c r="C297" s="84">
        <f>DMHH!C273</f>
        <v>0</v>
      </c>
      <c r="D297" s="84">
        <f>DMHH!D273</f>
        <v>0</v>
      </c>
      <c r="E297" s="220">
        <f>DMHH!E273</f>
        <v>0</v>
      </c>
      <c r="F297" s="221">
        <f t="shared" si="38"/>
        <v>0</v>
      </c>
      <c r="G297" s="221">
        <f t="shared" si="39"/>
        <v>0</v>
      </c>
      <c r="H297" s="221">
        <f t="shared" si="40"/>
        <v>0</v>
      </c>
      <c r="I297" s="221">
        <f t="shared" si="37"/>
        <v>0</v>
      </c>
      <c r="J297" s="221">
        <f>DMHH!G273</f>
        <v>0</v>
      </c>
      <c r="K297" s="221">
        <f>DMHH!H273</f>
        <v>0</v>
      </c>
      <c r="L297" s="221">
        <f t="shared" si="41"/>
        <v>0</v>
      </c>
      <c r="M297" s="221">
        <f t="shared" si="42"/>
        <v>0</v>
      </c>
      <c r="N297" s="222"/>
      <c r="O297" s="234" t="str">
        <f t="shared" si="43"/>
        <v/>
      </c>
      <c r="P297" s="171"/>
    </row>
    <row r="298" spans="1:16" ht="15" hidden="1" customHeight="1">
      <c r="A298" s="171"/>
      <c r="B298" s="199">
        <f>IF(O298="",0,MAX($B$32:B297)+1)</f>
        <v>0</v>
      </c>
      <c r="C298" s="84">
        <f>DMHH!C274</f>
        <v>0</v>
      </c>
      <c r="D298" s="84">
        <f>DMHH!D274</f>
        <v>0</v>
      </c>
      <c r="E298" s="220">
        <f>DMHH!E274</f>
        <v>0</v>
      </c>
      <c r="F298" s="221">
        <f t="shared" si="38"/>
        <v>0</v>
      </c>
      <c r="G298" s="221">
        <f t="shared" si="39"/>
        <v>0</v>
      </c>
      <c r="H298" s="221">
        <f t="shared" si="40"/>
        <v>0</v>
      </c>
      <c r="I298" s="221">
        <f t="shared" si="37"/>
        <v>0</v>
      </c>
      <c r="J298" s="221">
        <f>DMHH!G274</f>
        <v>0</v>
      </c>
      <c r="K298" s="221">
        <f>DMHH!H274</f>
        <v>0</v>
      </c>
      <c r="L298" s="221">
        <f t="shared" si="41"/>
        <v>0</v>
      </c>
      <c r="M298" s="221">
        <f t="shared" si="42"/>
        <v>0</v>
      </c>
      <c r="N298" s="222"/>
      <c r="O298" s="234" t="str">
        <f t="shared" si="43"/>
        <v/>
      </c>
      <c r="P298" s="171"/>
    </row>
    <row r="299" spans="1:16" ht="15" hidden="1" customHeight="1">
      <c r="A299" s="171"/>
      <c r="B299" s="199">
        <f>IF(O299="",0,MAX($B$32:B298)+1)</f>
        <v>0</v>
      </c>
      <c r="C299" s="84">
        <f>DMHH!C275</f>
        <v>0</v>
      </c>
      <c r="D299" s="84">
        <f>DMHH!D275</f>
        <v>0</v>
      </c>
      <c r="E299" s="220">
        <f>DMHH!E275</f>
        <v>0</v>
      </c>
      <c r="F299" s="221">
        <f t="shared" si="38"/>
        <v>0</v>
      </c>
      <c r="G299" s="221">
        <f t="shared" si="39"/>
        <v>0</v>
      </c>
      <c r="H299" s="221">
        <f t="shared" si="40"/>
        <v>0</v>
      </c>
      <c r="I299" s="221">
        <f t="shared" si="37"/>
        <v>0</v>
      </c>
      <c r="J299" s="221">
        <f>DMHH!G275</f>
        <v>0</v>
      </c>
      <c r="K299" s="221">
        <f>DMHH!H275</f>
        <v>0</v>
      </c>
      <c r="L299" s="221">
        <f t="shared" si="41"/>
        <v>0</v>
      </c>
      <c r="M299" s="221">
        <f t="shared" si="42"/>
        <v>0</v>
      </c>
      <c r="N299" s="222"/>
      <c r="O299" s="234" t="str">
        <f t="shared" si="43"/>
        <v/>
      </c>
      <c r="P299" s="171"/>
    </row>
    <row r="300" spans="1:16" ht="15" hidden="1" customHeight="1">
      <c r="A300" s="171"/>
      <c r="B300" s="199">
        <f>IF(O300="",0,MAX($B$32:B299)+1)</f>
        <v>0</v>
      </c>
      <c r="C300" s="84">
        <f>DMHH!C276</f>
        <v>0</v>
      </c>
      <c r="D300" s="84">
        <f>DMHH!D276</f>
        <v>0</v>
      </c>
      <c r="E300" s="220">
        <f>DMHH!E276</f>
        <v>0</v>
      </c>
      <c r="F300" s="221">
        <f t="shared" si="38"/>
        <v>0</v>
      </c>
      <c r="G300" s="221">
        <f t="shared" si="39"/>
        <v>0</v>
      </c>
      <c r="H300" s="221">
        <f t="shared" si="40"/>
        <v>0</v>
      </c>
      <c r="I300" s="221">
        <f t="shared" si="37"/>
        <v>0</v>
      </c>
      <c r="J300" s="221">
        <f>DMHH!G276</f>
        <v>0</v>
      </c>
      <c r="K300" s="221">
        <f>DMHH!H276</f>
        <v>0</v>
      </c>
      <c r="L300" s="221">
        <f t="shared" si="41"/>
        <v>0</v>
      </c>
      <c r="M300" s="221">
        <f t="shared" si="42"/>
        <v>0</v>
      </c>
      <c r="N300" s="222"/>
      <c r="O300" s="234" t="str">
        <f t="shared" si="43"/>
        <v/>
      </c>
      <c r="P300" s="171"/>
    </row>
    <row r="301" spans="1:16" ht="15" hidden="1" customHeight="1">
      <c r="A301" s="171"/>
      <c r="B301" s="199">
        <f>IF(O301="",0,MAX($B$32:B300)+1)</f>
        <v>0</v>
      </c>
      <c r="C301" s="84">
        <f>DMHH!C277</f>
        <v>0</v>
      </c>
      <c r="D301" s="84">
        <f>DMHH!D277</f>
        <v>0</v>
      </c>
      <c r="E301" s="220">
        <f>DMHH!E277</f>
        <v>0</v>
      </c>
      <c r="F301" s="221">
        <f t="shared" si="38"/>
        <v>0</v>
      </c>
      <c r="G301" s="221">
        <f t="shared" si="39"/>
        <v>0</v>
      </c>
      <c r="H301" s="221">
        <f t="shared" si="40"/>
        <v>0</v>
      </c>
      <c r="I301" s="221">
        <f t="shared" si="37"/>
        <v>0</v>
      </c>
      <c r="J301" s="221">
        <f>DMHH!G277</f>
        <v>0</v>
      </c>
      <c r="K301" s="221">
        <f>DMHH!H277</f>
        <v>0</v>
      </c>
      <c r="L301" s="221">
        <f t="shared" si="41"/>
        <v>0</v>
      </c>
      <c r="M301" s="221">
        <f t="shared" si="42"/>
        <v>0</v>
      </c>
      <c r="N301" s="222"/>
      <c r="O301" s="234" t="str">
        <f t="shared" si="43"/>
        <v/>
      </c>
      <c r="P301" s="171"/>
    </row>
    <row r="302" spans="1:16" ht="15" hidden="1" customHeight="1">
      <c r="A302" s="171"/>
      <c r="B302" s="199">
        <f>IF(O302="",0,MAX($B$32:B301)+1)</f>
        <v>0</v>
      </c>
      <c r="C302" s="84">
        <f>DMHH!C278</f>
        <v>0</v>
      </c>
      <c r="D302" s="84">
        <f>DMHH!D278</f>
        <v>0</v>
      </c>
      <c r="E302" s="220">
        <f>DMHH!E278</f>
        <v>0</v>
      </c>
      <c r="F302" s="221">
        <f t="shared" si="38"/>
        <v>0</v>
      </c>
      <c r="G302" s="221">
        <f t="shared" si="39"/>
        <v>0</v>
      </c>
      <c r="H302" s="221">
        <f t="shared" si="40"/>
        <v>0</v>
      </c>
      <c r="I302" s="221">
        <f t="shared" si="37"/>
        <v>0</v>
      </c>
      <c r="J302" s="221">
        <f>DMHH!G278</f>
        <v>0</v>
      </c>
      <c r="K302" s="221">
        <f>DMHH!H278</f>
        <v>0</v>
      </c>
      <c r="L302" s="221">
        <f t="shared" si="41"/>
        <v>0</v>
      </c>
      <c r="M302" s="221">
        <f t="shared" si="42"/>
        <v>0</v>
      </c>
      <c r="N302" s="222"/>
      <c r="O302" s="234" t="str">
        <f t="shared" si="43"/>
        <v/>
      </c>
      <c r="P302" s="171"/>
    </row>
    <row r="303" spans="1:16" ht="15" hidden="1" customHeight="1">
      <c r="A303" s="171"/>
      <c r="B303" s="199">
        <f>IF(O303="",0,MAX($B$32:B302)+1)</f>
        <v>0</v>
      </c>
      <c r="C303" s="84">
        <f>DMHH!C279</f>
        <v>0</v>
      </c>
      <c r="D303" s="84">
        <f>DMHH!D279</f>
        <v>0</v>
      </c>
      <c r="E303" s="220">
        <f>DMHH!E279</f>
        <v>0</v>
      </c>
      <c r="F303" s="221">
        <f t="shared" si="38"/>
        <v>0</v>
      </c>
      <c r="G303" s="221">
        <f t="shared" si="39"/>
        <v>0</v>
      </c>
      <c r="H303" s="221">
        <f t="shared" si="40"/>
        <v>0</v>
      </c>
      <c r="I303" s="221">
        <f t="shared" si="37"/>
        <v>0</v>
      </c>
      <c r="J303" s="221">
        <f>DMHH!G279</f>
        <v>0</v>
      </c>
      <c r="K303" s="221">
        <f>DMHH!H279</f>
        <v>0</v>
      </c>
      <c r="L303" s="221">
        <f t="shared" si="41"/>
        <v>0</v>
      </c>
      <c r="M303" s="221">
        <f t="shared" si="42"/>
        <v>0</v>
      </c>
      <c r="N303" s="222"/>
      <c r="O303" s="234" t="str">
        <f t="shared" si="43"/>
        <v/>
      </c>
      <c r="P303" s="171"/>
    </row>
    <row r="304" spans="1:16" ht="15" hidden="1" customHeight="1">
      <c r="A304" s="171"/>
      <c r="B304" s="199">
        <f>IF(O304="",0,MAX($B$32:B303)+1)</f>
        <v>0</v>
      </c>
      <c r="C304" s="84">
        <f>DMHH!C280</f>
        <v>0</v>
      </c>
      <c r="D304" s="84">
        <f>DMHH!D280</f>
        <v>0</v>
      </c>
      <c r="E304" s="220">
        <f>DMHH!E280</f>
        <v>0</v>
      </c>
      <c r="F304" s="221">
        <f t="shared" si="38"/>
        <v>0</v>
      </c>
      <c r="G304" s="221">
        <f t="shared" si="39"/>
        <v>0</v>
      </c>
      <c r="H304" s="221">
        <f t="shared" si="40"/>
        <v>0</v>
      </c>
      <c r="I304" s="221">
        <f t="shared" si="37"/>
        <v>0</v>
      </c>
      <c r="J304" s="221">
        <f>DMHH!G280</f>
        <v>0</v>
      </c>
      <c r="K304" s="221">
        <f>DMHH!H280</f>
        <v>0</v>
      </c>
      <c r="L304" s="221">
        <f t="shared" si="41"/>
        <v>0</v>
      </c>
      <c r="M304" s="221">
        <f t="shared" si="42"/>
        <v>0</v>
      </c>
      <c r="N304" s="222"/>
      <c r="O304" s="234" t="str">
        <f t="shared" si="43"/>
        <v/>
      </c>
      <c r="P304" s="171"/>
    </row>
    <row r="305" spans="1:16" ht="15" hidden="1" customHeight="1">
      <c r="A305" s="171"/>
      <c r="B305" s="199">
        <f>IF(O305="",0,MAX($B$32:B304)+1)</f>
        <v>0</v>
      </c>
      <c r="C305" s="84">
        <f>DMHH!C281</f>
        <v>0</v>
      </c>
      <c r="D305" s="84">
        <f>DMHH!D281</f>
        <v>0</v>
      </c>
      <c r="E305" s="220">
        <f>DMHH!E281</f>
        <v>0</v>
      </c>
      <c r="F305" s="221">
        <f t="shared" si="38"/>
        <v>0</v>
      </c>
      <c r="G305" s="221">
        <f t="shared" si="39"/>
        <v>0</v>
      </c>
      <c r="H305" s="221">
        <f t="shared" si="40"/>
        <v>0</v>
      </c>
      <c r="I305" s="221">
        <f t="shared" si="37"/>
        <v>0</v>
      </c>
      <c r="J305" s="221">
        <f>DMHH!G281</f>
        <v>0</v>
      </c>
      <c r="K305" s="221">
        <f>DMHH!H281</f>
        <v>0</v>
      </c>
      <c r="L305" s="221">
        <f t="shared" si="41"/>
        <v>0</v>
      </c>
      <c r="M305" s="221">
        <f t="shared" si="42"/>
        <v>0</v>
      </c>
      <c r="N305" s="222"/>
      <c r="O305" s="234" t="str">
        <f t="shared" si="43"/>
        <v/>
      </c>
      <c r="P305" s="171"/>
    </row>
    <row r="306" spans="1:16" ht="15" hidden="1" customHeight="1">
      <c r="A306" s="171"/>
      <c r="B306" s="199">
        <f>IF(O306="",0,MAX($B$32:B305)+1)</f>
        <v>0</v>
      </c>
      <c r="C306" s="84">
        <f>DMHH!C282</f>
        <v>0</v>
      </c>
      <c r="D306" s="84">
        <f>DMHH!D282</f>
        <v>0</v>
      </c>
      <c r="E306" s="220">
        <f>DMHH!E282</f>
        <v>0</v>
      </c>
      <c r="F306" s="221">
        <f t="shared" si="38"/>
        <v>0</v>
      </c>
      <c r="G306" s="221">
        <f t="shared" si="39"/>
        <v>0</v>
      </c>
      <c r="H306" s="221">
        <f t="shared" si="40"/>
        <v>0</v>
      </c>
      <c r="I306" s="221">
        <f t="shared" si="37"/>
        <v>0</v>
      </c>
      <c r="J306" s="221">
        <f>DMHH!G282</f>
        <v>0</v>
      </c>
      <c r="K306" s="221">
        <f>DMHH!H282</f>
        <v>0</v>
      </c>
      <c r="L306" s="221">
        <f t="shared" si="41"/>
        <v>0</v>
      </c>
      <c r="M306" s="221">
        <f t="shared" si="42"/>
        <v>0</v>
      </c>
      <c r="N306" s="222"/>
      <c r="O306" s="234" t="str">
        <f t="shared" si="43"/>
        <v/>
      </c>
      <c r="P306" s="171"/>
    </row>
    <row r="307" spans="1:16" ht="15" hidden="1" customHeight="1">
      <c r="A307" s="171"/>
      <c r="B307" s="199">
        <f>IF(O307="",0,MAX($B$32:B306)+1)</f>
        <v>0</v>
      </c>
      <c r="C307" s="84">
        <f>DMHH!C283</f>
        <v>0</v>
      </c>
      <c r="D307" s="84">
        <f>DMHH!D283</f>
        <v>0</v>
      </c>
      <c r="E307" s="220">
        <f>DMHH!E283</f>
        <v>0</v>
      </c>
      <c r="F307" s="221">
        <f t="shared" si="38"/>
        <v>0</v>
      </c>
      <c r="G307" s="221">
        <f t="shared" si="39"/>
        <v>0</v>
      </c>
      <c r="H307" s="221">
        <f t="shared" si="40"/>
        <v>0</v>
      </c>
      <c r="I307" s="221">
        <f t="shared" si="37"/>
        <v>0</v>
      </c>
      <c r="J307" s="221">
        <f>DMHH!G283</f>
        <v>0</v>
      </c>
      <c r="K307" s="221">
        <f>DMHH!H283</f>
        <v>0</v>
      </c>
      <c r="L307" s="221">
        <f t="shared" si="41"/>
        <v>0</v>
      </c>
      <c r="M307" s="221">
        <f t="shared" si="42"/>
        <v>0</v>
      </c>
      <c r="N307" s="222"/>
      <c r="O307" s="234" t="str">
        <f t="shared" si="43"/>
        <v/>
      </c>
      <c r="P307" s="171"/>
    </row>
    <row r="308" spans="1:16" ht="15" hidden="1" customHeight="1">
      <c r="A308" s="171"/>
      <c r="B308" s="199">
        <f>IF(O308="",0,MAX($B$32:B307)+1)</f>
        <v>0</v>
      </c>
      <c r="C308" s="84">
        <f>DMHH!C284</f>
        <v>0</v>
      </c>
      <c r="D308" s="84">
        <f>DMHH!D284</f>
        <v>0</v>
      </c>
      <c r="E308" s="220">
        <f>DMHH!E284</f>
        <v>0</v>
      </c>
      <c r="F308" s="221">
        <f t="shared" si="38"/>
        <v>0</v>
      </c>
      <c r="G308" s="221">
        <f t="shared" si="39"/>
        <v>0</v>
      </c>
      <c r="H308" s="221">
        <f t="shared" si="40"/>
        <v>0</v>
      </c>
      <c r="I308" s="221">
        <f t="shared" si="37"/>
        <v>0</v>
      </c>
      <c r="J308" s="221">
        <f>DMHH!G284</f>
        <v>0</v>
      </c>
      <c r="K308" s="221">
        <f>DMHH!H284</f>
        <v>0</v>
      </c>
      <c r="L308" s="221">
        <f t="shared" si="41"/>
        <v>0</v>
      </c>
      <c r="M308" s="221">
        <f t="shared" si="42"/>
        <v>0</v>
      </c>
      <c r="N308" s="222"/>
      <c r="O308" s="234" t="str">
        <f t="shared" si="43"/>
        <v/>
      </c>
      <c r="P308" s="171"/>
    </row>
    <row r="309" spans="1:16" ht="15" hidden="1" customHeight="1">
      <c r="A309" s="171"/>
      <c r="B309" s="199">
        <f>IF(O309="",0,MAX($B$32:B308)+1)</f>
        <v>0</v>
      </c>
      <c r="C309" s="84">
        <f>DMHH!C285</f>
        <v>0</v>
      </c>
      <c r="D309" s="84">
        <f>DMHH!D285</f>
        <v>0</v>
      </c>
      <c r="E309" s="220">
        <f>DMHH!E285</f>
        <v>0</v>
      </c>
      <c r="F309" s="221">
        <f t="shared" si="38"/>
        <v>0</v>
      </c>
      <c r="G309" s="221">
        <f t="shared" si="39"/>
        <v>0</v>
      </c>
      <c r="H309" s="221">
        <f t="shared" si="40"/>
        <v>0</v>
      </c>
      <c r="I309" s="221">
        <f t="shared" si="37"/>
        <v>0</v>
      </c>
      <c r="J309" s="221">
        <f>DMHH!G285</f>
        <v>0</v>
      </c>
      <c r="K309" s="221">
        <f>DMHH!H285</f>
        <v>0</v>
      </c>
      <c r="L309" s="221">
        <f t="shared" si="41"/>
        <v>0</v>
      </c>
      <c r="M309" s="221">
        <f t="shared" si="42"/>
        <v>0</v>
      </c>
      <c r="N309" s="222"/>
      <c r="O309" s="234" t="str">
        <f t="shared" si="43"/>
        <v/>
      </c>
      <c r="P309" s="171"/>
    </row>
    <row r="310" spans="1:16" ht="15" hidden="1" customHeight="1">
      <c r="A310" s="171"/>
      <c r="B310" s="199">
        <f>IF(O310="",0,MAX($B$32:B309)+1)</f>
        <v>0</v>
      </c>
      <c r="C310" s="84">
        <f>DMHH!C286</f>
        <v>0</v>
      </c>
      <c r="D310" s="84">
        <f>DMHH!D286</f>
        <v>0</v>
      </c>
      <c r="E310" s="220">
        <f>DMHH!E286</f>
        <v>0</v>
      </c>
      <c r="F310" s="221">
        <f t="shared" si="38"/>
        <v>0</v>
      </c>
      <c r="G310" s="221">
        <f t="shared" si="39"/>
        <v>0</v>
      </c>
      <c r="H310" s="221">
        <f t="shared" si="40"/>
        <v>0</v>
      </c>
      <c r="I310" s="221">
        <f t="shared" si="37"/>
        <v>0</v>
      </c>
      <c r="J310" s="221">
        <f>DMHH!G286</f>
        <v>0</v>
      </c>
      <c r="K310" s="221">
        <f>DMHH!H286</f>
        <v>0</v>
      </c>
      <c r="L310" s="221">
        <f t="shared" si="41"/>
        <v>0</v>
      </c>
      <c r="M310" s="221">
        <f t="shared" si="42"/>
        <v>0</v>
      </c>
      <c r="N310" s="222"/>
      <c r="O310" s="234" t="str">
        <f t="shared" si="43"/>
        <v/>
      </c>
      <c r="P310" s="171"/>
    </row>
    <row r="311" spans="1:16" ht="15" hidden="1" customHeight="1">
      <c r="A311" s="171"/>
      <c r="B311" s="199">
        <f>IF(O311="",0,MAX($B$32:B310)+1)</f>
        <v>0</v>
      </c>
      <c r="C311" s="84">
        <f>DMHH!C287</f>
        <v>0</v>
      </c>
      <c r="D311" s="84">
        <f>DMHH!D287</f>
        <v>0</v>
      </c>
      <c r="E311" s="220">
        <f>DMHH!E287</f>
        <v>0</v>
      </c>
      <c r="F311" s="221">
        <f t="shared" si="38"/>
        <v>0</v>
      </c>
      <c r="G311" s="221">
        <f t="shared" si="39"/>
        <v>0</v>
      </c>
      <c r="H311" s="221">
        <f t="shared" si="40"/>
        <v>0</v>
      </c>
      <c r="I311" s="221">
        <f t="shared" si="37"/>
        <v>0</v>
      </c>
      <c r="J311" s="221">
        <f>DMHH!G287</f>
        <v>0</v>
      </c>
      <c r="K311" s="221">
        <f>DMHH!H287</f>
        <v>0</v>
      </c>
      <c r="L311" s="221">
        <f t="shared" si="41"/>
        <v>0</v>
      </c>
      <c r="M311" s="221">
        <f t="shared" si="42"/>
        <v>0</v>
      </c>
      <c r="N311" s="222"/>
      <c r="O311" s="234" t="str">
        <f t="shared" si="43"/>
        <v/>
      </c>
      <c r="P311" s="171"/>
    </row>
    <row r="312" spans="1:16" ht="15" hidden="1" customHeight="1">
      <c r="A312" s="171"/>
      <c r="B312" s="199">
        <f>IF(O312="",0,MAX($B$32:B311)+1)</f>
        <v>0</v>
      </c>
      <c r="C312" s="84">
        <f>DMHH!C288</f>
        <v>0</v>
      </c>
      <c r="D312" s="84">
        <f>DMHH!D288</f>
        <v>0</v>
      </c>
      <c r="E312" s="220">
        <f>DMHH!E288</f>
        <v>0</v>
      </c>
      <c r="F312" s="221">
        <f t="shared" si="38"/>
        <v>0</v>
      </c>
      <c r="G312" s="221">
        <f t="shared" si="39"/>
        <v>0</v>
      </c>
      <c r="H312" s="221">
        <f t="shared" si="40"/>
        <v>0</v>
      </c>
      <c r="I312" s="221">
        <f t="shared" si="37"/>
        <v>0</v>
      </c>
      <c r="J312" s="221">
        <f>DMHH!G288</f>
        <v>0</v>
      </c>
      <c r="K312" s="221">
        <f>DMHH!H288</f>
        <v>0</v>
      </c>
      <c r="L312" s="221">
        <f t="shared" si="41"/>
        <v>0</v>
      </c>
      <c r="M312" s="221">
        <f t="shared" si="42"/>
        <v>0</v>
      </c>
      <c r="N312" s="222"/>
      <c r="O312" s="234" t="str">
        <f t="shared" si="43"/>
        <v/>
      </c>
      <c r="P312" s="171"/>
    </row>
    <row r="313" spans="1:16" ht="15" hidden="1" customHeight="1">
      <c r="A313" s="171"/>
      <c r="B313" s="199">
        <f>IF(O313="",0,MAX($B$32:B312)+1)</f>
        <v>0</v>
      </c>
      <c r="C313" s="84">
        <f>DMHH!C289</f>
        <v>0</v>
      </c>
      <c r="D313" s="84">
        <f>DMHH!D289</f>
        <v>0</v>
      </c>
      <c r="E313" s="220">
        <f>DMHH!E289</f>
        <v>0</v>
      </c>
      <c r="F313" s="221">
        <f t="shared" si="38"/>
        <v>0</v>
      </c>
      <c r="G313" s="221">
        <f t="shared" si="39"/>
        <v>0</v>
      </c>
      <c r="H313" s="221">
        <f t="shared" si="40"/>
        <v>0</v>
      </c>
      <c r="I313" s="221">
        <f t="shared" si="37"/>
        <v>0</v>
      </c>
      <c r="J313" s="221">
        <f>DMHH!G289</f>
        <v>0</v>
      </c>
      <c r="K313" s="221">
        <f>DMHH!H289</f>
        <v>0</v>
      </c>
      <c r="L313" s="221">
        <f t="shared" si="41"/>
        <v>0</v>
      </c>
      <c r="M313" s="221">
        <f t="shared" si="42"/>
        <v>0</v>
      </c>
      <c r="N313" s="222"/>
      <c r="O313" s="234" t="str">
        <f t="shared" si="43"/>
        <v/>
      </c>
      <c r="P313" s="171"/>
    </row>
    <row r="314" spans="1:16" ht="15" hidden="1" customHeight="1">
      <c r="A314" s="171"/>
      <c r="B314" s="199">
        <f>IF(O314="",0,MAX($B$32:B313)+1)</f>
        <v>0</v>
      </c>
      <c r="C314" s="84">
        <f>DMHH!C290</f>
        <v>0</v>
      </c>
      <c r="D314" s="84">
        <f>DMHH!D290</f>
        <v>0</v>
      </c>
      <c r="E314" s="220">
        <f>DMHH!E290</f>
        <v>0</v>
      </c>
      <c r="F314" s="221">
        <f t="shared" si="38"/>
        <v>0</v>
      </c>
      <c r="G314" s="221">
        <f t="shared" si="39"/>
        <v>0</v>
      </c>
      <c r="H314" s="221">
        <f t="shared" si="40"/>
        <v>0</v>
      </c>
      <c r="I314" s="221">
        <f t="shared" si="37"/>
        <v>0</v>
      </c>
      <c r="J314" s="221">
        <f>DMHH!G290</f>
        <v>0</v>
      </c>
      <c r="K314" s="221">
        <f>DMHH!H290</f>
        <v>0</v>
      </c>
      <c r="L314" s="221">
        <f t="shared" si="41"/>
        <v>0</v>
      </c>
      <c r="M314" s="221">
        <f t="shared" si="42"/>
        <v>0</v>
      </c>
      <c r="N314" s="222"/>
      <c r="O314" s="234" t="str">
        <f t="shared" si="43"/>
        <v/>
      </c>
      <c r="P314" s="171"/>
    </row>
    <row r="315" spans="1:16" ht="15" hidden="1" customHeight="1">
      <c r="A315" s="171"/>
      <c r="B315" s="199">
        <f>IF(O315="",0,MAX($B$32:B314)+1)</f>
        <v>0</v>
      </c>
      <c r="C315" s="84">
        <f>DMHH!C291</f>
        <v>0</v>
      </c>
      <c r="D315" s="84">
        <f>DMHH!D291</f>
        <v>0</v>
      </c>
      <c r="E315" s="220">
        <f>DMHH!E291</f>
        <v>0</v>
      </c>
      <c r="F315" s="221">
        <f t="shared" si="38"/>
        <v>0</v>
      </c>
      <c r="G315" s="221">
        <f t="shared" si="39"/>
        <v>0</v>
      </c>
      <c r="H315" s="221">
        <f t="shared" si="40"/>
        <v>0</v>
      </c>
      <c r="I315" s="221">
        <f t="shared" si="37"/>
        <v>0</v>
      </c>
      <c r="J315" s="221">
        <f>DMHH!G291</f>
        <v>0</v>
      </c>
      <c r="K315" s="221">
        <f>DMHH!H291</f>
        <v>0</v>
      </c>
      <c r="L315" s="221">
        <f t="shared" si="41"/>
        <v>0</v>
      </c>
      <c r="M315" s="221">
        <f t="shared" si="42"/>
        <v>0</v>
      </c>
      <c r="N315" s="222"/>
      <c r="O315" s="234" t="str">
        <f t="shared" si="43"/>
        <v/>
      </c>
      <c r="P315" s="171"/>
    </row>
    <row r="316" spans="1:16" ht="15" hidden="1" customHeight="1">
      <c r="A316" s="171"/>
      <c r="B316" s="199">
        <f>IF(O316="",0,MAX($B$32:B315)+1)</f>
        <v>0</v>
      </c>
      <c r="C316" s="84">
        <f>DMHH!C292</f>
        <v>0</v>
      </c>
      <c r="D316" s="84">
        <f>DMHH!D292</f>
        <v>0</v>
      </c>
      <c r="E316" s="220">
        <f>DMHH!E292</f>
        <v>0</v>
      </c>
      <c r="F316" s="221">
        <f t="shared" si="38"/>
        <v>0</v>
      </c>
      <c r="G316" s="221">
        <f t="shared" si="39"/>
        <v>0</v>
      </c>
      <c r="H316" s="221">
        <f t="shared" si="40"/>
        <v>0</v>
      </c>
      <c r="I316" s="221">
        <f t="shared" si="37"/>
        <v>0</v>
      </c>
      <c r="J316" s="221">
        <f>DMHH!G292</f>
        <v>0</v>
      </c>
      <c r="K316" s="221">
        <f>DMHH!H292</f>
        <v>0</v>
      </c>
      <c r="L316" s="221">
        <f t="shared" si="41"/>
        <v>0</v>
      </c>
      <c r="M316" s="221">
        <f t="shared" si="42"/>
        <v>0</v>
      </c>
      <c r="N316" s="222"/>
      <c r="O316" s="234" t="str">
        <f t="shared" si="43"/>
        <v/>
      </c>
      <c r="P316" s="171"/>
    </row>
    <row r="317" spans="1:16" ht="15" hidden="1" customHeight="1">
      <c r="A317" s="171"/>
      <c r="B317" s="199">
        <f>IF(O317="",0,MAX($B$32:B316)+1)</f>
        <v>0</v>
      </c>
      <c r="C317" s="84">
        <f>DMHH!C293</f>
        <v>0</v>
      </c>
      <c r="D317" s="84">
        <f>DMHH!D293</f>
        <v>0</v>
      </c>
      <c r="E317" s="220">
        <f>DMHH!E293</f>
        <v>0</v>
      </c>
      <c r="F317" s="221">
        <f t="shared" si="38"/>
        <v>0</v>
      </c>
      <c r="G317" s="221">
        <f t="shared" si="39"/>
        <v>0</v>
      </c>
      <c r="H317" s="221">
        <f t="shared" si="40"/>
        <v>0</v>
      </c>
      <c r="I317" s="221">
        <f t="shared" si="37"/>
        <v>0</v>
      </c>
      <c r="J317" s="221">
        <f>DMHH!G293</f>
        <v>0</v>
      </c>
      <c r="K317" s="221">
        <f>DMHH!H293</f>
        <v>0</v>
      </c>
      <c r="L317" s="221">
        <f t="shared" si="41"/>
        <v>0</v>
      </c>
      <c r="M317" s="221">
        <f t="shared" si="42"/>
        <v>0</v>
      </c>
      <c r="N317" s="222"/>
      <c r="O317" s="234" t="str">
        <f t="shared" si="43"/>
        <v/>
      </c>
      <c r="P317" s="171"/>
    </row>
    <row r="318" spans="1:16" ht="15" hidden="1" customHeight="1">
      <c r="A318" s="171"/>
      <c r="B318" s="199">
        <f>IF(O318="",0,MAX($B$32:B317)+1)</f>
        <v>0</v>
      </c>
      <c r="C318" s="84">
        <f>DMHH!C294</f>
        <v>0</v>
      </c>
      <c r="D318" s="84">
        <f>DMHH!D294</f>
        <v>0</v>
      </c>
      <c r="E318" s="220">
        <f>DMHH!E294</f>
        <v>0</v>
      </c>
      <c r="F318" s="221">
        <f t="shared" si="38"/>
        <v>0</v>
      </c>
      <c r="G318" s="221">
        <f t="shared" si="39"/>
        <v>0</v>
      </c>
      <c r="H318" s="221">
        <f t="shared" si="40"/>
        <v>0</v>
      </c>
      <c r="I318" s="221">
        <f t="shared" si="37"/>
        <v>0</v>
      </c>
      <c r="J318" s="221">
        <f>DMHH!G294</f>
        <v>0</v>
      </c>
      <c r="K318" s="221">
        <f>DMHH!H294</f>
        <v>0</v>
      </c>
      <c r="L318" s="221">
        <f t="shared" si="41"/>
        <v>0</v>
      </c>
      <c r="M318" s="221">
        <f t="shared" si="42"/>
        <v>0</v>
      </c>
      <c r="N318" s="222"/>
      <c r="O318" s="234" t="str">
        <f t="shared" si="43"/>
        <v/>
      </c>
      <c r="P318" s="171"/>
    </row>
    <row r="319" spans="1:16" ht="15" hidden="1" customHeight="1">
      <c r="A319" s="171"/>
      <c r="B319" s="199">
        <f>IF(O319="",0,MAX($B$32:B318)+1)</f>
        <v>0</v>
      </c>
      <c r="C319" s="84">
        <f>DMHH!C295</f>
        <v>0</v>
      </c>
      <c r="D319" s="84">
        <f>DMHH!D295</f>
        <v>0</v>
      </c>
      <c r="E319" s="220">
        <f>DMHH!E295</f>
        <v>0</v>
      </c>
      <c r="F319" s="221">
        <f t="shared" si="38"/>
        <v>0</v>
      </c>
      <c r="G319" s="221">
        <f t="shared" si="39"/>
        <v>0</v>
      </c>
      <c r="H319" s="221">
        <f t="shared" si="40"/>
        <v>0</v>
      </c>
      <c r="I319" s="221">
        <f t="shared" si="37"/>
        <v>0</v>
      </c>
      <c r="J319" s="221">
        <f>DMHH!G295</f>
        <v>0</v>
      </c>
      <c r="K319" s="221">
        <f>DMHH!H295</f>
        <v>0</v>
      </c>
      <c r="L319" s="221">
        <f t="shared" si="41"/>
        <v>0</v>
      </c>
      <c r="M319" s="221">
        <f t="shared" si="42"/>
        <v>0</v>
      </c>
      <c r="N319" s="222"/>
      <c r="O319" s="234" t="str">
        <f t="shared" si="43"/>
        <v/>
      </c>
      <c r="P319" s="171"/>
    </row>
    <row r="320" spans="1:16" ht="15" hidden="1" customHeight="1">
      <c r="A320" s="171"/>
      <c r="B320" s="199">
        <f>IF(O320="",0,MAX($B$32:B319)+1)</f>
        <v>0</v>
      </c>
      <c r="C320" s="84">
        <f>DMHH!C296</f>
        <v>0</v>
      </c>
      <c r="D320" s="84">
        <f>DMHH!D296</f>
        <v>0</v>
      </c>
      <c r="E320" s="220">
        <f>DMHH!E296</f>
        <v>0</v>
      </c>
      <c r="F320" s="221">
        <f t="shared" si="38"/>
        <v>0</v>
      </c>
      <c r="G320" s="221">
        <f t="shared" si="39"/>
        <v>0</v>
      </c>
      <c r="H320" s="221">
        <f t="shared" si="40"/>
        <v>0</v>
      </c>
      <c r="I320" s="221">
        <f t="shared" si="37"/>
        <v>0</v>
      </c>
      <c r="J320" s="221">
        <f>DMHH!G296</f>
        <v>0</v>
      </c>
      <c r="K320" s="221">
        <f>DMHH!H296</f>
        <v>0</v>
      </c>
      <c r="L320" s="221">
        <f t="shared" si="41"/>
        <v>0</v>
      </c>
      <c r="M320" s="221">
        <f t="shared" si="42"/>
        <v>0</v>
      </c>
      <c r="N320" s="222"/>
      <c r="O320" s="234" t="str">
        <f t="shared" si="43"/>
        <v/>
      </c>
      <c r="P320" s="171"/>
    </row>
    <row r="321" spans="1:16" ht="15" hidden="1" customHeight="1">
      <c r="A321" s="171"/>
      <c r="B321" s="199">
        <f>IF(O321="",0,MAX($B$32:B320)+1)</f>
        <v>0</v>
      </c>
      <c r="C321" s="84">
        <f>DMHH!C297</f>
        <v>0</v>
      </c>
      <c r="D321" s="84">
        <f>DMHH!D297</f>
        <v>0</v>
      </c>
      <c r="E321" s="220">
        <f>DMHH!E297</f>
        <v>0</v>
      </c>
      <c r="F321" s="221">
        <f t="shared" si="38"/>
        <v>0</v>
      </c>
      <c r="G321" s="221">
        <f t="shared" si="39"/>
        <v>0</v>
      </c>
      <c r="H321" s="221">
        <f t="shared" si="40"/>
        <v>0</v>
      </c>
      <c r="I321" s="221">
        <f t="shared" si="37"/>
        <v>0</v>
      </c>
      <c r="J321" s="221">
        <f>DMHH!G297</f>
        <v>0</v>
      </c>
      <c r="K321" s="221">
        <f>DMHH!H297</f>
        <v>0</v>
      </c>
      <c r="L321" s="221">
        <f t="shared" si="41"/>
        <v>0</v>
      </c>
      <c r="M321" s="221">
        <f t="shared" si="42"/>
        <v>0</v>
      </c>
      <c r="N321" s="222"/>
      <c r="O321" s="234" t="str">
        <f t="shared" si="43"/>
        <v/>
      </c>
      <c r="P321" s="171"/>
    </row>
    <row r="322" spans="1:16" ht="15" hidden="1" customHeight="1">
      <c r="A322" s="171"/>
      <c r="B322" s="199">
        <f>IF(O322="",0,MAX($B$32:B321)+1)</f>
        <v>0</v>
      </c>
      <c r="C322" s="84">
        <f>DMHH!C298</f>
        <v>0</v>
      </c>
      <c r="D322" s="84">
        <f>DMHH!D298</f>
        <v>0</v>
      </c>
      <c r="E322" s="220">
        <f>DMHH!E298</f>
        <v>0</v>
      </c>
      <c r="F322" s="221">
        <f t="shared" si="38"/>
        <v>0</v>
      </c>
      <c r="G322" s="221">
        <f t="shared" si="39"/>
        <v>0</v>
      </c>
      <c r="H322" s="221">
        <f t="shared" si="40"/>
        <v>0</v>
      </c>
      <c r="I322" s="221">
        <f t="shared" si="37"/>
        <v>0</v>
      </c>
      <c r="J322" s="221">
        <f>DMHH!G298</f>
        <v>0</v>
      </c>
      <c r="K322" s="221">
        <f>DMHH!H298</f>
        <v>0</v>
      </c>
      <c r="L322" s="221">
        <f t="shared" si="41"/>
        <v>0</v>
      </c>
      <c r="M322" s="221">
        <f t="shared" si="42"/>
        <v>0</v>
      </c>
      <c r="N322" s="222"/>
      <c r="O322" s="234" t="str">
        <f t="shared" si="43"/>
        <v/>
      </c>
      <c r="P322" s="171"/>
    </row>
    <row r="323" spans="1:16" ht="15" hidden="1" customHeight="1">
      <c r="A323" s="171"/>
      <c r="B323" s="199">
        <f>IF(O323="",0,MAX($B$32:B322)+1)</f>
        <v>0</v>
      </c>
      <c r="C323" s="84">
        <f>DMHH!C299</f>
        <v>0</v>
      </c>
      <c r="D323" s="84">
        <f>DMHH!D299</f>
        <v>0</v>
      </c>
      <c r="E323" s="220">
        <f>DMHH!E299</f>
        <v>0</v>
      </c>
      <c r="F323" s="221">
        <f t="shared" si="38"/>
        <v>0</v>
      </c>
      <c r="G323" s="221">
        <f t="shared" si="39"/>
        <v>0</v>
      </c>
      <c r="H323" s="221">
        <f t="shared" si="40"/>
        <v>0</v>
      </c>
      <c r="I323" s="221">
        <f t="shared" si="37"/>
        <v>0</v>
      </c>
      <c r="J323" s="221">
        <f>DMHH!G299</f>
        <v>0</v>
      </c>
      <c r="K323" s="221">
        <f>DMHH!H299</f>
        <v>0</v>
      </c>
      <c r="L323" s="221">
        <f t="shared" si="41"/>
        <v>0</v>
      </c>
      <c r="M323" s="221">
        <f t="shared" si="42"/>
        <v>0</v>
      </c>
      <c r="N323" s="222"/>
      <c r="O323" s="234" t="str">
        <f t="shared" si="43"/>
        <v/>
      </c>
      <c r="P323" s="171"/>
    </row>
    <row r="324" spans="1:16" ht="15" hidden="1" customHeight="1">
      <c r="A324" s="171"/>
      <c r="B324" s="199">
        <f>IF(O324="",0,MAX($B$32:B323)+1)</f>
        <v>0</v>
      </c>
      <c r="C324" s="84">
        <f>DMHH!C300</f>
        <v>0</v>
      </c>
      <c r="D324" s="84">
        <f>DMHH!D300</f>
        <v>0</v>
      </c>
      <c r="E324" s="220">
        <f>DMHH!E300</f>
        <v>0</v>
      </c>
      <c r="F324" s="221">
        <f t="shared" si="38"/>
        <v>0</v>
      </c>
      <c r="G324" s="221">
        <f t="shared" si="39"/>
        <v>0</v>
      </c>
      <c r="H324" s="221">
        <f t="shared" si="40"/>
        <v>0</v>
      </c>
      <c r="I324" s="221">
        <f t="shared" si="37"/>
        <v>0</v>
      </c>
      <c r="J324" s="221">
        <f>DMHH!G300</f>
        <v>0</v>
      </c>
      <c r="K324" s="221">
        <f>DMHH!H300</f>
        <v>0</v>
      </c>
      <c r="L324" s="221">
        <f t="shared" si="41"/>
        <v>0</v>
      </c>
      <c r="M324" s="221">
        <f t="shared" si="42"/>
        <v>0</v>
      </c>
      <c r="N324" s="222"/>
      <c r="O324" s="234" t="str">
        <f t="shared" si="43"/>
        <v/>
      </c>
      <c r="P324" s="171"/>
    </row>
    <row r="325" spans="1:16" ht="15" hidden="1" customHeight="1">
      <c r="A325" s="171"/>
      <c r="B325" s="199">
        <f>IF(O325="",0,MAX($B$32:B324)+1)</f>
        <v>0</v>
      </c>
      <c r="C325" s="84">
        <f>DMHH!C301</f>
        <v>0</v>
      </c>
      <c r="D325" s="84">
        <f>DMHH!D301</f>
        <v>0</v>
      </c>
      <c r="E325" s="220">
        <f>DMHH!E301</f>
        <v>0</v>
      </c>
      <c r="F325" s="221">
        <f t="shared" si="38"/>
        <v>0</v>
      </c>
      <c r="G325" s="221">
        <f t="shared" si="39"/>
        <v>0</v>
      </c>
      <c r="H325" s="221">
        <f t="shared" si="40"/>
        <v>0</v>
      </c>
      <c r="I325" s="221">
        <f t="shared" si="37"/>
        <v>0</v>
      </c>
      <c r="J325" s="221">
        <f>DMHH!G301</f>
        <v>0</v>
      </c>
      <c r="K325" s="221">
        <f>DMHH!H301</f>
        <v>0</v>
      </c>
      <c r="L325" s="221">
        <f t="shared" si="41"/>
        <v>0</v>
      </c>
      <c r="M325" s="221">
        <f t="shared" si="42"/>
        <v>0</v>
      </c>
      <c r="N325" s="222"/>
      <c r="O325" s="234" t="str">
        <f t="shared" si="43"/>
        <v/>
      </c>
      <c r="P325" s="171"/>
    </row>
    <row r="326" spans="1:16" ht="15" hidden="1" customHeight="1">
      <c r="A326" s="171"/>
      <c r="B326" s="199">
        <f>IF(O326="",0,MAX($B$32:B325)+1)</f>
        <v>0</v>
      </c>
      <c r="C326" s="84">
        <f>DMHH!C302</f>
        <v>0</v>
      </c>
      <c r="D326" s="84">
        <f>DMHH!D302</f>
        <v>0</v>
      </c>
      <c r="E326" s="220">
        <f>DMHH!E302</f>
        <v>0</v>
      </c>
      <c r="F326" s="221">
        <f t="shared" si="38"/>
        <v>0</v>
      </c>
      <c r="G326" s="221">
        <f t="shared" si="39"/>
        <v>0</v>
      </c>
      <c r="H326" s="221">
        <f t="shared" si="40"/>
        <v>0</v>
      </c>
      <c r="I326" s="221">
        <f t="shared" si="37"/>
        <v>0</v>
      </c>
      <c r="J326" s="221">
        <f>DMHH!G302</f>
        <v>0</v>
      </c>
      <c r="K326" s="221">
        <f>DMHH!H302</f>
        <v>0</v>
      </c>
      <c r="L326" s="221">
        <f t="shared" si="41"/>
        <v>0</v>
      </c>
      <c r="M326" s="221">
        <f t="shared" si="42"/>
        <v>0</v>
      </c>
      <c r="N326" s="222"/>
      <c r="O326" s="234" t="str">
        <f t="shared" si="43"/>
        <v/>
      </c>
      <c r="P326" s="171"/>
    </row>
    <row r="327" spans="1:16" ht="15" hidden="1" customHeight="1">
      <c r="A327" s="171"/>
      <c r="B327" s="199">
        <f>IF(O327="",0,MAX($B$32:B326)+1)</f>
        <v>0</v>
      </c>
      <c r="C327" s="84">
        <f>DMHH!C303</f>
        <v>0</v>
      </c>
      <c r="D327" s="84">
        <f>DMHH!D303</f>
        <v>0</v>
      </c>
      <c r="E327" s="220">
        <f>DMHH!E303</f>
        <v>0</v>
      </c>
      <c r="F327" s="221">
        <f t="shared" si="38"/>
        <v>0</v>
      </c>
      <c r="G327" s="221">
        <f t="shared" si="39"/>
        <v>0</v>
      </c>
      <c r="H327" s="221">
        <f t="shared" si="40"/>
        <v>0</v>
      </c>
      <c r="I327" s="221">
        <f t="shared" si="37"/>
        <v>0</v>
      </c>
      <c r="J327" s="221">
        <f>DMHH!G303</f>
        <v>0</v>
      </c>
      <c r="K327" s="221">
        <f>DMHH!H303</f>
        <v>0</v>
      </c>
      <c r="L327" s="221">
        <f t="shared" si="41"/>
        <v>0</v>
      </c>
      <c r="M327" s="221">
        <f t="shared" si="42"/>
        <v>0</v>
      </c>
      <c r="N327" s="222"/>
      <c r="O327" s="234" t="str">
        <f t="shared" si="43"/>
        <v/>
      </c>
      <c r="P327" s="171"/>
    </row>
    <row r="328" spans="1:16" ht="15" hidden="1" customHeight="1">
      <c r="A328" s="171"/>
      <c r="B328" s="199">
        <f>IF(O328="",0,MAX($B$32:B327)+1)</f>
        <v>0</v>
      </c>
      <c r="C328" s="84">
        <f>DMHH!C304</f>
        <v>0</v>
      </c>
      <c r="D328" s="84">
        <f>DMHH!D304</f>
        <v>0</v>
      </c>
      <c r="E328" s="220">
        <f>DMHH!E304</f>
        <v>0</v>
      </c>
      <c r="F328" s="221">
        <f t="shared" si="38"/>
        <v>0</v>
      </c>
      <c r="G328" s="221">
        <f t="shared" si="39"/>
        <v>0</v>
      </c>
      <c r="H328" s="221">
        <f t="shared" si="40"/>
        <v>0</v>
      </c>
      <c r="I328" s="221">
        <f t="shared" si="37"/>
        <v>0</v>
      </c>
      <c r="J328" s="221">
        <f>DMHH!G304</f>
        <v>0</v>
      </c>
      <c r="K328" s="221">
        <f>DMHH!H304</f>
        <v>0</v>
      </c>
      <c r="L328" s="221">
        <f t="shared" si="41"/>
        <v>0</v>
      </c>
      <c r="M328" s="221">
        <f t="shared" si="42"/>
        <v>0</v>
      </c>
      <c r="N328" s="222"/>
      <c r="O328" s="234" t="str">
        <f t="shared" si="43"/>
        <v/>
      </c>
      <c r="P328" s="171"/>
    </row>
    <row r="329" spans="1:16" ht="15" hidden="1" customHeight="1">
      <c r="A329" s="171"/>
      <c r="B329" s="199">
        <f>IF(O329="",0,MAX($B$32:B328)+1)</f>
        <v>0</v>
      </c>
      <c r="C329" s="84">
        <f>DMHH!C305</f>
        <v>0</v>
      </c>
      <c r="D329" s="84">
        <f>DMHH!D305</f>
        <v>0</v>
      </c>
      <c r="E329" s="220">
        <f>DMHH!E305</f>
        <v>0</v>
      </c>
      <c r="F329" s="221">
        <f t="shared" si="38"/>
        <v>0</v>
      </c>
      <c r="G329" s="221">
        <f t="shared" si="39"/>
        <v>0</v>
      </c>
      <c r="H329" s="221">
        <f t="shared" si="40"/>
        <v>0</v>
      </c>
      <c r="I329" s="221">
        <f t="shared" si="37"/>
        <v>0</v>
      </c>
      <c r="J329" s="221">
        <f>DMHH!G305</f>
        <v>0</v>
      </c>
      <c r="K329" s="221">
        <f>DMHH!H305</f>
        <v>0</v>
      </c>
      <c r="L329" s="221">
        <f t="shared" si="41"/>
        <v>0</v>
      </c>
      <c r="M329" s="221">
        <f t="shared" si="42"/>
        <v>0</v>
      </c>
      <c r="N329" s="222"/>
      <c r="O329" s="234" t="str">
        <f t="shared" si="43"/>
        <v/>
      </c>
      <c r="P329" s="171"/>
    </row>
    <row r="330" spans="1:16" ht="15" hidden="1" customHeight="1">
      <c r="A330" s="171"/>
      <c r="B330" s="199">
        <f>IF(O330="",0,MAX($B$32:B329)+1)</f>
        <v>0</v>
      </c>
      <c r="C330" s="84">
        <f>DMHH!C306</f>
        <v>0</v>
      </c>
      <c r="D330" s="84">
        <f>DMHH!D306</f>
        <v>0</v>
      </c>
      <c r="E330" s="220">
        <f>DMHH!E306</f>
        <v>0</v>
      </c>
      <c r="F330" s="221">
        <f t="shared" si="38"/>
        <v>0</v>
      </c>
      <c r="G330" s="221">
        <f t="shared" si="39"/>
        <v>0</v>
      </c>
      <c r="H330" s="221">
        <f t="shared" si="40"/>
        <v>0</v>
      </c>
      <c r="I330" s="221">
        <f t="shared" si="37"/>
        <v>0</v>
      </c>
      <c r="J330" s="221">
        <f>DMHH!G306</f>
        <v>0</v>
      </c>
      <c r="K330" s="221">
        <f>DMHH!H306</f>
        <v>0</v>
      </c>
      <c r="L330" s="221">
        <f t="shared" si="41"/>
        <v>0</v>
      </c>
      <c r="M330" s="221">
        <f t="shared" si="42"/>
        <v>0</v>
      </c>
      <c r="N330" s="222"/>
      <c r="O330" s="234" t="str">
        <f t="shared" si="43"/>
        <v/>
      </c>
      <c r="P330" s="171"/>
    </row>
    <row r="331" spans="1:16" ht="15" hidden="1" customHeight="1">
      <c r="A331" s="171"/>
      <c r="B331" s="199">
        <f>IF(O331="",0,MAX($B$32:B330)+1)</f>
        <v>0</v>
      </c>
      <c r="C331" s="84">
        <f>DMHH!C307</f>
        <v>0</v>
      </c>
      <c r="D331" s="84">
        <f>DMHH!D307</f>
        <v>0</v>
      </c>
      <c r="E331" s="220">
        <f>DMHH!E307</f>
        <v>0</v>
      </c>
      <c r="F331" s="221">
        <f t="shared" si="38"/>
        <v>0</v>
      </c>
      <c r="G331" s="221">
        <f t="shared" si="39"/>
        <v>0</v>
      </c>
      <c r="H331" s="221">
        <f t="shared" si="40"/>
        <v>0</v>
      </c>
      <c r="I331" s="221">
        <f t="shared" si="37"/>
        <v>0</v>
      </c>
      <c r="J331" s="221">
        <f>DMHH!G307</f>
        <v>0</v>
      </c>
      <c r="K331" s="221">
        <f>DMHH!H307</f>
        <v>0</v>
      </c>
      <c r="L331" s="221">
        <f t="shared" si="41"/>
        <v>0</v>
      </c>
      <c r="M331" s="221">
        <f t="shared" si="42"/>
        <v>0</v>
      </c>
      <c r="N331" s="222"/>
      <c r="O331" s="234" t="str">
        <f t="shared" si="43"/>
        <v/>
      </c>
      <c r="P331" s="171"/>
    </row>
    <row r="332" spans="1:16" ht="15" hidden="1" customHeight="1">
      <c r="A332" s="171"/>
      <c r="B332" s="199">
        <f>IF(O332="",0,MAX($B$32:B331)+1)</f>
        <v>0</v>
      </c>
      <c r="C332" s="84">
        <f>DMHH!C308</f>
        <v>0</v>
      </c>
      <c r="D332" s="84">
        <f>DMHH!D308</f>
        <v>0</v>
      </c>
      <c r="E332" s="220">
        <f>DMHH!E308</f>
        <v>0</v>
      </c>
      <c r="F332" s="221">
        <f t="shared" si="38"/>
        <v>0</v>
      </c>
      <c r="G332" s="221">
        <f t="shared" si="39"/>
        <v>0</v>
      </c>
      <c r="H332" s="221">
        <f t="shared" si="40"/>
        <v>0</v>
      </c>
      <c r="I332" s="221">
        <f t="shared" si="37"/>
        <v>0</v>
      </c>
      <c r="J332" s="221">
        <f>DMHH!G308</f>
        <v>0</v>
      </c>
      <c r="K332" s="221">
        <f>DMHH!H308</f>
        <v>0</v>
      </c>
      <c r="L332" s="221">
        <f t="shared" si="41"/>
        <v>0</v>
      </c>
      <c r="M332" s="221">
        <f t="shared" si="42"/>
        <v>0</v>
      </c>
      <c r="N332" s="222"/>
      <c r="O332" s="234" t="str">
        <f t="shared" si="43"/>
        <v/>
      </c>
      <c r="P332" s="171"/>
    </row>
    <row r="333" spans="1:16" ht="15" hidden="1" customHeight="1">
      <c r="A333" s="171"/>
      <c r="B333" s="199">
        <f>IF(O333="",0,MAX($B$32:B332)+1)</f>
        <v>0</v>
      </c>
      <c r="C333" s="84">
        <f>DMHH!C309</f>
        <v>0</v>
      </c>
      <c r="D333" s="84">
        <f>DMHH!D309</f>
        <v>0</v>
      </c>
      <c r="E333" s="220">
        <f>DMHH!E309</f>
        <v>0</v>
      </c>
      <c r="F333" s="221">
        <f t="shared" si="38"/>
        <v>0</v>
      </c>
      <c r="G333" s="221">
        <f t="shared" si="39"/>
        <v>0</v>
      </c>
      <c r="H333" s="221">
        <f t="shared" si="40"/>
        <v>0</v>
      </c>
      <c r="I333" s="221">
        <f t="shared" si="37"/>
        <v>0</v>
      </c>
      <c r="J333" s="221">
        <f>DMHH!G309</f>
        <v>0</v>
      </c>
      <c r="K333" s="221">
        <f>DMHH!H309</f>
        <v>0</v>
      </c>
      <c r="L333" s="221">
        <f t="shared" si="41"/>
        <v>0</v>
      </c>
      <c r="M333" s="221">
        <f t="shared" si="42"/>
        <v>0</v>
      </c>
      <c r="N333" s="222"/>
      <c r="O333" s="234" t="str">
        <f t="shared" si="43"/>
        <v/>
      </c>
      <c r="P333" s="171"/>
    </row>
    <row r="334" spans="1:16" ht="15" hidden="1" customHeight="1">
      <c r="A334" s="171"/>
      <c r="B334" s="199">
        <f>IF(O334="",0,MAX($B$32:B333)+1)</f>
        <v>0</v>
      </c>
      <c r="C334" s="84">
        <f>DMHH!C310</f>
        <v>0</v>
      </c>
      <c r="D334" s="84">
        <f>DMHH!D310</f>
        <v>0</v>
      </c>
      <c r="E334" s="220">
        <f>DMHH!E310</f>
        <v>0</v>
      </c>
      <c r="F334" s="221">
        <f t="shared" si="38"/>
        <v>0</v>
      </c>
      <c r="G334" s="221">
        <f t="shared" si="39"/>
        <v>0</v>
      </c>
      <c r="H334" s="221">
        <f t="shared" si="40"/>
        <v>0</v>
      </c>
      <c r="I334" s="221">
        <f t="shared" si="37"/>
        <v>0</v>
      </c>
      <c r="J334" s="221">
        <f>DMHH!G310</f>
        <v>0</v>
      </c>
      <c r="K334" s="221">
        <f>DMHH!H310</f>
        <v>0</v>
      </c>
      <c r="L334" s="221">
        <f t="shared" si="41"/>
        <v>0</v>
      </c>
      <c r="M334" s="221">
        <f t="shared" si="42"/>
        <v>0</v>
      </c>
      <c r="N334" s="222"/>
      <c r="O334" s="234" t="str">
        <f t="shared" si="43"/>
        <v/>
      </c>
      <c r="P334" s="171"/>
    </row>
    <row r="335" spans="1:16" ht="15" hidden="1" customHeight="1">
      <c r="A335" s="171"/>
      <c r="B335" s="199">
        <f>IF(O335="",0,MAX($B$32:B334)+1)</f>
        <v>0</v>
      </c>
      <c r="C335" s="84">
        <f>DMHH!C311</f>
        <v>0</v>
      </c>
      <c r="D335" s="84">
        <f>DMHH!D311</f>
        <v>0</v>
      </c>
      <c r="E335" s="220">
        <f>DMHH!E311</f>
        <v>0</v>
      </c>
      <c r="F335" s="221">
        <f t="shared" si="38"/>
        <v>0</v>
      </c>
      <c r="G335" s="221">
        <f t="shared" si="39"/>
        <v>0</v>
      </c>
      <c r="H335" s="221">
        <f t="shared" si="40"/>
        <v>0</v>
      </c>
      <c r="I335" s="221">
        <f t="shared" si="37"/>
        <v>0</v>
      </c>
      <c r="J335" s="221">
        <f>DMHH!G311</f>
        <v>0</v>
      </c>
      <c r="K335" s="221">
        <f>DMHH!H311</f>
        <v>0</v>
      </c>
      <c r="L335" s="221">
        <f t="shared" si="41"/>
        <v>0</v>
      </c>
      <c r="M335" s="221">
        <f t="shared" si="42"/>
        <v>0</v>
      </c>
      <c r="N335" s="222"/>
      <c r="O335" s="234" t="str">
        <f t="shared" si="43"/>
        <v/>
      </c>
      <c r="P335" s="171"/>
    </row>
    <row r="336" spans="1:16" ht="15" hidden="1" customHeight="1">
      <c r="A336" s="171"/>
      <c r="B336" s="199">
        <f>IF(O336="",0,MAX($B$32:B335)+1)</f>
        <v>0</v>
      </c>
      <c r="C336" s="84">
        <f>DMHH!C312</f>
        <v>0</v>
      </c>
      <c r="D336" s="84">
        <f>DMHH!D312</f>
        <v>0</v>
      </c>
      <c r="E336" s="220">
        <f>DMHH!E312</f>
        <v>0</v>
      </c>
      <c r="F336" s="221">
        <f t="shared" si="38"/>
        <v>0</v>
      </c>
      <c r="G336" s="221">
        <f t="shared" si="39"/>
        <v>0</v>
      </c>
      <c r="H336" s="221">
        <f t="shared" si="40"/>
        <v>0</v>
      </c>
      <c r="I336" s="221">
        <f t="shared" si="37"/>
        <v>0</v>
      </c>
      <c r="J336" s="221">
        <f>DMHH!G312</f>
        <v>0</v>
      </c>
      <c r="K336" s="221">
        <f>DMHH!H312</f>
        <v>0</v>
      </c>
      <c r="L336" s="221">
        <f t="shared" si="41"/>
        <v>0</v>
      </c>
      <c r="M336" s="221">
        <f t="shared" si="42"/>
        <v>0</v>
      </c>
      <c r="N336" s="222"/>
      <c r="O336" s="234" t="str">
        <f t="shared" si="43"/>
        <v/>
      </c>
      <c r="P336" s="171"/>
    </row>
    <row r="337" spans="1:16" ht="15" hidden="1" customHeight="1">
      <c r="A337" s="171"/>
      <c r="B337" s="199">
        <f>IF(O337="",0,MAX($B$32:B336)+1)</f>
        <v>0</v>
      </c>
      <c r="C337" s="84">
        <f>DMHH!C313</f>
        <v>0</v>
      </c>
      <c r="D337" s="84">
        <f>DMHH!D313</f>
        <v>0</v>
      </c>
      <c r="E337" s="220">
        <f>DMHH!E313</f>
        <v>0</v>
      </c>
      <c r="F337" s="221">
        <f t="shared" si="38"/>
        <v>0</v>
      </c>
      <c r="G337" s="221">
        <f t="shared" si="39"/>
        <v>0</v>
      </c>
      <c r="H337" s="221">
        <f t="shared" si="40"/>
        <v>0</v>
      </c>
      <c r="I337" s="221">
        <f t="shared" si="37"/>
        <v>0</v>
      </c>
      <c r="J337" s="221">
        <f>DMHH!G313</f>
        <v>0</v>
      </c>
      <c r="K337" s="221">
        <f>DMHH!H313</f>
        <v>0</v>
      </c>
      <c r="L337" s="221">
        <f t="shared" si="41"/>
        <v>0</v>
      </c>
      <c r="M337" s="221">
        <f t="shared" si="42"/>
        <v>0</v>
      </c>
      <c r="N337" s="222"/>
      <c r="O337" s="234" t="str">
        <f t="shared" si="43"/>
        <v/>
      </c>
      <c r="P337" s="171"/>
    </row>
    <row r="338" spans="1:16" ht="15" hidden="1" customHeight="1">
      <c r="A338" s="171"/>
      <c r="B338" s="199">
        <f>IF(O338="",0,MAX($B$32:B337)+1)</f>
        <v>0</v>
      </c>
      <c r="C338" s="84">
        <f>DMHH!C314</f>
        <v>0</v>
      </c>
      <c r="D338" s="84">
        <f>DMHH!D314</f>
        <v>0</v>
      </c>
      <c r="E338" s="220">
        <f>DMHH!E314</f>
        <v>0</v>
      </c>
      <c r="F338" s="221">
        <f t="shared" si="38"/>
        <v>0</v>
      </c>
      <c r="G338" s="221">
        <f t="shared" si="39"/>
        <v>0</v>
      </c>
      <c r="H338" s="221">
        <f t="shared" si="40"/>
        <v>0</v>
      </c>
      <c r="I338" s="221">
        <f t="shared" si="37"/>
        <v>0</v>
      </c>
      <c r="J338" s="221">
        <f>DMHH!G314</f>
        <v>0</v>
      </c>
      <c r="K338" s="221">
        <f>DMHH!H314</f>
        <v>0</v>
      </c>
      <c r="L338" s="221">
        <f t="shared" si="41"/>
        <v>0</v>
      </c>
      <c r="M338" s="221">
        <f t="shared" si="42"/>
        <v>0</v>
      </c>
      <c r="N338" s="222"/>
      <c r="O338" s="234" t="str">
        <f t="shared" si="43"/>
        <v/>
      </c>
      <c r="P338" s="171"/>
    </row>
    <row r="339" spans="1:16" ht="15" hidden="1" customHeight="1">
      <c r="A339" s="171"/>
      <c r="B339" s="199">
        <f>IF(O339="",0,MAX($B$32:B338)+1)</f>
        <v>0</v>
      </c>
      <c r="C339" s="84">
        <f>DMHH!C315</f>
        <v>0</v>
      </c>
      <c r="D339" s="84">
        <f>DMHH!D315</f>
        <v>0</v>
      </c>
      <c r="E339" s="220">
        <f>DMHH!E315</f>
        <v>0</v>
      </c>
      <c r="F339" s="221">
        <f t="shared" si="38"/>
        <v>0</v>
      </c>
      <c r="G339" s="221">
        <f t="shared" si="39"/>
        <v>0</v>
      </c>
      <c r="H339" s="221">
        <f t="shared" si="40"/>
        <v>0</v>
      </c>
      <c r="I339" s="221">
        <f t="shared" si="37"/>
        <v>0</v>
      </c>
      <c r="J339" s="221">
        <f>DMHH!G315</f>
        <v>0</v>
      </c>
      <c r="K339" s="221">
        <f>DMHH!H315</f>
        <v>0</v>
      </c>
      <c r="L339" s="221">
        <f t="shared" si="41"/>
        <v>0</v>
      </c>
      <c r="M339" s="221">
        <f t="shared" si="42"/>
        <v>0</v>
      </c>
      <c r="N339" s="222"/>
      <c r="O339" s="234" t="str">
        <f t="shared" si="43"/>
        <v/>
      </c>
      <c r="P339" s="171"/>
    </row>
    <row r="340" spans="1:16" ht="15" hidden="1" customHeight="1">
      <c r="A340" s="171"/>
      <c r="B340" s="199">
        <f>IF(O340="",0,MAX($B$32:B339)+1)</f>
        <v>0</v>
      </c>
      <c r="C340" s="84">
        <f>DMHH!C316</f>
        <v>0</v>
      </c>
      <c r="D340" s="84">
        <f>DMHH!D316</f>
        <v>0</v>
      </c>
      <c r="E340" s="220">
        <f>DMHH!E316</f>
        <v>0</v>
      </c>
      <c r="F340" s="221">
        <f t="shared" si="38"/>
        <v>0</v>
      </c>
      <c r="G340" s="221">
        <f t="shared" si="39"/>
        <v>0</v>
      </c>
      <c r="H340" s="221">
        <f t="shared" si="40"/>
        <v>0</v>
      </c>
      <c r="I340" s="221">
        <f t="shared" si="37"/>
        <v>0</v>
      </c>
      <c r="J340" s="221">
        <f>DMHH!G316</f>
        <v>0</v>
      </c>
      <c r="K340" s="221">
        <f>DMHH!H316</f>
        <v>0</v>
      </c>
      <c r="L340" s="221">
        <f t="shared" si="41"/>
        <v>0</v>
      </c>
      <c r="M340" s="221">
        <f t="shared" si="42"/>
        <v>0</v>
      </c>
      <c r="N340" s="222"/>
      <c r="O340" s="234" t="str">
        <f t="shared" si="43"/>
        <v/>
      </c>
      <c r="P340" s="171"/>
    </row>
    <row r="341" spans="1:16" ht="15" hidden="1" customHeight="1">
      <c r="A341" s="171"/>
      <c r="B341" s="199">
        <f>IF(O341="",0,MAX($B$32:B340)+1)</f>
        <v>0</v>
      </c>
      <c r="C341" s="84">
        <f>DMHH!C317</f>
        <v>0</v>
      </c>
      <c r="D341" s="84">
        <f>DMHH!D317</f>
        <v>0</v>
      </c>
      <c r="E341" s="220">
        <f>DMHH!E317</f>
        <v>0</v>
      </c>
      <c r="F341" s="221">
        <f t="shared" si="38"/>
        <v>0</v>
      </c>
      <c r="G341" s="221">
        <f t="shared" si="39"/>
        <v>0</v>
      </c>
      <c r="H341" s="221">
        <f t="shared" si="40"/>
        <v>0</v>
      </c>
      <c r="I341" s="221">
        <f t="shared" si="37"/>
        <v>0</v>
      </c>
      <c r="J341" s="221">
        <f>DMHH!G317</f>
        <v>0</v>
      </c>
      <c r="K341" s="221">
        <f>DMHH!H317</f>
        <v>0</v>
      </c>
      <c r="L341" s="221">
        <f t="shared" si="41"/>
        <v>0</v>
      </c>
      <c r="M341" s="221">
        <f t="shared" si="42"/>
        <v>0</v>
      </c>
      <c r="N341" s="222"/>
      <c r="O341" s="234" t="str">
        <f t="shared" si="43"/>
        <v/>
      </c>
      <c r="P341" s="171"/>
    </row>
    <row r="342" spans="1:16" ht="15" hidden="1" customHeight="1">
      <c r="A342" s="171"/>
      <c r="B342" s="199">
        <f>IF(O342="",0,MAX($B$32:B341)+1)</f>
        <v>0</v>
      </c>
      <c r="C342" s="84">
        <f>DMHH!C318</f>
        <v>0</v>
      </c>
      <c r="D342" s="84">
        <f>DMHH!D318</f>
        <v>0</v>
      </c>
      <c r="E342" s="220">
        <f>DMHH!E318</f>
        <v>0</v>
      </c>
      <c r="F342" s="221">
        <f t="shared" si="38"/>
        <v>0</v>
      </c>
      <c r="G342" s="221">
        <f t="shared" si="39"/>
        <v>0</v>
      </c>
      <c r="H342" s="221">
        <f t="shared" si="40"/>
        <v>0</v>
      </c>
      <c r="I342" s="221">
        <f t="shared" si="37"/>
        <v>0</v>
      </c>
      <c r="J342" s="221">
        <f>DMHH!G318</f>
        <v>0</v>
      </c>
      <c r="K342" s="221">
        <f>DMHH!H318</f>
        <v>0</v>
      </c>
      <c r="L342" s="221">
        <f t="shared" si="41"/>
        <v>0</v>
      </c>
      <c r="M342" s="221">
        <f t="shared" si="42"/>
        <v>0</v>
      </c>
      <c r="N342" s="222"/>
      <c r="O342" s="234" t="str">
        <f t="shared" si="43"/>
        <v/>
      </c>
      <c r="P342" s="171"/>
    </row>
    <row r="343" spans="1:16" ht="15" hidden="1" customHeight="1">
      <c r="A343" s="171"/>
      <c r="B343" s="199">
        <f>IF(O343="",0,MAX($B$32:B342)+1)</f>
        <v>0</v>
      </c>
      <c r="C343" s="84">
        <f>DMHH!C319</f>
        <v>0</v>
      </c>
      <c r="D343" s="84">
        <f>DMHH!D319</f>
        <v>0</v>
      </c>
      <c r="E343" s="220">
        <f>DMHH!E319</f>
        <v>0</v>
      </c>
      <c r="F343" s="221">
        <f t="shared" si="38"/>
        <v>0</v>
      </c>
      <c r="G343" s="221">
        <f t="shared" si="39"/>
        <v>0</v>
      </c>
      <c r="H343" s="221">
        <f t="shared" si="40"/>
        <v>0</v>
      </c>
      <c r="I343" s="221">
        <f t="shared" si="37"/>
        <v>0</v>
      </c>
      <c r="J343" s="221">
        <f>DMHH!G319</f>
        <v>0</v>
      </c>
      <c r="K343" s="221">
        <f>DMHH!H319</f>
        <v>0</v>
      </c>
      <c r="L343" s="221">
        <f t="shared" si="41"/>
        <v>0</v>
      </c>
      <c r="M343" s="221">
        <f t="shared" si="42"/>
        <v>0</v>
      </c>
      <c r="N343" s="222"/>
      <c r="O343" s="234" t="str">
        <f t="shared" si="43"/>
        <v/>
      </c>
      <c r="P343" s="171"/>
    </row>
    <row r="344" spans="1:16" ht="15" hidden="1" customHeight="1">
      <c r="A344" s="171"/>
      <c r="B344" s="199">
        <f>IF(O344="",0,MAX($B$32:B343)+1)</f>
        <v>0</v>
      </c>
      <c r="C344" s="84">
        <f>DMHH!C320</f>
        <v>0</v>
      </c>
      <c r="D344" s="84">
        <f>DMHH!D320</f>
        <v>0</v>
      </c>
      <c r="E344" s="220">
        <f>DMHH!E320</f>
        <v>0</v>
      </c>
      <c r="F344" s="221">
        <f t="shared" si="38"/>
        <v>0</v>
      </c>
      <c r="G344" s="221">
        <f t="shared" si="39"/>
        <v>0</v>
      </c>
      <c r="H344" s="221">
        <f t="shared" si="40"/>
        <v>0</v>
      </c>
      <c r="I344" s="221">
        <f t="shared" si="37"/>
        <v>0</v>
      </c>
      <c r="J344" s="221">
        <f>DMHH!G320</f>
        <v>0</v>
      </c>
      <c r="K344" s="221">
        <f>DMHH!H320</f>
        <v>0</v>
      </c>
      <c r="L344" s="221">
        <f t="shared" si="41"/>
        <v>0</v>
      </c>
      <c r="M344" s="221">
        <f t="shared" si="42"/>
        <v>0</v>
      </c>
      <c r="N344" s="222"/>
      <c r="O344" s="234" t="str">
        <f t="shared" si="43"/>
        <v/>
      </c>
      <c r="P344" s="171"/>
    </row>
    <row r="345" spans="1:16" ht="15" hidden="1" customHeight="1">
      <c r="A345" s="171"/>
      <c r="B345" s="199">
        <f>IF(O345="",0,MAX($B$32:B344)+1)</f>
        <v>0</v>
      </c>
      <c r="C345" s="84">
        <f>DMHH!C321</f>
        <v>0</v>
      </c>
      <c r="D345" s="84">
        <f>DMHH!D321</f>
        <v>0</v>
      </c>
      <c r="E345" s="220">
        <f>DMHH!E321</f>
        <v>0</v>
      </c>
      <c r="F345" s="221">
        <f t="shared" si="38"/>
        <v>0</v>
      </c>
      <c r="G345" s="221">
        <f t="shared" si="39"/>
        <v>0</v>
      </c>
      <c r="H345" s="221">
        <f t="shared" si="40"/>
        <v>0</v>
      </c>
      <c r="I345" s="221">
        <f t="shared" si="37"/>
        <v>0</v>
      </c>
      <c r="J345" s="221">
        <f>DMHH!G321</f>
        <v>0</v>
      </c>
      <c r="K345" s="221">
        <f>DMHH!H321</f>
        <v>0</v>
      </c>
      <c r="L345" s="221">
        <f t="shared" si="41"/>
        <v>0</v>
      </c>
      <c r="M345" s="221">
        <f t="shared" si="42"/>
        <v>0</v>
      </c>
      <c r="N345" s="222"/>
      <c r="O345" s="234" t="str">
        <f t="shared" si="43"/>
        <v/>
      </c>
      <c r="P345" s="171"/>
    </row>
    <row r="346" spans="1:16" ht="15" hidden="1" customHeight="1">
      <c r="A346" s="171"/>
      <c r="B346" s="199">
        <f>IF(O346="",0,MAX($B$32:B345)+1)</f>
        <v>0</v>
      </c>
      <c r="C346" s="84">
        <f>DMHH!C322</f>
        <v>0</v>
      </c>
      <c r="D346" s="84">
        <f>DMHH!D322</f>
        <v>0</v>
      </c>
      <c r="E346" s="220">
        <f>DMHH!E322</f>
        <v>0</v>
      </c>
      <c r="F346" s="221">
        <f t="shared" si="38"/>
        <v>0</v>
      </c>
      <c r="G346" s="221">
        <f t="shared" si="39"/>
        <v>0</v>
      </c>
      <c r="H346" s="221">
        <f t="shared" si="40"/>
        <v>0</v>
      </c>
      <c r="I346" s="221">
        <f t="shared" si="37"/>
        <v>0</v>
      </c>
      <c r="J346" s="221">
        <f>DMHH!G322</f>
        <v>0</v>
      </c>
      <c r="K346" s="221">
        <f>DMHH!H322</f>
        <v>0</v>
      </c>
      <c r="L346" s="221">
        <f t="shared" si="41"/>
        <v>0</v>
      </c>
      <c r="M346" s="221">
        <f t="shared" si="42"/>
        <v>0</v>
      </c>
      <c r="N346" s="222"/>
      <c r="O346" s="234" t="str">
        <f t="shared" si="43"/>
        <v/>
      </c>
      <c r="P346" s="171"/>
    </row>
    <row r="347" spans="1:16" ht="15" hidden="1" customHeight="1">
      <c r="A347" s="171"/>
      <c r="B347" s="199">
        <f>IF(O347="",0,MAX($B$32:B346)+1)</f>
        <v>0</v>
      </c>
      <c r="C347" s="84">
        <f>DMHH!C323</f>
        <v>0</v>
      </c>
      <c r="D347" s="84">
        <f>DMHH!D323</f>
        <v>0</v>
      </c>
      <c r="E347" s="220">
        <f>DMHH!E323</f>
        <v>0</v>
      </c>
      <c r="F347" s="221">
        <f t="shared" si="38"/>
        <v>0</v>
      </c>
      <c r="G347" s="221">
        <f t="shared" si="39"/>
        <v>0</v>
      </c>
      <c r="H347" s="221">
        <f t="shared" si="40"/>
        <v>0</v>
      </c>
      <c r="I347" s="221">
        <f t="shared" si="37"/>
        <v>0</v>
      </c>
      <c r="J347" s="221">
        <f>DMHH!G323</f>
        <v>0</v>
      </c>
      <c r="K347" s="221">
        <f>DMHH!H323</f>
        <v>0</v>
      </c>
      <c r="L347" s="221">
        <f t="shared" si="41"/>
        <v>0</v>
      </c>
      <c r="M347" s="221">
        <f t="shared" si="42"/>
        <v>0</v>
      </c>
      <c r="N347" s="222"/>
      <c r="O347" s="234" t="str">
        <f t="shared" si="43"/>
        <v/>
      </c>
      <c r="P347" s="171"/>
    </row>
    <row r="348" spans="1:16" ht="15" hidden="1" customHeight="1">
      <c r="A348" s="171"/>
      <c r="B348" s="199">
        <f>IF(O348="",0,MAX($B$32:B347)+1)</f>
        <v>0</v>
      </c>
      <c r="C348" s="84">
        <f>DMHH!C324</f>
        <v>0</v>
      </c>
      <c r="D348" s="84">
        <f>DMHH!D324</f>
        <v>0</v>
      </c>
      <c r="E348" s="220">
        <f>DMHH!E324</f>
        <v>0</v>
      </c>
      <c r="F348" s="221">
        <f t="shared" si="38"/>
        <v>0</v>
      </c>
      <c r="G348" s="221">
        <f t="shared" si="39"/>
        <v>0</v>
      </c>
      <c r="H348" s="221">
        <f t="shared" si="40"/>
        <v>0</v>
      </c>
      <c r="I348" s="221">
        <f t="shared" si="37"/>
        <v>0</v>
      </c>
      <c r="J348" s="221">
        <f>DMHH!G324</f>
        <v>0</v>
      </c>
      <c r="K348" s="221">
        <f>DMHH!H324</f>
        <v>0</v>
      </c>
      <c r="L348" s="221">
        <f t="shared" si="41"/>
        <v>0</v>
      </c>
      <c r="M348" s="221">
        <f t="shared" si="42"/>
        <v>0</v>
      </c>
      <c r="N348" s="222"/>
      <c r="O348" s="234" t="str">
        <f t="shared" si="43"/>
        <v/>
      </c>
      <c r="P348" s="171"/>
    </row>
    <row r="349" spans="1:16" ht="15" hidden="1" customHeight="1">
      <c r="A349" s="171"/>
      <c r="B349" s="199">
        <f>IF(O349="",0,MAX($B$32:B348)+1)</f>
        <v>0</v>
      </c>
      <c r="C349" s="84">
        <f>DMHH!C325</f>
        <v>0</v>
      </c>
      <c r="D349" s="84">
        <f>DMHH!D325</f>
        <v>0</v>
      </c>
      <c r="E349" s="220">
        <f>DMHH!E325</f>
        <v>0</v>
      </c>
      <c r="F349" s="221">
        <f t="shared" si="38"/>
        <v>0</v>
      </c>
      <c r="G349" s="221">
        <f t="shared" si="39"/>
        <v>0</v>
      </c>
      <c r="H349" s="221">
        <f t="shared" si="40"/>
        <v>0</v>
      </c>
      <c r="I349" s="221">
        <f t="shared" si="37"/>
        <v>0</v>
      </c>
      <c r="J349" s="221">
        <f>DMHH!G325</f>
        <v>0</v>
      </c>
      <c r="K349" s="221">
        <f>DMHH!H325</f>
        <v>0</v>
      </c>
      <c r="L349" s="221">
        <f t="shared" si="41"/>
        <v>0</v>
      </c>
      <c r="M349" s="221">
        <f t="shared" si="42"/>
        <v>0</v>
      </c>
      <c r="N349" s="222"/>
      <c r="O349" s="234" t="str">
        <f t="shared" si="43"/>
        <v/>
      </c>
      <c r="P349" s="171"/>
    </row>
    <row r="350" spans="1:16" ht="15" hidden="1" customHeight="1">
      <c r="A350" s="171"/>
      <c r="B350" s="199">
        <f>IF(O350="",0,MAX($B$32:B349)+1)</f>
        <v>0</v>
      </c>
      <c r="C350" s="84">
        <f>DMHH!C326</f>
        <v>0</v>
      </c>
      <c r="D350" s="84">
        <f>DMHH!D326</f>
        <v>0</v>
      </c>
      <c r="E350" s="220">
        <f>DMHH!E326</f>
        <v>0</v>
      </c>
      <c r="F350" s="221">
        <f t="shared" si="38"/>
        <v>0</v>
      </c>
      <c r="G350" s="221">
        <f t="shared" si="39"/>
        <v>0</v>
      </c>
      <c r="H350" s="221">
        <f t="shared" si="40"/>
        <v>0</v>
      </c>
      <c r="I350" s="221">
        <f t="shared" ref="I350:I413" si="44">F350+G350-H350</f>
        <v>0</v>
      </c>
      <c r="J350" s="221">
        <f>DMHH!G326</f>
        <v>0</v>
      </c>
      <c r="K350" s="221">
        <f>DMHH!H326</f>
        <v>0</v>
      </c>
      <c r="L350" s="221">
        <f t="shared" si="41"/>
        <v>0</v>
      </c>
      <c r="M350" s="221">
        <f t="shared" si="42"/>
        <v>0</v>
      </c>
      <c r="N350" s="222"/>
      <c r="O350" s="234" t="str">
        <f t="shared" si="43"/>
        <v/>
      </c>
      <c r="P350" s="171"/>
    </row>
    <row r="351" spans="1:16" ht="15" hidden="1" customHeight="1">
      <c r="A351" s="171"/>
      <c r="B351" s="199">
        <f>IF(O351="",0,MAX($B$32:B350)+1)</f>
        <v>0</v>
      </c>
      <c r="C351" s="84">
        <f>DMHH!C327</f>
        <v>0</v>
      </c>
      <c r="D351" s="84">
        <f>DMHH!D327</f>
        <v>0</v>
      </c>
      <c r="E351" s="220">
        <f>DMHH!E327</f>
        <v>0</v>
      </c>
      <c r="F351" s="221">
        <f t="shared" si="38"/>
        <v>0</v>
      </c>
      <c r="G351" s="221">
        <f t="shared" si="39"/>
        <v>0</v>
      </c>
      <c r="H351" s="221">
        <f t="shared" si="40"/>
        <v>0</v>
      </c>
      <c r="I351" s="221">
        <f t="shared" si="44"/>
        <v>0</v>
      </c>
      <c r="J351" s="221">
        <f>DMHH!G327</f>
        <v>0</v>
      </c>
      <c r="K351" s="221">
        <f>DMHH!H327</f>
        <v>0</v>
      </c>
      <c r="L351" s="221">
        <f t="shared" si="41"/>
        <v>0</v>
      </c>
      <c r="M351" s="221">
        <f t="shared" si="42"/>
        <v>0</v>
      </c>
      <c r="N351" s="222"/>
      <c r="O351" s="234" t="str">
        <f t="shared" si="43"/>
        <v/>
      </c>
      <c r="P351" s="171"/>
    </row>
    <row r="352" spans="1:16" ht="15" hidden="1" customHeight="1">
      <c r="A352" s="171"/>
      <c r="B352" s="199">
        <f>IF(O352="",0,MAX($B$32:B351)+1)</f>
        <v>0</v>
      </c>
      <c r="C352" s="84">
        <f>DMHH!C328</f>
        <v>0</v>
      </c>
      <c r="D352" s="84">
        <f>DMHH!D328</f>
        <v>0</v>
      </c>
      <c r="E352" s="220">
        <f>DMHH!E328</f>
        <v>0</v>
      </c>
      <c r="F352" s="221">
        <f t="shared" ref="F352:F415" si="45">IF(D352=0,0,SUMIF(QuanLyHangHoa,$D352,tinh_SLtondau))</f>
        <v>0</v>
      </c>
      <c r="G352" s="221">
        <f t="shared" ref="G352:G415" si="46">IF(D352=0,0,SUMIF(QuanLyHangHoa,$D352,tinh_SLnhap))</f>
        <v>0</v>
      </c>
      <c r="H352" s="221">
        <f t="shared" ref="H352:H415" si="47">IF(D352=0,0,SUMIF(QuanLyHangHoa,$D352,tinh_SLxuat))</f>
        <v>0</v>
      </c>
      <c r="I352" s="221">
        <f t="shared" si="44"/>
        <v>0</v>
      </c>
      <c r="J352" s="221">
        <f>DMHH!G328</f>
        <v>0</v>
      </c>
      <c r="K352" s="221">
        <f>DMHH!H328</f>
        <v>0</v>
      </c>
      <c r="L352" s="221">
        <f t="shared" si="41"/>
        <v>0</v>
      </c>
      <c r="M352" s="221">
        <f t="shared" si="42"/>
        <v>0</v>
      </c>
      <c r="N352" s="222"/>
      <c r="O352" s="234" t="str">
        <f t="shared" si="43"/>
        <v/>
      </c>
      <c r="P352" s="171"/>
    </row>
    <row r="353" spans="1:16" ht="15" hidden="1" customHeight="1">
      <c r="A353" s="171"/>
      <c r="B353" s="199">
        <f>IF(O353="",0,MAX($B$32:B352)+1)</f>
        <v>0</v>
      </c>
      <c r="C353" s="84">
        <f>DMHH!C329</f>
        <v>0</v>
      </c>
      <c r="D353" s="84">
        <f>DMHH!D329</f>
        <v>0</v>
      </c>
      <c r="E353" s="220">
        <f>DMHH!E329</f>
        <v>0</v>
      </c>
      <c r="F353" s="221">
        <f t="shared" si="45"/>
        <v>0</v>
      </c>
      <c r="G353" s="221">
        <f t="shared" si="46"/>
        <v>0</v>
      </c>
      <c r="H353" s="221">
        <f t="shared" si="47"/>
        <v>0</v>
      </c>
      <c r="I353" s="221">
        <f t="shared" si="44"/>
        <v>0</v>
      </c>
      <c r="J353" s="221">
        <f>DMHH!G329</f>
        <v>0</v>
      </c>
      <c r="K353" s="221">
        <f>DMHH!H329</f>
        <v>0</v>
      </c>
      <c r="L353" s="221">
        <f t="shared" ref="L353:L416" si="48">G353*J353</f>
        <v>0</v>
      </c>
      <c r="M353" s="221">
        <f t="shared" ref="M353:M416" si="49">H353*K353</f>
        <v>0</v>
      </c>
      <c r="N353" s="222"/>
      <c r="O353" s="234" t="str">
        <f t="shared" ref="O353:O416" si="50">IF(C353=0,"","x")</f>
        <v/>
      </c>
      <c r="P353" s="171"/>
    </row>
    <row r="354" spans="1:16" ht="15" hidden="1" customHeight="1">
      <c r="A354" s="171"/>
      <c r="B354" s="199">
        <f>IF(O354="",0,MAX($B$32:B353)+1)</f>
        <v>0</v>
      </c>
      <c r="C354" s="84">
        <f>DMHH!C330</f>
        <v>0</v>
      </c>
      <c r="D354" s="84">
        <f>DMHH!D330</f>
        <v>0</v>
      </c>
      <c r="E354" s="220">
        <f>DMHH!E330</f>
        <v>0</v>
      </c>
      <c r="F354" s="221">
        <f t="shared" si="45"/>
        <v>0</v>
      </c>
      <c r="G354" s="221">
        <f t="shared" si="46"/>
        <v>0</v>
      </c>
      <c r="H354" s="221">
        <f t="shared" si="47"/>
        <v>0</v>
      </c>
      <c r="I354" s="221">
        <f t="shared" si="44"/>
        <v>0</v>
      </c>
      <c r="J354" s="221">
        <f>DMHH!G330</f>
        <v>0</v>
      </c>
      <c r="K354" s="221">
        <f>DMHH!H330</f>
        <v>0</v>
      </c>
      <c r="L354" s="221">
        <f t="shared" si="48"/>
        <v>0</v>
      </c>
      <c r="M354" s="221">
        <f t="shared" si="49"/>
        <v>0</v>
      </c>
      <c r="N354" s="222"/>
      <c r="O354" s="234" t="str">
        <f t="shared" si="50"/>
        <v/>
      </c>
      <c r="P354" s="171"/>
    </row>
    <row r="355" spans="1:16" ht="15" hidden="1" customHeight="1">
      <c r="A355" s="171"/>
      <c r="B355" s="199">
        <f>IF(O355="",0,MAX($B$32:B354)+1)</f>
        <v>0</v>
      </c>
      <c r="C355" s="84">
        <f>DMHH!C331</f>
        <v>0</v>
      </c>
      <c r="D355" s="84">
        <f>DMHH!D331</f>
        <v>0</v>
      </c>
      <c r="E355" s="220">
        <f>DMHH!E331</f>
        <v>0</v>
      </c>
      <c r="F355" s="221">
        <f t="shared" si="45"/>
        <v>0</v>
      </c>
      <c r="G355" s="221">
        <f t="shared" si="46"/>
        <v>0</v>
      </c>
      <c r="H355" s="221">
        <f t="shared" si="47"/>
        <v>0</v>
      </c>
      <c r="I355" s="221">
        <f t="shared" si="44"/>
        <v>0</v>
      </c>
      <c r="J355" s="221">
        <f>DMHH!G331</f>
        <v>0</v>
      </c>
      <c r="K355" s="221">
        <f>DMHH!H331</f>
        <v>0</v>
      </c>
      <c r="L355" s="221">
        <f t="shared" si="48"/>
        <v>0</v>
      </c>
      <c r="M355" s="221">
        <f t="shared" si="49"/>
        <v>0</v>
      </c>
      <c r="N355" s="222"/>
      <c r="O355" s="234" t="str">
        <f t="shared" si="50"/>
        <v/>
      </c>
      <c r="P355" s="171"/>
    </row>
    <row r="356" spans="1:16" ht="15" hidden="1" customHeight="1">
      <c r="A356" s="171"/>
      <c r="B356" s="199">
        <f>IF(O356="",0,MAX($B$32:B355)+1)</f>
        <v>0</v>
      </c>
      <c r="C356" s="84">
        <f>DMHH!C332</f>
        <v>0</v>
      </c>
      <c r="D356" s="84">
        <f>DMHH!D332</f>
        <v>0</v>
      </c>
      <c r="E356" s="220">
        <f>DMHH!E332</f>
        <v>0</v>
      </c>
      <c r="F356" s="221">
        <f t="shared" si="45"/>
        <v>0</v>
      </c>
      <c r="G356" s="221">
        <f t="shared" si="46"/>
        <v>0</v>
      </c>
      <c r="H356" s="221">
        <f t="shared" si="47"/>
        <v>0</v>
      </c>
      <c r="I356" s="221">
        <f t="shared" si="44"/>
        <v>0</v>
      </c>
      <c r="J356" s="221">
        <f>DMHH!G332</f>
        <v>0</v>
      </c>
      <c r="K356" s="221">
        <f>DMHH!H332</f>
        <v>0</v>
      </c>
      <c r="L356" s="221">
        <f t="shared" si="48"/>
        <v>0</v>
      </c>
      <c r="M356" s="221">
        <f t="shared" si="49"/>
        <v>0</v>
      </c>
      <c r="N356" s="222"/>
      <c r="O356" s="234" t="str">
        <f t="shared" si="50"/>
        <v/>
      </c>
      <c r="P356" s="171"/>
    </row>
    <row r="357" spans="1:16" ht="15" hidden="1" customHeight="1">
      <c r="A357" s="171"/>
      <c r="B357" s="199">
        <f>IF(O357="",0,MAX($B$32:B356)+1)</f>
        <v>0</v>
      </c>
      <c r="C357" s="84">
        <f>DMHH!C333</f>
        <v>0</v>
      </c>
      <c r="D357" s="84">
        <f>DMHH!D333</f>
        <v>0</v>
      </c>
      <c r="E357" s="220">
        <f>DMHH!E333</f>
        <v>0</v>
      </c>
      <c r="F357" s="221">
        <f t="shared" si="45"/>
        <v>0</v>
      </c>
      <c r="G357" s="221">
        <f t="shared" si="46"/>
        <v>0</v>
      </c>
      <c r="H357" s="221">
        <f t="shared" si="47"/>
        <v>0</v>
      </c>
      <c r="I357" s="221">
        <f t="shared" si="44"/>
        <v>0</v>
      </c>
      <c r="J357" s="221">
        <f>DMHH!G333</f>
        <v>0</v>
      </c>
      <c r="K357" s="221">
        <f>DMHH!H333</f>
        <v>0</v>
      </c>
      <c r="L357" s="221">
        <f t="shared" si="48"/>
        <v>0</v>
      </c>
      <c r="M357" s="221">
        <f t="shared" si="49"/>
        <v>0</v>
      </c>
      <c r="N357" s="222"/>
      <c r="O357" s="234" t="str">
        <f t="shared" si="50"/>
        <v/>
      </c>
      <c r="P357" s="171"/>
    </row>
    <row r="358" spans="1:16" ht="15" hidden="1" customHeight="1">
      <c r="A358" s="171"/>
      <c r="B358" s="199">
        <f>IF(O358="",0,MAX($B$32:B357)+1)</f>
        <v>0</v>
      </c>
      <c r="C358" s="84">
        <f>DMHH!C334</f>
        <v>0</v>
      </c>
      <c r="D358" s="84">
        <f>DMHH!D334</f>
        <v>0</v>
      </c>
      <c r="E358" s="220">
        <f>DMHH!E334</f>
        <v>0</v>
      </c>
      <c r="F358" s="221">
        <f t="shared" si="45"/>
        <v>0</v>
      </c>
      <c r="G358" s="221">
        <f t="shared" si="46"/>
        <v>0</v>
      </c>
      <c r="H358" s="221">
        <f t="shared" si="47"/>
        <v>0</v>
      </c>
      <c r="I358" s="221">
        <f t="shared" si="44"/>
        <v>0</v>
      </c>
      <c r="J358" s="221">
        <f>DMHH!G334</f>
        <v>0</v>
      </c>
      <c r="K358" s="221">
        <f>DMHH!H334</f>
        <v>0</v>
      </c>
      <c r="L358" s="221">
        <f t="shared" si="48"/>
        <v>0</v>
      </c>
      <c r="M358" s="221">
        <f t="shared" si="49"/>
        <v>0</v>
      </c>
      <c r="N358" s="222"/>
      <c r="O358" s="234" t="str">
        <f t="shared" si="50"/>
        <v/>
      </c>
      <c r="P358" s="171"/>
    </row>
    <row r="359" spans="1:16" ht="15" hidden="1" customHeight="1">
      <c r="A359" s="171"/>
      <c r="B359" s="199">
        <f>IF(O359="",0,MAX($B$32:B358)+1)</f>
        <v>0</v>
      </c>
      <c r="C359" s="84">
        <f>DMHH!C335</f>
        <v>0</v>
      </c>
      <c r="D359" s="84">
        <f>DMHH!D335</f>
        <v>0</v>
      </c>
      <c r="E359" s="220">
        <f>DMHH!E335</f>
        <v>0</v>
      </c>
      <c r="F359" s="221">
        <f t="shared" si="45"/>
        <v>0</v>
      </c>
      <c r="G359" s="221">
        <f t="shared" si="46"/>
        <v>0</v>
      </c>
      <c r="H359" s="221">
        <f t="shared" si="47"/>
        <v>0</v>
      </c>
      <c r="I359" s="221">
        <f t="shared" si="44"/>
        <v>0</v>
      </c>
      <c r="J359" s="221">
        <f>DMHH!G335</f>
        <v>0</v>
      </c>
      <c r="K359" s="221">
        <f>DMHH!H335</f>
        <v>0</v>
      </c>
      <c r="L359" s="221">
        <f t="shared" si="48"/>
        <v>0</v>
      </c>
      <c r="M359" s="221">
        <f t="shared" si="49"/>
        <v>0</v>
      </c>
      <c r="N359" s="222"/>
      <c r="O359" s="234" t="str">
        <f t="shared" si="50"/>
        <v/>
      </c>
      <c r="P359" s="171"/>
    </row>
    <row r="360" spans="1:16" ht="15" hidden="1" customHeight="1">
      <c r="A360" s="171"/>
      <c r="B360" s="199">
        <f>IF(O360="",0,MAX($B$32:B359)+1)</f>
        <v>0</v>
      </c>
      <c r="C360" s="84">
        <f>DMHH!C336</f>
        <v>0</v>
      </c>
      <c r="D360" s="84">
        <f>DMHH!D336</f>
        <v>0</v>
      </c>
      <c r="E360" s="220">
        <f>DMHH!E336</f>
        <v>0</v>
      </c>
      <c r="F360" s="221">
        <f t="shared" si="45"/>
        <v>0</v>
      </c>
      <c r="G360" s="221">
        <f t="shared" si="46"/>
        <v>0</v>
      </c>
      <c r="H360" s="221">
        <f t="shared" si="47"/>
        <v>0</v>
      </c>
      <c r="I360" s="221">
        <f t="shared" si="44"/>
        <v>0</v>
      </c>
      <c r="J360" s="221">
        <f>DMHH!G336</f>
        <v>0</v>
      </c>
      <c r="K360" s="221">
        <f>DMHH!H336</f>
        <v>0</v>
      </c>
      <c r="L360" s="221">
        <f t="shared" si="48"/>
        <v>0</v>
      </c>
      <c r="M360" s="221">
        <f t="shared" si="49"/>
        <v>0</v>
      </c>
      <c r="N360" s="222"/>
      <c r="O360" s="234" t="str">
        <f t="shared" si="50"/>
        <v/>
      </c>
      <c r="P360" s="171"/>
    </row>
    <row r="361" spans="1:16" ht="15" hidden="1" customHeight="1">
      <c r="A361" s="171"/>
      <c r="B361" s="199">
        <f>IF(O361="",0,MAX($B$32:B360)+1)</f>
        <v>0</v>
      </c>
      <c r="C361" s="84">
        <f>DMHH!C337</f>
        <v>0</v>
      </c>
      <c r="D361" s="84">
        <f>DMHH!D337</f>
        <v>0</v>
      </c>
      <c r="E361" s="220">
        <f>DMHH!E337</f>
        <v>0</v>
      </c>
      <c r="F361" s="221">
        <f t="shared" si="45"/>
        <v>0</v>
      </c>
      <c r="G361" s="221">
        <f t="shared" si="46"/>
        <v>0</v>
      </c>
      <c r="H361" s="221">
        <f t="shared" si="47"/>
        <v>0</v>
      </c>
      <c r="I361" s="221">
        <f t="shared" si="44"/>
        <v>0</v>
      </c>
      <c r="J361" s="221">
        <f>DMHH!G337</f>
        <v>0</v>
      </c>
      <c r="K361" s="221">
        <f>DMHH!H337</f>
        <v>0</v>
      </c>
      <c r="L361" s="221">
        <f t="shared" si="48"/>
        <v>0</v>
      </c>
      <c r="M361" s="221">
        <f t="shared" si="49"/>
        <v>0</v>
      </c>
      <c r="N361" s="222"/>
      <c r="O361" s="234" t="str">
        <f t="shared" si="50"/>
        <v/>
      </c>
      <c r="P361" s="171"/>
    </row>
    <row r="362" spans="1:16" ht="15" hidden="1" customHeight="1">
      <c r="A362" s="171"/>
      <c r="B362" s="199">
        <f>IF(O362="",0,MAX($B$32:B361)+1)</f>
        <v>0</v>
      </c>
      <c r="C362" s="84">
        <f>DMHH!C338</f>
        <v>0</v>
      </c>
      <c r="D362" s="84">
        <f>DMHH!D338</f>
        <v>0</v>
      </c>
      <c r="E362" s="220">
        <f>DMHH!E338</f>
        <v>0</v>
      </c>
      <c r="F362" s="221">
        <f t="shared" si="45"/>
        <v>0</v>
      </c>
      <c r="G362" s="221">
        <f t="shared" si="46"/>
        <v>0</v>
      </c>
      <c r="H362" s="221">
        <f t="shared" si="47"/>
        <v>0</v>
      </c>
      <c r="I362" s="221">
        <f t="shared" si="44"/>
        <v>0</v>
      </c>
      <c r="J362" s="221">
        <f>DMHH!G338</f>
        <v>0</v>
      </c>
      <c r="K362" s="221">
        <f>DMHH!H338</f>
        <v>0</v>
      </c>
      <c r="L362" s="221">
        <f t="shared" si="48"/>
        <v>0</v>
      </c>
      <c r="M362" s="221">
        <f t="shared" si="49"/>
        <v>0</v>
      </c>
      <c r="N362" s="222"/>
      <c r="O362" s="234" t="str">
        <f t="shared" si="50"/>
        <v/>
      </c>
      <c r="P362" s="171"/>
    </row>
    <row r="363" spans="1:16" ht="15" hidden="1" customHeight="1">
      <c r="A363" s="171"/>
      <c r="B363" s="199">
        <f>IF(O363="",0,MAX($B$32:B362)+1)</f>
        <v>0</v>
      </c>
      <c r="C363" s="84">
        <f>DMHH!C339</f>
        <v>0</v>
      </c>
      <c r="D363" s="84">
        <f>DMHH!D339</f>
        <v>0</v>
      </c>
      <c r="E363" s="220">
        <f>DMHH!E339</f>
        <v>0</v>
      </c>
      <c r="F363" s="221">
        <f t="shared" si="45"/>
        <v>0</v>
      </c>
      <c r="G363" s="221">
        <f t="shared" si="46"/>
        <v>0</v>
      </c>
      <c r="H363" s="221">
        <f t="shared" si="47"/>
        <v>0</v>
      </c>
      <c r="I363" s="221">
        <f t="shared" si="44"/>
        <v>0</v>
      </c>
      <c r="J363" s="221">
        <f>DMHH!G339</f>
        <v>0</v>
      </c>
      <c r="K363" s="221">
        <f>DMHH!H339</f>
        <v>0</v>
      </c>
      <c r="L363" s="221">
        <f t="shared" si="48"/>
        <v>0</v>
      </c>
      <c r="M363" s="221">
        <f t="shared" si="49"/>
        <v>0</v>
      </c>
      <c r="N363" s="222"/>
      <c r="O363" s="234" t="str">
        <f t="shared" si="50"/>
        <v/>
      </c>
      <c r="P363" s="171"/>
    </row>
    <row r="364" spans="1:16" ht="15" hidden="1" customHeight="1">
      <c r="A364" s="171"/>
      <c r="B364" s="199">
        <f>IF(O364="",0,MAX($B$32:B363)+1)</f>
        <v>0</v>
      </c>
      <c r="C364" s="84">
        <f>DMHH!C340</f>
        <v>0</v>
      </c>
      <c r="D364" s="84">
        <f>DMHH!D340</f>
        <v>0</v>
      </c>
      <c r="E364" s="220">
        <f>DMHH!E340</f>
        <v>0</v>
      </c>
      <c r="F364" s="221">
        <f t="shared" si="45"/>
        <v>0</v>
      </c>
      <c r="G364" s="221">
        <f t="shared" si="46"/>
        <v>0</v>
      </c>
      <c r="H364" s="221">
        <f t="shared" si="47"/>
        <v>0</v>
      </c>
      <c r="I364" s="221">
        <f t="shared" si="44"/>
        <v>0</v>
      </c>
      <c r="J364" s="221">
        <f>DMHH!G340</f>
        <v>0</v>
      </c>
      <c r="K364" s="221">
        <f>DMHH!H340</f>
        <v>0</v>
      </c>
      <c r="L364" s="221">
        <f t="shared" si="48"/>
        <v>0</v>
      </c>
      <c r="M364" s="221">
        <f t="shared" si="49"/>
        <v>0</v>
      </c>
      <c r="N364" s="222"/>
      <c r="O364" s="234" t="str">
        <f t="shared" si="50"/>
        <v/>
      </c>
      <c r="P364" s="171"/>
    </row>
    <row r="365" spans="1:16" ht="15" hidden="1" customHeight="1">
      <c r="A365" s="171"/>
      <c r="B365" s="199">
        <f>IF(O365="",0,MAX($B$32:B364)+1)</f>
        <v>0</v>
      </c>
      <c r="C365" s="84">
        <f>DMHH!C341</f>
        <v>0</v>
      </c>
      <c r="D365" s="84">
        <f>DMHH!D341</f>
        <v>0</v>
      </c>
      <c r="E365" s="220">
        <f>DMHH!E341</f>
        <v>0</v>
      </c>
      <c r="F365" s="221">
        <f t="shared" si="45"/>
        <v>0</v>
      </c>
      <c r="G365" s="221">
        <f t="shared" si="46"/>
        <v>0</v>
      </c>
      <c r="H365" s="221">
        <f t="shared" si="47"/>
        <v>0</v>
      </c>
      <c r="I365" s="221">
        <f t="shared" si="44"/>
        <v>0</v>
      </c>
      <c r="J365" s="221">
        <f>DMHH!G341</f>
        <v>0</v>
      </c>
      <c r="K365" s="221">
        <f>DMHH!H341</f>
        <v>0</v>
      </c>
      <c r="L365" s="221">
        <f t="shared" si="48"/>
        <v>0</v>
      </c>
      <c r="M365" s="221">
        <f t="shared" si="49"/>
        <v>0</v>
      </c>
      <c r="N365" s="222"/>
      <c r="O365" s="234" t="str">
        <f t="shared" si="50"/>
        <v/>
      </c>
      <c r="P365" s="171"/>
    </row>
    <row r="366" spans="1:16" ht="15" hidden="1" customHeight="1">
      <c r="A366" s="171"/>
      <c r="B366" s="199">
        <f>IF(O366="",0,MAX($B$32:B365)+1)</f>
        <v>0</v>
      </c>
      <c r="C366" s="84">
        <f>DMHH!C342</f>
        <v>0</v>
      </c>
      <c r="D366" s="84">
        <f>DMHH!D342</f>
        <v>0</v>
      </c>
      <c r="E366" s="220">
        <f>DMHH!E342</f>
        <v>0</v>
      </c>
      <c r="F366" s="221">
        <f t="shared" si="45"/>
        <v>0</v>
      </c>
      <c r="G366" s="221">
        <f t="shared" si="46"/>
        <v>0</v>
      </c>
      <c r="H366" s="221">
        <f t="shared" si="47"/>
        <v>0</v>
      </c>
      <c r="I366" s="221">
        <f t="shared" si="44"/>
        <v>0</v>
      </c>
      <c r="J366" s="221">
        <f>DMHH!G342</f>
        <v>0</v>
      </c>
      <c r="K366" s="221">
        <f>DMHH!H342</f>
        <v>0</v>
      </c>
      <c r="L366" s="221">
        <f t="shared" si="48"/>
        <v>0</v>
      </c>
      <c r="M366" s="221">
        <f t="shared" si="49"/>
        <v>0</v>
      </c>
      <c r="N366" s="222"/>
      <c r="O366" s="234" t="str">
        <f t="shared" si="50"/>
        <v/>
      </c>
      <c r="P366" s="171"/>
    </row>
    <row r="367" spans="1:16" ht="15" hidden="1" customHeight="1">
      <c r="A367" s="171"/>
      <c r="B367" s="199">
        <f>IF(O367="",0,MAX($B$32:B366)+1)</f>
        <v>0</v>
      </c>
      <c r="C367" s="84">
        <f>DMHH!C343</f>
        <v>0</v>
      </c>
      <c r="D367" s="84">
        <f>DMHH!D343</f>
        <v>0</v>
      </c>
      <c r="E367" s="220">
        <f>DMHH!E343</f>
        <v>0</v>
      </c>
      <c r="F367" s="221">
        <f t="shared" si="45"/>
        <v>0</v>
      </c>
      <c r="G367" s="221">
        <f t="shared" si="46"/>
        <v>0</v>
      </c>
      <c r="H367" s="221">
        <f t="shared" si="47"/>
        <v>0</v>
      </c>
      <c r="I367" s="221">
        <f t="shared" si="44"/>
        <v>0</v>
      </c>
      <c r="J367" s="221">
        <f>DMHH!G343</f>
        <v>0</v>
      </c>
      <c r="K367" s="221">
        <f>DMHH!H343</f>
        <v>0</v>
      </c>
      <c r="L367" s="221">
        <f t="shared" si="48"/>
        <v>0</v>
      </c>
      <c r="M367" s="221">
        <f t="shared" si="49"/>
        <v>0</v>
      </c>
      <c r="N367" s="222"/>
      <c r="O367" s="234" t="str">
        <f t="shared" si="50"/>
        <v/>
      </c>
      <c r="P367" s="171"/>
    </row>
    <row r="368" spans="1:16" ht="15" hidden="1" customHeight="1">
      <c r="A368" s="171"/>
      <c r="B368" s="199">
        <f>IF(O368="",0,MAX($B$32:B367)+1)</f>
        <v>0</v>
      </c>
      <c r="C368" s="84">
        <f>DMHH!C344</f>
        <v>0</v>
      </c>
      <c r="D368" s="84">
        <f>DMHH!D344</f>
        <v>0</v>
      </c>
      <c r="E368" s="220">
        <f>DMHH!E344</f>
        <v>0</v>
      </c>
      <c r="F368" s="221">
        <f t="shared" si="45"/>
        <v>0</v>
      </c>
      <c r="G368" s="221">
        <f t="shared" si="46"/>
        <v>0</v>
      </c>
      <c r="H368" s="221">
        <f t="shared" si="47"/>
        <v>0</v>
      </c>
      <c r="I368" s="221">
        <f t="shared" si="44"/>
        <v>0</v>
      </c>
      <c r="J368" s="221">
        <f>DMHH!G344</f>
        <v>0</v>
      </c>
      <c r="K368" s="221">
        <f>DMHH!H344</f>
        <v>0</v>
      </c>
      <c r="L368" s="221">
        <f t="shared" si="48"/>
        <v>0</v>
      </c>
      <c r="M368" s="221">
        <f t="shared" si="49"/>
        <v>0</v>
      </c>
      <c r="N368" s="222"/>
      <c r="O368" s="234" t="str">
        <f t="shared" si="50"/>
        <v/>
      </c>
      <c r="P368" s="171"/>
    </row>
    <row r="369" spans="1:16" ht="15" hidden="1" customHeight="1">
      <c r="A369" s="171"/>
      <c r="B369" s="199">
        <f>IF(O369="",0,MAX($B$32:B368)+1)</f>
        <v>0</v>
      </c>
      <c r="C369" s="84">
        <f>DMHH!C345</f>
        <v>0</v>
      </c>
      <c r="D369" s="84">
        <f>DMHH!D345</f>
        <v>0</v>
      </c>
      <c r="E369" s="220">
        <f>DMHH!E345</f>
        <v>0</v>
      </c>
      <c r="F369" s="221">
        <f t="shared" si="45"/>
        <v>0</v>
      </c>
      <c r="G369" s="221">
        <f t="shared" si="46"/>
        <v>0</v>
      </c>
      <c r="H369" s="221">
        <f t="shared" si="47"/>
        <v>0</v>
      </c>
      <c r="I369" s="221">
        <f t="shared" si="44"/>
        <v>0</v>
      </c>
      <c r="J369" s="221">
        <f>DMHH!G345</f>
        <v>0</v>
      </c>
      <c r="K369" s="221">
        <f>DMHH!H345</f>
        <v>0</v>
      </c>
      <c r="L369" s="221">
        <f t="shared" si="48"/>
        <v>0</v>
      </c>
      <c r="M369" s="221">
        <f t="shared" si="49"/>
        <v>0</v>
      </c>
      <c r="N369" s="222"/>
      <c r="O369" s="234" t="str">
        <f t="shared" si="50"/>
        <v/>
      </c>
      <c r="P369" s="171"/>
    </row>
    <row r="370" spans="1:16" ht="15" hidden="1" customHeight="1">
      <c r="A370" s="171"/>
      <c r="B370" s="199">
        <f>IF(O370="",0,MAX($B$32:B369)+1)</f>
        <v>0</v>
      </c>
      <c r="C370" s="84">
        <f>DMHH!C346</f>
        <v>0</v>
      </c>
      <c r="D370" s="84">
        <f>DMHH!D346</f>
        <v>0</v>
      </c>
      <c r="E370" s="220">
        <f>DMHH!E346</f>
        <v>0</v>
      </c>
      <c r="F370" s="221">
        <f t="shared" si="45"/>
        <v>0</v>
      </c>
      <c r="G370" s="221">
        <f t="shared" si="46"/>
        <v>0</v>
      </c>
      <c r="H370" s="221">
        <f t="shared" si="47"/>
        <v>0</v>
      </c>
      <c r="I370" s="221">
        <f t="shared" si="44"/>
        <v>0</v>
      </c>
      <c r="J370" s="221">
        <f>DMHH!G346</f>
        <v>0</v>
      </c>
      <c r="K370" s="221">
        <f>DMHH!H346</f>
        <v>0</v>
      </c>
      <c r="L370" s="221">
        <f t="shared" si="48"/>
        <v>0</v>
      </c>
      <c r="M370" s="221">
        <f t="shared" si="49"/>
        <v>0</v>
      </c>
      <c r="N370" s="222"/>
      <c r="O370" s="234" t="str">
        <f t="shared" si="50"/>
        <v/>
      </c>
      <c r="P370" s="171"/>
    </row>
    <row r="371" spans="1:16" ht="15" hidden="1" customHeight="1">
      <c r="A371" s="171"/>
      <c r="B371" s="199">
        <f>IF(O371="",0,MAX($B$32:B370)+1)</f>
        <v>0</v>
      </c>
      <c r="C371" s="84">
        <f>DMHH!C347</f>
        <v>0</v>
      </c>
      <c r="D371" s="84">
        <f>DMHH!D347</f>
        <v>0</v>
      </c>
      <c r="E371" s="220">
        <f>DMHH!E347</f>
        <v>0</v>
      </c>
      <c r="F371" s="221">
        <f t="shared" si="45"/>
        <v>0</v>
      </c>
      <c r="G371" s="221">
        <f t="shared" si="46"/>
        <v>0</v>
      </c>
      <c r="H371" s="221">
        <f t="shared" si="47"/>
        <v>0</v>
      </c>
      <c r="I371" s="221">
        <f t="shared" si="44"/>
        <v>0</v>
      </c>
      <c r="J371" s="221">
        <f>DMHH!G347</f>
        <v>0</v>
      </c>
      <c r="K371" s="221">
        <f>DMHH!H347</f>
        <v>0</v>
      </c>
      <c r="L371" s="221">
        <f t="shared" si="48"/>
        <v>0</v>
      </c>
      <c r="M371" s="221">
        <f t="shared" si="49"/>
        <v>0</v>
      </c>
      <c r="N371" s="222"/>
      <c r="O371" s="234" t="str">
        <f t="shared" si="50"/>
        <v/>
      </c>
      <c r="P371" s="171"/>
    </row>
    <row r="372" spans="1:16" ht="15" hidden="1" customHeight="1">
      <c r="A372" s="171"/>
      <c r="B372" s="199">
        <f>IF(O372="",0,MAX($B$32:B371)+1)</f>
        <v>0</v>
      </c>
      <c r="C372" s="84">
        <f>DMHH!C348</f>
        <v>0</v>
      </c>
      <c r="D372" s="84">
        <f>DMHH!D348</f>
        <v>0</v>
      </c>
      <c r="E372" s="220">
        <f>DMHH!E348</f>
        <v>0</v>
      </c>
      <c r="F372" s="221">
        <f t="shared" si="45"/>
        <v>0</v>
      </c>
      <c r="G372" s="221">
        <f t="shared" si="46"/>
        <v>0</v>
      </c>
      <c r="H372" s="221">
        <f t="shared" si="47"/>
        <v>0</v>
      </c>
      <c r="I372" s="221">
        <f t="shared" si="44"/>
        <v>0</v>
      </c>
      <c r="J372" s="221">
        <f>DMHH!G348</f>
        <v>0</v>
      </c>
      <c r="K372" s="221">
        <f>DMHH!H348</f>
        <v>0</v>
      </c>
      <c r="L372" s="221">
        <f t="shared" si="48"/>
        <v>0</v>
      </c>
      <c r="M372" s="221">
        <f t="shared" si="49"/>
        <v>0</v>
      </c>
      <c r="N372" s="222"/>
      <c r="O372" s="234" t="str">
        <f t="shared" si="50"/>
        <v/>
      </c>
      <c r="P372" s="171"/>
    </row>
    <row r="373" spans="1:16" ht="15" hidden="1" customHeight="1">
      <c r="A373" s="171"/>
      <c r="B373" s="199">
        <f>IF(O373="",0,MAX($B$32:B372)+1)</f>
        <v>0</v>
      </c>
      <c r="C373" s="84">
        <f>DMHH!C349</f>
        <v>0</v>
      </c>
      <c r="D373" s="84">
        <f>DMHH!D349</f>
        <v>0</v>
      </c>
      <c r="E373" s="220">
        <f>DMHH!E349</f>
        <v>0</v>
      </c>
      <c r="F373" s="221">
        <f t="shared" si="45"/>
        <v>0</v>
      </c>
      <c r="G373" s="221">
        <f t="shared" si="46"/>
        <v>0</v>
      </c>
      <c r="H373" s="221">
        <f t="shared" si="47"/>
        <v>0</v>
      </c>
      <c r="I373" s="221">
        <f t="shared" si="44"/>
        <v>0</v>
      </c>
      <c r="J373" s="221">
        <f>DMHH!G349</f>
        <v>0</v>
      </c>
      <c r="K373" s="221">
        <f>DMHH!H349</f>
        <v>0</v>
      </c>
      <c r="L373" s="221">
        <f t="shared" si="48"/>
        <v>0</v>
      </c>
      <c r="M373" s="221">
        <f t="shared" si="49"/>
        <v>0</v>
      </c>
      <c r="N373" s="222"/>
      <c r="O373" s="234" t="str">
        <f t="shared" si="50"/>
        <v/>
      </c>
      <c r="P373" s="171"/>
    </row>
    <row r="374" spans="1:16" ht="15" hidden="1" customHeight="1">
      <c r="A374" s="171"/>
      <c r="B374" s="199">
        <f>IF(O374="",0,MAX($B$32:B373)+1)</f>
        <v>0</v>
      </c>
      <c r="C374" s="84">
        <f>DMHH!C350</f>
        <v>0</v>
      </c>
      <c r="D374" s="84">
        <f>DMHH!D350</f>
        <v>0</v>
      </c>
      <c r="E374" s="220">
        <f>DMHH!E350</f>
        <v>0</v>
      </c>
      <c r="F374" s="221">
        <f t="shared" si="45"/>
        <v>0</v>
      </c>
      <c r="G374" s="221">
        <f t="shared" si="46"/>
        <v>0</v>
      </c>
      <c r="H374" s="221">
        <f t="shared" si="47"/>
        <v>0</v>
      </c>
      <c r="I374" s="221">
        <f t="shared" si="44"/>
        <v>0</v>
      </c>
      <c r="J374" s="221">
        <f>DMHH!G350</f>
        <v>0</v>
      </c>
      <c r="K374" s="221">
        <f>DMHH!H350</f>
        <v>0</v>
      </c>
      <c r="L374" s="221">
        <f t="shared" si="48"/>
        <v>0</v>
      </c>
      <c r="M374" s="221">
        <f t="shared" si="49"/>
        <v>0</v>
      </c>
      <c r="N374" s="222"/>
      <c r="O374" s="234" t="str">
        <f t="shared" si="50"/>
        <v/>
      </c>
      <c r="P374" s="171"/>
    </row>
    <row r="375" spans="1:16" ht="15" hidden="1" customHeight="1">
      <c r="A375" s="171"/>
      <c r="B375" s="199">
        <f>IF(O375="",0,MAX($B$32:B374)+1)</f>
        <v>0</v>
      </c>
      <c r="C375" s="84">
        <f>DMHH!C351</f>
        <v>0</v>
      </c>
      <c r="D375" s="84">
        <f>DMHH!D351</f>
        <v>0</v>
      </c>
      <c r="E375" s="220">
        <f>DMHH!E351</f>
        <v>0</v>
      </c>
      <c r="F375" s="221">
        <f t="shared" si="45"/>
        <v>0</v>
      </c>
      <c r="G375" s="221">
        <f t="shared" si="46"/>
        <v>0</v>
      </c>
      <c r="H375" s="221">
        <f t="shared" si="47"/>
        <v>0</v>
      </c>
      <c r="I375" s="221">
        <f t="shared" si="44"/>
        <v>0</v>
      </c>
      <c r="J375" s="221">
        <f>DMHH!G351</f>
        <v>0</v>
      </c>
      <c r="K375" s="221">
        <f>DMHH!H351</f>
        <v>0</v>
      </c>
      <c r="L375" s="221">
        <f t="shared" si="48"/>
        <v>0</v>
      </c>
      <c r="M375" s="221">
        <f t="shared" si="49"/>
        <v>0</v>
      </c>
      <c r="N375" s="222"/>
      <c r="O375" s="234" t="str">
        <f t="shared" si="50"/>
        <v/>
      </c>
      <c r="P375" s="171"/>
    </row>
    <row r="376" spans="1:16" ht="15" hidden="1" customHeight="1">
      <c r="A376" s="171"/>
      <c r="B376" s="199">
        <f>IF(O376="",0,MAX($B$32:B375)+1)</f>
        <v>0</v>
      </c>
      <c r="C376" s="84">
        <f>DMHH!C352</f>
        <v>0</v>
      </c>
      <c r="D376" s="84">
        <f>DMHH!D352</f>
        <v>0</v>
      </c>
      <c r="E376" s="220">
        <f>DMHH!E352</f>
        <v>0</v>
      </c>
      <c r="F376" s="221">
        <f t="shared" si="45"/>
        <v>0</v>
      </c>
      <c r="G376" s="221">
        <f t="shared" si="46"/>
        <v>0</v>
      </c>
      <c r="H376" s="221">
        <f t="shared" si="47"/>
        <v>0</v>
      </c>
      <c r="I376" s="221">
        <f t="shared" si="44"/>
        <v>0</v>
      </c>
      <c r="J376" s="221">
        <f>DMHH!G352</f>
        <v>0</v>
      </c>
      <c r="K376" s="221">
        <f>DMHH!H352</f>
        <v>0</v>
      </c>
      <c r="L376" s="221">
        <f t="shared" si="48"/>
        <v>0</v>
      </c>
      <c r="M376" s="221">
        <f t="shared" si="49"/>
        <v>0</v>
      </c>
      <c r="N376" s="222"/>
      <c r="O376" s="234" t="str">
        <f t="shared" si="50"/>
        <v/>
      </c>
      <c r="P376" s="171"/>
    </row>
    <row r="377" spans="1:16" ht="15" hidden="1" customHeight="1">
      <c r="A377" s="171"/>
      <c r="B377" s="199">
        <f>IF(O377="",0,MAX($B$32:B376)+1)</f>
        <v>0</v>
      </c>
      <c r="C377" s="84">
        <f>DMHH!C353</f>
        <v>0</v>
      </c>
      <c r="D377" s="84">
        <f>DMHH!D353</f>
        <v>0</v>
      </c>
      <c r="E377" s="220">
        <f>DMHH!E353</f>
        <v>0</v>
      </c>
      <c r="F377" s="221">
        <f t="shared" si="45"/>
        <v>0</v>
      </c>
      <c r="G377" s="221">
        <f t="shared" si="46"/>
        <v>0</v>
      </c>
      <c r="H377" s="221">
        <f t="shared" si="47"/>
        <v>0</v>
      </c>
      <c r="I377" s="221">
        <f t="shared" si="44"/>
        <v>0</v>
      </c>
      <c r="J377" s="221">
        <f>DMHH!G353</f>
        <v>0</v>
      </c>
      <c r="K377" s="221">
        <f>DMHH!H353</f>
        <v>0</v>
      </c>
      <c r="L377" s="221">
        <f t="shared" si="48"/>
        <v>0</v>
      </c>
      <c r="M377" s="221">
        <f t="shared" si="49"/>
        <v>0</v>
      </c>
      <c r="N377" s="222"/>
      <c r="O377" s="234" t="str">
        <f t="shared" si="50"/>
        <v/>
      </c>
      <c r="P377" s="171"/>
    </row>
    <row r="378" spans="1:16" ht="15" hidden="1" customHeight="1">
      <c r="A378" s="171"/>
      <c r="B378" s="199">
        <f>IF(O378="",0,MAX($B$32:B377)+1)</f>
        <v>0</v>
      </c>
      <c r="C378" s="84">
        <f>DMHH!C354</f>
        <v>0</v>
      </c>
      <c r="D378" s="84">
        <f>DMHH!D354</f>
        <v>0</v>
      </c>
      <c r="E378" s="220">
        <f>DMHH!E354</f>
        <v>0</v>
      </c>
      <c r="F378" s="221">
        <f t="shared" si="45"/>
        <v>0</v>
      </c>
      <c r="G378" s="221">
        <f t="shared" si="46"/>
        <v>0</v>
      </c>
      <c r="H378" s="221">
        <f t="shared" si="47"/>
        <v>0</v>
      </c>
      <c r="I378" s="221">
        <f t="shared" si="44"/>
        <v>0</v>
      </c>
      <c r="J378" s="221">
        <f>DMHH!G354</f>
        <v>0</v>
      </c>
      <c r="K378" s="221">
        <f>DMHH!H354</f>
        <v>0</v>
      </c>
      <c r="L378" s="221">
        <f t="shared" si="48"/>
        <v>0</v>
      </c>
      <c r="M378" s="221">
        <f t="shared" si="49"/>
        <v>0</v>
      </c>
      <c r="N378" s="222"/>
      <c r="O378" s="234" t="str">
        <f t="shared" si="50"/>
        <v/>
      </c>
      <c r="P378" s="171"/>
    </row>
    <row r="379" spans="1:16" ht="15" hidden="1" customHeight="1">
      <c r="A379" s="171"/>
      <c r="B379" s="199">
        <f>IF(O379="",0,MAX($B$32:B378)+1)</f>
        <v>0</v>
      </c>
      <c r="C379" s="84">
        <f>DMHH!C355</f>
        <v>0</v>
      </c>
      <c r="D379" s="84">
        <f>DMHH!D355</f>
        <v>0</v>
      </c>
      <c r="E379" s="220">
        <f>DMHH!E355</f>
        <v>0</v>
      </c>
      <c r="F379" s="221">
        <f t="shared" si="45"/>
        <v>0</v>
      </c>
      <c r="G379" s="221">
        <f t="shared" si="46"/>
        <v>0</v>
      </c>
      <c r="H379" s="221">
        <f t="shared" si="47"/>
        <v>0</v>
      </c>
      <c r="I379" s="221">
        <f t="shared" si="44"/>
        <v>0</v>
      </c>
      <c r="J379" s="221">
        <f>DMHH!G355</f>
        <v>0</v>
      </c>
      <c r="K379" s="221">
        <f>DMHH!H355</f>
        <v>0</v>
      </c>
      <c r="L379" s="221">
        <f t="shared" si="48"/>
        <v>0</v>
      </c>
      <c r="M379" s="221">
        <f t="shared" si="49"/>
        <v>0</v>
      </c>
      <c r="N379" s="222"/>
      <c r="O379" s="234" t="str">
        <f t="shared" si="50"/>
        <v/>
      </c>
      <c r="P379" s="171"/>
    </row>
    <row r="380" spans="1:16" ht="15" hidden="1" customHeight="1">
      <c r="A380" s="171"/>
      <c r="B380" s="199">
        <f>IF(O380="",0,MAX($B$32:B379)+1)</f>
        <v>0</v>
      </c>
      <c r="C380" s="84">
        <f>DMHH!C356</f>
        <v>0</v>
      </c>
      <c r="D380" s="84">
        <f>DMHH!D356</f>
        <v>0</v>
      </c>
      <c r="E380" s="220">
        <f>DMHH!E356</f>
        <v>0</v>
      </c>
      <c r="F380" s="221">
        <f t="shared" si="45"/>
        <v>0</v>
      </c>
      <c r="G380" s="221">
        <f t="shared" si="46"/>
        <v>0</v>
      </c>
      <c r="H380" s="221">
        <f t="shared" si="47"/>
        <v>0</v>
      </c>
      <c r="I380" s="221">
        <f t="shared" si="44"/>
        <v>0</v>
      </c>
      <c r="J380" s="221">
        <f>DMHH!G356</f>
        <v>0</v>
      </c>
      <c r="K380" s="221">
        <f>DMHH!H356</f>
        <v>0</v>
      </c>
      <c r="L380" s="221">
        <f t="shared" si="48"/>
        <v>0</v>
      </c>
      <c r="M380" s="221">
        <f t="shared" si="49"/>
        <v>0</v>
      </c>
      <c r="N380" s="222"/>
      <c r="O380" s="234" t="str">
        <f t="shared" si="50"/>
        <v/>
      </c>
      <c r="P380" s="171"/>
    </row>
    <row r="381" spans="1:16" ht="15" hidden="1" customHeight="1">
      <c r="A381" s="171"/>
      <c r="B381" s="199">
        <f>IF(O381="",0,MAX($B$32:B380)+1)</f>
        <v>0</v>
      </c>
      <c r="C381" s="84">
        <f>DMHH!C357</f>
        <v>0</v>
      </c>
      <c r="D381" s="84">
        <f>DMHH!D357</f>
        <v>0</v>
      </c>
      <c r="E381" s="220">
        <f>DMHH!E357</f>
        <v>0</v>
      </c>
      <c r="F381" s="221">
        <f t="shared" si="45"/>
        <v>0</v>
      </c>
      <c r="G381" s="221">
        <f t="shared" si="46"/>
        <v>0</v>
      </c>
      <c r="H381" s="221">
        <f t="shared" si="47"/>
        <v>0</v>
      </c>
      <c r="I381" s="221">
        <f t="shared" si="44"/>
        <v>0</v>
      </c>
      <c r="J381" s="221">
        <f>DMHH!G357</f>
        <v>0</v>
      </c>
      <c r="K381" s="221">
        <f>DMHH!H357</f>
        <v>0</v>
      </c>
      <c r="L381" s="221">
        <f t="shared" si="48"/>
        <v>0</v>
      </c>
      <c r="M381" s="221">
        <f t="shared" si="49"/>
        <v>0</v>
      </c>
      <c r="N381" s="222"/>
      <c r="O381" s="234" t="str">
        <f t="shared" si="50"/>
        <v/>
      </c>
      <c r="P381" s="171"/>
    </row>
    <row r="382" spans="1:16" ht="15" hidden="1" customHeight="1">
      <c r="A382" s="171"/>
      <c r="B382" s="199">
        <f>IF(O382="",0,MAX($B$32:B381)+1)</f>
        <v>0</v>
      </c>
      <c r="C382" s="84">
        <f>DMHH!C358</f>
        <v>0</v>
      </c>
      <c r="D382" s="84">
        <f>DMHH!D358</f>
        <v>0</v>
      </c>
      <c r="E382" s="220">
        <f>DMHH!E358</f>
        <v>0</v>
      </c>
      <c r="F382" s="221">
        <f t="shared" si="45"/>
        <v>0</v>
      </c>
      <c r="G382" s="221">
        <f t="shared" si="46"/>
        <v>0</v>
      </c>
      <c r="H382" s="221">
        <f t="shared" si="47"/>
        <v>0</v>
      </c>
      <c r="I382" s="221">
        <f t="shared" si="44"/>
        <v>0</v>
      </c>
      <c r="J382" s="221">
        <f>DMHH!G358</f>
        <v>0</v>
      </c>
      <c r="K382" s="221">
        <f>DMHH!H358</f>
        <v>0</v>
      </c>
      <c r="L382" s="221">
        <f t="shared" si="48"/>
        <v>0</v>
      </c>
      <c r="M382" s="221">
        <f t="shared" si="49"/>
        <v>0</v>
      </c>
      <c r="N382" s="222"/>
      <c r="O382" s="234" t="str">
        <f t="shared" si="50"/>
        <v/>
      </c>
      <c r="P382" s="171"/>
    </row>
    <row r="383" spans="1:16" ht="15" hidden="1" customHeight="1">
      <c r="A383" s="171"/>
      <c r="B383" s="199">
        <f>IF(O383="",0,MAX($B$32:B382)+1)</f>
        <v>0</v>
      </c>
      <c r="C383" s="84">
        <f>DMHH!C359</f>
        <v>0</v>
      </c>
      <c r="D383" s="84">
        <f>DMHH!D359</f>
        <v>0</v>
      </c>
      <c r="E383" s="220">
        <f>DMHH!E359</f>
        <v>0</v>
      </c>
      <c r="F383" s="221">
        <f t="shared" si="45"/>
        <v>0</v>
      </c>
      <c r="G383" s="221">
        <f t="shared" si="46"/>
        <v>0</v>
      </c>
      <c r="H383" s="221">
        <f t="shared" si="47"/>
        <v>0</v>
      </c>
      <c r="I383" s="221">
        <f t="shared" si="44"/>
        <v>0</v>
      </c>
      <c r="J383" s="221">
        <f>DMHH!G359</f>
        <v>0</v>
      </c>
      <c r="K383" s="221">
        <f>DMHH!H359</f>
        <v>0</v>
      </c>
      <c r="L383" s="221">
        <f t="shared" si="48"/>
        <v>0</v>
      </c>
      <c r="M383" s="221">
        <f t="shared" si="49"/>
        <v>0</v>
      </c>
      <c r="N383" s="222"/>
      <c r="O383" s="234" t="str">
        <f t="shared" si="50"/>
        <v/>
      </c>
      <c r="P383" s="171"/>
    </row>
    <row r="384" spans="1:16" ht="15" hidden="1" customHeight="1">
      <c r="A384" s="171"/>
      <c r="B384" s="199">
        <f>IF(O384="",0,MAX($B$32:B383)+1)</f>
        <v>0</v>
      </c>
      <c r="C384" s="84">
        <f>DMHH!C360</f>
        <v>0</v>
      </c>
      <c r="D384" s="84">
        <f>DMHH!D360</f>
        <v>0</v>
      </c>
      <c r="E384" s="220">
        <f>DMHH!E360</f>
        <v>0</v>
      </c>
      <c r="F384" s="221">
        <f t="shared" si="45"/>
        <v>0</v>
      </c>
      <c r="G384" s="221">
        <f t="shared" si="46"/>
        <v>0</v>
      </c>
      <c r="H384" s="221">
        <f t="shared" si="47"/>
        <v>0</v>
      </c>
      <c r="I384" s="221">
        <f t="shared" si="44"/>
        <v>0</v>
      </c>
      <c r="J384" s="221">
        <f>DMHH!G360</f>
        <v>0</v>
      </c>
      <c r="K384" s="221">
        <f>DMHH!H360</f>
        <v>0</v>
      </c>
      <c r="L384" s="221">
        <f t="shared" si="48"/>
        <v>0</v>
      </c>
      <c r="M384" s="221">
        <f t="shared" si="49"/>
        <v>0</v>
      </c>
      <c r="N384" s="222"/>
      <c r="O384" s="234" t="str">
        <f t="shared" si="50"/>
        <v/>
      </c>
      <c r="P384" s="171"/>
    </row>
    <row r="385" spans="1:16" ht="15" hidden="1" customHeight="1">
      <c r="A385" s="171"/>
      <c r="B385" s="199">
        <f>IF(O385="",0,MAX($B$32:B384)+1)</f>
        <v>0</v>
      </c>
      <c r="C385" s="84">
        <f>DMHH!C361</f>
        <v>0</v>
      </c>
      <c r="D385" s="84">
        <f>DMHH!D361</f>
        <v>0</v>
      </c>
      <c r="E385" s="220">
        <f>DMHH!E361</f>
        <v>0</v>
      </c>
      <c r="F385" s="221">
        <f t="shared" si="45"/>
        <v>0</v>
      </c>
      <c r="G385" s="221">
        <f t="shared" si="46"/>
        <v>0</v>
      </c>
      <c r="H385" s="221">
        <f t="shared" si="47"/>
        <v>0</v>
      </c>
      <c r="I385" s="221">
        <f t="shared" si="44"/>
        <v>0</v>
      </c>
      <c r="J385" s="221">
        <f>DMHH!G361</f>
        <v>0</v>
      </c>
      <c r="K385" s="221">
        <f>DMHH!H361</f>
        <v>0</v>
      </c>
      <c r="L385" s="221">
        <f t="shared" si="48"/>
        <v>0</v>
      </c>
      <c r="M385" s="221">
        <f t="shared" si="49"/>
        <v>0</v>
      </c>
      <c r="N385" s="222"/>
      <c r="O385" s="234" t="str">
        <f t="shared" si="50"/>
        <v/>
      </c>
      <c r="P385" s="171"/>
    </row>
    <row r="386" spans="1:16" ht="15" hidden="1" customHeight="1">
      <c r="A386" s="171"/>
      <c r="B386" s="199">
        <f>IF(O386="",0,MAX($B$32:B385)+1)</f>
        <v>0</v>
      </c>
      <c r="C386" s="84">
        <f>DMHH!C362</f>
        <v>0</v>
      </c>
      <c r="D386" s="84">
        <f>DMHH!D362</f>
        <v>0</v>
      </c>
      <c r="E386" s="220">
        <f>DMHH!E362</f>
        <v>0</v>
      </c>
      <c r="F386" s="221">
        <f t="shared" si="45"/>
        <v>0</v>
      </c>
      <c r="G386" s="221">
        <f t="shared" si="46"/>
        <v>0</v>
      </c>
      <c r="H386" s="221">
        <f t="shared" si="47"/>
        <v>0</v>
      </c>
      <c r="I386" s="221">
        <f t="shared" si="44"/>
        <v>0</v>
      </c>
      <c r="J386" s="221">
        <f>DMHH!G362</f>
        <v>0</v>
      </c>
      <c r="K386" s="221">
        <f>DMHH!H362</f>
        <v>0</v>
      </c>
      <c r="L386" s="221">
        <f t="shared" si="48"/>
        <v>0</v>
      </c>
      <c r="M386" s="221">
        <f t="shared" si="49"/>
        <v>0</v>
      </c>
      <c r="N386" s="222"/>
      <c r="O386" s="234" t="str">
        <f t="shared" si="50"/>
        <v/>
      </c>
      <c r="P386" s="171"/>
    </row>
    <row r="387" spans="1:16" ht="15" hidden="1" customHeight="1">
      <c r="A387" s="171"/>
      <c r="B387" s="199">
        <f>IF(O387="",0,MAX($B$32:B386)+1)</f>
        <v>0</v>
      </c>
      <c r="C387" s="84">
        <f>DMHH!C363</f>
        <v>0</v>
      </c>
      <c r="D387" s="84">
        <f>DMHH!D363</f>
        <v>0</v>
      </c>
      <c r="E387" s="220">
        <f>DMHH!E363</f>
        <v>0</v>
      </c>
      <c r="F387" s="221">
        <f t="shared" si="45"/>
        <v>0</v>
      </c>
      <c r="G387" s="221">
        <f t="shared" si="46"/>
        <v>0</v>
      </c>
      <c r="H387" s="221">
        <f t="shared" si="47"/>
        <v>0</v>
      </c>
      <c r="I387" s="221">
        <f t="shared" si="44"/>
        <v>0</v>
      </c>
      <c r="J387" s="221">
        <f>DMHH!G363</f>
        <v>0</v>
      </c>
      <c r="K387" s="221">
        <f>DMHH!H363</f>
        <v>0</v>
      </c>
      <c r="L387" s="221">
        <f t="shared" si="48"/>
        <v>0</v>
      </c>
      <c r="M387" s="221">
        <f t="shared" si="49"/>
        <v>0</v>
      </c>
      <c r="N387" s="222"/>
      <c r="O387" s="234" t="str">
        <f t="shared" si="50"/>
        <v/>
      </c>
      <c r="P387" s="171"/>
    </row>
    <row r="388" spans="1:16" ht="15" hidden="1" customHeight="1">
      <c r="A388" s="171"/>
      <c r="B388" s="199">
        <f>IF(O388="",0,MAX($B$32:B387)+1)</f>
        <v>0</v>
      </c>
      <c r="C388" s="84">
        <f>DMHH!C364</f>
        <v>0</v>
      </c>
      <c r="D388" s="84">
        <f>DMHH!D364</f>
        <v>0</v>
      </c>
      <c r="E388" s="220">
        <f>DMHH!E364</f>
        <v>0</v>
      </c>
      <c r="F388" s="221">
        <f t="shared" si="45"/>
        <v>0</v>
      </c>
      <c r="G388" s="221">
        <f t="shared" si="46"/>
        <v>0</v>
      </c>
      <c r="H388" s="221">
        <f t="shared" si="47"/>
        <v>0</v>
      </c>
      <c r="I388" s="221">
        <f t="shared" si="44"/>
        <v>0</v>
      </c>
      <c r="J388" s="221">
        <f>DMHH!G364</f>
        <v>0</v>
      </c>
      <c r="K388" s="221">
        <f>DMHH!H364</f>
        <v>0</v>
      </c>
      <c r="L388" s="221">
        <f t="shared" si="48"/>
        <v>0</v>
      </c>
      <c r="M388" s="221">
        <f t="shared" si="49"/>
        <v>0</v>
      </c>
      <c r="N388" s="222"/>
      <c r="O388" s="234" t="str">
        <f t="shared" si="50"/>
        <v/>
      </c>
      <c r="P388" s="171"/>
    </row>
    <row r="389" spans="1:16" ht="15" hidden="1" customHeight="1">
      <c r="A389" s="171"/>
      <c r="B389" s="199">
        <f>IF(O389="",0,MAX($B$32:B388)+1)</f>
        <v>0</v>
      </c>
      <c r="C389" s="84">
        <f>DMHH!C365</f>
        <v>0</v>
      </c>
      <c r="D389" s="84">
        <f>DMHH!D365</f>
        <v>0</v>
      </c>
      <c r="E389" s="220">
        <f>DMHH!E365</f>
        <v>0</v>
      </c>
      <c r="F389" s="221">
        <f t="shared" si="45"/>
        <v>0</v>
      </c>
      <c r="G389" s="221">
        <f t="shared" si="46"/>
        <v>0</v>
      </c>
      <c r="H389" s="221">
        <f t="shared" si="47"/>
        <v>0</v>
      </c>
      <c r="I389" s="221">
        <f t="shared" si="44"/>
        <v>0</v>
      </c>
      <c r="J389" s="221">
        <f>DMHH!G365</f>
        <v>0</v>
      </c>
      <c r="K389" s="221">
        <f>DMHH!H365</f>
        <v>0</v>
      </c>
      <c r="L389" s="221">
        <f t="shared" si="48"/>
        <v>0</v>
      </c>
      <c r="M389" s="221">
        <f t="shared" si="49"/>
        <v>0</v>
      </c>
      <c r="N389" s="222"/>
      <c r="O389" s="234" t="str">
        <f t="shared" si="50"/>
        <v/>
      </c>
      <c r="P389" s="171"/>
    </row>
    <row r="390" spans="1:16" ht="15" hidden="1" customHeight="1">
      <c r="A390" s="171"/>
      <c r="B390" s="199">
        <f>IF(O390="",0,MAX($B$32:B389)+1)</f>
        <v>0</v>
      </c>
      <c r="C390" s="84">
        <f>DMHH!C366</f>
        <v>0</v>
      </c>
      <c r="D390" s="84">
        <f>DMHH!D366</f>
        <v>0</v>
      </c>
      <c r="E390" s="220">
        <f>DMHH!E366</f>
        <v>0</v>
      </c>
      <c r="F390" s="221">
        <f t="shared" si="45"/>
        <v>0</v>
      </c>
      <c r="G390" s="221">
        <f t="shared" si="46"/>
        <v>0</v>
      </c>
      <c r="H390" s="221">
        <f t="shared" si="47"/>
        <v>0</v>
      </c>
      <c r="I390" s="221">
        <f t="shared" si="44"/>
        <v>0</v>
      </c>
      <c r="J390" s="221">
        <f>DMHH!G366</f>
        <v>0</v>
      </c>
      <c r="K390" s="221">
        <f>DMHH!H366</f>
        <v>0</v>
      </c>
      <c r="L390" s="221">
        <f t="shared" si="48"/>
        <v>0</v>
      </c>
      <c r="M390" s="221">
        <f t="shared" si="49"/>
        <v>0</v>
      </c>
      <c r="N390" s="222"/>
      <c r="O390" s="234" t="str">
        <f t="shared" si="50"/>
        <v/>
      </c>
      <c r="P390" s="171"/>
    </row>
    <row r="391" spans="1:16" ht="15" hidden="1" customHeight="1">
      <c r="A391" s="171"/>
      <c r="B391" s="199">
        <f>IF(O391="",0,MAX($B$32:B390)+1)</f>
        <v>0</v>
      </c>
      <c r="C391" s="84">
        <f>DMHH!C367</f>
        <v>0</v>
      </c>
      <c r="D391" s="84">
        <f>DMHH!D367</f>
        <v>0</v>
      </c>
      <c r="E391" s="220">
        <f>DMHH!E367</f>
        <v>0</v>
      </c>
      <c r="F391" s="221">
        <f t="shared" si="45"/>
        <v>0</v>
      </c>
      <c r="G391" s="221">
        <f t="shared" si="46"/>
        <v>0</v>
      </c>
      <c r="H391" s="221">
        <f t="shared" si="47"/>
        <v>0</v>
      </c>
      <c r="I391" s="221">
        <f t="shared" si="44"/>
        <v>0</v>
      </c>
      <c r="J391" s="221">
        <f>DMHH!G367</f>
        <v>0</v>
      </c>
      <c r="K391" s="221">
        <f>DMHH!H367</f>
        <v>0</v>
      </c>
      <c r="L391" s="221">
        <f t="shared" si="48"/>
        <v>0</v>
      </c>
      <c r="M391" s="221">
        <f t="shared" si="49"/>
        <v>0</v>
      </c>
      <c r="N391" s="222"/>
      <c r="O391" s="234" t="str">
        <f t="shared" si="50"/>
        <v/>
      </c>
      <c r="P391" s="171"/>
    </row>
    <row r="392" spans="1:16" ht="15" hidden="1" customHeight="1">
      <c r="A392" s="171"/>
      <c r="B392" s="199">
        <f>IF(O392="",0,MAX($B$32:B391)+1)</f>
        <v>0</v>
      </c>
      <c r="C392" s="84">
        <f>DMHH!C368</f>
        <v>0</v>
      </c>
      <c r="D392" s="84">
        <f>DMHH!D368</f>
        <v>0</v>
      </c>
      <c r="E392" s="220">
        <f>DMHH!E368</f>
        <v>0</v>
      </c>
      <c r="F392" s="221">
        <f t="shared" si="45"/>
        <v>0</v>
      </c>
      <c r="G392" s="221">
        <f t="shared" si="46"/>
        <v>0</v>
      </c>
      <c r="H392" s="221">
        <f t="shared" si="47"/>
        <v>0</v>
      </c>
      <c r="I392" s="221">
        <f t="shared" si="44"/>
        <v>0</v>
      </c>
      <c r="J392" s="221">
        <f>DMHH!G368</f>
        <v>0</v>
      </c>
      <c r="K392" s="221">
        <f>DMHH!H368</f>
        <v>0</v>
      </c>
      <c r="L392" s="221">
        <f t="shared" si="48"/>
        <v>0</v>
      </c>
      <c r="M392" s="221">
        <f t="shared" si="49"/>
        <v>0</v>
      </c>
      <c r="N392" s="222"/>
      <c r="O392" s="234" t="str">
        <f t="shared" si="50"/>
        <v/>
      </c>
      <c r="P392" s="171"/>
    </row>
    <row r="393" spans="1:16" ht="15" hidden="1" customHeight="1">
      <c r="A393" s="171"/>
      <c r="B393" s="199">
        <f>IF(O393="",0,MAX($B$32:B392)+1)</f>
        <v>0</v>
      </c>
      <c r="C393" s="84">
        <f>DMHH!C369</f>
        <v>0</v>
      </c>
      <c r="D393" s="84">
        <f>DMHH!D369</f>
        <v>0</v>
      </c>
      <c r="E393" s="220">
        <f>DMHH!E369</f>
        <v>0</v>
      </c>
      <c r="F393" s="221">
        <f t="shared" si="45"/>
        <v>0</v>
      </c>
      <c r="G393" s="221">
        <f t="shared" si="46"/>
        <v>0</v>
      </c>
      <c r="H393" s="221">
        <f t="shared" si="47"/>
        <v>0</v>
      </c>
      <c r="I393" s="221">
        <f t="shared" si="44"/>
        <v>0</v>
      </c>
      <c r="J393" s="221">
        <f>DMHH!G369</f>
        <v>0</v>
      </c>
      <c r="K393" s="221">
        <f>DMHH!H369</f>
        <v>0</v>
      </c>
      <c r="L393" s="221">
        <f t="shared" si="48"/>
        <v>0</v>
      </c>
      <c r="M393" s="221">
        <f t="shared" si="49"/>
        <v>0</v>
      </c>
      <c r="N393" s="222"/>
      <c r="O393" s="234" t="str">
        <f t="shared" si="50"/>
        <v/>
      </c>
      <c r="P393" s="171"/>
    </row>
    <row r="394" spans="1:16" ht="15" hidden="1" customHeight="1">
      <c r="A394" s="171"/>
      <c r="B394" s="199">
        <f>IF(O394="",0,MAX($B$32:B393)+1)</f>
        <v>0</v>
      </c>
      <c r="C394" s="84">
        <f>DMHH!C370</f>
        <v>0</v>
      </c>
      <c r="D394" s="84">
        <f>DMHH!D370</f>
        <v>0</v>
      </c>
      <c r="E394" s="220">
        <f>DMHH!E370</f>
        <v>0</v>
      </c>
      <c r="F394" s="221">
        <f t="shared" si="45"/>
        <v>0</v>
      </c>
      <c r="G394" s="221">
        <f t="shared" si="46"/>
        <v>0</v>
      </c>
      <c r="H394" s="221">
        <f t="shared" si="47"/>
        <v>0</v>
      </c>
      <c r="I394" s="221">
        <f t="shared" si="44"/>
        <v>0</v>
      </c>
      <c r="J394" s="221">
        <f>DMHH!G370</f>
        <v>0</v>
      </c>
      <c r="K394" s="221">
        <f>DMHH!H370</f>
        <v>0</v>
      </c>
      <c r="L394" s="221">
        <f t="shared" si="48"/>
        <v>0</v>
      </c>
      <c r="M394" s="221">
        <f t="shared" si="49"/>
        <v>0</v>
      </c>
      <c r="N394" s="222"/>
      <c r="O394" s="234" t="str">
        <f t="shared" si="50"/>
        <v/>
      </c>
      <c r="P394" s="171"/>
    </row>
    <row r="395" spans="1:16" ht="15" hidden="1" customHeight="1">
      <c r="A395" s="171"/>
      <c r="B395" s="199">
        <f>IF(O395="",0,MAX($B$32:B394)+1)</f>
        <v>0</v>
      </c>
      <c r="C395" s="84">
        <f>DMHH!C371</f>
        <v>0</v>
      </c>
      <c r="D395" s="84">
        <f>DMHH!D371</f>
        <v>0</v>
      </c>
      <c r="E395" s="220">
        <f>DMHH!E371</f>
        <v>0</v>
      </c>
      <c r="F395" s="221">
        <f t="shared" si="45"/>
        <v>0</v>
      </c>
      <c r="G395" s="221">
        <f t="shared" si="46"/>
        <v>0</v>
      </c>
      <c r="H395" s="221">
        <f t="shared" si="47"/>
        <v>0</v>
      </c>
      <c r="I395" s="221">
        <f t="shared" si="44"/>
        <v>0</v>
      </c>
      <c r="J395" s="221">
        <f>DMHH!G371</f>
        <v>0</v>
      </c>
      <c r="K395" s="221">
        <f>DMHH!H371</f>
        <v>0</v>
      </c>
      <c r="L395" s="221">
        <f t="shared" si="48"/>
        <v>0</v>
      </c>
      <c r="M395" s="221">
        <f t="shared" si="49"/>
        <v>0</v>
      </c>
      <c r="N395" s="222"/>
      <c r="O395" s="234" t="str">
        <f t="shared" si="50"/>
        <v/>
      </c>
      <c r="P395" s="171"/>
    </row>
    <row r="396" spans="1:16" ht="15" hidden="1" customHeight="1">
      <c r="A396" s="171"/>
      <c r="B396" s="199">
        <f>IF(O396="",0,MAX($B$32:B395)+1)</f>
        <v>0</v>
      </c>
      <c r="C396" s="84">
        <f>DMHH!C372</f>
        <v>0</v>
      </c>
      <c r="D396" s="84">
        <f>DMHH!D372</f>
        <v>0</v>
      </c>
      <c r="E396" s="220">
        <f>DMHH!E372</f>
        <v>0</v>
      </c>
      <c r="F396" s="221">
        <f t="shared" si="45"/>
        <v>0</v>
      </c>
      <c r="G396" s="221">
        <f t="shared" si="46"/>
        <v>0</v>
      </c>
      <c r="H396" s="221">
        <f t="shared" si="47"/>
        <v>0</v>
      </c>
      <c r="I396" s="221">
        <f t="shared" si="44"/>
        <v>0</v>
      </c>
      <c r="J396" s="221">
        <f>DMHH!G372</f>
        <v>0</v>
      </c>
      <c r="K396" s="221">
        <f>DMHH!H372</f>
        <v>0</v>
      </c>
      <c r="L396" s="221">
        <f t="shared" si="48"/>
        <v>0</v>
      </c>
      <c r="M396" s="221">
        <f t="shared" si="49"/>
        <v>0</v>
      </c>
      <c r="N396" s="222"/>
      <c r="O396" s="234" t="str">
        <f t="shared" si="50"/>
        <v/>
      </c>
      <c r="P396" s="171"/>
    </row>
    <row r="397" spans="1:16" ht="15" hidden="1" customHeight="1">
      <c r="A397" s="171"/>
      <c r="B397" s="199">
        <f>IF(O397="",0,MAX($B$32:B396)+1)</f>
        <v>0</v>
      </c>
      <c r="C397" s="84">
        <f>DMHH!C373</f>
        <v>0</v>
      </c>
      <c r="D397" s="84">
        <f>DMHH!D373</f>
        <v>0</v>
      </c>
      <c r="E397" s="220">
        <f>DMHH!E373</f>
        <v>0</v>
      </c>
      <c r="F397" s="221">
        <f t="shared" si="45"/>
        <v>0</v>
      </c>
      <c r="G397" s="221">
        <f t="shared" si="46"/>
        <v>0</v>
      </c>
      <c r="H397" s="221">
        <f t="shared" si="47"/>
        <v>0</v>
      </c>
      <c r="I397" s="221">
        <f t="shared" si="44"/>
        <v>0</v>
      </c>
      <c r="J397" s="221">
        <f>DMHH!G373</f>
        <v>0</v>
      </c>
      <c r="K397" s="221">
        <f>DMHH!H373</f>
        <v>0</v>
      </c>
      <c r="L397" s="221">
        <f t="shared" si="48"/>
        <v>0</v>
      </c>
      <c r="M397" s="221">
        <f t="shared" si="49"/>
        <v>0</v>
      </c>
      <c r="N397" s="222"/>
      <c r="O397" s="234" t="str">
        <f t="shared" si="50"/>
        <v/>
      </c>
      <c r="P397" s="171"/>
    </row>
    <row r="398" spans="1:16" ht="15" hidden="1" customHeight="1">
      <c r="A398" s="171"/>
      <c r="B398" s="199">
        <f>IF(O398="",0,MAX($B$32:B397)+1)</f>
        <v>0</v>
      </c>
      <c r="C398" s="84">
        <f>DMHH!C374</f>
        <v>0</v>
      </c>
      <c r="D398" s="84">
        <f>DMHH!D374</f>
        <v>0</v>
      </c>
      <c r="E398" s="220">
        <f>DMHH!E374</f>
        <v>0</v>
      </c>
      <c r="F398" s="221">
        <f t="shared" si="45"/>
        <v>0</v>
      </c>
      <c r="G398" s="221">
        <f t="shared" si="46"/>
        <v>0</v>
      </c>
      <c r="H398" s="221">
        <f t="shared" si="47"/>
        <v>0</v>
      </c>
      <c r="I398" s="221">
        <f t="shared" si="44"/>
        <v>0</v>
      </c>
      <c r="J398" s="221">
        <f>DMHH!G374</f>
        <v>0</v>
      </c>
      <c r="K398" s="221">
        <f>DMHH!H374</f>
        <v>0</v>
      </c>
      <c r="L398" s="221">
        <f t="shared" si="48"/>
        <v>0</v>
      </c>
      <c r="M398" s="221">
        <f t="shared" si="49"/>
        <v>0</v>
      </c>
      <c r="N398" s="222"/>
      <c r="O398" s="234" t="str">
        <f t="shared" si="50"/>
        <v/>
      </c>
      <c r="P398" s="171"/>
    </row>
    <row r="399" spans="1:16" ht="15" hidden="1" customHeight="1">
      <c r="A399" s="171"/>
      <c r="B399" s="199">
        <f>IF(O399="",0,MAX($B$32:B398)+1)</f>
        <v>0</v>
      </c>
      <c r="C399" s="84">
        <f>DMHH!C375</f>
        <v>0</v>
      </c>
      <c r="D399" s="84">
        <f>DMHH!D375</f>
        <v>0</v>
      </c>
      <c r="E399" s="220">
        <f>DMHH!E375</f>
        <v>0</v>
      </c>
      <c r="F399" s="221">
        <f t="shared" si="45"/>
        <v>0</v>
      </c>
      <c r="G399" s="221">
        <f t="shared" si="46"/>
        <v>0</v>
      </c>
      <c r="H399" s="221">
        <f t="shared" si="47"/>
        <v>0</v>
      </c>
      <c r="I399" s="221">
        <f t="shared" si="44"/>
        <v>0</v>
      </c>
      <c r="J399" s="221">
        <f>DMHH!G375</f>
        <v>0</v>
      </c>
      <c r="K399" s="221">
        <f>DMHH!H375</f>
        <v>0</v>
      </c>
      <c r="L399" s="221">
        <f t="shared" si="48"/>
        <v>0</v>
      </c>
      <c r="M399" s="221">
        <f t="shared" si="49"/>
        <v>0</v>
      </c>
      <c r="N399" s="222"/>
      <c r="O399" s="234" t="str">
        <f t="shared" si="50"/>
        <v/>
      </c>
      <c r="P399" s="171"/>
    </row>
    <row r="400" spans="1:16" ht="15" hidden="1" customHeight="1">
      <c r="A400" s="171"/>
      <c r="B400" s="199">
        <f>IF(O400="",0,MAX($B$32:B399)+1)</f>
        <v>0</v>
      </c>
      <c r="C400" s="84">
        <f>DMHH!C376</f>
        <v>0</v>
      </c>
      <c r="D400" s="84">
        <f>DMHH!D376</f>
        <v>0</v>
      </c>
      <c r="E400" s="220">
        <f>DMHH!E376</f>
        <v>0</v>
      </c>
      <c r="F400" s="221">
        <f t="shared" si="45"/>
        <v>0</v>
      </c>
      <c r="G400" s="221">
        <f t="shared" si="46"/>
        <v>0</v>
      </c>
      <c r="H400" s="221">
        <f t="shared" si="47"/>
        <v>0</v>
      </c>
      <c r="I400" s="221">
        <f t="shared" si="44"/>
        <v>0</v>
      </c>
      <c r="J400" s="221">
        <f>DMHH!G376</f>
        <v>0</v>
      </c>
      <c r="K400" s="221">
        <f>DMHH!H376</f>
        <v>0</v>
      </c>
      <c r="L400" s="221">
        <f t="shared" si="48"/>
        <v>0</v>
      </c>
      <c r="M400" s="221">
        <f t="shared" si="49"/>
        <v>0</v>
      </c>
      <c r="N400" s="222"/>
      <c r="O400" s="234" t="str">
        <f t="shared" si="50"/>
        <v/>
      </c>
      <c r="P400" s="171"/>
    </row>
    <row r="401" spans="1:16" ht="15" hidden="1" customHeight="1">
      <c r="A401" s="171"/>
      <c r="B401" s="199">
        <f>IF(O401="",0,MAX($B$32:B400)+1)</f>
        <v>0</v>
      </c>
      <c r="C401" s="84">
        <f>DMHH!C377</f>
        <v>0</v>
      </c>
      <c r="D401" s="84">
        <f>DMHH!D377</f>
        <v>0</v>
      </c>
      <c r="E401" s="220">
        <f>DMHH!E377</f>
        <v>0</v>
      </c>
      <c r="F401" s="221">
        <f t="shared" si="45"/>
        <v>0</v>
      </c>
      <c r="G401" s="221">
        <f t="shared" si="46"/>
        <v>0</v>
      </c>
      <c r="H401" s="221">
        <f t="shared" si="47"/>
        <v>0</v>
      </c>
      <c r="I401" s="221">
        <f t="shared" si="44"/>
        <v>0</v>
      </c>
      <c r="J401" s="221">
        <f>DMHH!G377</f>
        <v>0</v>
      </c>
      <c r="K401" s="221">
        <f>DMHH!H377</f>
        <v>0</v>
      </c>
      <c r="L401" s="221">
        <f t="shared" si="48"/>
        <v>0</v>
      </c>
      <c r="M401" s="221">
        <f t="shared" si="49"/>
        <v>0</v>
      </c>
      <c r="N401" s="222"/>
      <c r="O401" s="234" t="str">
        <f t="shared" si="50"/>
        <v/>
      </c>
      <c r="P401" s="171"/>
    </row>
    <row r="402" spans="1:16" ht="15" hidden="1" customHeight="1">
      <c r="A402" s="171"/>
      <c r="B402" s="199">
        <f>IF(O402="",0,MAX($B$32:B401)+1)</f>
        <v>0</v>
      </c>
      <c r="C402" s="84">
        <f>DMHH!C378</f>
        <v>0</v>
      </c>
      <c r="D402" s="84">
        <f>DMHH!D378</f>
        <v>0</v>
      </c>
      <c r="E402" s="220">
        <f>DMHH!E378</f>
        <v>0</v>
      </c>
      <c r="F402" s="221">
        <f t="shared" si="45"/>
        <v>0</v>
      </c>
      <c r="G402" s="221">
        <f t="shared" si="46"/>
        <v>0</v>
      </c>
      <c r="H402" s="221">
        <f t="shared" si="47"/>
        <v>0</v>
      </c>
      <c r="I402" s="221">
        <f t="shared" si="44"/>
        <v>0</v>
      </c>
      <c r="J402" s="221">
        <f>DMHH!G378</f>
        <v>0</v>
      </c>
      <c r="K402" s="221">
        <f>DMHH!H378</f>
        <v>0</v>
      </c>
      <c r="L402" s="221">
        <f t="shared" si="48"/>
        <v>0</v>
      </c>
      <c r="M402" s="221">
        <f t="shared" si="49"/>
        <v>0</v>
      </c>
      <c r="N402" s="222"/>
      <c r="O402" s="234" t="str">
        <f t="shared" si="50"/>
        <v/>
      </c>
      <c r="P402" s="171"/>
    </row>
    <row r="403" spans="1:16" ht="15" hidden="1" customHeight="1">
      <c r="A403" s="171"/>
      <c r="B403" s="199">
        <f>IF(O403="",0,MAX($B$32:B402)+1)</f>
        <v>0</v>
      </c>
      <c r="C403" s="84">
        <f>DMHH!C379</f>
        <v>0</v>
      </c>
      <c r="D403" s="84">
        <f>DMHH!D379</f>
        <v>0</v>
      </c>
      <c r="E403" s="220">
        <f>DMHH!E379</f>
        <v>0</v>
      </c>
      <c r="F403" s="221">
        <f t="shared" si="45"/>
        <v>0</v>
      </c>
      <c r="G403" s="221">
        <f t="shared" si="46"/>
        <v>0</v>
      </c>
      <c r="H403" s="221">
        <f t="shared" si="47"/>
        <v>0</v>
      </c>
      <c r="I403" s="221">
        <f t="shared" si="44"/>
        <v>0</v>
      </c>
      <c r="J403" s="221">
        <f>DMHH!G379</f>
        <v>0</v>
      </c>
      <c r="K403" s="221">
        <f>DMHH!H379</f>
        <v>0</v>
      </c>
      <c r="L403" s="221">
        <f t="shared" si="48"/>
        <v>0</v>
      </c>
      <c r="M403" s="221">
        <f t="shared" si="49"/>
        <v>0</v>
      </c>
      <c r="N403" s="222"/>
      <c r="O403" s="234" t="str">
        <f t="shared" si="50"/>
        <v/>
      </c>
      <c r="P403" s="171"/>
    </row>
    <row r="404" spans="1:16" ht="15" hidden="1" customHeight="1">
      <c r="A404" s="171"/>
      <c r="B404" s="199">
        <f>IF(O404="",0,MAX($B$32:B403)+1)</f>
        <v>0</v>
      </c>
      <c r="C404" s="84">
        <f>DMHH!C380</f>
        <v>0</v>
      </c>
      <c r="D404" s="84">
        <f>DMHH!D380</f>
        <v>0</v>
      </c>
      <c r="E404" s="220">
        <f>DMHH!E380</f>
        <v>0</v>
      </c>
      <c r="F404" s="221">
        <f t="shared" si="45"/>
        <v>0</v>
      </c>
      <c r="G404" s="221">
        <f t="shared" si="46"/>
        <v>0</v>
      </c>
      <c r="H404" s="221">
        <f t="shared" si="47"/>
        <v>0</v>
      </c>
      <c r="I404" s="221">
        <f t="shared" si="44"/>
        <v>0</v>
      </c>
      <c r="J404" s="221">
        <f>DMHH!G380</f>
        <v>0</v>
      </c>
      <c r="K404" s="221">
        <f>DMHH!H380</f>
        <v>0</v>
      </c>
      <c r="L404" s="221">
        <f t="shared" si="48"/>
        <v>0</v>
      </c>
      <c r="M404" s="221">
        <f t="shared" si="49"/>
        <v>0</v>
      </c>
      <c r="N404" s="222"/>
      <c r="O404" s="234" t="str">
        <f t="shared" si="50"/>
        <v/>
      </c>
      <c r="P404" s="171"/>
    </row>
    <row r="405" spans="1:16" ht="15" hidden="1" customHeight="1">
      <c r="A405" s="171"/>
      <c r="B405" s="199">
        <f>IF(O405="",0,MAX($B$32:B404)+1)</f>
        <v>0</v>
      </c>
      <c r="C405" s="84">
        <f>DMHH!C381</f>
        <v>0</v>
      </c>
      <c r="D405" s="84">
        <f>DMHH!D381</f>
        <v>0</v>
      </c>
      <c r="E405" s="220">
        <f>DMHH!E381</f>
        <v>0</v>
      </c>
      <c r="F405" s="221">
        <f t="shared" si="45"/>
        <v>0</v>
      </c>
      <c r="G405" s="221">
        <f t="shared" si="46"/>
        <v>0</v>
      </c>
      <c r="H405" s="221">
        <f t="shared" si="47"/>
        <v>0</v>
      </c>
      <c r="I405" s="221">
        <f t="shared" si="44"/>
        <v>0</v>
      </c>
      <c r="J405" s="221">
        <f>DMHH!G381</f>
        <v>0</v>
      </c>
      <c r="K405" s="221">
        <f>DMHH!H381</f>
        <v>0</v>
      </c>
      <c r="L405" s="221">
        <f t="shared" si="48"/>
        <v>0</v>
      </c>
      <c r="M405" s="221">
        <f t="shared" si="49"/>
        <v>0</v>
      </c>
      <c r="N405" s="222"/>
      <c r="O405" s="234" t="str">
        <f t="shared" si="50"/>
        <v/>
      </c>
      <c r="P405" s="171"/>
    </row>
    <row r="406" spans="1:16" ht="15" hidden="1" customHeight="1">
      <c r="A406" s="171"/>
      <c r="B406" s="199">
        <f>IF(O406="",0,MAX($B$32:B405)+1)</f>
        <v>0</v>
      </c>
      <c r="C406" s="84">
        <f>DMHH!C382</f>
        <v>0</v>
      </c>
      <c r="D406" s="84">
        <f>DMHH!D382</f>
        <v>0</v>
      </c>
      <c r="E406" s="220">
        <f>DMHH!E382</f>
        <v>0</v>
      </c>
      <c r="F406" s="221">
        <f t="shared" si="45"/>
        <v>0</v>
      </c>
      <c r="G406" s="221">
        <f t="shared" si="46"/>
        <v>0</v>
      </c>
      <c r="H406" s="221">
        <f t="shared" si="47"/>
        <v>0</v>
      </c>
      <c r="I406" s="221">
        <f t="shared" si="44"/>
        <v>0</v>
      </c>
      <c r="J406" s="221">
        <f>DMHH!G382</f>
        <v>0</v>
      </c>
      <c r="K406" s="221">
        <f>DMHH!H382</f>
        <v>0</v>
      </c>
      <c r="L406" s="221">
        <f t="shared" si="48"/>
        <v>0</v>
      </c>
      <c r="M406" s="221">
        <f t="shared" si="49"/>
        <v>0</v>
      </c>
      <c r="N406" s="222"/>
      <c r="O406" s="234" t="str">
        <f t="shared" si="50"/>
        <v/>
      </c>
      <c r="P406" s="171"/>
    </row>
    <row r="407" spans="1:16" ht="15" hidden="1" customHeight="1">
      <c r="A407" s="171"/>
      <c r="B407" s="199">
        <f>IF(O407="",0,MAX($B$32:B406)+1)</f>
        <v>0</v>
      </c>
      <c r="C407" s="84">
        <f>DMHH!C383</f>
        <v>0</v>
      </c>
      <c r="D407" s="84">
        <f>DMHH!D383</f>
        <v>0</v>
      </c>
      <c r="E407" s="220">
        <f>DMHH!E383</f>
        <v>0</v>
      </c>
      <c r="F407" s="221">
        <f t="shared" si="45"/>
        <v>0</v>
      </c>
      <c r="G407" s="221">
        <f t="shared" si="46"/>
        <v>0</v>
      </c>
      <c r="H407" s="221">
        <f t="shared" si="47"/>
        <v>0</v>
      </c>
      <c r="I407" s="221">
        <f t="shared" si="44"/>
        <v>0</v>
      </c>
      <c r="J407" s="221">
        <f>DMHH!G383</f>
        <v>0</v>
      </c>
      <c r="K407" s="221">
        <f>DMHH!H383</f>
        <v>0</v>
      </c>
      <c r="L407" s="221">
        <f t="shared" si="48"/>
        <v>0</v>
      </c>
      <c r="M407" s="221">
        <f t="shared" si="49"/>
        <v>0</v>
      </c>
      <c r="N407" s="222"/>
      <c r="O407" s="234" t="str">
        <f t="shared" si="50"/>
        <v/>
      </c>
      <c r="P407" s="171"/>
    </row>
    <row r="408" spans="1:16" ht="15" hidden="1" customHeight="1">
      <c r="A408" s="171"/>
      <c r="B408" s="199">
        <f>IF(O408="",0,MAX($B$32:B407)+1)</f>
        <v>0</v>
      </c>
      <c r="C408" s="84">
        <f>DMHH!C384</f>
        <v>0</v>
      </c>
      <c r="D408" s="84">
        <f>DMHH!D384</f>
        <v>0</v>
      </c>
      <c r="E408" s="220">
        <f>DMHH!E384</f>
        <v>0</v>
      </c>
      <c r="F408" s="221">
        <f t="shared" si="45"/>
        <v>0</v>
      </c>
      <c r="G408" s="221">
        <f t="shared" si="46"/>
        <v>0</v>
      </c>
      <c r="H408" s="221">
        <f t="shared" si="47"/>
        <v>0</v>
      </c>
      <c r="I408" s="221">
        <f t="shared" si="44"/>
        <v>0</v>
      </c>
      <c r="J408" s="221">
        <f>DMHH!G384</f>
        <v>0</v>
      </c>
      <c r="K408" s="221">
        <f>DMHH!H384</f>
        <v>0</v>
      </c>
      <c r="L408" s="221">
        <f t="shared" si="48"/>
        <v>0</v>
      </c>
      <c r="M408" s="221">
        <f t="shared" si="49"/>
        <v>0</v>
      </c>
      <c r="N408" s="222"/>
      <c r="O408" s="234" t="str">
        <f t="shared" si="50"/>
        <v/>
      </c>
      <c r="P408" s="171"/>
    </row>
    <row r="409" spans="1:16" ht="15" hidden="1" customHeight="1">
      <c r="A409" s="171"/>
      <c r="B409" s="199">
        <f>IF(O409="",0,MAX($B$32:B408)+1)</f>
        <v>0</v>
      </c>
      <c r="C409" s="84">
        <f>DMHH!C385</f>
        <v>0</v>
      </c>
      <c r="D409" s="84">
        <f>DMHH!D385</f>
        <v>0</v>
      </c>
      <c r="E409" s="220">
        <f>DMHH!E385</f>
        <v>0</v>
      </c>
      <c r="F409" s="221">
        <f t="shared" si="45"/>
        <v>0</v>
      </c>
      <c r="G409" s="221">
        <f t="shared" si="46"/>
        <v>0</v>
      </c>
      <c r="H409" s="221">
        <f t="shared" si="47"/>
        <v>0</v>
      </c>
      <c r="I409" s="221">
        <f t="shared" si="44"/>
        <v>0</v>
      </c>
      <c r="J409" s="221">
        <f>DMHH!G385</f>
        <v>0</v>
      </c>
      <c r="K409" s="221">
        <f>DMHH!H385</f>
        <v>0</v>
      </c>
      <c r="L409" s="221">
        <f t="shared" si="48"/>
        <v>0</v>
      </c>
      <c r="M409" s="221">
        <f t="shared" si="49"/>
        <v>0</v>
      </c>
      <c r="N409" s="222"/>
      <c r="O409" s="234" t="str">
        <f t="shared" si="50"/>
        <v/>
      </c>
      <c r="P409" s="171"/>
    </row>
    <row r="410" spans="1:16" ht="15" hidden="1" customHeight="1">
      <c r="A410" s="171"/>
      <c r="B410" s="199">
        <f>IF(O410="",0,MAX($B$32:B409)+1)</f>
        <v>0</v>
      </c>
      <c r="C410" s="84">
        <f>DMHH!C386</f>
        <v>0</v>
      </c>
      <c r="D410" s="84">
        <f>DMHH!D386</f>
        <v>0</v>
      </c>
      <c r="E410" s="220">
        <f>DMHH!E386</f>
        <v>0</v>
      </c>
      <c r="F410" s="221">
        <f t="shared" si="45"/>
        <v>0</v>
      </c>
      <c r="G410" s="221">
        <f t="shared" si="46"/>
        <v>0</v>
      </c>
      <c r="H410" s="221">
        <f t="shared" si="47"/>
        <v>0</v>
      </c>
      <c r="I410" s="221">
        <f t="shared" si="44"/>
        <v>0</v>
      </c>
      <c r="J410" s="221">
        <f>DMHH!G386</f>
        <v>0</v>
      </c>
      <c r="K410" s="221">
        <f>DMHH!H386</f>
        <v>0</v>
      </c>
      <c r="L410" s="221">
        <f t="shared" si="48"/>
        <v>0</v>
      </c>
      <c r="M410" s="221">
        <f t="shared" si="49"/>
        <v>0</v>
      </c>
      <c r="N410" s="222"/>
      <c r="O410" s="234" t="str">
        <f t="shared" si="50"/>
        <v/>
      </c>
      <c r="P410" s="171"/>
    </row>
    <row r="411" spans="1:16" ht="15" hidden="1" customHeight="1">
      <c r="A411" s="171"/>
      <c r="B411" s="199">
        <f>IF(O411="",0,MAX($B$32:B410)+1)</f>
        <v>0</v>
      </c>
      <c r="C411" s="84">
        <f>DMHH!C387</f>
        <v>0</v>
      </c>
      <c r="D411" s="84">
        <f>DMHH!D387</f>
        <v>0</v>
      </c>
      <c r="E411" s="220">
        <f>DMHH!E387</f>
        <v>0</v>
      </c>
      <c r="F411" s="221">
        <f t="shared" si="45"/>
        <v>0</v>
      </c>
      <c r="G411" s="221">
        <f t="shared" si="46"/>
        <v>0</v>
      </c>
      <c r="H411" s="221">
        <f t="shared" si="47"/>
        <v>0</v>
      </c>
      <c r="I411" s="221">
        <f t="shared" si="44"/>
        <v>0</v>
      </c>
      <c r="J411" s="221">
        <f>DMHH!G387</f>
        <v>0</v>
      </c>
      <c r="K411" s="221">
        <f>DMHH!H387</f>
        <v>0</v>
      </c>
      <c r="L411" s="221">
        <f t="shared" si="48"/>
        <v>0</v>
      </c>
      <c r="M411" s="221">
        <f t="shared" si="49"/>
        <v>0</v>
      </c>
      <c r="N411" s="222"/>
      <c r="O411" s="234" t="str">
        <f t="shared" si="50"/>
        <v/>
      </c>
      <c r="P411" s="171"/>
    </row>
    <row r="412" spans="1:16" ht="15" hidden="1" customHeight="1">
      <c r="A412" s="171"/>
      <c r="B412" s="199">
        <f>IF(O412="",0,MAX($B$32:B411)+1)</f>
        <v>0</v>
      </c>
      <c r="C412" s="84">
        <f>DMHH!C388</f>
        <v>0</v>
      </c>
      <c r="D412" s="84">
        <f>DMHH!D388</f>
        <v>0</v>
      </c>
      <c r="E412" s="220">
        <f>DMHH!E388</f>
        <v>0</v>
      </c>
      <c r="F412" s="221">
        <f t="shared" si="45"/>
        <v>0</v>
      </c>
      <c r="G412" s="221">
        <f t="shared" si="46"/>
        <v>0</v>
      </c>
      <c r="H412" s="221">
        <f t="shared" si="47"/>
        <v>0</v>
      </c>
      <c r="I412" s="221">
        <f t="shared" si="44"/>
        <v>0</v>
      </c>
      <c r="J412" s="221">
        <f>DMHH!G388</f>
        <v>0</v>
      </c>
      <c r="K412" s="221">
        <f>DMHH!H388</f>
        <v>0</v>
      </c>
      <c r="L412" s="221">
        <f t="shared" si="48"/>
        <v>0</v>
      </c>
      <c r="M412" s="221">
        <f t="shared" si="49"/>
        <v>0</v>
      </c>
      <c r="N412" s="222"/>
      <c r="O412" s="234" t="str">
        <f t="shared" si="50"/>
        <v/>
      </c>
      <c r="P412" s="171"/>
    </row>
    <row r="413" spans="1:16" ht="15" hidden="1" customHeight="1">
      <c r="A413" s="171"/>
      <c r="B413" s="199">
        <f>IF(O413="",0,MAX($B$32:B412)+1)</f>
        <v>0</v>
      </c>
      <c r="C413" s="84">
        <f>DMHH!C389</f>
        <v>0</v>
      </c>
      <c r="D413" s="84">
        <f>DMHH!D389</f>
        <v>0</v>
      </c>
      <c r="E413" s="220">
        <f>DMHH!E389</f>
        <v>0</v>
      </c>
      <c r="F413" s="221">
        <f t="shared" si="45"/>
        <v>0</v>
      </c>
      <c r="G413" s="221">
        <f t="shared" si="46"/>
        <v>0</v>
      </c>
      <c r="H413" s="221">
        <f t="shared" si="47"/>
        <v>0</v>
      </c>
      <c r="I413" s="221">
        <f t="shared" si="44"/>
        <v>0</v>
      </c>
      <c r="J413" s="221">
        <f>DMHH!G389</f>
        <v>0</v>
      </c>
      <c r="K413" s="221">
        <f>DMHH!H389</f>
        <v>0</v>
      </c>
      <c r="L413" s="221">
        <f t="shared" si="48"/>
        <v>0</v>
      </c>
      <c r="M413" s="221">
        <f t="shared" si="49"/>
        <v>0</v>
      </c>
      <c r="N413" s="222"/>
      <c r="O413" s="234" t="str">
        <f t="shared" si="50"/>
        <v/>
      </c>
      <c r="P413" s="171"/>
    </row>
    <row r="414" spans="1:16" ht="15" hidden="1" customHeight="1">
      <c r="A414" s="171"/>
      <c r="B414" s="199">
        <f>IF(O414="",0,MAX($B$32:B413)+1)</f>
        <v>0</v>
      </c>
      <c r="C414" s="84">
        <f>DMHH!C390</f>
        <v>0</v>
      </c>
      <c r="D414" s="84">
        <f>DMHH!D390</f>
        <v>0</v>
      </c>
      <c r="E414" s="220">
        <f>DMHH!E390</f>
        <v>0</v>
      </c>
      <c r="F414" s="221">
        <f t="shared" si="45"/>
        <v>0</v>
      </c>
      <c r="G414" s="221">
        <f t="shared" si="46"/>
        <v>0</v>
      </c>
      <c r="H414" s="221">
        <f t="shared" si="47"/>
        <v>0</v>
      </c>
      <c r="I414" s="221">
        <f t="shared" ref="I414:I477" si="51">F414+G414-H414</f>
        <v>0</v>
      </c>
      <c r="J414" s="221">
        <f>DMHH!G390</f>
        <v>0</v>
      </c>
      <c r="K414" s="221">
        <f>DMHH!H390</f>
        <v>0</v>
      </c>
      <c r="L414" s="221">
        <f t="shared" si="48"/>
        <v>0</v>
      </c>
      <c r="M414" s="221">
        <f t="shared" si="49"/>
        <v>0</v>
      </c>
      <c r="N414" s="222"/>
      <c r="O414" s="234" t="str">
        <f t="shared" si="50"/>
        <v/>
      </c>
      <c r="P414" s="171"/>
    </row>
    <row r="415" spans="1:16" ht="15" hidden="1" customHeight="1">
      <c r="A415" s="171"/>
      <c r="B415" s="199">
        <f>IF(O415="",0,MAX($B$32:B414)+1)</f>
        <v>0</v>
      </c>
      <c r="C415" s="84">
        <f>DMHH!C391</f>
        <v>0</v>
      </c>
      <c r="D415" s="84">
        <f>DMHH!D391</f>
        <v>0</v>
      </c>
      <c r="E415" s="220">
        <f>DMHH!E391</f>
        <v>0</v>
      </c>
      <c r="F415" s="221">
        <f t="shared" si="45"/>
        <v>0</v>
      </c>
      <c r="G415" s="221">
        <f t="shared" si="46"/>
        <v>0</v>
      </c>
      <c r="H415" s="221">
        <f t="shared" si="47"/>
        <v>0</v>
      </c>
      <c r="I415" s="221">
        <f t="shared" si="51"/>
        <v>0</v>
      </c>
      <c r="J415" s="221">
        <f>DMHH!G391</f>
        <v>0</v>
      </c>
      <c r="K415" s="221">
        <f>DMHH!H391</f>
        <v>0</v>
      </c>
      <c r="L415" s="221">
        <f t="shared" si="48"/>
        <v>0</v>
      </c>
      <c r="M415" s="221">
        <f t="shared" si="49"/>
        <v>0</v>
      </c>
      <c r="N415" s="222"/>
      <c r="O415" s="234" t="str">
        <f t="shared" si="50"/>
        <v/>
      </c>
      <c r="P415" s="171"/>
    </row>
    <row r="416" spans="1:16" ht="15" hidden="1" customHeight="1">
      <c r="A416" s="171"/>
      <c r="B416" s="199">
        <f>IF(O416="",0,MAX($B$32:B415)+1)</f>
        <v>0</v>
      </c>
      <c r="C416" s="84">
        <f>DMHH!C392</f>
        <v>0</v>
      </c>
      <c r="D416" s="84">
        <f>DMHH!D392</f>
        <v>0</v>
      </c>
      <c r="E416" s="220">
        <f>DMHH!E392</f>
        <v>0</v>
      </c>
      <c r="F416" s="221">
        <f t="shared" ref="F416:F479" si="52">IF(D416=0,0,SUMIF(QuanLyHangHoa,$D416,tinh_SLtondau))</f>
        <v>0</v>
      </c>
      <c r="G416" s="221">
        <f t="shared" ref="G416:G479" si="53">IF(D416=0,0,SUMIF(QuanLyHangHoa,$D416,tinh_SLnhap))</f>
        <v>0</v>
      </c>
      <c r="H416" s="221">
        <f t="shared" ref="H416:H479" si="54">IF(D416=0,0,SUMIF(QuanLyHangHoa,$D416,tinh_SLxuat))</f>
        <v>0</v>
      </c>
      <c r="I416" s="221">
        <f t="shared" si="51"/>
        <v>0</v>
      </c>
      <c r="J416" s="221">
        <f>DMHH!G392</f>
        <v>0</v>
      </c>
      <c r="K416" s="221">
        <f>DMHH!H392</f>
        <v>0</v>
      </c>
      <c r="L416" s="221">
        <f t="shared" si="48"/>
        <v>0</v>
      </c>
      <c r="M416" s="221">
        <f t="shared" si="49"/>
        <v>0</v>
      </c>
      <c r="N416" s="222"/>
      <c r="O416" s="234" t="str">
        <f t="shared" si="50"/>
        <v/>
      </c>
      <c r="P416" s="171"/>
    </row>
    <row r="417" spans="1:16" ht="15" hidden="1" customHeight="1">
      <c r="A417" s="171"/>
      <c r="B417" s="199">
        <f>IF(O417="",0,MAX($B$32:B416)+1)</f>
        <v>0</v>
      </c>
      <c r="C417" s="84">
        <f>DMHH!C393</f>
        <v>0</v>
      </c>
      <c r="D417" s="84">
        <f>DMHH!D393</f>
        <v>0</v>
      </c>
      <c r="E417" s="220">
        <f>DMHH!E393</f>
        <v>0</v>
      </c>
      <c r="F417" s="221">
        <f t="shared" si="52"/>
        <v>0</v>
      </c>
      <c r="G417" s="221">
        <f t="shared" si="53"/>
        <v>0</v>
      </c>
      <c r="H417" s="221">
        <f t="shared" si="54"/>
        <v>0</v>
      </c>
      <c r="I417" s="221">
        <f t="shared" si="51"/>
        <v>0</v>
      </c>
      <c r="J417" s="221">
        <f>DMHH!G393</f>
        <v>0</v>
      </c>
      <c r="K417" s="221">
        <f>DMHH!H393</f>
        <v>0</v>
      </c>
      <c r="L417" s="221">
        <f t="shared" ref="L417:L480" si="55">G417*J417</f>
        <v>0</v>
      </c>
      <c r="M417" s="221">
        <f t="shared" ref="M417:M480" si="56">H417*K417</f>
        <v>0</v>
      </c>
      <c r="N417" s="222"/>
      <c r="O417" s="234" t="str">
        <f t="shared" ref="O417:O480" si="57">IF(C417=0,"","x")</f>
        <v/>
      </c>
      <c r="P417" s="171"/>
    </row>
    <row r="418" spans="1:16" ht="15" hidden="1" customHeight="1">
      <c r="A418" s="171"/>
      <c r="B418" s="199">
        <f>IF(O418="",0,MAX($B$32:B417)+1)</f>
        <v>0</v>
      </c>
      <c r="C418" s="84">
        <f>DMHH!C394</f>
        <v>0</v>
      </c>
      <c r="D418" s="84">
        <f>DMHH!D394</f>
        <v>0</v>
      </c>
      <c r="E418" s="220">
        <f>DMHH!E394</f>
        <v>0</v>
      </c>
      <c r="F418" s="221">
        <f t="shared" si="52"/>
        <v>0</v>
      </c>
      <c r="G418" s="221">
        <f t="shared" si="53"/>
        <v>0</v>
      </c>
      <c r="H418" s="221">
        <f t="shared" si="54"/>
        <v>0</v>
      </c>
      <c r="I418" s="221">
        <f t="shared" si="51"/>
        <v>0</v>
      </c>
      <c r="J418" s="221">
        <f>DMHH!G394</f>
        <v>0</v>
      </c>
      <c r="K418" s="221">
        <f>DMHH!H394</f>
        <v>0</v>
      </c>
      <c r="L418" s="221">
        <f t="shared" si="55"/>
        <v>0</v>
      </c>
      <c r="M418" s="221">
        <f t="shared" si="56"/>
        <v>0</v>
      </c>
      <c r="N418" s="222"/>
      <c r="O418" s="234" t="str">
        <f t="shared" si="57"/>
        <v/>
      </c>
      <c r="P418" s="171"/>
    </row>
    <row r="419" spans="1:16" ht="15" hidden="1" customHeight="1">
      <c r="A419" s="171"/>
      <c r="B419" s="199">
        <f>IF(O419="",0,MAX($B$32:B418)+1)</f>
        <v>0</v>
      </c>
      <c r="C419" s="84">
        <f>DMHH!C395</f>
        <v>0</v>
      </c>
      <c r="D419" s="84">
        <f>DMHH!D395</f>
        <v>0</v>
      </c>
      <c r="E419" s="220">
        <f>DMHH!E395</f>
        <v>0</v>
      </c>
      <c r="F419" s="221">
        <f t="shared" si="52"/>
        <v>0</v>
      </c>
      <c r="G419" s="221">
        <f t="shared" si="53"/>
        <v>0</v>
      </c>
      <c r="H419" s="221">
        <f t="shared" si="54"/>
        <v>0</v>
      </c>
      <c r="I419" s="221">
        <f t="shared" si="51"/>
        <v>0</v>
      </c>
      <c r="J419" s="221">
        <f>DMHH!G395</f>
        <v>0</v>
      </c>
      <c r="K419" s="221">
        <f>DMHH!H395</f>
        <v>0</v>
      </c>
      <c r="L419" s="221">
        <f t="shared" si="55"/>
        <v>0</v>
      </c>
      <c r="M419" s="221">
        <f t="shared" si="56"/>
        <v>0</v>
      </c>
      <c r="N419" s="222"/>
      <c r="O419" s="234" t="str">
        <f t="shared" si="57"/>
        <v/>
      </c>
      <c r="P419" s="171"/>
    </row>
    <row r="420" spans="1:16" ht="15" hidden="1" customHeight="1">
      <c r="A420" s="171"/>
      <c r="B420" s="199">
        <f>IF(O420="",0,MAX($B$32:B419)+1)</f>
        <v>0</v>
      </c>
      <c r="C420" s="84">
        <f>DMHH!C396</f>
        <v>0</v>
      </c>
      <c r="D420" s="84">
        <f>DMHH!D396</f>
        <v>0</v>
      </c>
      <c r="E420" s="220">
        <f>DMHH!E396</f>
        <v>0</v>
      </c>
      <c r="F420" s="221">
        <f t="shared" si="52"/>
        <v>0</v>
      </c>
      <c r="G420" s="221">
        <f t="shared" si="53"/>
        <v>0</v>
      </c>
      <c r="H420" s="221">
        <f t="shared" si="54"/>
        <v>0</v>
      </c>
      <c r="I420" s="221">
        <f t="shared" si="51"/>
        <v>0</v>
      </c>
      <c r="J420" s="221">
        <f>DMHH!G396</f>
        <v>0</v>
      </c>
      <c r="K420" s="221">
        <f>DMHH!H396</f>
        <v>0</v>
      </c>
      <c r="L420" s="221">
        <f t="shared" si="55"/>
        <v>0</v>
      </c>
      <c r="M420" s="221">
        <f t="shared" si="56"/>
        <v>0</v>
      </c>
      <c r="N420" s="222"/>
      <c r="O420" s="234" t="str">
        <f t="shared" si="57"/>
        <v/>
      </c>
      <c r="P420" s="171"/>
    </row>
    <row r="421" spans="1:16" ht="15" hidden="1" customHeight="1">
      <c r="A421" s="171"/>
      <c r="B421" s="199">
        <f>IF(O421="",0,MAX($B$32:B420)+1)</f>
        <v>0</v>
      </c>
      <c r="C421" s="84">
        <f>DMHH!C397</f>
        <v>0</v>
      </c>
      <c r="D421" s="84">
        <f>DMHH!D397</f>
        <v>0</v>
      </c>
      <c r="E421" s="220">
        <f>DMHH!E397</f>
        <v>0</v>
      </c>
      <c r="F421" s="221">
        <f t="shared" si="52"/>
        <v>0</v>
      </c>
      <c r="G421" s="221">
        <f t="shared" si="53"/>
        <v>0</v>
      </c>
      <c r="H421" s="221">
        <f t="shared" si="54"/>
        <v>0</v>
      </c>
      <c r="I421" s="221">
        <f t="shared" si="51"/>
        <v>0</v>
      </c>
      <c r="J421" s="221">
        <f>DMHH!G397</f>
        <v>0</v>
      </c>
      <c r="K421" s="221">
        <f>DMHH!H397</f>
        <v>0</v>
      </c>
      <c r="L421" s="221">
        <f t="shared" si="55"/>
        <v>0</v>
      </c>
      <c r="M421" s="221">
        <f t="shared" si="56"/>
        <v>0</v>
      </c>
      <c r="N421" s="222"/>
      <c r="O421" s="234" t="str">
        <f t="shared" si="57"/>
        <v/>
      </c>
      <c r="P421" s="171"/>
    </row>
    <row r="422" spans="1:16" ht="15" hidden="1" customHeight="1">
      <c r="A422" s="171"/>
      <c r="B422" s="199">
        <f>IF(O422="",0,MAX($B$32:B421)+1)</f>
        <v>0</v>
      </c>
      <c r="C422" s="84">
        <f>DMHH!C398</f>
        <v>0</v>
      </c>
      <c r="D422" s="84">
        <f>DMHH!D398</f>
        <v>0</v>
      </c>
      <c r="E422" s="220">
        <f>DMHH!E398</f>
        <v>0</v>
      </c>
      <c r="F422" s="221">
        <f t="shared" si="52"/>
        <v>0</v>
      </c>
      <c r="G422" s="221">
        <f t="shared" si="53"/>
        <v>0</v>
      </c>
      <c r="H422" s="221">
        <f t="shared" si="54"/>
        <v>0</v>
      </c>
      <c r="I422" s="221">
        <f t="shared" si="51"/>
        <v>0</v>
      </c>
      <c r="J422" s="221">
        <f>DMHH!G398</f>
        <v>0</v>
      </c>
      <c r="K422" s="221">
        <f>DMHH!H398</f>
        <v>0</v>
      </c>
      <c r="L422" s="221">
        <f t="shared" si="55"/>
        <v>0</v>
      </c>
      <c r="M422" s="221">
        <f t="shared" si="56"/>
        <v>0</v>
      </c>
      <c r="N422" s="222"/>
      <c r="O422" s="234" t="str">
        <f t="shared" si="57"/>
        <v/>
      </c>
      <c r="P422" s="171"/>
    </row>
    <row r="423" spans="1:16" ht="15" hidden="1" customHeight="1">
      <c r="A423" s="171"/>
      <c r="B423" s="199">
        <f>IF(O423="",0,MAX($B$32:B422)+1)</f>
        <v>0</v>
      </c>
      <c r="C423" s="84">
        <f>DMHH!C399</f>
        <v>0</v>
      </c>
      <c r="D423" s="84">
        <f>DMHH!D399</f>
        <v>0</v>
      </c>
      <c r="E423" s="220">
        <f>DMHH!E399</f>
        <v>0</v>
      </c>
      <c r="F423" s="221">
        <f t="shared" si="52"/>
        <v>0</v>
      </c>
      <c r="G423" s="221">
        <f t="shared" si="53"/>
        <v>0</v>
      </c>
      <c r="H423" s="221">
        <f t="shared" si="54"/>
        <v>0</v>
      </c>
      <c r="I423" s="221">
        <f t="shared" si="51"/>
        <v>0</v>
      </c>
      <c r="J423" s="221">
        <f>DMHH!G399</f>
        <v>0</v>
      </c>
      <c r="K423" s="221">
        <f>DMHH!H399</f>
        <v>0</v>
      </c>
      <c r="L423" s="221">
        <f t="shared" si="55"/>
        <v>0</v>
      </c>
      <c r="M423" s="221">
        <f t="shared" si="56"/>
        <v>0</v>
      </c>
      <c r="N423" s="222"/>
      <c r="O423" s="234" t="str">
        <f t="shared" si="57"/>
        <v/>
      </c>
      <c r="P423" s="171"/>
    </row>
    <row r="424" spans="1:16" ht="15" hidden="1" customHeight="1">
      <c r="A424" s="171"/>
      <c r="B424" s="199">
        <f>IF(O424="",0,MAX($B$32:B423)+1)</f>
        <v>0</v>
      </c>
      <c r="C424" s="84">
        <f>DMHH!C400</f>
        <v>0</v>
      </c>
      <c r="D424" s="84">
        <f>DMHH!D400</f>
        <v>0</v>
      </c>
      <c r="E424" s="220">
        <f>DMHH!E400</f>
        <v>0</v>
      </c>
      <c r="F424" s="221">
        <f t="shared" si="52"/>
        <v>0</v>
      </c>
      <c r="G424" s="221">
        <f t="shared" si="53"/>
        <v>0</v>
      </c>
      <c r="H424" s="221">
        <f t="shared" si="54"/>
        <v>0</v>
      </c>
      <c r="I424" s="221">
        <f t="shared" si="51"/>
        <v>0</v>
      </c>
      <c r="J424" s="221">
        <f>DMHH!G400</f>
        <v>0</v>
      </c>
      <c r="K424" s="221">
        <f>DMHH!H400</f>
        <v>0</v>
      </c>
      <c r="L424" s="221">
        <f t="shared" si="55"/>
        <v>0</v>
      </c>
      <c r="M424" s="221">
        <f t="shared" si="56"/>
        <v>0</v>
      </c>
      <c r="N424" s="222"/>
      <c r="O424" s="234" t="str">
        <f t="shared" si="57"/>
        <v/>
      </c>
      <c r="P424" s="171"/>
    </row>
    <row r="425" spans="1:16" ht="15" hidden="1" customHeight="1">
      <c r="A425" s="171"/>
      <c r="B425" s="199">
        <f>IF(O425="",0,MAX($B$32:B424)+1)</f>
        <v>0</v>
      </c>
      <c r="C425" s="84">
        <f>DMHH!C401</f>
        <v>0</v>
      </c>
      <c r="D425" s="84">
        <f>DMHH!D401</f>
        <v>0</v>
      </c>
      <c r="E425" s="220">
        <f>DMHH!E401</f>
        <v>0</v>
      </c>
      <c r="F425" s="221">
        <f t="shared" si="52"/>
        <v>0</v>
      </c>
      <c r="G425" s="221">
        <f t="shared" si="53"/>
        <v>0</v>
      </c>
      <c r="H425" s="221">
        <f t="shared" si="54"/>
        <v>0</v>
      </c>
      <c r="I425" s="221">
        <f t="shared" si="51"/>
        <v>0</v>
      </c>
      <c r="J425" s="221">
        <f>DMHH!G401</f>
        <v>0</v>
      </c>
      <c r="K425" s="221">
        <f>DMHH!H401</f>
        <v>0</v>
      </c>
      <c r="L425" s="221">
        <f t="shared" si="55"/>
        <v>0</v>
      </c>
      <c r="M425" s="221">
        <f t="shared" si="56"/>
        <v>0</v>
      </c>
      <c r="N425" s="222"/>
      <c r="O425" s="234" t="str">
        <f t="shared" si="57"/>
        <v/>
      </c>
      <c r="P425" s="171"/>
    </row>
    <row r="426" spans="1:16" ht="15" hidden="1" customHeight="1">
      <c r="A426" s="171"/>
      <c r="B426" s="199">
        <f>IF(O426="",0,MAX($B$32:B425)+1)</f>
        <v>0</v>
      </c>
      <c r="C426" s="84">
        <f>DMHH!C402</f>
        <v>0</v>
      </c>
      <c r="D426" s="84">
        <f>DMHH!D402</f>
        <v>0</v>
      </c>
      <c r="E426" s="220">
        <f>DMHH!E402</f>
        <v>0</v>
      </c>
      <c r="F426" s="221">
        <f t="shared" si="52"/>
        <v>0</v>
      </c>
      <c r="G426" s="221">
        <f t="shared" si="53"/>
        <v>0</v>
      </c>
      <c r="H426" s="221">
        <f t="shared" si="54"/>
        <v>0</v>
      </c>
      <c r="I426" s="221">
        <f t="shared" si="51"/>
        <v>0</v>
      </c>
      <c r="J426" s="221">
        <f>DMHH!G402</f>
        <v>0</v>
      </c>
      <c r="K426" s="221">
        <f>DMHH!H402</f>
        <v>0</v>
      </c>
      <c r="L426" s="221">
        <f t="shared" si="55"/>
        <v>0</v>
      </c>
      <c r="M426" s="221">
        <f t="shared" si="56"/>
        <v>0</v>
      </c>
      <c r="N426" s="222"/>
      <c r="O426" s="234" t="str">
        <f t="shared" si="57"/>
        <v/>
      </c>
      <c r="P426" s="171"/>
    </row>
    <row r="427" spans="1:16" ht="15" hidden="1" customHeight="1">
      <c r="A427" s="171"/>
      <c r="B427" s="199">
        <f>IF(O427="",0,MAX($B$32:B426)+1)</f>
        <v>0</v>
      </c>
      <c r="C427" s="84">
        <f>DMHH!C403</f>
        <v>0</v>
      </c>
      <c r="D427" s="84">
        <f>DMHH!D403</f>
        <v>0</v>
      </c>
      <c r="E427" s="220">
        <f>DMHH!E403</f>
        <v>0</v>
      </c>
      <c r="F427" s="221">
        <f t="shared" si="52"/>
        <v>0</v>
      </c>
      <c r="G427" s="221">
        <f t="shared" si="53"/>
        <v>0</v>
      </c>
      <c r="H427" s="221">
        <f t="shared" si="54"/>
        <v>0</v>
      </c>
      <c r="I427" s="221">
        <f t="shared" si="51"/>
        <v>0</v>
      </c>
      <c r="J427" s="221">
        <f>DMHH!G403</f>
        <v>0</v>
      </c>
      <c r="K427" s="221">
        <f>DMHH!H403</f>
        <v>0</v>
      </c>
      <c r="L427" s="221">
        <f t="shared" si="55"/>
        <v>0</v>
      </c>
      <c r="M427" s="221">
        <f t="shared" si="56"/>
        <v>0</v>
      </c>
      <c r="N427" s="222"/>
      <c r="O427" s="234" t="str">
        <f t="shared" si="57"/>
        <v/>
      </c>
      <c r="P427" s="171"/>
    </row>
    <row r="428" spans="1:16" ht="15" hidden="1" customHeight="1">
      <c r="A428" s="171"/>
      <c r="B428" s="199">
        <f>IF(O428="",0,MAX($B$32:B427)+1)</f>
        <v>0</v>
      </c>
      <c r="C428" s="84">
        <f>DMHH!C404</f>
        <v>0</v>
      </c>
      <c r="D428" s="84">
        <f>DMHH!D404</f>
        <v>0</v>
      </c>
      <c r="E428" s="220">
        <f>DMHH!E404</f>
        <v>0</v>
      </c>
      <c r="F428" s="221">
        <f t="shared" si="52"/>
        <v>0</v>
      </c>
      <c r="G428" s="221">
        <f t="shared" si="53"/>
        <v>0</v>
      </c>
      <c r="H428" s="221">
        <f t="shared" si="54"/>
        <v>0</v>
      </c>
      <c r="I428" s="221">
        <f t="shared" si="51"/>
        <v>0</v>
      </c>
      <c r="J428" s="221">
        <f>DMHH!G404</f>
        <v>0</v>
      </c>
      <c r="K428" s="221">
        <f>DMHH!H404</f>
        <v>0</v>
      </c>
      <c r="L428" s="221">
        <f t="shared" si="55"/>
        <v>0</v>
      </c>
      <c r="M428" s="221">
        <f t="shared" si="56"/>
        <v>0</v>
      </c>
      <c r="N428" s="222"/>
      <c r="O428" s="234" t="str">
        <f t="shared" si="57"/>
        <v/>
      </c>
      <c r="P428" s="171"/>
    </row>
    <row r="429" spans="1:16" ht="15" hidden="1" customHeight="1">
      <c r="A429" s="171"/>
      <c r="B429" s="199">
        <f>IF(O429="",0,MAX($B$32:B428)+1)</f>
        <v>0</v>
      </c>
      <c r="C429" s="84">
        <f>DMHH!C405</f>
        <v>0</v>
      </c>
      <c r="D429" s="84">
        <f>DMHH!D405</f>
        <v>0</v>
      </c>
      <c r="E429" s="220">
        <f>DMHH!E405</f>
        <v>0</v>
      </c>
      <c r="F429" s="221">
        <f t="shared" si="52"/>
        <v>0</v>
      </c>
      <c r="G429" s="221">
        <f t="shared" si="53"/>
        <v>0</v>
      </c>
      <c r="H429" s="221">
        <f t="shared" si="54"/>
        <v>0</v>
      </c>
      <c r="I429" s="221">
        <f t="shared" si="51"/>
        <v>0</v>
      </c>
      <c r="J429" s="221">
        <f>DMHH!G405</f>
        <v>0</v>
      </c>
      <c r="K429" s="221">
        <f>DMHH!H405</f>
        <v>0</v>
      </c>
      <c r="L429" s="221">
        <f t="shared" si="55"/>
        <v>0</v>
      </c>
      <c r="M429" s="221">
        <f t="shared" si="56"/>
        <v>0</v>
      </c>
      <c r="N429" s="222"/>
      <c r="O429" s="234" t="str">
        <f t="shared" si="57"/>
        <v/>
      </c>
      <c r="P429" s="171"/>
    </row>
    <row r="430" spans="1:16" ht="15" hidden="1" customHeight="1">
      <c r="A430" s="171"/>
      <c r="B430" s="199">
        <f>IF(O430="",0,MAX($B$32:B429)+1)</f>
        <v>0</v>
      </c>
      <c r="C430" s="84">
        <f>DMHH!C406</f>
        <v>0</v>
      </c>
      <c r="D430" s="84">
        <f>DMHH!D406</f>
        <v>0</v>
      </c>
      <c r="E430" s="220">
        <f>DMHH!E406</f>
        <v>0</v>
      </c>
      <c r="F430" s="221">
        <f t="shared" si="52"/>
        <v>0</v>
      </c>
      <c r="G430" s="221">
        <f t="shared" si="53"/>
        <v>0</v>
      </c>
      <c r="H430" s="221">
        <f t="shared" si="54"/>
        <v>0</v>
      </c>
      <c r="I430" s="221">
        <f t="shared" si="51"/>
        <v>0</v>
      </c>
      <c r="J430" s="221">
        <f>DMHH!G406</f>
        <v>0</v>
      </c>
      <c r="K430" s="221">
        <f>DMHH!H406</f>
        <v>0</v>
      </c>
      <c r="L430" s="221">
        <f t="shared" si="55"/>
        <v>0</v>
      </c>
      <c r="M430" s="221">
        <f t="shared" si="56"/>
        <v>0</v>
      </c>
      <c r="N430" s="222"/>
      <c r="O430" s="234" t="str">
        <f t="shared" si="57"/>
        <v/>
      </c>
      <c r="P430" s="171"/>
    </row>
    <row r="431" spans="1:16" ht="15" hidden="1" customHeight="1">
      <c r="A431" s="171"/>
      <c r="B431" s="199">
        <f>IF(O431="",0,MAX($B$32:B430)+1)</f>
        <v>0</v>
      </c>
      <c r="C431" s="84">
        <f>DMHH!C407</f>
        <v>0</v>
      </c>
      <c r="D431" s="84">
        <f>DMHH!D407</f>
        <v>0</v>
      </c>
      <c r="E431" s="220">
        <f>DMHH!E407</f>
        <v>0</v>
      </c>
      <c r="F431" s="221">
        <f t="shared" si="52"/>
        <v>0</v>
      </c>
      <c r="G431" s="221">
        <f t="shared" si="53"/>
        <v>0</v>
      </c>
      <c r="H431" s="221">
        <f t="shared" si="54"/>
        <v>0</v>
      </c>
      <c r="I431" s="221">
        <f t="shared" si="51"/>
        <v>0</v>
      </c>
      <c r="J431" s="221">
        <f>DMHH!G407</f>
        <v>0</v>
      </c>
      <c r="K431" s="221">
        <f>DMHH!H407</f>
        <v>0</v>
      </c>
      <c r="L431" s="221">
        <f t="shared" si="55"/>
        <v>0</v>
      </c>
      <c r="M431" s="221">
        <f t="shared" si="56"/>
        <v>0</v>
      </c>
      <c r="N431" s="222"/>
      <c r="O431" s="234" t="str">
        <f t="shared" si="57"/>
        <v/>
      </c>
      <c r="P431" s="171"/>
    </row>
    <row r="432" spans="1:16" ht="15" hidden="1" customHeight="1">
      <c r="A432" s="171"/>
      <c r="B432" s="199">
        <f>IF(O432="",0,MAX($B$32:B431)+1)</f>
        <v>0</v>
      </c>
      <c r="C432" s="84">
        <f>DMHH!C408</f>
        <v>0</v>
      </c>
      <c r="D432" s="84">
        <f>DMHH!D408</f>
        <v>0</v>
      </c>
      <c r="E432" s="220">
        <f>DMHH!E408</f>
        <v>0</v>
      </c>
      <c r="F432" s="221">
        <f t="shared" si="52"/>
        <v>0</v>
      </c>
      <c r="G432" s="221">
        <f t="shared" si="53"/>
        <v>0</v>
      </c>
      <c r="H432" s="221">
        <f t="shared" si="54"/>
        <v>0</v>
      </c>
      <c r="I432" s="221">
        <f t="shared" si="51"/>
        <v>0</v>
      </c>
      <c r="J432" s="221">
        <f>DMHH!G408</f>
        <v>0</v>
      </c>
      <c r="K432" s="221">
        <f>DMHH!H408</f>
        <v>0</v>
      </c>
      <c r="L432" s="221">
        <f t="shared" si="55"/>
        <v>0</v>
      </c>
      <c r="M432" s="221">
        <f t="shared" si="56"/>
        <v>0</v>
      </c>
      <c r="N432" s="222"/>
      <c r="O432" s="234" t="str">
        <f t="shared" si="57"/>
        <v/>
      </c>
      <c r="P432" s="171"/>
    </row>
    <row r="433" spans="1:16" ht="15" hidden="1" customHeight="1">
      <c r="A433" s="171"/>
      <c r="B433" s="199">
        <f>IF(O433="",0,MAX($B$32:B432)+1)</f>
        <v>0</v>
      </c>
      <c r="C433" s="84">
        <f>DMHH!C409</f>
        <v>0</v>
      </c>
      <c r="D433" s="84">
        <f>DMHH!D409</f>
        <v>0</v>
      </c>
      <c r="E433" s="220">
        <f>DMHH!E409</f>
        <v>0</v>
      </c>
      <c r="F433" s="221">
        <f t="shared" si="52"/>
        <v>0</v>
      </c>
      <c r="G433" s="221">
        <f t="shared" si="53"/>
        <v>0</v>
      </c>
      <c r="H433" s="221">
        <f t="shared" si="54"/>
        <v>0</v>
      </c>
      <c r="I433" s="221">
        <f t="shared" si="51"/>
        <v>0</v>
      </c>
      <c r="J433" s="221">
        <f>DMHH!G409</f>
        <v>0</v>
      </c>
      <c r="K433" s="221">
        <f>DMHH!H409</f>
        <v>0</v>
      </c>
      <c r="L433" s="221">
        <f t="shared" si="55"/>
        <v>0</v>
      </c>
      <c r="M433" s="221">
        <f t="shared" si="56"/>
        <v>0</v>
      </c>
      <c r="N433" s="222"/>
      <c r="O433" s="234" t="str">
        <f t="shared" si="57"/>
        <v/>
      </c>
      <c r="P433" s="171"/>
    </row>
    <row r="434" spans="1:16" ht="15" hidden="1" customHeight="1">
      <c r="A434" s="171"/>
      <c r="B434" s="199">
        <f>IF(O434="",0,MAX($B$32:B433)+1)</f>
        <v>0</v>
      </c>
      <c r="C434" s="84">
        <f>DMHH!C410</f>
        <v>0</v>
      </c>
      <c r="D434" s="84">
        <f>DMHH!D410</f>
        <v>0</v>
      </c>
      <c r="E434" s="220">
        <f>DMHH!E410</f>
        <v>0</v>
      </c>
      <c r="F434" s="221">
        <f t="shared" si="52"/>
        <v>0</v>
      </c>
      <c r="G434" s="221">
        <f t="shared" si="53"/>
        <v>0</v>
      </c>
      <c r="H434" s="221">
        <f t="shared" si="54"/>
        <v>0</v>
      </c>
      <c r="I434" s="221">
        <f t="shared" si="51"/>
        <v>0</v>
      </c>
      <c r="J434" s="221">
        <f>DMHH!G410</f>
        <v>0</v>
      </c>
      <c r="K434" s="221">
        <f>DMHH!H410</f>
        <v>0</v>
      </c>
      <c r="L434" s="221">
        <f t="shared" si="55"/>
        <v>0</v>
      </c>
      <c r="M434" s="221">
        <f t="shared" si="56"/>
        <v>0</v>
      </c>
      <c r="N434" s="222"/>
      <c r="O434" s="234" t="str">
        <f t="shared" si="57"/>
        <v/>
      </c>
      <c r="P434" s="171"/>
    </row>
    <row r="435" spans="1:16" ht="15" hidden="1" customHeight="1">
      <c r="A435" s="171"/>
      <c r="B435" s="199">
        <f>IF(O435="",0,MAX($B$32:B434)+1)</f>
        <v>0</v>
      </c>
      <c r="C435" s="84">
        <f>DMHH!C411</f>
        <v>0</v>
      </c>
      <c r="D435" s="84">
        <f>DMHH!D411</f>
        <v>0</v>
      </c>
      <c r="E435" s="220">
        <f>DMHH!E411</f>
        <v>0</v>
      </c>
      <c r="F435" s="221">
        <f t="shared" si="52"/>
        <v>0</v>
      </c>
      <c r="G435" s="221">
        <f t="shared" si="53"/>
        <v>0</v>
      </c>
      <c r="H435" s="221">
        <f t="shared" si="54"/>
        <v>0</v>
      </c>
      <c r="I435" s="221">
        <f t="shared" si="51"/>
        <v>0</v>
      </c>
      <c r="J435" s="221">
        <f>DMHH!G411</f>
        <v>0</v>
      </c>
      <c r="K435" s="221">
        <f>DMHH!H411</f>
        <v>0</v>
      </c>
      <c r="L435" s="221">
        <f t="shared" si="55"/>
        <v>0</v>
      </c>
      <c r="M435" s="221">
        <f t="shared" si="56"/>
        <v>0</v>
      </c>
      <c r="N435" s="222"/>
      <c r="O435" s="234" t="str">
        <f t="shared" si="57"/>
        <v/>
      </c>
      <c r="P435" s="171"/>
    </row>
    <row r="436" spans="1:16" ht="15" hidden="1" customHeight="1">
      <c r="A436" s="171"/>
      <c r="B436" s="199">
        <f>IF(O436="",0,MAX($B$32:B435)+1)</f>
        <v>0</v>
      </c>
      <c r="C436" s="84">
        <f>DMHH!C412</f>
        <v>0</v>
      </c>
      <c r="D436" s="84">
        <f>DMHH!D412</f>
        <v>0</v>
      </c>
      <c r="E436" s="220">
        <f>DMHH!E412</f>
        <v>0</v>
      </c>
      <c r="F436" s="221">
        <f t="shared" si="52"/>
        <v>0</v>
      </c>
      <c r="G436" s="221">
        <f t="shared" si="53"/>
        <v>0</v>
      </c>
      <c r="H436" s="221">
        <f t="shared" si="54"/>
        <v>0</v>
      </c>
      <c r="I436" s="221">
        <f t="shared" si="51"/>
        <v>0</v>
      </c>
      <c r="J436" s="221">
        <f>DMHH!G412</f>
        <v>0</v>
      </c>
      <c r="K436" s="221">
        <f>DMHH!H412</f>
        <v>0</v>
      </c>
      <c r="L436" s="221">
        <f t="shared" si="55"/>
        <v>0</v>
      </c>
      <c r="M436" s="221">
        <f t="shared" si="56"/>
        <v>0</v>
      </c>
      <c r="N436" s="222"/>
      <c r="O436" s="234" t="str">
        <f t="shared" si="57"/>
        <v/>
      </c>
      <c r="P436" s="171"/>
    </row>
    <row r="437" spans="1:16" ht="15" hidden="1" customHeight="1">
      <c r="A437" s="171"/>
      <c r="B437" s="199">
        <f>IF(O437="",0,MAX($B$32:B436)+1)</f>
        <v>0</v>
      </c>
      <c r="C437" s="84">
        <f>DMHH!C413</f>
        <v>0</v>
      </c>
      <c r="D437" s="84">
        <f>DMHH!D413</f>
        <v>0</v>
      </c>
      <c r="E437" s="220">
        <f>DMHH!E413</f>
        <v>0</v>
      </c>
      <c r="F437" s="221">
        <f t="shared" si="52"/>
        <v>0</v>
      </c>
      <c r="G437" s="221">
        <f t="shared" si="53"/>
        <v>0</v>
      </c>
      <c r="H437" s="221">
        <f t="shared" si="54"/>
        <v>0</v>
      </c>
      <c r="I437" s="221">
        <f t="shared" si="51"/>
        <v>0</v>
      </c>
      <c r="J437" s="221">
        <f>DMHH!G413</f>
        <v>0</v>
      </c>
      <c r="K437" s="221">
        <f>DMHH!H413</f>
        <v>0</v>
      </c>
      <c r="L437" s="221">
        <f t="shared" si="55"/>
        <v>0</v>
      </c>
      <c r="M437" s="221">
        <f t="shared" si="56"/>
        <v>0</v>
      </c>
      <c r="N437" s="222"/>
      <c r="O437" s="234" t="str">
        <f t="shared" si="57"/>
        <v/>
      </c>
      <c r="P437" s="171"/>
    </row>
    <row r="438" spans="1:16" ht="15" hidden="1" customHeight="1">
      <c r="A438" s="171"/>
      <c r="B438" s="199">
        <f>IF(O438="",0,MAX($B$32:B437)+1)</f>
        <v>0</v>
      </c>
      <c r="C438" s="84">
        <f>DMHH!C414</f>
        <v>0</v>
      </c>
      <c r="D438" s="84">
        <f>DMHH!D414</f>
        <v>0</v>
      </c>
      <c r="E438" s="220">
        <f>DMHH!E414</f>
        <v>0</v>
      </c>
      <c r="F438" s="221">
        <f t="shared" si="52"/>
        <v>0</v>
      </c>
      <c r="G438" s="221">
        <f t="shared" si="53"/>
        <v>0</v>
      </c>
      <c r="H438" s="221">
        <f t="shared" si="54"/>
        <v>0</v>
      </c>
      <c r="I438" s="221">
        <f t="shared" si="51"/>
        <v>0</v>
      </c>
      <c r="J438" s="221">
        <f>DMHH!G414</f>
        <v>0</v>
      </c>
      <c r="K438" s="221">
        <f>DMHH!H414</f>
        <v>0</v>
      </c>
      <c r="L438" s="221">
        <f t="shared" si="55"/>
        <v>0</v>
      </c>
      <c r="M438" s="221">
        <f t="shared" si="56"/>
        <v>0</v>
      </c>
      <c r="N438" s="222"/>
      <c r="O438" s="234" t="str">
        <f t="shared" si="57"/>
        <v/>
      </c>
      <c r="P438" s="171"/>
    </row>
    <row r="439" spans="1:16" ht="15" hidden="1" customHeight="1">
      <c r="A439" s="171"/>
      <c r="B439" s="199">
        <f>IF(O439="",0,MAX($B$32:B438)+1)</f>
        <v>0</v>
      </c>
      <c r="C439" s="84">
        <f>DMHH!C415</f>
        <v>0</v>
      </c>
      <c r="D439" s="84">
        <f>DMHH!D415</f>
        <v>0</v>
      </c>
      <c r="E439" s="220">
        <f>DMHH!E415</f>
        <v>0</v>
      </c>
      <c r="F439" s="221">
        <f t="shared" si="52"/>
        <v>0</v>
      </c>
      <c r="G439" s="221">
        <f t="shared" si="53"/>
        <v>0</v>
      </c>
      <c r="H439" s="221">
        <f t="shared" si="54"/>
        <v>0</v>
      </c>
      <c r="I439" s="221">
        <f t="shared" si="51"/>
        <v>0</v>
      </c>
      <c r="J439" s="221">
        <f>DMHH!G415</f>
        <v>0</v>
      </c>
      <c r="K439" s="221">
        <f>DMHH!H415</f>
        <v>0</v>
      </c>
      <c r="L439" s="221">
        <f t="shared" si="55"/>
        <v>0</v>
      </c>
      <c r="M439" s="221">
        <f t="shared" si="56"/>
        <v>0</v>
      </c>
      <c r="N439" s="222"/>
      <c r="O439" s="234" t="str">
        <f t="shared" si="57"/>
        <v/>
      </c>
      <c r="P439" s="171"/>
    </row>
    <row r="440" spans="1:16" ht="15" hidden="1" customHeight="1">
      <c r="A440" s="171"/>
      <c r="B440" s="199">
        <f>IF(O440="",0,MAX($B$32:B439)+1)</f>
        <v>0</v>
      </c>
      <c r="C440" s="84">
        <f>DMHH!C416</f>
        <v>0</v>
      </c>
      <c r="D440" s="84">
        <f>DMHH!D416</f>
        <v>0</v>
      </c>
      <c r="E440" s="220">
        <f>DMHH!E416</f>
        <v>0</v>
      </c>
      <c r="F440" s="221">
        <f t="shared" si="52"/>
        <v>0</v>
      </c>
      <c r="G440" s="221">
        <f t="shared" si="53"/>
        <v>0</v>
      </c>
      <c r="H440" s="221">
        <f t="shared" si="54"/>
        <v>0</v>
      </c>
      <c r="I440" s="221">
        <f t="shared" si="51"/>
        <v>0</v>
      </c>
      <c r="J440" s="221">
        <f>DMHH!G416</f>
        <v>0</v>
      </c>
      <c r="K440" s="221">
        <f>DMHH!H416</f>
        <v>0</v>
      </c>
      <c r="L440" s="221">
        <f t="shared" si="55"/>
        <v>0</v>
      </c>
      <c r="M440" s="221">
        <f t="shared" si="56"/>
        <v>0</v>
      </c>
      <c r="N440" s="222"/>
      <c r="O440" s="234" t="str">
        <f t="shared" si="57"/>
        <v/>
      </c>
      <c r="P440" s="171"/>
    </row>
    <row r="441" spans="1:16" ht="15" hidden="1" customHeight="1">
      <c r="A441" s="171"/>
      <c r="B441" s="199">
        <f>IF(O441="",0,MAX($B$32:B440)+1)</f>
        <v>0</v>
      </c>
      <c r="C441" s="84">
        <f>DMHH!C417</f>
        <v>0</v>
      </c>
      <c r="D441" s="84">
        <f>DMHH!D417</f>
        <v>0</v>
      </c>
      <c r="E441" s="220">
        <f>DMHH!E417</f>
        <v>0</v>
      </c>
      <c r="F441" s="221">
        <f t="shared" si="52"/>
        <v>0</v>
      </c>
      <c r="G441" s="221">
        <f t="shared" si="53"/>
        <v>0</v>
      </c>
      <c r="H441" s="221">
        <f t="shared" si="54"/>
        <v>0</v>
      </c>
      <c r="I441" s="221">
        <f t="shared" si="51"/>
        <v>0</v>
      </c>
      <c r="J441" s="221">
        <f>DMHH!G417</f>
        <v>0</v>
      </c>
      <c r="K441" s="221">
        <f>DMHH!H417</f>
        <v>0</v>
      </c>
      <c r="L441" s="221">
        <f t="shared" si="55"/>
        <v>0</v>
      </c>
      <c r="M441" s="221">
        <f t="shared" si="56"/>
        <v>0</v>
      </c>
      <c r="N441" s="222"/>
      <c r="O441" s="234" t="str">
        <f t="shared" si="57"/>
        <v/>
      </c>
      <c r="P441" s="171"/>
    </row>
    <row r="442" spans="1:16" ht="15" hidden="1" customHeight="1">
      <c r="A442" s="171"/>
      <c r="B442" s="199">
        <f>IF(O442="",0,MAX($B$32:B441)+1)</f>
        <v>0</v>
      </c>
      <c r="C442" s="84">
        <f>DMHH!C418</f>
        <v>0</v>
      </c>
      <c r="D442" s="84">
        <f>DMHH!D418</f>
        <v>0</v>
      </c>
      <c r="E442" s="220">
        <f>DMHH!E418</f>
        <v>0</v>
      </c>
      <c r="F442" s="221">
        <f t="shared" si="52"/>
        <v>0</v>
      </c>
      <c r="G442" s="221">
        <f t="shared" si="53"/>
        <v>0</v>
      </c>
      <c r="H442" s="221">
        <f t="shared" si="54"/>
        <v>0</v>
      </c>
      <c r="I442" s="221">
        <f t="shared" si="51"/>
        <v>0</v>
      </c>
      <c r="J442" s="221">
        <f>DMHH!G418</f>
        <v>0</v>
      </c>
      <c r="K442" s="221">
        <f>DMHH!H418</f>
        <v>0</v>
      </c>
      <c r="L442" s="221">
        <f t="shared" si="55"/>
        <v>0</v>
      </c>
      <c r="M442" s="221">
        <f t="shared" si="56"/>
        <v>0</v>
      </c>
      <c r="N442" s="222"/>
      <c r="O442" s="234" t="str">
        <f t="shared" si="57"/>
        <v/>
      </c>
      <c r="P442" s="171"/>
    </row>
    <row r="443" spans="1:16" ht="15" hidden="1" customHeight="1">
      <c r="A443" s="171"/>
      <c r="B443" s="199">
        <f>IF(O443="",0,MAX($B$32:B442)+1)</f>
        <v>0</v>
      </c>
      <c r="C443" s="84">
        <f>DMHH!C419</f>
        <v>0</v>
      </c>
      <c r="D443" s="84">
        <f>DMHH!D419</f>
        <v>0</v>
      </c>
      <c r="E443" s="220">
        <f>DMHH!E419</f>
        <v>0</v>
      </c>
      <c r="F443" s="221">
        <f t="shared" si="52"/>
        <v>0</v>
      </c>
      <c r="G443" s="221">
        <f t="shared" si="53"/>
        <v>0</v>
      </c>
      <c r="H443" s="221">
        <f t="shared" si="54"/>
        <v>0</v>
      </c>
      <c r="I443" s="221">
        <f t="shared" si="51"/>
        <v>0</v>
      </c>
      <c r="J443" s="221">
        <f>DMHH!G419</f>
        <v>0</v>
      </c>
      <c r="K443" s="221">
        <f>DMHH!H419</f>
        <v>0</v>
      </c>
      <c r="L443" s="221">
        <f t="shared" si="55"/>
        <v>0</v>
      </c>
      <c r="M443" s="221">
        <f t="shared" si="56"/>
        <v>0</v>
      </c>
      <c r="N443" s="222"/>
      <c r="O443" s="234" t="str">
        <f t="shared" si="57"/>
        <v/>
      </c>
      <c r="P443" s="171"/>
    </row>
    <row r="444" spans="1:16" ht="15" hidden="1" customHeight="1">
      <c r="A444" s="171"/>
      <c r="B444" s="199">
        <f>IF(O444="",0,MAX($B$32:B443)+1)</f>
        <v>0</v>
      </c>
      <c r="C444" s="84">
        <f>DMHH!C420</f>
        <v>0</v>
      </c>
      <c r="D444" s="84">
        <f>DMHH!D420</f>
        <v>0</v>
      </c>
      <c r="E444" s="220">
        <f>DMHH!E420</f>
        <v>0</v>
      </c>
      <c r="F444" s="221">
        <f t="shared" si="52"/>
        <v>0</v>
      </c>
      <c r="G444" s="221">
        <f t="shared" si="53"/>
        <v>0</v>
      </c>
      <c r="H444" s="221">
        <f t="shared" si="54"/>
        <v>0</v>
      </c>
      <c r="I444" s="221">
        <f t="shared" si="51"/>
        <v>0</v>
      </c>
      <c r="J444" s="221">
        <f>DMHH!G420</f>
        <v>0</v>
      </c>
      <c r="K444" s="221">
        <f>DMHH!H420</f>
        <v>0</v>
      </c>
      <c r="L444" s="221">
        <f t="shared" si="55"/>
        <v>0</v>
      </c>
      <c r="M444" s="221">
        <f t="shared" si="56"/>
        <v>0</v>
      </c>
      <c r="N444" s="222"/>
      <c r="O444" s="234" t="str">
        <f t="shared" si="57"/>
        <v/>
      </c>
      <c r="P444" s="171"/>
    </row>
    <row r="445" spans="1:16" ht="15" hidden="1" customHeight="1">
      <c r="A445" s="171"/>
      <c r="B445" s="199">
        <f>IF(O445="",0,MAX($B$32:B444)+1)</f>
        <v>0</v>
      </c>
      <c r="C445" s="84">
        <f>DMHH!C421</f>
        <v>0</v>
      </c>
      <c r="D445" s="84">
        <f>DMHH!D421</f>
        <v>0</v>
      </c>
      <c r="E445" s="220">
        <f>DMHH!E421</f>
        <v>0</v>
      </c>
      <c r="F445" s="221">
        <f t="shared" si="52"/>
        <v>0</v>
      </c>
      <c r="G445" s="221">
        <f t="shared" si="53"/>
        <v>0</v>
      </c>
      <c r="H445" s="221">
        <f t="shared" si="54"/>
        <v>0</v>
      </c>
      <c r="I445" s="221">
        <f t="shared" si="51"/>
        <v>0</v>
      </c>
      <c r="J445" s="221">
        <f>DMHH!G421</f>
        <v>0</v>
      </c>
      <c r="K445" s="221">
        <f>DMHH!H421</f>
        <v>0</v>
      </c>
      <c r="L445" s="221">
        <f t="shared" si="55"/>
        <v>0</v>
      </c>
      <c r="M445" s="221">
        <f t="shared" si="56"/>
        <v>0</v>
      </c>
      <c r="N445" s="222"/>
      <c r="O445" s="234" t="str">
        <f t="shared" si="57"/>
        <v/>
      </c>
      <c r="P445" s="171"/>
    </row>
    <row r="446" spans="1:16" ht="15" hidden="1" customHeight="1">
      <c r="A446" s="171"/>
      <c r="B446" s="199">
        <f>IF(O446="",0,MAX($B$32:B445)+1)</f>
        <v>0</v>
      </c>
      <c r="C446" s="84">
        <f>DMHH!C422</f>
        <v>0</v>
      </c>
      <c r="D446" s="84">
        <f>DMHH!D422</f>
        <v>0</v>
      </c>
      <c r="E446" s="220">
        <f>DMHH!E422</f>
        <v>0</v>
      </c>
      <c r="F446" s="221">
        <f t="shared" si="52"/>
        <v>0</v>
      </c>
      <c r="G446" s="221">
        <f t="shared" si="53"/>
        <v>0</v>
      </c>
      <c r="H446" s="221">
        <f t="shared" si="54"/>
        <v>0</v>
      </c>
      <c r="I446" s="221">
        <f t="shared" si="51"/>
        <v>0</v>
      </c>
      <c r="J446" s="221">
        <f>DMHH!G422</f>
        <v>0</v>
      </c>
      <c r="K446" s="221">
        <f>DMHH!H422</f>
        <v>0</v>
      </c>
      <c r="L446" s="221">
        <f t="shared" si="55"/>
        <v>0</v>
      </c>
      <c r="M446" s="221">
        <f t="shared" si="56"/>
        <v>0</v>
      </c>
      <c r="N446" s="222"/>
      <c r="O446" s="234" t="str">
        <f t="shared" si="57"/>
        <v/>
      </c>
      <c r="P446" s="171"/>
    </row>
    <row r="447" spans="1:16" ht="15" hidden="1" customHeight="1">
      <c r="A447" s="171"/>
      <c r="B447" s="199">
        <f>IF(O447="",0,MAX($B$32:B446)+1)</f>
        <v>0</v>
      </c>
      <c r="C447" s="84">
        <f>DMHH!C423</f>
        <v>0</v>
      </c>
      <c r="D447" s="84">
        <f>DMHH!D423</f>
        <v>0</v>
      </c>
      <c r="E447" s="220">
        <f>DMHH!E423</f>
        <v>0</v>
      </c>
      <c r="F447" s="221">
        <f t="shared" si="52"/>
        <v>0</v>
      </c>
      <c r="G447" s="221">
        <f t="shared" si="53"/>
        <v>0</v>
      </c>
      <c r="H447" s="221">
        <f t="shared" si="54"/>
        <v>0</v>
      </c>
      <c r="I447" s="221">
        <f t="shared" si="51"/>
        <v>0</v>
      </c>
      <c r="J447" s="221">
        <f>DMHH!G423</f>
        <v>0</v>
      </c>
      <c r="K447" s="221">
        <f>DMHH!H423</f>
        <v>0</v>
      </c>
      <c r="L447" s="221">
        <f t="shared" si="55"/>
        <v>0</v>
      </c>
      <c r="M447" s="221">
        <f t="shared" si="56"/>
        <v>0</v>
      </c>
      <c r="N447" s="222"/>
      <c r="O447" s="234" t="str">
        <f t="shared" si="57"/>
        <v/>
      </c>
      <c r="P447" s="171"/>
    </row>
    <row r="448" spans="1:16" ht="15" hidden="1" customHeight="1">
      <c r="A448" s="171"/>
      <c r="B448" s="199">
        <f>IF(O448="",0,MAX($B$32:B447)+1)</f>
        <v>0</v>
      </c>
      <c r="C448" s="84">
        <f>DMHH!C424</f>
        <v>0</v>
      </c>
      <c r="D448" s="84">
        <f>DMHH!D424</f>
        <v>0</v>
      </c>
      <c r="E448" s="220">
        <f>DMHH!E424</f>
        <v>0</v>
      </c>
      <c r="F448" s="221">
        <f t="shared" si="52"/>
        <v>0</v>
      </c>
      <c r="G448" s="221">
        <f t="shared" si="53"/>
        <v>0</v>
      </c>
      <c r="H448" s="221">
        <f t="shared" si="54"/>
        <v>0</v>
      </c>
      <c r="I448" s="221">
        <f t="shared" si="51"/>
        <v>0</v>
      </c>
      <c r="J448" s="221">
        <f>DMHH!G424</f>
        <v>0</v>
      </c>
      <c r="K448" s="221">
        <f>DMHH!H424</f>
        <v>0</v>
      </c>
      <c r="L448" s="221">
        <f t="shared" si="55"/>
        <v>0</v>
      </c>
      <c r="M448" s="221">
        <f t="shared" si="56"/>
        <v>0</v>
      </c>
      <c r="N448" s="222"/>
      <c r="O448" s="234" t="str">
        <f t="shared" si="57"/>
        <v/>
      </c>
      <c r="P448" s="171"/>
    </row>
    <row r="449" spans="1:16" ht="15" hidden="1" customHeight="1">
      <c r="A449" s="171"/>
      <c r="B449" s="199">
        <f>IF(O449="",0,MAX($B$32:B448)+1)</f>
        <v>0</v>
      </c>
      <c r="C449" s="84">
        <f>DMHH!C425</f>
        <v>0</v>
      </c>
      <c r="D449" s="84">
        <f>DMHH!D425</f>
        <v>0</v>
      </c>
      <c r="E449" s="220">
        <f>DMHH!E425</f>
        <v>0</v>
      </c>
      <c r="F449" s="221">
        <f t="shared" si="52"/>
        <v>0</v>
      </c>
      <c r="G449" s="221">
        <f t="shared" si="53"/>
        <v>0</v>
      </c>
      <c r="H449" s="221">
        <f t="shared" si="54"/>
        <v>0</v>
      </c>
      <c r="I449" s="221">
        <f t="shared" si="51"/>
        <v>0</v>
      </c>
      <c r="J449" s="221">
        <f>DMHH!G425</f>
        <v>0</v>
      </c>
      <c r="K449" s="221">
        <f>DMHH!H425</f>
        <v>0</v>
      </c>
      <c r="L449" s="221">
        <f t="shared" si="55"/>
        <v>0</v>
      </c>
      <c r="M449" s="221">
        <f t="shared" si="56"/>
        <v>0</v>
      </c>
      <c r="N449" s="222"/>
      <c r="O449" s="234" t="str">
        <f t="shared" si="57"/>
        <v/>
      </c>
      <c r="P449" s="171"/>
    </row>
    <row r="450" spans="1:16" ht="15" hidden="1" customHeight="1">
      <c r="A450" s="171"/>
      <c r="B450" s="199">
        <f>IF(O450="",0,MAX($B$32:B449)+1)</f>
        <v>0</v>
      </c>
      <c r="C450" s="84">
        <f>DMHH!C426</f>
        <v>0</v>
      </c>
      <c r="D450" s="84">
        <f>DMHH!D426</f>
        <v>0</v>
      </c>
      <c r="E450" s="220">
        <f>DMHH!E426</f>
        <v>0</v>
      </c>
      <c r="F450" s="221">
        <f t="shared" si="52"/>
        <v>0</v>
      </c>
      <c r="G450" s="221">
        <f t="shared" si="53"/>
        <v>0</v>
      </c>
      <c r="H450" s="221">
        <f t="shared" si="54"/>
        <v>0</v>
      </c>
      <c r="I450" s="221">
        <f t="shared" si="51"/>
        <v>0</v>
      </c>
      <c r="J450" s="221">
        <f>DMHH!G426</f>
        <v>0</v>
      </c>
      <c r="K450" s="221">
        <f>DMHH!H426</f>
        <v>0</v>
      </c>
      <c r="L450" s="221">
        <f t="shared" si="55"/>
        <v>0</v>
      </c>
      <c r="M450" s="221">
        <f t="shared" si="56"/>
        <v>0</v>
      </c>
      <c r="N450" s="222"/>
      <c r="O450" s="234" t="str">
        <f t="shared" si="57"/>
        <v/>
      </c>
      <c r="P450" s="171"/>
    </row>
    <row r="451" spans="1:16" ht="15" hidden="1" customHeight="1">
      <c r="A451" s="171"/>
      <c r="B451" s="199">
        <f>IF(O451="",0,MAX($B$32:B450)+1)</f>
        <v>0</v>
      </c>
      <c r="C451" s="84">
        <f>DMHH!C427</f>
        <v>0</v>
      </c>
      <c r="D451" s="84">
        <f>DMHH!D427</f>
        <v>0</v>
      </c>
      <c r="E451" s="220">
        <f>DMHH!E427</f>
        <v>0</v>
      </c>
      <c r="F451" s="221">
        <f t="shared" si="52"/>
        <v>0</v>
      </c>
      <c r="G451" s="221">
        <f t="shared" si="53"/>
        <v>0</v>
      </c>
      <c r="H451" s="221">
        <f t="shared" si="54"/>
        <v>0</v>
      </c>
      <c r="I451" s="221">
        <f t="shared" si="51"/>
        <v>0</v>
      </c>
      <c r="J451" s="221">
        <f>DMHH!G427</f>
        <v>0</v>
      </c>
      <c r="K451" s="221">
        <f>DMHH!H427</f>
        <v>0</v>
      </c>
      <c r="L451" s="221">
        <f t="shared" si="55"/>
        <v>0</v>
      </c>
      <c r="M451" s="221">
        <f t="shared" si="56"/>
        <v>0</v>
      </c>
      <c r="N451" s="222"/>
      <c r="O451" s="234" t="str">
        <f t="shared" si="57"/>
        <v/>
      </c>
      <c r="P451" s="171"/>
    </row>
    <row r="452" spans="1:16" ht="15" hidden="1" customHeight="1">
      <c r="A452" s="171"/>
      <c r="B452" s="199">
        <f>IF(O452="",0,MAX($B$32:B451)+1)</f>
        <v>0</v>
      </c>
      <c r="C452" s="84">
        <f>DMHH!C428</f>
        <v>0</v>
      </c>
      <c r="D452" s="84">
        <f>DMHH!D428</f>
        <v>0</v>
      </c>
      <c r="E452" s="220">
        <f>DMHH!E428</f>
        <v>0</v>
      </c>
      <c r="F452" s="221">
        <f t="shared" si="52"/>
        <v>0</v>
      </c>
      <c r="G452" s="221">
        <f t="shared" si="53"/>
        <v>0</v>
      </c>
      <c r="H452" s="221">
        <f t="shared" si="54"/>
        <v>0</v>
      </c>
      <c r="I452" s="221">
        <f t="shared" si="51"/>
        <v>0</v>
      </c>
      <c r="J452" s="221">
        <f>DMHH!G428</f>
        <v>0</v>
      </c>
      <c r="K452" s="221">
        <f>DMHH!H428</f>
        <v>0</v>
      </c>
      <c r="L452" s="221">
        <f t="shared" si="55"/>
        <v>0</v>
      </c>
      <c r="M452" s="221">
        <f t="shared" si="56"/>
        <v>0</v>
      </c>
      <c r="N452" s="222"/>
      <c r="O452" s="234" t="str">
        <f t="shared" si="57"/>
        <v/>
      </c>
      <c r="P452" s="171"/>
    </row>
    <row r="453" spans="1:16" ht="15" hidden="1" customHeight="1">
      <c r="A453" s="171"/>
      <c r="B453" s="199">
        <f>IF(O453="",0,MAX($B$32:B452)+1)</f>
        <v>0</v>
      </c>
      <c r="C453" s="84">
        <f>DMHH!C429</f>
        <v>0</v>
      </c>
      <c r="D453" s="84">
        <f>DMHH!D429</f>
        <v>0</v>
      </c>
      <c r="E453" s="220">
        <f>DMHH!E429</f>
        <v>0</v>
      </c>
      <c r="F453" s="221">
        <f t="shared" si="52"/>
        <v>0</v>
      </c>
      <c r="G453" s="221">
        <f t="shared" si="53"/>
        <v>0</v>
      </c>
      <c r="H453" s="221">
        <f t="shared" si="54"/>
        <v>0</v>
      </c>
      <c r="I453" s="221">
        <f t="shared" si="51"/>
        <v>0</v>
      </c>
      <c r="J453" s="221">
        <f>DMHH!G429</f>
        <v>0</v>
      </c>
      <c r="K453" s="221">
        <f>DMHH!H429</f>
        <v>0</v>
      </c>
      <c r="L453" s="221">
        <f t="shared" si="55"/>
        <v>0</v>
      </c>
      <c r="M453" s="221">
        <f t="shared" si="56"/>
        <v>0</v>
      </c>
      <c r="N453" s="222"/>
      <c r="O453" s="234" t="str">
        <f t="shared" si="57"/>
        <v/>
      </c>
      <c r="P453" s="171"/>
    </row>
    <row r="454" spans="1:16" ht="15" hidden="1" customHeight="1">
      <c r="A454" s="171"/>
      <c r="B454" s="199">
        <f>IF(O454="",0,MAX($B$32:B453)+1)</f>
        <v>0</v>
      </c>
      <c r="C454" s="84">
        <f>DMHH!C430</f>
        <v>0</v>
      </c>
      <c r="D454" s="84">
        <f>DMHH!D430</f>
        <v>0</v>
      </c>
      <c r="E454" s="220">
        <f>DMHH!E430</f>
        <v>0</v>
      </c>
      <c r="F454" s="221">
        <f t="shared" si="52"/>
        <v>0</v>
      </c>
      <c r="G454" s="221">
        <f t="shared" si="53"/>
        <v>0</v>
      </c>
      <c r="H454" s="221">
        <f t="shared" si="54"/>
        <v>0</v>
      </c>
      <c r="I454" s="221">
        <f t="shared" si="51"/>
        <v>0</v>
      </c>
      <c r="J454" s="221">
        <f>DMHH!G430</f>
        <v>0</v>
      </c>
      <c r="K454" s="221">
        <f>DMHH!H430</f>
        <v>0</v>
      </c>
      <c r="L454" s="221">
        <f t="shared" si="55"/>
        <v>0</v>
      </c>
      <c r="M454" s="221">
        <f t="shared" si="56"/>
        <v>0</v>
      </c>
      <c r="N454" s="222"/>
      <c r="O454" s="234" t="str">
        <f t="shared" si="57"/>
        <v/>
      </c>
      <c r="P454" s="171"/>
    </row>
    <row r="455" spans="1:16" ht="15" hidden="1" customHeight="1">
      <c r="A455" s="171"/>
      <c r="B455" s="199">
        <f>IF(O455="",0,MAX($B$32:B454)+1)</f>
        <v>0</v>
      </c>
      <c r="C455" s="84">
        <f>DMHH!C431</f>
        <v>0</v>
      </c>
      <c r="D455" s="84">
        <f>DMHH!D431</f>
        <v>0</v>
      </c>
      <c r="E455" s="220">
        <f>DMHH!E431</f>
        <v>0</v>
      </c>
      <c r="F455" s="221">
        <f t="shared" si="52"/>
        <v>0</v>
      </c>
      <c r="G455" s="221">
        <f t="shared" si="53"/>
        <v>0</v>
      </c>
      <c r="H455" s="221">
        <f t="shared" si="54"/>
        <v>0</v>
      </c>
      <c r="I455" s="221">
        <f t="shared" si="51"/>
        <v>0</v>
      </c>
      <c r="J455" s="221">
        <f>DMHH!G431</f>
        <v>0</v>
      </c>
      <c r="K455" s="221">
        <f>DMHH!H431</f>
        <v>0</v>
      </c>
      <c r="L455" s="221">
        <f t="shared" si="55"/>
        <v>0</v>
      </c>
      <c r="M455" s="221">
        <f t="shared" si="56"/>
        <v>0</v>
      </c>
      <c r="N455" s="222"/>
      <c r="O455" s="234" t="str">
        <f t="shared" si="57"/>
        <v/>
      </c>
      <c r="P455" s="171"/>
    </row>
    <row r="456" spans="1:16" ht="15" hidden="1" customHeight="1">
      <c r="A456" s="171"/>
      <c r="B456" s="199">
        <f>IF(O456="",0,MAX($B$32:B455)+1)</f>
        <v>0</v>
      </c>
      <c r="C456" s="84">
        <f>DMHH!C432</f>
        <v>0</v>
      </c>
      <c r="D456" s="84">
        <f>DMHH!D432</f>
        <v>0</v>
      </c>
      <c r="E456" s="220">
        <f>DMHH!E432</f>
        <v>0</v>
      </c>
      <c r="F456" s="221">
        <f t="shared" si="52"/>
        <v>0</v>
      </c>
      <c r="G456" s="221">
        <f t="shared" si="53"/>
        <v>0</v>
      </c>
      <c r="H456" s="221">
        <f t="shared" si="54"/>
        <v>0</v>
      </c>
      <c r="I456" s="221">
        <f t="shared" si="51"/>
        <v>0</v>
      </c>
      <c r="J456" s="221">
        <f>DMHH!G432</f>
        <v>0</v>
      </c>
      <c r="K456" s="221">
        <f>DMHH!H432</f>
        <v>0</v>
      </c>
      <c r="L456" s="221">
        <f t="shared" si="55"/>
        <v>0</v>
      </c>
      <c r="M456" s="221">
        <f t="shared" si="56"/>
        <v>0</v>
      </c>
      <c r="N456" s="222"/>
      <c r="O456" s="234" t="str">
        <f t="shared" si="57"/>
        <v/>
      </c>
      <c r="P456" s="171"/>
    </row>
    <row r="457" spans="1:16" ht="15" hidden="1" customHeight="1">
      <c r="A457" s="171"/>
      <c r="B457" s="199">
        <f>IF(O457="",0,MAX($B$32:B456)+1)</f>
        <v>0</v>
      </c>
      <c r="C457" s="84">
        <f>DMHH!C433</f>
        <v>0</v>
      </c>
      <c r="D457" s="84">
        <f>DMHH!D433</f>
        <v>0</v>
      </c>
      <c r="E457" s="220">
        <f>DMHH!E433</f>
        <v>0</v>
      </c>
      <c r="F457" s="221">
        <f t="shared" si="52"/>
        <v>0</v>
      </c>
      <c r="G457" s="221">
        <f t="shared" si="53"/>
        <v>0</v>
      </c>
      <c r="H457" s="221">
        <f t="shared" si="54"/>
        <v>0</v>
      </c>
      <c r="I457" s="221">
        <f t="shared" si="51"/>
        <v>0</v>
      </c>
      <c r="J457" s="221">
        <f>DMHH!G433</f>
        <v>0</v>
      </c>
      <c r="K457" s="221">
        <f>DMHH!H433</f>
        <v>0</v>
      </c>
      <c r="L457" s="221">
        <f t="shared" si="55"/>
        <v>0</v>
      </c>
      <c r="M457" s="221">
        <f t="shared" si="56"/>
        <v>0</v>
      </c>
      <c r="N457" s="222"/>
      <c r="O457" s="234" t="str">
        <f t="shared" si="57"/>
        <v/>
      </c>
      <c r="P457" s="171"/>
    </row>
    <row r="458" spans="1:16" ht="15" hidden="1" customHeight="1">
      <c r="A458" s="171"/>
      <c r="B458" s="199">
        <f>IF(O458="",0,MAX($B$32:B457)+1)</f>
        <v>0</v>
      </c>
      <c r="C458" s="84">
        <f>DMHH!C434</f>
        <v>0</v>
      </c>
      <c r="D458" s="84">
        <f>DMHH!D434</f>
        <v>0</v>
      </c>
      <c r="E458" s="220">
        <f>DMHH!E434</f>
        <v>0</v>
      </c>
      <c r="F458" s="221">
        <f t="shared" si="52"/>
        <v>0</v>
      </c>
      <c r="G458" s="221">
        <f t="shared" si="53"/>
        <v>0</v>
      </c>
      <c r="H458" s="221">
        <f t="shared" si="54"/>
        <v>0</v>
      </c>
      <c r="I458" s="221">
        <f t="shared" si="51"/>
        <v>0</v>
      </c>
      <c r="J458" s="221">
        <f>DMHH!G434</f>
        <v>0</v>
      </c>
      <c r="K458" s="221">
        <f>DMHH!H434</f>
        <v>0</v>
      </c>
      <c r="L458" s="221">
        <f t="shared" si="55"/>
        <v>0</v>
      </c>
      <c r="M458" s="221">
        <f t="shared" si="56"/>
        <v>0</v>
      </c>
      <c r="N458" s="222"/>
      <c r="O458" s="234" t="str">
        <f t="shared" si="57"/>
        <v/>
      </c>
      <c r="P458" s="171"/>
    </row>
    <row r="459" spans="1:16" ht="15" hidden="1" customHeight="1">
      <c r="A459" s="171"/>
      <c r="B459" s="199">
        <f>IF(O459="",0,MAX($B$32:B458)+1)</f>
        <v>0</v>
      </c>
      <c r="C459" s="84">
        <f>DMHH!C435</f>
        <v>0</v>
      </c>
      <c r="D459" s="84">
        <f>DMHH!D435</f>
        <v>0</v>
      </c>
      <c r="E459" s="220">
        <f>DMHH!E435</f>
        <v>0</v>
      </c>
      <c r="F459" s="221">
        <f t="shared" si="52"/>
        <v>0</v>
      </c>
      <c r="G459" s="221">
        <f t="shared" si="53"/>
        <v>0</v>
      </c>
      <c r="H459" s="221">
        <f t="shared" si="54"/>
        <v>0</v>
      </c>
      <c r="I459" s="221">
        <f t="shared" si="51"/>
        <v>0</v>
      </c>
      <c r="J459" s="221">
        <f>DMHH!G435</f>
        <v>0</v>
      </c>
      <c r="K459" s="221">
        <f>DMHH!H435</f>
        <v>0</v>
      </c>
      <c r="L459" s="221">
        <f t="shared" si="55"/>
        <v>0</v>
      </c>
      <c r="M459" s="221">
        <f t="shared" si="56"/>
        <v>0</v>
      </c>
      <c r="N459" s="222"/>
      <c r="O459" s="234" t="str">
        <f t="shared" si="57"/>
        <v/>
      </c>
      <c r="P459" s="171"/>
    </row>
    <row r="460" spans="1:16" ht="15" hidden="1" customHeight="1">
      <c r="A460" s="171"/>
      <c r="B460" s="199">
        <f>IF(O460="",0,MAX($B$32:B459)+1)</f>
        <v>0</v>
      </c>
      <c r="C460" s="84">
        <f>DMHH!C436</f>
        <v>0</v>
      </c>
      <c r="D460" s="84">
        <f>DMHH!D436</f>
        <v>0</v>
      </c>
      <c r="E460" s="220">
        <f>DMHH!E436</f>
        <v>0</v>
      </c>
      <c r="F460" s="221">
        <f t="shared" si="52"/>
        <v>0</v>
      </c>
      <c r="G460" s="221">
        <f t="shared" si="53"/>
        <v>0</v>
      </c>
      <c r="H460" s="221">
        <f t="shared" si="54"/>
        <v>0</v>
      </c>
      <c r="I460" s="221">
        <f t="shared" si="51"/>
        <v>0</v>
      </c>
      <c r="J460" s="221">
        <f>DMHH!G436</f>
        <v>0</v>
      </c>
      <c r="K460" s="221">
        <f>DMHH!H436</f>
        <v>0</v>
      </c>
      <c r="L460" s="221">
        <f t="shared" si="55"/>
        <v>0</v>
      </c>
      <c r="M460" s="221">
        <f t="shared" si="56"/>
        <v>0</v>
      </c>
      <c r="N460" s="222"/>
      <c r="O460" s="234" t="str">
        <f t="shared" si="57"/>
        <v/>
      </c>
      <c r="P460" s="171"/>
    </row>
    <row r="461" spans="1:16" ht="15" hidden="1" customHeight="1">
      <c r="A461" s="171"/>
      <c r="B461" s="199">
        <f>IF(O461="",0,MAX($B$32:B460)+1)</f>
        <v>0</v>
      </c>
      <c r="C461" s="84">
        <f>DMHH!C437</f>
        <v>0</v>
      </c>
      <c r="D461" s="84">
        <f>DMHH!D437</f>
        <v>0</v>
      </c>
      <c r="E461" s="220">
        <f>DMHH!E437</f>
        <v>0</v>
      </c>
      <c r="F461" s="221">
        <f t="shared" si="52"/>
        <v>0</v>
      </c>
      <c r="G461" s="221">
        <f t="shared" si="53"/>
        <v>0</v>
      </c>
      <c r="H461" s="221">
        <f t="shared" si="54"/>
        <v>0</v>
      </c>
      <c r="I461" s="221">
        <f t="shared" si="51"/>
        <v>0</v>
      </c>
      <c r="J461" s="221">
        <f>DMHH!G437</f>
        <v>0</v>
      </c>
      <c r="K461" s="221">
        <f>DMHH!H437</f>
        <v>0</v>
      </c>
      <c r="L461" s="221">
        <f t="shared" si="55"/>
        <v>0</v>
      </c>
      <c r="M461" s="221">
        <f t="shared" si="56"/>
        <v>0</v>
      </c>
      <c r="N461" s="222"/>
      <c r="O461" s="234" t="str">
        <f t="shared" si="57"/>
        <v/>
      </c>
      <c r="P461" s="171"/>
    </row>
    <row r="462" spans="1:16" ht="15" hidden="1" customHeight="1">
      <c r="A462" s="171"/>
      <c r="B462" s="199">
        <f>IF(O462="",0,MAX($B$32:B461)+1)</f>
        <v>0</v>
      </c>
      <c r="C462" s="84">
        <f>DMHH!C438</f>
        <v>0</v>
      </c>
      <c r="D462" s="84">
        <f>DMHH!D438</f>
        <v>0</v>
      </c>
      <c r="E462" s="220">
        <f>DMHH!E438</f>
        <v>0</v>
      </c>
      <c r="F462" s="221">
        <f t="shared" si="52"/>
        <v>0</v>
      </c>
      <c r="G462" s="221">
        <f t="shared" si="53"/>
        <v>0</v>
      </c>
      <c r="H462" s="221">
        <f t="shared" si="54"/>
        <v>0</v>
      </c>
      <c r="I462" s="221">
        <f t="shared" si="51"/>
        <v>0</v>
      </c>
      <c r="J462" s="221">
        <f>DMHH!G438</f>
        <v>0</v>
      </c>
      <c r="K462" s="221">
        <f>DMHH!H438</f>
        <v>0</v>
      </c>
      <c r="L462" s="221">
        <f t="shared" si="55"/>
        <v>0</v>
      </c>
      <c r="M462" s="221">
        <f t="shared" si="56"/>
        <v>0</v>
      </c>
      <c r="N462" s="222"/>
      <c r="O462" s="234" t="str">
        <f t="shared" si="57"/>
        <v/>
      </c>
      <c r="P462" s="171"/>
    </row>
    <row r="463" spans="1:16" ht="15" hidden="1" customHeight="1">
      <c r="A463" s="171"/>
      <c r="B463" s="199">
        <f>IF(O463="",0,MAX($B$32:B462)+1)</f>
        <v>0</v>
      </c>
      <c r="C463" s="84">
        <f>DMHH!C439</f>
        <v>0</v>
      </c>
      <c r="D463" s="84">
        <f>DMHH!D439</f>
        <v>0</v>
      </c>
      <c r="E463" s="220">
        <f>DMHH!E439</f>
        <v>0</v>
      </c>
      <c r="F463" s="221">
        <f t="shared" si="52"/>
        <v>0</v>
      </c>
      <c r="G463" s="221">
        <f t="shared" si="53"/>
        <v>0</v>
      </c>
      <c r="H463" s="221">
        <f t="shared" si="54"/>
        <v>0</v>
      </c>
      <c r="I463" s="221">
        <f t="shared" si="51"/>
        <v>0</v>
      </c>
      <c r="J463" s="221">
        <f>DMHH!G439</f>
        <v>0</v>
      </c>
      <c r="K463" s="221">
        <f>DMHH!H439</f>
        <v>0</v>
      </c>
      <c r="L463" s="221">
        <f t="shared" si="55"/>
        <v>0</v>
      </c>
      <c r="M463" s="221">
        <f t="shared" si="56"/>
        <v>0</v>
      </c>
      <c r="N463" s="222"/>
      <c r="O463" s="234" t="str">
        <f t="shared" si="57"/>
        <v/>
      </c>
      <c r="P463" s="171"/>
    </row>
    <row r="464" spans="1:16" ht="15" hidden="1" customHeight="1">
      <c r="A464" s="171"/>
      <c r="B464" s="199">
        <f>IF(O464="",0,MAX($B$32:B463)+1)</f>
        <v>0</v>
      </c>
      <c r="C464" s="84">
        <f>DMHH!C440</f>
        <v>0</v>
      </c>
      <c r="D464" s="84">
        <f>DMHH!D440</f>
        <v>0</v>
      </c>
      <c r="E464" s="220">
        <f>DMHH!E440</f>
        <v>0</v>
      </c>
      <c r="F464" s="221">
        <f t="shared" si="52"/>
        <v>0</v>
      </c>
      <c r="G464" s="221">
        <f t="shared" si="53"/>
        <v>0</v>
      </c>
      <c r="H464" s="221">
        <f t="shared" si="54"/>
        <v>0</v>
      </c>
      <c r="I464" s="221">
        <f t="shared" si="51"/>
        <v>0</v>
      </c>
      <c r="J464" s="221">
        <f>DMHH!G440</f>
        <v>0</v>
      </c>
      <c r="K464" s="221">
        <f>DMHH!H440</f>
        <v>0</v>
      </c>
      <c r="L464" s="221">
        <f t="shared" si="55"/>
        <v>0</v>
      </c>
      <c r="M464" s="221">
        <f t="shared" si="56"/>
        <v>0</v>
      </c>
      <c r="N464" s="222"/>
      <c r="O464" s="234" t="str">
        <f t="shared" si="57"/>
        <v/>
      </c>
      <c r="P464" s="171"/>
    </row>
    <row r="465" spans="1:16" ht="15" hidden="1" customHeight="1">
      <c r="A465" s="171"/>
      <c r="B465" s="199">
        <f>IF(O465="",0,MAX($B$32:B464)+1)</f>
        <v>0</v>
      </c>
      <c r="C465" s="84">
        <f>DMHH!C441</f>
        <v>0</v>
      </c>
      <c r="D465" s="84">
        <f>DMHH!D441</f>
        <v>0</v>
      </c>
      <c r="E465" s="220">
        <f>DMHH!E441</f>
        <v>0</v>
      </c>
      <c r="F465" s="221">
        <f t="shared" si="52"/>
        <v>0</v>
      </c>
      <c r="G465" s="221">
        <f t="shared" si="53"/>
        <v>0</v>
      </c>
      <c r="H465" s="221">
        <f t="shared" si="54"/>
        <v>0</v>
      </c>
      <c r="I465" s="221">
        <f t="shared" si="51"/>
        <v>0</v>
      </c>
      <c r="J465" s="221">
        <f>DMHH!G441</f>
        <v>0</v>
      </c>
      <c r="K465" s="221">
        <f>DMHH!H441</f>
        <v>0</v>
      </c>
      <c r="L465" s="221">
        <f t="shared" si="55"/>
        <v>0</v>
      </c>
      <c r="M465" s="221">
        <f t="shared" si="56"/>
        <v>0</v>
      </c>
      <c r="N465" s="222"/>
      <c r="O465" s="234" t="str">
        <f t="shared" si="57"/>
        <v/>
      </c>
      <c r="P465" s="171"/>
    </row>
    <row r="466" spans="1:16" ht="15" hidden="1" customHeight="1">
      <c r="A466" s="171"/>
      <c r="B466" s="199">
        <f>IF(O466="",0,MAX($B$32:B465)+1)</f>
        <v>0</v>
      </c>
      <c r="C466" s="84">
        <f>DMHH!C442</f>
        <v>0</v>
      </c>
      <c r="D466" s="84">
        <f>DMHH!D442</f>
        <v>0</v>
      </c>
      <c r="E466" s="220">
        <f>DMHH!E442</f>
        <v>0</v>
      </c>
      <c r="F466" s="221">
        <f t="shared" si="52"/>
        <v>0</v>
      </c>
      <c r="G466" s="221">
        <f t="shared" si="53"/>
        <v>0</v>
      </c>
      <c r="H466" s="221">
        <f t="shared" si="54"/>
        <v>0</v>
      </c>
      <c r="I466" s="221">
        <f t="shared" si="51"/>
        <v>0</v>
      </c>
      <c r="J466" s="221">
        <f>DMHH!G442</f>
        <v>0</v>
      </c>
      <c r="K466" s="221">
        <f>DMHH!H442</f>
        <v>0</v>
      </c>
      <c r="L466" s="221">
        <f t="shared" si="55"/>
        <v>0</v>
      </c>
      <c r="M466" s="221">
        <f t="shared" si="56"/>
        <v>0</v>
      </c>
      <c r="N466" s="222"/>
      <c r="O466" s="234" t="str">
        <f t="shared" si="57"/>
        <v/>
      </c>
      <c r="P466" s="171"/>
    </row>
    <row r="467" spans="1:16" ht="15" hidden="1" customHeight="1">
      <c r="A467" s="171"/>
      <c r="B467" s="199">
        <f>IF(O467="",0,MAX($B$32:B466)+1)</f>
        <v>0</v>
      </c>
      <c r="C467" s="84">
        <f>DMHH!C443</f>
        <v>0</v>
      </c>
      <c r="D467" s="84">
        <f>DMHH!D443</f>
        <v>0</v>
      </c>
      <c r="E467" s="220">
        <f>DMHH!E443</f>
        <v>0</v>
      </c>
      <c r="F467" s="221">
        <f t="shared" si="52"/>
        <v>0</v>
      </c>
      <c r="G467" s="221">
        <f t="shared" si="53"/>
        <v>0</v>
      </c>
      <c r="H467" s="221">
        <f t="shared" si="54"/>
        <v>0</v>
      </c>
      <c r="I467" s="221">
        <f t="shared" si="51"/>
        <v>0</v>
      </c>
      <c r="J467" s="221">
        <f>DMHH!G443</f>
        <v>0</v>
      </c>
      <c r="K467" s="221">
        <f>DMHH!H443</f>
        <v>0</v>
      </c>
      <c r="L467" s="221">
        <f t="shared" si="55"/>
        <v>0</v>
      </c>
      <c r="M467" s="221">
        <f t="shared" si="56"/>
        <v>0</v>
      </c>
      <c r="N467" s="222"/>
      <c r="O467" s="234" t="str">
        <f t="shared" si="57"/>
        <v/>
      </c>
      <c r="P467" s="171"/>
    </row>
    <row r="468" spans="1:16" ht="15" hidden="1" customHeight="1">
      <c r="A468" s="171"/>
      <c r="B468" s="199">
        <f>IF(O468="",0,MAX($B$32:B467)+1)</f>
        <v>0</v>
      </c>
      <c r="C468" s="84">
        <f>DMHH!C444</f>
        <v>0</v>
      </c>
      <c r="D468" s="84">
        <f>DMHH!D444</f>
        <v>0</v>
      </c>
      <c r="E468" s="220">
        <f>DMHH!E444</f>
        <v>0</v>
      </c>
      <c r="F468" s="221">
        <f t="shared" si="52"/>
        <v>0</v>
      </c>
      <c r="G468" s="221">
        <f t="shared" si="53"/>
        <v>0</v>
      </c>
      <c r="H468" s="221">
        <f t="shared" si="54"/>
        <v>0</v>
      </c>
      <c r="I468" s="221">
        <f t="shared" si="51"/>
        <v>0</v>
      </c>
      <c r="J468" s="221">
        <f>DMHH!G444</f>
        <v>0</v>
      </c>
      <c r="K468" s="221">
        <f>DMHH!H444</f>
        <v>0</v>
      </c>
      <c r="L468" s="221">
        <f t="shared" si="55"/>
        <v>0</v>
      </c>
      <c r="M468" s="221">
        <f t="shared" si="56"/>
        <v>0</v>
      </c>
      <c r="N468" s="222"/>
      <c r="O468" s="234" t="str">
        <f t="shared" si="57"/>
        <v/>
      </c>
      <c r="P468" s="171"/>
    </row>
    <row r="469" spans="1:16" ht="15" hidden="1" customHeight="1">
      <c r="A469" s="171"/>
      <c r="B469" s="199">
        <f>IF(O469="",0,MAX($B$32:B468)+1)</f>
        <v>0</v>
      </c>
      <c r="C469" s="84">
        <f>DMHH!C445</f>
        <v>0</v>
      </c>
      <c r="D469" s="84">
        <f>DMHH!D445</f>
        <v>0</v>
      </c>
      <c r="E469" s="220">
        <f>DMHH!E445</f>
        <v>0</v>
      </c>
      <c r="F469" s="221">
        <f t="shared" si="52"/>
        <v>0</v>
      </c>
      <c r="G469" s="221">
        <f t="shared" si="53"/>
        <v>0</v>
      </c>
      <c r="H469" s="221">
        <f t="shared" si="54"/>
        <v>0</v>
      </c>
      <c r="I469" s="221">
        <f t="shared" si="51"/>
        <v>0</v>
      </c>
      <c r="J469" s="221">
        <f>DMHH!G445</f>
        <v>0</v>
      </c>
      <c r="K469" s="221">
        <f>DMHH!H445</f>
        <v>0</v>
      </c>
      <c r="L469" s="221">
        <f t="shared" si="55"/>
        <v>0</v>
      </c>
      <c r="M469" s="221">
        <f t="shared" si="56"/>
        <v>0</v>
      </c>
      <c r="N469" s="222"/>
      <c r="O469" s="234" t="str">
        <f t="shared" si="57"/>
        <v/>
      </c>
      <c r="P469" s="171"/>
    </row>
    <row r="470" spans="1:16" ht="15" hidden="1" customHeight="1">
      <c r="A470" s="171"/>
      <c r="B470" s="199">
        <f>IF(O470="",0,MAX($B$32:B469)+1)</f>
        <v>0</v>
      </c>
      <c r="C470" s="84">
        <f>DMHH!C446</f>
        <v>0</v>
      </c>
      <c r="D470" s="84">
        <f>DMHH!D446</f>
        <v>0</v>
      </c>
      <c r="E470" s="220">
        <f>DMHH!E446</f>
        <v>0</v>
      </c>
      <c r="F470" s="221">
        <f t="shared" si="52"/>
        <v>0</v>
      </c>
      <c r="G470" s="221">
        <f t="shared" si="53"/>
        <v>0</v>
      </c>
      <c r="H470" s="221">
        <f t="shared" si="54"/>
        <v>0</v>
      </c>
      <c r="I470" s="221">
        <f t="shared" si="51"/>
        <v>0</v>
      </c>
      <c r="J470" s="221">
        <f>DMHH!G446</f>
        <v>0</v>
      </c>
      <c r="K470" s="221">
        <f>DMHH!H446</f>
        <v>0</v>
      </c>
      <c r="L470" s="221">
        <f t="shared" si="55"/>
        <v>0</v>
      </c>
      <c r="M470" s="221">
        <f t="shared" si="56"/>
        <v>0</v>
      </c>
      <c r="N470" s="222"/>
      <c r="O470" s="234" t="str">
        <f t="shared" si="57"/>
        <v/>
      </c>
      <c r="P470" s="171"/>
    </row>
    <row r="471" spans="1:16" ht="15" hidden="1" customHeight="1">
      <c r="A471" s="171"/>
      <c r="B471" s="199">
        <f>IF(O471="",0,MAX($B$32:B470)+1)</f>
        <v>0</v>
      </c>
      <c r="C471" s="84">
        <f>DMHH!C447</f>
        <v>0</v>
      </c>
      <c r="D471" s="84">
        <f>DMHH!D447</f>
        <v>0</v>
      </c>
      <c r="E471" s="220">
        <f>DMHH!E447</f>
        <v>0</v>
      </c>
      <c r="F471" s="221">
        <f t="shared" si="52"/>
        <v>0</v>
      </c>
      <c r="G471" s="221">
        <f t="shared" si="53"/>
        <v>0</v>
      </c>
      <c r="H471" s="221">
        <f t="shared" si="54"/>
        <v>0</v>
      </c>
      <c r="I471" s="221">
        <f t="shared" si="51"/>
        <v>0</v>
      </c>
      <c r="J471" s="221">
        <f>DMHH!G447</f>
        <v>0</v>
      </c>
      <c r="K471" s="221">
        <f>DMHH!H447</f>
        <v>0</v>
      </c>
      <c r="L471" s="221">
        <f t="shared" si="55"/>
        <v>0</v>
      </c>
      <c r="M471" s="221">
        <f t="shared" si="56"/>
        <v>0</v>
      </c>
      <c r="N471" s="222"/>
      <c r="O471" s="234" t="str">
        <f t="shared" si="57"/>
        <v/>
      </c>
      <c r="P471" s="171"/>
    </row>
    <row r="472" spans="1:16" ht="15" hidden="1" customHeight="1">
      <c r="A472" s="171"/>
      <c r="B472" s="199">
        <f>IF(O472="",0,MAX($B$32:B471)+1)</f>
        <v>0</v>
      </c>
      <c r="C472" s="84">
        <f>DMHH!C448</f>
        <v>0</v>
      </c>
      <c r="D472" s="84">
        <f>DMHH!D448</f>
        <v>0</v>
      </c>
      <c r="E472" s="220">
        <f>DMHH!E448</f>
        <v>0</v>
      </c>
      <c r="F472" s="221">
        <f t="shared" si="52"/>
        <v>0</v>
      </c>
      <c r="G472" s="221">
        <f t="shared" si="53"/>
        <v>0</v>
      </c>
      <c r="H472" s="221">
        <f t="shared" si="54"/>
        <v>0</v>
      </c>
      <c r="I472" s="221">
        <f t="shared" si="51"/>
        <v>0</v>
      </c>
      <c r="J472" s="221">
        <f>DMHH!G448</f>
        <v>0</v>
      </c>
      <c r="K472" s="221">
        <f>DMHH!H448</f>
        <v>0</v>
      </c>
      <c r="L472" s="221">
        <f t="shared" si="55"/>
        <v>0</v>
      </c>
      <c r="M472" s="221">
        <f t="shared" si="56"/>
        <v>0</v>
      </c>
      <c r="N472" s="222"/>
      <c r="O472" s="234" t="str">
        <f t="shared" si="57"/>
        <v/>
      </c>
      <c r="P472" s="171"/>
    </row>
    <row r="473" spans="1:16" ht="15" hidden="1" customHeight="1">
      <c r="A473" s="171"/>
      <c r="B473" s="199">
        <f>IF(O473="",0,MAX($B$32:B472)+1)</f>
        <v>0</v>
      </c>
      <c r="C473" s="84">
        <f>DMHH!C449</f>
        <v>0</v>
      </c>
      <c r="D473" s="84">
        <f>DMHH!D449</f>
        <v>0</v>
      </c>
      <c r="E473" s="220">
        <f>DMHH!E449</f>
        <v>0</v>
      </c>
      <c r="F473" s="221">
        <f t="shared" si="52"/>
        <v>0</v>
      </c>
      <c r="G473" s="221">
        <f t="shared" si="53"/>
        <v>0</v>
      </c>
      <c r="H473" s="221">
        <f t="shared" si="54"/>
        <v>0</v>
      </c>
      <c r="I473" s="221">
        <f t="shared" si="51"/>
        <v>0</v>
      </c>
      <c r="J473" s="221">
        <f>DMHH!G449</f>
        <v>0</v>
      </c>
      <c r="K473" s="221">
        <f>DMHH!H449</f>
        <v>0</v>
      </c>
      <c r="L473" s="221">
        <f t="shared" si="55"/>
        <v>0</v>
      </c>
      <c r="M473" s="221">
        <f t="shared" si="56"/>
        <v>0</v>
      </c>
      <c r="N473" s="222"/>
      <c r="O473" s="234" t="str">
        <f t="shared" si="57"/>
        <v/>
      </c>
      <c r="P473" s="171"/>
    </row>
    <row r="474" spans="1:16" ht="15" hidden="1" customHeight="1">
      <c r="A474" s="171"/>
      <c r="B474" s="199">
        <f>IF(O474="",0,MAX($B$32:B473)+1)</f>
        <v>0</v>
      </c>
      <c r="C474" s="84">
        <f>DMHH!C450</f>
        <v>0</v>
      </c>
      <c r="D474" s="84">
        <f>DMHH!D450</f>
        <v>0</v>
      </c>
      <c r="E474" s="220">
        <f>DMHH!E450</f>
        <v>0</v>
      </c>
      <c r="F474" s="221">
        <f t="shared" si="52"/>
        <v>0</v>
      </c>
      <c r="G474" s="221">
        <f t="shared" si="53"/>
        <v>0</v>
      </c>
      <c r="H474" s="221">
        <f t="shared" si="54"/>
        <v>0</v>
      </c>
      <c r="I474" s="221">
        <f t="shared" si="51"/>
        <v>0</v>
      </c>
      <c r="J474" s="221">
        <f>DMHH!G450</f>
        <v>0</v>
      </c>
      <c r="K474" s="221">
        <f>DMHH!H450</f>
        <v>0</v>
      </c>
      <c r="L474" s="221">
        <f t="shared" si="55"/>
        <v>0</v>
      </c>
      <c r="M474" s="221">
        <f t="shared" si="56"/>
        <v>0</v>
      </c>
      <c r="N474" s="222"/>
      <c r="O474" s="234" t="str">
        <f t="shared" si="57"/>
        <v/>
      </c>
      <c r="P474" s="171"/>
    </row>
    <row r="475" spans="1:16" ht="15" hidden="1" customHeight="1">
      <c r="A475" s="171"/>
      <c r="B475" s="199">
        <f>IF(O475="",0,MAX($B$32:B474)+1)</f>
        <v>0</v>
      </c>
      <c r="C475" s="84">
        <f>DMHH!C451</f>
        <v>0</v>
      </c>
      <c r="D475" s="84">
        <f>DMHH!D451</f>
        <v>0</v>
      </c>
      <c r="E475" s="220">
        <f>DMHH!E451</f>
        <v>0</v>
      </c>
      <c r="F475" s="221">
        <f t="shared" si="52"/>
        <v>0</v>
      </c>
      <c r="G475" s="221">
        <f t="shared" si="53"/>
        <v>0</v>
      </c>
      <c r="H475" s="221">
        <f t="shared" si="54"/>
        <v>0</v>
      </c>
      <c r="I475" s="221">
        <f t="shared" si="51"/>
        <v>0</v>
      </c>
      <c r="J475" s="221">
        <f>DMHH!G451</f>
        <v>0</v>
      </c>
      <c r="K475" s="221">
        <f>DMHH!H451</f>
        <v>0</v>
      </c>
      <c r="L475" s="221">
        <f t="shared" si="55"/>
        <v>0</v>
      </c>
      <c r="M475" s="221">
        <f t="shared" si="56"/>
        <v>0</v>
      </c>
      <c r="N475" s="222"/>
      <c r="O475" s="234" t="str">
        <f t="shared" si="57"/>
        <v/>
      </c>
      <c r="P475" s="171"/>
    </row>
    <row r="476" spans="1:16" ht="15" hidden="1" customHeight="1">
      <c r="A476" s="171"/>
      <c r="B476" s="199">
        <f>IF(O476="",0,MAX($B$32:B475)+1)</f>
        <v>0</v>
      </c>
      <c r="C476" s="84">
        <f>DMHH!C452</f>
        <v>0</v>
      </c>
      <c r="D476" s="84">
        <f>DMHH!D452</f>
        <v>0</v>
      </c>
      <c r="E476" s="220">
        <f>DMHH!E452</f>
        <v>0</v>
      </c>
      <c r="F476" s="221">
        <f t="shared" si="52"/>
        <v>0</v>
      </c>
      <c r="G476" s="221">
        <f t="shared" si="53"/>
        <v>0</v>
      </c>
      <c r="H476" s="221">
        <f t="shared" si="54"/>
        <v>0</v>
      </c>
      <c r="I476" s="221">
        <f t="shared" si="51"/>
        <v>0</v>
      </c>
      <c r="J476" s="221">
        <f>DMHH!G452</f>
        <v>0</v>
      </c>
      <c r="K476" s="221">
        <f>DMHH!H452</f>
        <v>0</v>
      </c>
      <c r="L476" s="221">
        <f t="shared" si="55"/>
        <v>0</v>
      </c>
      <c r="M476" s="221">
        <f t="shared" si="56"/>
        <v>0</v>
      </c>
      <c r="N476" s="222"/>
      <c r="O476" s="234" t="str">
        <f t="shared" si="57"/>
        <v/>
      </c>
      <c r="P476" s="171"/>
    </row>
    <row r="477" spans="1:16" ht="15" hidden="1" customHeight="1">
      <c r="A477" s="171"/>
      <c r="B477" s="199">
        <f>IF(O477="",0,MAX($B$32:B476)+1)</f>
        <v>0</v>
      </c>
      <c r="C477" s="84">
        <f>DMHH!C453</f>
        <v>0</v>
      </c>
      <c r="D477" s="84">
        <f>DMHH!D453</f>
        <v>0</v>
      </c>
      <c r="E477" s="220">
        <f>DMHH!E453</f>
        <v>0</v>
      </c>
      <c r="F477" s="221">
        <f t="shared" si="52"/>
        <v>0</v>
      </c>
      <c r="G477" s="221">
        <f t="shared" si="53"/>
        <v>0</v>
      </c>
      <c r="H477" s="221">
        <f t="shared" si="54"/>
        <v>0</v>
      </c>
      <c r="I477" s="221">
        <f t="shared" si="51"/>
        <v>0</v>
      </c>
      <c r="J477" s="221">
        <f>DMHH!G453</f>
        <v>0</v>
      </c>
      <c r="K477" s="221">
        <f>DMHH!H453</f>
        <v>0</v>
      </c>
      <c r="L477" s="221">
        <f t="shared" si="55"/>
        <v>0</v>
      </c>
      <c r="M477" s="221">
        <f t="shared" si="56"/>
        <v>0</v>
      </c>
      <c r="N477" s="222"/>
      <c r="O477" s="234" t="str">
        <f t="shared" si="57"/>
        <v/>
      </c>
      <c r="P477" s="171"/>
    </row>
    <row r="478" spans="1:16" ht="15" hidden="1" customHeight="1">
      <c r="A478" s="171"/>
      <c r="B478" s="199">
        <f>IF(O478="",0,MAX($B$32:B477)+1)</f>
        <v>0</v>
      </c>
      <c r="C478" s="84">
        <f>DMHH!C454</f>
        <v>0</v>
      </c>
      <c r="D478" s="84">
        <f>DMHH!D454</f>
        <v>0</v>
      </c>
      <c r="E478" s="220">
        <f>DMHH!E454</f>
        <v>0</v>
      </c>
      <c r="F478" s="221">
        <f t="shared" si="52"/>
        <v>0</v>
      </c>
      <c r="G478" s="221">
        <f t="shared" si="53"/>
        <v>0</v>
      </c>
      <c r="H478" s="221">
        <f t="shared" si="54"/>
        <v>0</v>
      </c>
      <c r="I478" s="221">
        <f t="shared" ref="I478:I531" si="58">F478+G478-H478</f>
        <v>0</v>
      </c>
      <c r="J478" s="221">
        <f>DMHH!G454</f>
        <v>0</v>
      </c>
      <c r="K478" s="221">
        <f>DMHH!H454</f>
        <v>0</v>
      </c>
      <c r="L478" s="221">
        <f t="shared" si="55"/>
        <v>0</v>
      </c>
      <c r="M478" s="221">
        <f t="shared" si="56"/>
        <v>0</v>
      </c>
      <c r="N478" s="222"/>
      <c r="O478" s="234" t="str">
        <f t="shared" si="57"/>
        <v/>
      </c>
      <c r="P478" s="171"/>
    </row>
    <row r="479" spans="1:16" ht="15" hidden="1" customHeight="1">
      <c r="A479" s="171"/>
      <c r="B479" s="199">
        <f>IF(O479="",0,MAX($B$32:B478)+1)</f>
        <v>0</v>
      </c>
      <c r="C479" s="84">
        <f>DMHH!C455</f>
        <v>0</v>
      </c>
      <c r="D479" s="84">
        <f>DMHH!D455</f>
        <v>0</v>
      </c>
      <c r="E479" s="220">
        <f>DMHH!E455</f>
        <v>0</v>
      </c>
      <c r="F479" s="221">
        <f t="shared" si="52"/>
        <v>0</v>
      </c>
      <c r="G479" s="221">
        <f t="shared" si="53"/>
        <v>0</v>
      </c>
      <c r="H479" s="221">
        <f t="shared" si="54"/>
        <v>0</v>
      </c>
      <c r="I479" s="221">
        <f t="shared" si="58"/>
        <v>0</v>
      </c>
      <c r="J479" s="221">
        <f>DMHH!G455</f>
        <v>0</v>
      </c>
      <c r="K479" s="221">
        <f>DMHH!H455</f>
        <v>0</v>
      </c>
      <c r="L479" s="221">
        <f t="shared" si="55"/>
        <v>0</v>
      </c>
      <c r="M479" s="221">
        <f t="shared" si="56"/>
        <v>0</v>
      </c>
      <c r="N479" s="222"/>
      <c r="O479" s="234" t="str">
        <f t="shared" si="57"/>
        <v/>
      </c>
      <c r="P479" s="171"/>
    </row>
    <row r="480" spans="1:16" ht="15" hidden="1" customHeight="1">
      <c r="A480" s="171"/>
      <c r="B480" s="199">
        <f>IF(O480="",0,MAX($B$32:B479)+1)</f>
        <v>0</v>
      </c>
      <c r="C480" s="84">
        <f>DMHH!C456</f>
        <v>0</v>
      </c>
      <c r="D480" s="84">
        <f>DMHH!D456</f>
        <v>0</v>
      </c>
      <c r="E480" s="220">
        <f>DMHH!E456</f>
        <v>0</v>
      </c>
      <c r="F480" s="221">
        <f t="shared" ref="F480:F531" si="59">IF(D480=0,0,SUMIF(QuanLyHangHoa,$D480,tinh_SLtondau))</f>
        <v>0</v>
      </c>
      <c r="G480" s="221">
        <f t="shared" ref="G480:G531" si="60">IF(D480=0,0,SUMIF(QuanLyHangHoa,$D480,tinh_SLnhap))</f>
        <v>0</v>
      </c>
      <c r="H480" s="221">
        <f t="shared" ref="H480:H531" si="61">IF(D480=0,0,SUMIF(QuanLyHangHoa,$D480,tinh_SLxuat))</f>
        <v>0</v>
      </c>
      <c r="I480" s="221">
        <f t="shared" si="58"/>
        <v>0</v>
      </c>
      <c r="J480" s="221">
        <f>DMHH!G456</f>
        <v>0</v>
      </c>
      <c r="K480" s="221">
        <f>DMHH!H456</f>
        <v>0</v>
      </c>
      <c r="L480" s="221">
        <f t="shared" si="55"/>
        <v>0</v>
      </c>
      <c r="M480" s="221">
        <f t="shared" si="56"/>
        <v>0</v>
      </c>
      <c r="N480" s="222"/>
      <c r="O480" s="234" t="str">
        <f t="shared" si="57"/>
        <v/>
      </c>
      <c r="P480" s="171"/>
    </row>
    <row r="481" spans="1:16" ht="15" hidden="1" customHeight="1">
      <c r="A481" s="171"/>
      <c r="B481" s="199">
        <f>IF(O481="",0,MAX($B$32:B480)+1)</f>
        <v>0</v>
      </c>
      <c r="C481" s="84">
        <f>DMHH!C457</f>
        <v>0</v>
      </c>
      <c r="D481" s="84">
        <f>DMHH!D457</f>
        <v>0</v>
      </c>
      <c r="E481" s="220">
        <f>DMHH!E457</f>
        <v>0</v>
      </c>
      <c r="F481" s="221">
        <f t="shared" si="59"/>
        <v>0</v>
      </c>
      <c r="G481" s="221">
        <f t="shared" si="60"/>
        <v>0</v>
      </c>
      <c r="H481" s="221">
        <f t="shared" si="61"/>
        <v>0</v>
      </c>
      <c r="I481" s="221">
        <f t="shared" si="58"/>
        <v>0</v>
      </c>
      <c r="J481" s="221">
        <f>DMHH!G457</f>
        <v>0</v>
      </c>
      <c r="K481" s="221">
        <f>DMHH!H457</f>
        <v>0</v>
      </c>
      <c r="L481" s="221">
        <f t="shared" ref="L481:L531" si="62">G481*J481</f>
        <v>0</v>
      </c>
      <c r="M481" s="221">
        <f t="shared" ref="M481:M531" si="63">H481*K481</f>
        <v>0</v>
      </c>
      <c r="N481" s="222"/>
      <c r="O481" s="234" t="str">
        <f t="shared" ref="O481:O531" si="64">IF(C481=0,"","x")</f>
        <v/>
      </c>
      <c r="P481" s="171"/>
    </row>
    <row r="482" spans="1:16" ht="15" hidden="1" customHeight="1">
      <c r="A482" s="171"/>
      <c r="B482" s="199">
        <f>IF(O482="",0,MAX($B$32:B481)+1)</f>
        <v>0</v>
      </c>
      <c r="C482" s="84">
        <f>DMHH!C458</f>
        <v>0</v>
      </c>
      <c r="D482" s="84">
        <f>DMHH!D458</f>
        <v>0</v>
      </c>
      <c r="E482" s="220">
        <f>DMHH!E458</f>
        <v>0</v>
      </c>
      <c r="F482" s="221">
        <f t="shared" si="59"/>
        <v>0</v>
      </c>
      <c r="G482" s="221">
        <f t="shared" si="60"/>
        <v>0</v>
      </c>
      <c r="H482" s="221">
        <f t="shared" si="61"/>
        <v>0</v>
      </c>
      <c r="I482" s="221">
        <f t="shared" si="58"/>
        <v>0</v>
      </c>
      <c r="J482" s="221">
        <f>DMHH!G458</f>
        <v>0</v>
      </c>
      <c r="K482" s="221">
        <f>DMHH!H458</f>
        <v>0</v>
      </c>
      <c r="L482" s="221">
        <f t="shared" si="62"/>
        <v>0</v>
      </c>
      <c r="M482" s="221">
        <f t="shared" si="63"/>
        <v>0</v>
      </c>
      <c r="N482" s="222"/>
      <c r="O482" s="234" t="str">
        <f t="shared" si="64"/>
        <v/>
      </c>
      <c r="P482" s="171"/>
    </row>
    <row r="483" spans="1:16" ht="15" hidden="1" customHeight="1">
      <c r="A483" s="171"/>
      <c r="B483" s="199">
        <f>IF(O483="",0,MAX($B$32:B482)+1)</f>
        <v>0</v>
      </c>
      <c r="C483" s="84">
        <f>DMHH!C459</f>
        <v>0</v>
      </c>
      <c r="D483" s="84">
        <f>DMHH!D459</f>
        <v>0</v>
      </c>
      <c r="E483" s="220">
        <f>DMHH!E459</f>
        <v>0</v>
      </c>
      <c r="F483" s="221">
        <f t="shared" si="59"/>
        <v>0</v>
      </c>
      <c r="G483" s="221">
        <f t="shared" si="60"/>
        <v>0</v>
      </c>
      <c r="H483" s="221">
        <f t="shared" si="61"/>
        <v>0</v>
      </c>
      <c r="I483" s="221">
        <f t="shared" si="58"/>
        <v>0</v>
      </c>
      <c r="J483" s="221">
        <f>DMHH!G459</f>
        <v>0</v>
      </c>
      <c r="K483" s="221">
        <f>DMHH!H459</f>
        <v>0</v>
      </c>
      <c r="L483" s="221">
        <f t="shared" si="62"/>
        <v>0</v>
      </c>
      <c r="M483" s="221">
        <f t="shared" si="63"/>
        <v>0</v>
      </c>
      <c r="N483" s="222"/>
      <c r="O483" s="234" t="str">
        <f t="shared" si="64"/>
        <v/>
      </c>
      <c r="P483" s="171"/>
    </row>
    <row r="484" spans="1:16" ht="15" hidden="1" customHeight="1">
      <c r="A484" s="171"/>
      <c r="B484" s="199">
        <f>IF(O484="",0,MAX($B$32:B483)+1)</f>
        <v>0</v>
      </c>
      <c r="C484" s="84">
        <f>DMHH!C460</f>
        <v>0</v>
      </c>
      <c r="D484" s="84">
        <f>DMHH!D460</f>
        <v>0</v>
      </c>
      <c r="E484" s="220">
        <f>DMHH!E460</f>
        <v>0</v>
      </c>
      <c r="F484" s="221">
        <f t="shared" si="59"/>
        <v>0</v>
      </c>
      <c r="G484" s="221">
        <f t="shared" si="60"/>
        <v>0</v>
      </c>
      <c r="H484" s="221">
        <f t="shared" si="61"/>
        <v>0</v>
      </c>
      <c r="I484" s="221">
        <f t="shared" si="58"/>
        <v>0</v>
      </c>
      <c r="J484" s="221">
        <f>DMHH!G460</f>
        <v>0</v>
      </c>
      <c r="K484" s="221">
        <f>DMHH!H460</f>
        <v>0</v>
      </c>
      <c r="L484" s="221">
        <f t="shared" si="62"/>
        <v>0</v>
      </c>
      <c r="M484" s="221">
        <f t="shared" si="63"/>
        <v>0</v>
      </c>
      <c r="N484" s="222"/>
      <c r="O484" s="234" t="str">
        <f t="shared" si="64"/>
        <v/>
      </c>
      <c r="P484" s="171"/>
    </row>
    <row r="485" spans="1:16" ht="15" hidden="1" customHeight="1">
      <c r="A485" s="171"/>
      <c r="B485" s="199">
        <f>IF(O485="",0,MAX($B$32:B484)+1)</f>
        <v>0</v>
      </c>
      <c r="C485" s="84">
        <f>DMHH!C461</f>
        <v>0</v>
      </c>
      <c r="D485" s="84">
        <f>DMHH!D461</f>
        <v>0</v>
      </c>
      <c r="E485" s="220">
        <f>DMHH!E461</f>
        <v>0</v>
      </c>
      <c r="F485" s="221">
        <f t="shared" si="59"/>
        <v>0</v>
      </c>
      <c r="G485" s="221">
        <f t="shared" si="60"/>
        <v>0</v>
      </c>
      <c r="H485" s="221">
        <f t="shared" si="61"/>
        <v>0</v>
      </c>
      <c r="I485" s="221">
        <f t="shared" si="58"/>
        <v>0</v>
      </c>
      <c r="J485" s="221">
        <f>DMHH!G461</f>
        <v>0</v>
      </c>
      <c r="K485" s="221">
        <f>DMHH!H461</f>
        <v>0</v>
      </c>
      <c r="L485" s="221">
        <f t="shared" si="62"/>
        <v>0</v>
      </c>
      <c r="M485" s="221">
        <f t="shared" si="63"/>
        <v>0</v>
      </c>
      <c r="N485" s="222"/>
      <c r="O485" s="234" t="str">
        <f t="shared" si="64"/>
        <v/>
      </c>
      <c r="P485" s="171"/>
    </row>
    <row r="486" spans="1:16" ht="15" hidden="1" customHeight="1">
      <c r="A486" s="171"/>
      <c r="B486" s="199">
        <f>IF(O486="",0,MAX($B$32:B485)+1)</f>
        <v>0</v>
      </c>
      <c r="C486" s="84">
        <f>DMHH!C462</f>
        <v>0</v>
      </c>
      <c r="D486" s="84">
        <f>DMHH!D462</f>
        <v>0</v>
      </c>
      <c r="E486" s="220">
        <f>DMHH!E462</f>
        <v>0</v>
      </c>
      <c r="F486" s="221">
        <f t="shared" si="59"/>
        <v>0</v>
      </c>
      <c r="G486" s="221">
        <f t="shared" si="60"/>
        <v>0</v>
      </c>
      <c r="H486" s="221">
        <f t="shared" si="61"/>
        <v>0</v>
      </c>
      <c r="I486" s="221">
        <f t="shared" si="58"/>
        <v>0</v>
      </c>
      <c r="J486" s="221">
        <f>DMHH!G462</f>
        <v>0</v>
      </c>
      <c r="K486" s="221">
        <f>DMHH!H462</f>
        <v>0</v>
      </c>
      <c r="L486" s="221">
        <f t="shared" si="62"/>
        <v>0</v>
      </c>
      <c r="M486" s="221">
        <f t="shared" si="63"/>
        <v>0</v>
      </c>
      <c r="N486" s="222"/>
      <c r="O486" s="234" t="str">
        <f t="shared" si="64"/>
        <v/>
      </c>
      <c r="P486" s="171"/>
    </row>
    <row r="487" spans="1:16" ht="15" hidden="1" customHeight="1">
      <c r="A487" s="171"/>
      <c r="B487" s="199">
        <f>IF(O487="",0,MAX($B$32:B486)+1)</f>
        <v>0</v>
      </c>
      <c r="C487" s="84">
        <f>DMHH!C463</f>
        <v>0</v>
      </c>
      <c r="D487" s="84">
        <f>DMHH!D463</f>
        <v>0</v>
      </c>
      <c r="E487" s="220">
        <f>DMHH!E463</f>
        <v>0</v>
      </c>
      <c r="F487" s="221">
        <f t="shared" si="59"/>
        <v>0</v>
      </c>
      <c r="G487" s="221">
        <f t="shared" si="60"/>
        <v>0</v>
      </c>
      <c r="H487" s="221">
        <f t="shared" si="61"/>
        <v>0</v>
      </c>
      <c r="I487" s="221">
        <f t="shared" si="58"/>
        <v>0</v>
      </c>
      <c r="J487" s="221">
        <f>DMHH!G463</f>
        <v>0</v>
      </c>
      <c r="K487" s="221">
        <f>DMHH!H463</f>
        <v>0</v>
      </c>
      <c r="L487" s="221">
        <f t="shared" si="62"/>
        <v>0</v>
      </c>
      <c r="M487" s="221">
        <f t="shared" si="63"/>
        <v>0</v>
      </c>
      <c r="N487" s="222"/>
      <c r="O487" s="234" t="str">
        <f t="shared" si="64"/>
        <v/>
      </c>
      <c r="P487" s="171"/>
    </row>
    <row r="488" spans="1:16" ht="15" hidden="1" customHeight="1">
      <c r="A488" s="171"/>
      <c r="B488" s="199">
        <f>IF(O488="",0,MAX($B$32:B487)+1)</f>
        <v>0</v>
      </c>
      <c r="C488" s="84">
        <f>DMHH!C464</f>
        <v>0</v>
      </c>
      <c r="D488" s="84">
        <f>DMHH!D464</f>
        <v>0</v>
      </c>
      <c r="E488" s="220">
        <f>DMHH!E464</f>
        <v>0</v>
      </c>
      <c r="F488" s="221">
        <f t="shared" si="59"/>
        <v>0</v>
      </c>
      <c r="G488" s="221">
        <f t="shared" si="60"/>
        <v>0</v>
      </c>
      <c r="H488" s="221">
        <f t="shared" si="61"/>
        <v>0</v>
      </c>
      <c r="I488" s="221">
        <f t="shared" si="58"/>
        <v>0</v>
      </c>
      <c r="J488" s="221">
        <f>DMHH!G464</f>
        <v>0</v>
      </c>
      <c r="K488" s="221">
        <f>DMHH!H464</f>
        <v>0</v>
      </c>
      <c r="L488" s="221">
        <f t="shared" si="62"/>
        <v>0</v>
      </c>
      <c r="M488" s="221">
        <f t="shared" si="63"/>
        <v>0</v>
      </c>
      <c r="N488" s="222"/>
      <c r="O488" s="234" t="str">
        <f t="shared" si="64"/>
        <v/>
      </c>
      <c r="P488" s="171"/>
    </row>
    <row r="489" spans="1:16" ht="15" hidden="1" customHeight="1">
      <c r="A489" s="171"/>
      <c r="B489" s="199">
        <f>IF(O489="",0,MAX($B$32:B488)+1)</f>
        <v>0</v>
      </c>
      <c r="C489" s="84">
        <f>DMHH!C465</f>
        <v>0</v>
      </c>
      <c r="D489" s="84">
        <f>DMHH!D465</f>
        <v>0</v>
      </c>
      <c r="E489" s="220">
        <f>DMHH!E465</f>
        <v>0</v>
      </c>
      <c r="F489" s="221">
        <f t="shared" si="59"/>
        <v>0</v>
      </c>
      <c r="G489" s="221">
        <f t="shared" si="60"/>
        <v>0</v>
      </c>
      <c r="H489" s="221">
        <f t="shared" si="61"/>
        <v>0</v>
      </c>
      <c r="I489" s="221">
        <f t="shared" si="58"/>
        <v>0</v>
      </c>
      <c r="J489" s="221">
        <f>DMHH!G465</f>
        <v>0</v>
      </c>
      <c r="K489" s="221">
        <f>DMHH!H465</f>
        <v>0</v>
      </c>
      <c r="L489" s="221">
        <f t="shared" si="62"/>
        <v>0</v>
      </c>
      <c r="M489" s="221">
        <f t="shared" si="63"/>
        <v>0</v>
      </c>
      <c r="N489" s="222"/>
      <c r="O489" s="234" t="str">
        <f t="shared" si="64"/>
        <v/>
      </c>
      <c r="P489" s="171"/>
    </row>
    <row r="490" spans="1:16" ht="15" hidden="1" customHeight="1">
      <c r="A490" s="171"/>
      <c r="B490" s="199">
        <f>IF(O490="",0,MAX($B$32:B489)+1)</f>
        <v>0</v>
      </c>
      <c r="C490" s="84">
        <f>DMHH!C466</f>
        <v>0</v>
      </c>
      <c r="D490" s="84">
        <f>DMHH!D466</f>
        <v>0</v>
      </c>
      <c r="E490" s="220">
        <f>DMHH!E466</f>
        <v>0</v>
      </c>
      <c r="F490" s="221">
        <f t="shared" si="59"/>
        <v>0</v>
      </c>
      <c r="G490" s="221">
        <f t="shared" si="60"/>
        <v>0</v>
      </c>
      <c r="H490" s="221">
        <f t="shared" si="61"/>
        <v>0</v>
      </c>
      <c r="I490" s="221">
        <f t="shared" si="58"/>
        <v>0</v>
      </c>
      <c r="J490" s="221">
        <f>DMHH!G466</f>
        <v>0</v>
      </c>
      <c r="K490" s="221">
        <f>DMHH!H466</f>
        <v>0</v>
      </c>
      <c r="L490" s="221">
        <f t="shared" si="62"/>
        <v>0</v>
      </c>
      <c r="M490" s="221">
        <f t="shared" si="63"/>
        <v>0</v>
      </c>
      <c r="N490" s="222"/>
      <c r="O490" s="234" t="str">
        <f t="shared" si="64"/>
        <v/>
      </c>
      <c r="P490" s="171"/>
    </row>
    <row r="491" spans="1:16" ht="15" hidden="1" customHeight="1">
      <c r="A491" s="171"/>
      <c r="B491" s="199">
        <f>IF(O491="",0,MAX($B$32:B490)+1)</f>
        <v>0</v>
      </c>
      <c r="C491" s="84">
        <f>DMHH!C467</f>
        <v>0</v>
      </c>
      <c r="D491" s="84">
        <f>DMHH!D467</f>
        <v>0</v>
      </c>
      <c r="E491" s="220">
        <f>DMHH!E467</f>
        <v>0</v>
      </c>
      <c r="F491" s="221">
        <f t="shared" si="59"/>
        <v>0</v>
      </c>
      <c r="G491" s="221">
        <f t="shared" si="60"/>
        <v>0</v>
      </c>
      <c r="H491" s="221">
        <f t="shared" si="61"/>
        <v>0</v>
      </c>
      <c r="I491" s="221">
        <f t="shared" si="58"/>
        <v>0</v>
      </c>
      <c r="J491" s="221">
        <f>DMHH!G467</f>
        <v>0</v>
      </c>
      <c r="K491" s="221">
        <f>DMHH!H467</f>
        <v>0</v>
      </c>
      <c r="L491" s="221">
        <f t="shared" si="62"/>
        <v>0</v>
      </c>
      <c r="M491" s="221">
        <f t="shared" si="63"/>
        <v>0</v>
      </c>
      <c r="N491" s="222"/>
      <c r="O491" s="234" t="str">
        <f t="shared" si="64"/>
        <v/>
      </c>
      <c r="P491" s="171"/>
    </row>
    <row r="492" spans="1:16" ht="15" hidden="1" customHeight="1">
      <c r="A492" s="171"/>
      <c r="B492" s="199">
        <f>IF(O492="",0,MAX($B$32:B491)+1)</f>
        <v>0</v>
      </c>
      <c r="C492" s="84">
        <f>DMHH!C468</f>
        <v>0</v>
      </c>
      <c r="D492" s="84">
        <f>DMHH!D468</f>
        <v>0</v>
      </c>
      <c r="E492" s="220">
        <f>DMHH!E468</f>
        <v>0</v>
      </c>
      <c r="F492" s="221">
        <f t="shared" si="59"/>
        <v>0</v>
      </c>
      <c r="G492" s="221">
        <f t="shared" si="60"/>
        <v>0</v>
      </c>
      <c r="H492" s="221">
        <f t="shared" si="61"/>
        <v>0</v>
      </c>
      <c r="I492" s="221">
        <f t="shared" si="58"/>
        <v>0</v>
      </c>
      <c r="J492" s="221">
        <f>DMHH!G468</f>
        <v>0</v>
      </c>
      <c r="K492" s="221">
        <f>DMHH!H468</f>
        <v>0</v>
      </c>
      <c r="L492" s="221">
        <f t="shared" si="62"/>
        <v>0</v>
      </c>
      <c r="M492" s="221">
        <f t="shared" si="63"/>
        <v>0</v>
      </c>
      <c r="N492" s="222"/>
      <c r="O492" s="234" t="str">
        <f t="shared" si="64"/>
        <v/>
      </c>
      <c r="P492" s="171"/>
    </row>
    <row r="493" spans="1:16" ht="15" hidden="1" customHeight="1">
      <c r="A493" s="171"/>
      <c r="B493" s="199">
        <f>IF(O493="",0,MAX($B$32:B492)+1)</f>
        <v>0</v>
      </c>
      <c r="C493" s="84">
        <f>DMHH!C469</f>
        <v>0</v>
      </c>
      <c r="D493" s="84">
        <f>DMHH!D469</f>
        <v>0</v>
      </c>
      <c r="E493" s="220">
        <f>DMHH!E469</f>
        <v>0</v>
      </c>
      <c r="F493" s="221">
        <f t="shared" si="59"/>
        <v>0</v>
      </c>
      <c r="G493" s="221">
        <f t="shared" si="60"/>
        <v>0</v>
      </c>
      <c r="H493" s="221">
        <f t="shared" si="61"/>
        <v>0</v>
      </c>
      <c r="I493" s="221">
        <f t="shared" si="58"/>
        <v>0</v>
      </c>
      <c r="J493" s="221">
        <f>DMHH!G469</f>
        <v>0</v>
      </c>
      <c r="K493" s="221">
        <f>DMHH!H469</f>
        <v>0</v>
      </c>
      <c r="L493" s="221">
        <f t="shared" si="62"/>
        <v>0</v>
      </c>
      <c r="M493" s="221">
        <f t="shared" si="63"/>
        <v>0</v>
      </c>
      <c r="N493" s="222"/>
      <c r="O493" s="234" t="str">
        <f t="shared" si="64"/>
        <v/>
      </c>
      <c r="P493" s="171"/>
    </row>
    <row r="494" spans="1:16" ht="15" hidden="1" customHeight="1">
      <c r="A494" s="171"/>
      <c r="B494" s="199">
        <f>IF(O494="",0,MAX($B$32:B493)+1)</f>
        <v>0</v>
      </c>
      <c r="C494" s="84">
        <f>DMHH!C470</f>
        <v>0</v>
      </c>
      <c r="D494" s="84">
        <f>DMHH!D470</f>
        <v>0</v>
      </c>
      <c r="E494" s="220">
        <f>DMHH!E470</f>
        <v>0</v>
      </c>
      <c r="F494" s="221">
        <f t="shared" si="59"/>
        <v>0</v>
      </c>
      <c r="G494" s="221">
        <f t="shared" si="60"/>
        <v>0</v>
      </c>
      <c r="H494" s="221">
        <f t="shared" si="61"/>
        <v>0</v>
      </c>
      <c r="I494" s="221">
        <f t="shared" si="58"/>
        <v>0</v>
      </c>
      <c r="J494" s="221">
        <f>DMHH!G470</f>
        <v>0</v>
      </c>
      <c r="K494" s="221">
        <f>DMHH!H470</f>
        <v>0</v>
      </c>
      <c r="L494" s="221">
        <f t="shared" si="62"/>
        <v>0</v>
      </c>
      <c r="M494" s="221">
        <f t="shared" si="63"/>
        <v>0</v>
      </c>
      <c r="N494" s="222"/>
      <c r="O494" s="234" t="str">
        <f t="shared" si="64"/>
        <v/>
      </c>
      <c r="P494" s="171"/>
    </row>
    <row r="495" spans="1:16" ht="15" hidden="1" customHeight="1">
      <c r="A495" s="171"/>
      <c r="B495" s="199">
        <f>IF(O495="",0,MAX($B$32:B494)+1)</f>
        <v>0</v>
      </c>
      <c r="C495" s="84">
        <f>DMHH!C471</f>
        <v>0</v>
      </c>
      <c r="D495" s="84">
        <f>DMHH!D471</f>
        <v>0</v>
      </c>
      <c r="E495" s="220">
        <f>DMHH!E471</f>
        <v>0</v>
      </c>
      <c r="F495" s="221">
        <f t="shared" si="59"/>
        <v>0</v>
      </c>
      <c r="G495" s="221">
        <f t="shared" si="60"/>
        <v>0</v>
      </c>
      <c r="H495" s="221">
        <f t="shared" si="61"/>
        <v>0</v>
      </c>
      <c r="I495" s="221">
        <f t="shared" si="58"/>
        <v>0</v>
      </c>
      <c r="J495" s="221">
        <f>DMHH!G471</f>
        <v>0</v>
      </c>
      <c r="K495" s="221">
        <f>DMHH!H471</f>
        <v>0</v>
      </c>
      <c r="L495" s="221">
        <f t="shared" si="62"/>
        <v>0</v>
      </c>
      <c r="M495" s="221">
        <f t="shared" si="63"/>
        <v>0</v>
      </c>
      <c r="N495" s="222"/>
      <c r="O495" s="234" t="str">
        <f t="shared" si="64"/>
        <v/>
      </c>
      <c r="P495" s="171"/>
    </row>
    <row r="496" spans="1:16" ht="15" hidden="1" customHeight="1">
      <c r="A496" s="171"/>
      <c r="B496" s="199">
        <f>IF(O496="",0,MAX($B$32:B495)+1)</f>
        <v>0</v>
      </c>
      <c r="C496" s="84">
        <f>DMHH!C472</f>
        <v>0</v>
      </c>
      <c r="D496" s="84">
        <f>DMHH!D472</f>
        <v>0</v>
      </c>
      <c r="E496" s="220">
        <f>DMHH!E472</f>
        <v>0</v>
      </c>
      <c r="F496" s="221">
        <f t="shared" si="59"/>
        <v>0</v>
      </c>
      <c r="G496" s="221">
        <f t="shared" si="60"/>
        <v>0</v>
      </c>
      <c r="H496" s="221">
        <f t="shared" si="61"/>
        <v>0</v>
      </c>
      <c r="I496" s="221">
        <f t="shared" si="58"/>
        <v>0</v>
      </c>
      <c r="J496" s="221">
        <f>DMHH!G472</f>
        <v>0</v>
      </c>
      <c r="K496" s="221">
        <f>DMHH!H472</f>
        <v>0</v>
      </c>
      <c r="L496" s="221">
        <f t="shared" si="62"/>
        <v>0</v>
      </c>
      <c r="M496" s="221">
        <f t="shared" si="63"/>
        <v>0</v>
      </c>
      <c r="N496" s="222"/>
      <c r="O496" s="234" t="str">
        <f t="shared" si="64"/>
        <v/>
      </c>
      <c r="P496" s="171"/>
    </row>
    <row r="497" spans="1:16" ht="15" hidden="1" customHeight="1">
      <c r="A497" s="171"/>
      <c r="B497" s="199">
        <f>IF(O497="",0,MAX($B$32:B496)+1)</f>
        <v>0</v>
      </c>
      <c r="C497" s="84">
        <f>DMHH!C473</f>
        <v>0</v>
      </c>
      <c r="D497" s="84">
        <f>DMHH!D473</f>
        <v>0</v>
      </c>
      <c r="E497" s="220">
        <f>DMHH!E473</f>
        <v>0</v>
      </c>
      <c r="F497" s="221">
        <f t="shared" si="59"/>
        <v>0</v>
      </c>
      <c r="G497" s="221">
        <f t="shared" si="60"/>
        <v>0</v>
      </c>
      <c r="H497" s="221">
        <f t="shared" si="61"/>
        <v>0</v>
      </c>
      <c r="I497" s="221">
        <f t="shared" si="58"/>
        <v>0</v>
      </c>
      <c r="J497" s="221">
        <f>DMHH!G473</f>
        <v>0</v>
      </c>
      <c r="K497" s="221">
        <f>DMHH!H473</f>
        <v>0</v>
      </c>
      <c r="L497" s="221">
        <f t="shared" si="62"/>
        <v>0</v>
      </c>
      <c r="M497" s="221">
        <f t="shared" si="63"/>
        <v>0</v>
      </c>
      <c r="N497" s="222"/>
      <c r="O497" s="234" t="str">
        <f t="shared" si="64"/>
        <v/>
      </c>
      <c r="P497" s="171"/>
    </row>
    <row r="498" spans="1:16" ht="15" hidden="1" customHeight="1">
      <c r="A498" s="171"/>
      <c r="B498" s="199">
        <f>IF(O498="",0,MAX($B$32:B497)+1)</f>
        <v>0</v>
      </c>
      <c r="C498" s="84">
        <f>DMHH!C474</f>
        <v>0</v>
      </c>
      <c r="D498" s="84">
        <f>DMHH!D474</f>
        <v>0</v>
      </c>
      <c r="E498" s="220">
        <f>DMHH!E474</f>
        <v>0</v>
      </c>
      <c r="F498" s="221">
        <f t="shared" si="59"/>
        <v>0</v>
      </c>
      <c r="G498" s="221">
        <f t="shared" si="60"/>
        <v>0</v>
      </c>
      <c r="H498" s="221">
        <f t="shared" si="61"/>
        <v>0</v>
      </c>
      <c r="I498" s="221">
        <f t="shared" si="58"/>
        <v>0</v>
      </c>
      <c r="J498" s="221">
        <f>DMHH!G474</f>
        <v>0</v>
      </c>
      <c r="K498" s="221">
        <f>DMHH!H474</f>
        <v>0</v>
      </c>
      <c r="L498" s="221">
        <f t="shared" si="62"/>
        <v>0</v>
      </c>
      <c r="M498" s="221">
        <f t="shared" si="63"/>
        <v>0</v>
      </c>
      <c r="N498" s="222"/>
      <c r="O498" s="234" t="str">
        <f t="shared" si="64"/>
        <v/>
      </c>
      <c r="P498" s="171"/>
    </row>
    <row r="499" spans="1:16" ht="15" hidden="1" customHeight="1">
      <c r="A499" s="171"/>
      <c r="B499" s="199">
        <f>IF(O499="",0,MAX($B$32:B498)+1)</f>
        <v>0</v>
      </c>
      <c r="C499" s="84">
        <f>DMHH!C475</f>
        <v>0</v>
      </c>
      <c r="D499" s="84">
        <f>DMHH!D475</f>
        <v>0</v>
      </c>
      <c r="E499" s="220">
        <f>DMHH!E475</f>
        <v>0</v>
      </c>
      <c r="F499" s="221">
        <f t="shared" si="59"/>
        <v>0</v>
      </c>
      <c r="G499" s="221">
        <f t="shared" si="60"/>
        <v>0</v>
      </c>
      <c r="H499" s="221">
        <f t="shared" si="61"/>
        <v>0</v>
      </c>
      <c r="I499" s="221">
        <f t="shared" si="58"/>
        <v>0</v>
      </c>
      <c r="J499" s="221">
        <f>DMHH!G475</f>
        <v>0</v>
      </c>
      <c r="K499" s="221">
        <f>DMHH!H475</f>
        <v>0</v>
      </c>
      <c r="L499" s="221">
        <f t="shared" si="62"/>
        <v>0</v>
      </c>
      <c r="M499" s="221">
        <f t="shared" si="63"/>
        <v>0</v>
      </c>
      <c r="N499" s="222"/>
      <c r="O499" s="234" t="str">
        <f t="shared" si="64"/>
        <v/>
      </c>
      <c r="P499" s="171"/>
    </row>
    <row r="500" spans="1:16" ht="15" hidden="1" customHeight="1">
      <c r="A500" s="171"/>
      <c r="B500" s="199">
        <f>IF(O500="",0,MAX($B$32:B499)+1)</f>
        <v>0</v>
      </c>
      <c r="C500" s="84">
        <f>DMHH!C476</f>
        <v>0</v>
      </c>
      <c r="D500" s="84">
        <f>DMHH!D476</f>
        <v>0</v>
      </c>
      <c r="E500" s="220">
        <f>DMHH!E476</f>
        <v>0</v>
      </c>
      <c r="F500" s="221">
        <f t="shared" si="59"/>
        <v>0</v>
      </c>
      <c r="G500" s="221">
        <f t="shared" si="60"/>
        <v>0</v>
      </c>
      <c r="H500" s="221">
        <f t="shared" si="61"/>
        <v>0</v>
      </c>
      <c r="I500" s="221">
        <f t="shared" si="58"/>
        <v>0</v>
      </c>
      <c r="J500" s="221">
        <f>DMHH!G476</f>
        <v>0</v>
      </c>
      <c r="K500" s="221">
        <f>DMHH!H476</f>
        <v>0</v>
      </c>
      <c r="L500" s="221">
        <f t="shared" si="62"/>
        <v>0</v>
      </c>
      <c r="M500" s="221">
        <f t="shared" si="63"/>
        <v>0</v>
      </c>
      <c r="N500" s="222"/>
      <c r="O500" s="234" t="str">
        <f t="shared" si="64"/>
        <v/>
      </c>
      <c r="P500" s="171"/>
    </row>
    <row r="501" spans="1:16" ht="15" hidden="1" customHeight="1">
      <c r="A501" s="171"/>
      <c r="B501" s="199">
        <f>IF(O501="",0,MAX($B$32:B500)+1)</f>
        <v>0</v>
      </c>
      <c r="C501" s="84">
        <f>DMHH!C477</f>
        <v>0</v>
      </c>
      <c r="D501" s="84">
        <f>DMHH!D477</f>
        <v>0</v>
      </c>
      <c r="E501" s="220">
        <f>DMHH!E477</f>
        <v>0</v>
      </c>
      <c r="F501" s="221">
        <f t="shared" si="59"/>
        <v>0</v>
      </c>
      <c r="G501" s="221">
        <f t="shared" si="60"/>
        <v>0</v>
      </c>
      <c r="H501" s="221">
        <f t="shared" si="61"/>
        <v>0</v>
      </c>
      <c r="I501" s="221">
        <f t="shared" si="58"/>
        <v>0</v>
      </c>
      <c r="J501" s="221">
        <f>DMHH!G477</f>
        <v>0</v>
      </c>
      <c r="K501" s="221">
        <f>DMHH!H477</f>
        <v>0</v>
      </c>
      <c r="L501" s="221">
        <f t="shared" si="62"/>
        <v>0</v>
      </c>
      <c r="M501" s="221">
        <f t="shared" si="63"/>
        <v>0</v>
      </c>
      <c r="N501" s="222"/>
      <c r="O501" s="234" t="str">
        <f t="shared" si="64"/>
        <v/>
      </c>
      <c r="P501" s="171"/>
    </row>
    <row r="502" spans="1:16" ht="15" hidden="1" customHeight="1">
      <c r="A502" s="171"/>
      <c r="B502" s="199">
        <f>IF(O502="",0,MAX($B$32:B501)+1)</f>
        <v>0</v>
      </c>
      <c r="C502" s="84">
        <f>DMHH!C478</f>
        <v>0</v>
      </c>
      <c r="D502" s="84">
        <f>DMHH!D478</f>
        <v>0</v>
      </c>
      <c r="E502" s="220">
        <f>DMHH!E478</f>
        <v>0</v>
      </c>
      <c r="F502" s="221">
        <f t="shared" si="59"/>
        <v>0</v>
      </c>
      <c r="G502" s="221">
        <f t="shared" si="60"/>
        <v>0</v>
      </c>
      <c r="H502" s="221">
        <f t="shared" si="61"/>
        <v>0</v>
      </c>
      <c r="I502" s="221">
        <f t="shared" si="58"/>
        <v>0</v>
      </c>
      <c r="J502" s="221">
        <f>DMHH!G478</f>
        <v>0</v>
      </c>
      <c r="K502" s="221">
        <f>DMHH!H478</f>
        <v>0</v>
      </c>
      <c r="L502" s="221">
        <f t="shared" si="62"/>
        <v>0</v>
      </c>
      <c r="M502" s="221">
        <f t="shared" si="63"/>
        <v>0</v>
      </c>
      <c r="N502" s="222"/>
      <c r="O502" s="234" t="str">
        <f t="shared" si="64"/>
        <v/>
      </c>
      <c r="P502" s="171"/>
    </row>
    <row r="503" spans="1:16" ht="15" hidden="1" customHeight="1">
      <c r="A503" s="171"/>
      <c r="B503" s="199">
        <f>IF(O503="",0,MAX($B$32:B502)+1)</f>
        <v>0</v>
      </c>
      <c r="C503" s="84">
        <f>DMHH!C479</f>
        <v>0</v>
      </c>
      <c r="D503" s="84">
        <f>DMHH!D479</f>
        <v>0</v>
      </c>
      <c r="E503" s="220">
        <f>DMHH!E479</f>
        <v>0</v>
      </c>
      <c r="F503" s="221">
        <f t="shared" si="59"/>
        <v>0</v>
      </c>
      <c r="G503" s="221">
        <f t="shared" si="60"/>
        <v>0</v>
      </c>
      <c r="H503" s="221">
        <f t="shared" si="61"/>
        <v>0</v>
      </c>
      <c r="I503" s="221">
        <f t="shared" si="58"/>
        <v>0</v>
      </c>
      <c r="J503" s="221">
        <f>DMHH!G479</f>
        <v>0</v>
      </c>
      <c r="K503" s="221">
        <f>DMHH!H479</f>
        <v>0</v>
      </c>
      <c r="L503" s="221">
        <f t="shared" si="62"/>
        <v>0</v>
      </c>
      <c r="M503" s="221">
        <f t="shared" si="63"/>
        <v>0</v>
      </c>
      <c r="N503" s="222"/>
      <c r="O503" s="234" t="str">
        <f t="shared" si="64"/>
        <v/>
      </c>
      <c r="P503" s="171"/>
    </row>
    <row r="504" spans="1:16" ht="15" hidden="1" customHeight="1">
      <c r="A504" s="171"/>
      <c r="B504" s="199">
        <f>IF(O504="",0,MAX($B$32:B503)+1)</f>
        <v>0</v>
      </c>
      <c r="C504" s="84">
        <f>DMHH!C480</f>
        <v>0</v>
      </c>
      <c r="D504" s="84">
        <f>DMHH!D480</f>
        <v>0</v>
      </c>
      <c r="E504" s="220">
        <f>DMHH!E480</f>
        <v>0</v>
      </c>
      <c r="F504" s="221">
        <f t="shared" si="59"/>
        <v>0</v>
      </c>
      <c r="G504" s="221">
        <f t="shared" si="60"/>
        <v>0</v>
      </c>
      <c r="H504" s="221">
        <f t="shared" si="61"/>
        <v>0</v>
      </c>
      <c r="I504" s="221">
        <f t="shared" si="58"/>
        <v>0</v>
      </c>
      <c r="J504" s="221">
        <f>DMHH!G480</f>
        <v>0</v>
      </c>
      <c r="K504" s="221">
        <f>DMHH!H480</f>
        <v>0</v>
      </c>
      <c r="L504" s="221">
        <f t="shared" si="62"/>
        <v>0</v>
      </c>
      <c r="M504" s="221">
        <f t="shared" si="63"/>
        <v>0</v>
      </c>
      <c r="N504" s="222"/>
      <c r="O504" s="234" t="str">
        <f t="shared" si="64"/>
        <v/>
      </c>
      <c r="P504" s="171"/>
    </row>
    <row r="505" spans="1:16" ht="15" hidden="1" customHeight="1">
      <c r="A505" s="171"/>
      <c r="B505" s="199">
        <f>IF(O505="",0,MAX($B$32:B504)+1)</f>
        <v>0</v>
      </c>
      <c r="C505" s="84">
        <f>DMHH!C481</f>
        <v>0</v>
      </c>
      <c r="D505" s="84">
        <f>DMHH!D481</f>
        <v>0</v>
      </c>
      <c r="E505" s="220">
        <f>DMHH!E481</f>
        <v>0</v>
      </c>
      <c r="F505" s="221">
        <f t="shared" si="59"/>
        <v>0</v>
      </c>
      <c r="G505" s="221">
        <f t="shared" si="60"/>
        <v>0</v>
      </c>
      <c r="H505" s="221">
        <f t="shared" si="61"/>
        <v>0</v>
      </c>
      <c r="I505" s="221">
        <f t="shared" si="58"/>
        <v>0</v>
      </c>
      <c r="J505" s="221">
        <f>DMHH!G481</f>
        <v>0</v>
      </c>
      <c r="K505" s="221">
        <f>DMHH!H481</f>
        <v>0</v>
      </c>
      <c r="L505" s="221">
        <f t="shared" si="62"/>
        <v>0</v>
      </c>
      <c r="M505" s="221">
        <f t="shared" si="63"/>
        <v>0</v>
      </c>
      <c r="N505" s="222"/>
      <c r="O505" s="234" t="str">
        <f t="shared" si="64"/>
        <v/>
      </c>
      <c r="P505" s="171"/>
    </row>
    <row r="506" spans="1:16" ht="15" hidden="1" customHeight="1">
      <c r="A506" s="171"/>
      <c r="B506" s="199">
        <f>IF(O506="",0,MAX($B$32:B505)+1)</f>
        <v>0</v>
      </c>
      <c r="C506" s="84">
        <f>DMHH!C482</f>
        <v>0</v>
      </c>
      <c r="D506" s="84">
        <f>DMHH!D482</f>
        <v>0</v>
      </c>
      <c r="E506" s="220">
        <f>DMHH!E482</f>
        <v>0</v>
      </c>
      <c r="F506" s="221">
        <f t="shared" si="59"/>
        <v>0</v>
      </c>
      <c r="G506" s="221">
        <f t="shared" si="60"/>
        <v>0</v>
      </c>
      <c r="H506" s="221">
        <f t="shared" si="61"/>
        <v>0</v>
      </c>
      <c r="I506" s="221">
        <f t="shared" si="58"/>
        <v>0</v>
      </c>
      <c r="J506" s="221">
        <f>DMHH!G482</f>
        <v>0</v>
      </c>
      <c r="K506" s="221">
        <f>DMHH!H482</f>
        <v>0</v>
      </c>
      <c r="L506" s="221">
        <f t="shared" si="62"/>
        <v>0</v>
      </c>
      <c r="M506" s="221">
        <f t="shared" si="63"/>
        <v>0</v>
      </c>
      <c r="N506" s="222"/>
      <c r="O506" s="234" t="str">
        <f t="shared" si="64"/>
        <v/>
      </c>
      <c r="P506" s="171"/>
    </row>
    <row r="507" spans="1:16" ht="15" hidden="1" customHeight="1">
      <c r="A507" s="171"/>
      <c r="B507" s="199">
        <f>IF(O507="",0,MAX($B$32:B506)+1)</f>
        <v>0</v>
      </c>
      <c r="C507" s="84">
        <f>DMHH!C483</f>
        <v>0</v>
      </c>
      <c r="D507" s="84">
        <f>DMHH!D483</f>
        <v>0</v>
      </c>
      <c r="E507" s="220">
        <f>DMHH!E483</f>
        <v>0</v>
      </c>
      <c r="F507" s="221">
        <f t="shared" si="59"/>
        <v>0</v>
      </c>
      <c r="G507" s="221">
        <f t="shared" si="60"/>
        <v>0</v>
      </c>
      <c r="H507" s="221">
        <f t="shared" si="61"/>
        <v>0</v>
      </c>
      <c r="I507" s="221">
        <f t="shared" si="58"/>
        <v>0</v>
      </c>
      <c r="J507" s="221">
        <f>DMHH!G483</f>
        <v>0</v>
      </c>
      <c r="K507" s="221">
        <f>DMHH!H483</f>
        <v>0</v>
      </c>
      <c r="L507" s="221">
        <f t="shared" si="62"/>
        <v>0</v>
      </c>
      <c r="M507" s="221">
        <f t="shared" si="63"/>
        <v>0</v>
      </c>
      <c r="N507" s="222"/>
      <c r="O507" s="234" t="str">
        <f t="shared" si="64"/>
        <v/>
      </c>
      <c r="P507" s="171"/>
    </row>
    <row r="508" spans="1:16" ht="15" hidden="1" customHeight="1">
      <c r="A508" s="171"/>
      <c r="B508" s="199">
        <f>IF(O508="",0,MAX($B$32:B507)+1)</f>
        <v>0</v>
      </c>
      <c r="C508" s="84">
        <f>DMHH!C484</f>
        <v>0</v>
      </c>
      <c r="D508" s="84">
        <f>DMHH!D484</f>
        <v>0</v>
      </c>
      <c r="E508" s="220">
        <f>DMHH!E484</f>
        <v>0</v>
      </c>
      <c r="F508" s="221">
        <f t="shared" si="59"/>
        <v>0</v>
      </c>
      <c r="G508" s="221">
        <f t="shared" si="60"/>
        <v>0</v>
      </c>
      <c r="H508" s="221">
        <f t="shared" si="61"/>
        <v>0</v>
      </c>
      <c r="I508" s="221">
        <f t="shared" si="58"/>
        <v>0</v>
      </c>
      <c r="J508" s="221">
        <f>DMHH!G484</f>
        <v>0</v>
      </c>
      <c r="K508" s="221">
        <f>DMHH!H484</f>
        <v>0</v>
      </c>
      <c r="L508" s="221">
        <f t="shared" si="62"/>
        <v>0</v>
      </c>
      <c r="M508" s="221">
        <f t="shared" si="63"/>
        <v>0</v>
      </c>
      <c r="N508" s="222"/>
      <c r="O508" s="234" t="str">
        <f t="shared" si="64"/>
        <v/>
      </c>
      <c r="P508" s="171"/>
    </row>
    <row r="509" spans="1:16" ht="15" hidden="1" customHeight="1">
      <c r="A509" s="171"/>
      <c r="B509" s="199">
        <f>IF(O509="",0,MAX($B$32:B508)+1)</f>
        <v>0</v>
      </c>
      <c r="C509" s="84">
        <f>DMHH!C485</f>
        <v>0</v>
      </c>
      <c r="D509" s="84">
        <f>DMHH!D485</f>
        <v>0</v>
      </c>
      <c r="E509" s="220">
        <f>DMHH!E485</f>
        <v>0</v>
      </c>
      <c r="F509" s="221">
        <f t="shared" si="59"/>
        <v>0</v>
      </c>
      <c r="G509" s="221">
        <f t="shared" si="60"/>
        <v>0</v>
      </c>
      <c r="H509" s="221">
        <f t="shared" si="61"/>
        <v>0</v>
      </c>
      <c r="I509" s="221">
        <f t="shared" si="58"/>
        <v>0</v>
      </c>
      <c r="J509" s="221">
        <f>DMHH!G485</f>
        <v>0</v>
      </c>
      <c r="K509" s="221">
        <f>DMHH!H485</f>
        <v>0</v>
      </c>
      <c r="L509" s="221">
        <f t="shared" si="62"/>
        <v>0</v>
      </c>
      <c r="M509" s="221">
        <f t="shared" si="63"/>
        <v>0</v>
      </c>
      <c r="N509" s="222"/>
      <c r="O509" s="234" t="str">
        <f t="shared" si="64"/>
        <v/>
      </c>
      <c r="P509" s="171"/>
    </row>
    <row r="510" spans="1:16" ht="15" hidden="1" customHeight="1">
      <c r="A510" s="171"/>
      <c r="B510" s="199">
        <f>IF(O510="",0,MAX($B$32:B509)+1)</f>
        <v>0</v>
      </c>
      <c r="C510" s="84">
        <f>DMHH!C486</f>
        <v>0</v>
      </c>
      <c r="D510" s="84">
        <f>DMHH!D486</f>
        <v>0</v>
      </c>
      <c r="E510" s="220">
        <f>DMHH!E486</f>
        <v>0</v>
      </c>
      <c r="F510" s="221">
        <f t="shared" si="59"/>
        <v>0</v>
      </c>
      <c r="G510" s="221">
        <f t="shared" si="60"/>
        <v>0</v>
      </c>
      <c r="H510" s="221">
        <f t="shared" si="61"/>
        <v>0</v>
      </c>
      <c r="I510" s="221">
        <f t="shared" si="58"/>
        <v>0</v>
      </c>
      <c r="J510" s="221">
        <f>DMHH!G486</f>
        <v>0</v>
      </c>
      <c r="K510" s="221">
        <f>DMHH!H486</f>
        <v>0</v>
      </c>
      <c r="L510" s="221">
        <f t="shared" si="62"/>
        <v>0</v>
      </c>
      <c r="M510" s="221">
        <f t="shared" si="63"/>
        <v>0</v>
      </c>
      <c r="N510" s="222"/>
      <c r="O510" s="234" t="str">
        <f t="shared" si="64"/>
        <v/>
      </c>
      <c r="P510" s="171"/>
    </row>
    <row r="511" spans="1:16" ht="15" hidden="1" customHeight="1">
      <c r="A511" s="171"/>
      <c r="B511" s="199">
        <f>IF(O511="",0,MAX($B$32:B510)+1)</f>
        <v>0</v>
      </c>
      <c r="C511" s="84">
        <f>DMHH!C487</f>
        <v>0</v>
      </c>
      <c r="D511" s="84">
        <f>DMHH!D487</f>
        <v>0</v>
      </c>
      <c r="E511" s="220">
        <f>DMHH!E487</f>
        <v>0</v>
      </c>
      <c r="F511" s="221">
        <f t="shared" si="59"/>
        <v>0</v>
      </c>
      <c r="G511" s="221">
        <f t="shared" si="60"/>
        <v>0</v>
      </c>
      <c r="H511" s="221">
        <f t="shared" si="61"/>
        <v>0</v>
      </c>
      <c r="I511" s="221">
        <f t="shared" si="58"/>
        <v>0</v>
      </c>
      <c r="J511" s="221">
        <f>DMHH!G487</f>
        <v>0</v>
      </c>
      <c r="K511" s="221">
        <f>DMHH!H487</f>
        <v>0</v>
      </c>
      <c r="L511" s="221">
        <f t="shared" si="62"/>
        <v>0</v>
      </c>
      <c r="M511" s="221">
        <f t="shared" si="63"/>
        <v>0</v>
      </c>
      <c r="N511" s="222"/>
      <c r="O511" s="234" t="str">
        <f t="shared" si="64"/>
        <v/>
      </c>
      <c r="P511" s="171"/>
    </row>
    <row r="512" spans="1:16" ht="15" hidden="1" customHeight="1">
      <c r="A512" s="171"/>
      <c r="B512" s="199">
        <f>IF(O512="",0,MAX($B$32:B511)+1)</f>
        <v>0</v>
      </c>
      <c r="C512" s="84">
        <f>DMHH!C488</f>
        <v>0</v>
      </c>
      <c r="D512" s="84">
        <f>DMHH!D488</f>
        <v>0</v>
      </c>
      <c r="E512" s="220">
        <f>DMHH!E488</f>
        <v>0</v>
      </c>
      <c r="F512" s="221">
        <f t="shared" si="59"/>
        <v>0</v>
      </c>
      <c r="G512" s="221">
        <f t="shared" si="60"/>
        <v>0</v>
      </c>
      <c r="H512" s="221">
        <f t="shared" si="61"/>
        <v>0</v>
      </c>
      <c r="I512" s="221">
        <f t="shared" si="58"/>
        <v>0</v>
      </c>
      <c r="J512" s="221">
        <f>DMHH!G488</f>
        <v>0</v>
      </c>
      <c r="K512" s="221">
        <f>DMHH!H488</f>
        <v>0</v>
      </c>
      <c r="L512" s="221">
        <f t="shared" si="62"/>
        <v>0</v>
      </c>
      <c r="M512" s="221">
        <f t="shared" si="63"/>
        <v>0</v>
      </c>
      <c r="N512" s="222"/>
      <c r="O512" s="234" t="str">
        <f t="shared" si="64"/>
        <v/>
      </c>
      <c r="P512" s="171"/>
    </row>
    <row r="513" spans="1:16" ht="15" hidden="1" customHeight="1">
      <c r="A513" s="171"/>
      <c r="B513" s="199">
        <f>IF(O513="",0,MAX($B$32:B512)+1)</f>
        <v>0</v>
      </c>
      <c r="C513" s="84">
        <f>DMHH!C489</f>
        <v>0</v>
      </c>
      <c r="D513" s="84">
        <f>DMHH!D489</f>
        <v>0</v>
      </c>
      <c r="E513" s="220">
        <f>DMHH!E489</f>
        <v>0</v>
      </c>
      <c r="F513" s="221">
        <f t="shared" si="59"/>
        <v>0</v>
      </c>
      <c r="G513" s="221">
        <f t="shared" si="60"/>
        <v>0</v>
      </c>
      <c r="H513" s="221">
        <f t="shared" si="61"/>
        <v>0</v>
      </c>
      <c r="I513" s="221">
        <f t="shared" si="58"/>
        <v>0</v>
      </c>
      <c r="J513" s="221">
        <f>DMHH!G489</f>
        <v>0</v>
      </c>
      <c r="K513" s="221">
        <f>DMHH!H489</f>
        <v>0</v>
      </c>
      <c r="L513" s="221">
        <f t="shared" si="62"/>
        <v>0</v>
      </c>
      <c r="M513" s="221">
        <f t="shared" si="63"/>
        <v>0</v>
      </c>
      <c r="N513" s="222"/>
      <c r="O513" s="234" t="str">
        <f t="shared" si="64"/>
        <v/>
      </c>
      <c r="P513" s="171"/>
    </row>
    <row r="514" spans="1:16" ht="15" hidden="1" customHeight="1">
      <c r="A514" s="171"/>
      <c r="B514" s="199">
        <f>IF(O514="",0,MAX($B$32:B513)+1)</f>
        <v>0</v>
      </c>
      <c r="C514" s="84">
        <f>DMHH!C490</f>
        <v>0</v>
      </c>
      <c r="D514" s="84">
        <f>DMHH!D490</f>
        <v>0</v>
      </c>
      <c r="E514" s="220">
        <f>DMHH!E490</f>
        <v>0</v>
      </c>
      <c r="F514" s="221">
        <f t="shared" si="59"/>
        <v>0</v>
      </c>
      <c r="G514" s="221">
        <f t="shared" si="60"/>
        <v>0</v>
      </c>
      <c r="H514" s="221">
        <f t="shared" si="61"/>
        <v>0</v>
      </c>
      <c r="I514" s="221">
        <f t="shared" si="58"/>
        <v>0</v>
      </c>
      <c r="J514" s="221">
        <f>DMHH!G490</f>
        <v>0</v>
      </c>
      <c r="K514" s="221">
        <f>DMHH!H490</f>
        <v>0</v>
      </c>
      <c r="L514" s="221">
        <f t="shared" si="62"/>
        <v>0</v>
      </c>
      <c r="M514" s="221">
        <f t="shared" si="63"/>
        <v>0</v>
      </c>
      <c r="N514" s="222"/>
      <c r="O514" s="234" t="str">
        <f t="shared" si="64"/>
        <v/>
      </c>
      <c r="P514" s="171"/>
    </row>
    <row r="515" spans="1:16" ht="15" hidden="1" customHeight="1">
      <c r="A515" s="171"/>
      <c r="B515" s="199">
        <f>IF(O515="",0,MAX($B$32:B514)+1)</f>
        <v>0</v>
      </c>
      <c r="C515" s="84">
        <f>DMHH!C491</f>
        <v>0</v>
      </c>
      <c r="D515" s="84">
        <f>DMHH!D491</f>
        <v>0</v>
      </c>
      <c r="E515" s="220">
        <f>DMHH!E491</f>
        <v>0</v>
      </c>
      <c r="F515" s="221">
        <f t="shared" si="59"/>
        <v>0</v>
      </c>
      <c r="G515" s="221">
        <f t="shared" si="60"/>
        <v>0</v>
      </c>
      <c r="H515" s="221">
        <f t="shared" si="61"/>
        <v>0</v>
      </c>
      <c r="I515" s="221">
        <f t="shared" si="58"/>
        <v>0</v>
      </c>
      <c r="J515" s="221">
        <f>DMHH!G491</f>
        <v>0</v>
      </c>
      <c r="K515" s="221">
        <f>DMHH!H491</f>
        <v>0</v>
      </c>
      <c r="L515" s="221">
        <f t="shared" si="62"/>
        <v>0</v>
      </c>
      <c r="M515" s="221">
        <f t="shared" si="63"/>
        <v>0</v>
      </c>
      <c r="N515" s="222"/>
      <c r="O515" s="234" t="str">
        <f t="shared" si="64"/>
        <v/>
      </c>
      <c r="P515" s="171"/>
    </row>
    <row r="516" spans="1:16" ht="15" hidden="1" customHeight="1">
      <c r="A516" s="171"/>
      <c r="B516" s="199">
        <f>IF(O516="",0,MAX($B$32:B515)+1)</f>
        <v>0</v>
      </c>
      <c r="C516" s="84">
        <f>DMHH!C492</f>
        <v>0</v>
      </c>
      <c r="D516" s="84">
        <f>DMHH!D492</f>
        <v>0</v>
      </c>
      <c r="E516" s="220">
        <f>DMHH!E492</f>
        <v>0</v>
      </c>
      <c r="F516" s="221">
        <f t="shared" si="59"/>
        <v>0</v>
      </c>
      <c r="G516" s="221">
        <f t="shared" si="60"/>
        <v>0</v>
      </c>
      <c r="H516" s="221">
        <f t="shared" si="61"/>
        <v>0</v>
      </c>
      <c r="I516" s="221">
        <f t="shared" si="58"/>
        <v>0</v>
      </c>
      <c r="J516" s="221">
        <f>DMHH!G492</f>
        <v>0</v>
      </c>
      <c r="K516" s="221">
        <f>DMHH!H492</f>
        <v>0</v>
      </c>
      <c r="L516" s="221">
        <f t="shared" si="62"/>
        <v>0</v>
      </c>
      <c r="M516" s="221">
        <f t="shared" si="63"/>
        <v>0</v>
      </c>
      <c r="N516" s="222"/>
      <c r="O516" s="234" t="str">
        <f t="shared" si="64"/>
        <v/>
      </c>
      <c r="P516" s="171"/>
    </row>
    <row r="517" spans="1:16" ht="15" hidden="1" customHeight="1">
      <c r="A517" s="171"/>
      <c r="B517" s="199">
        <f>IF(O517="",0,MAX($B$32:B516)+1)</f>
        <v>0</v>
      </c>
      <c r="C517" s="84">
        <f>DMHH!C493</f>
        <v>0</v>
      </c>
      <c r="D517" s="84">
        <f>DMHH!D493</f>
        <v>0</v>
      </c>
      <c r="E517" s="220">
        <f>DMHH!E493</f>
        <v>0</v>
      </c>
      <c r="F517" s="221">
        <f t="shared" si="59"/>
        <v>0</v>
      </c>
      <c r="G517" s="221">
        <f t="shared" si="60"/>
        <v>0</v>
      </c>
      <c r="H517" s="221">
        <f t="shared" si="61"/>
        <v>0</v>
      </c>
      <c r="I517" s="221">
        <f t="shared" si="58"/>
        <v>0</v>
      </c>
      <c r="J517" s="221">
        <f>DMHH!G493</f>
        <v>0</v>
      </c>
      <c r="K517" s="221">
        <f>DMHH!H493</f>
        <v>0</v>
      </c>
      <c r="L517" s="221">
        <f t="shared" si="62"/>
        <v>0</v>
      </c>
      <c r="M517" s="221">
        <f t="shared" si="63"/>
        <v>0</v>
      </c>
      <c r="N517" s="222"/>
      <c r="O517" s="234" t="str">
        <f t="shared" si="64"/>
        <v/>
      </c>
      <c r="P517" s="171"/>
    </row>
    <row r="518" spans="1:16" ht="15" hidden="1" customHeight="1">
      <c r="A518" s="171"/>
      <c r="B518" s="199">
        <f>IF(O518="",0,MAX($B$32:B517)+1)</f>
        <v>0</v>
      </c>
      <c r="C518" s="84">
        <f>DMHH!C494</f>
        <v>0</v>
      </c>
      <c r="D518" s="84">
        <f>DMHH!D494</f>
        <v>0</v>
      </c>
      <c r="E518" s="220">
        <f>DMHH!E494</f>
        <v>0</v>
      </c>
      <c r="F518" s="221">
        <f t="shared" si="59"/>
        <v>0</v>
      </c>
      <c r="G518" s="221">
        <f t="shared" si="60"/>
        <v>0</v>
      </c>
      <c r="H518" s="221">
        <f t="shared" si="61"/>
        <v>0</v>
      </c>
      <c r="I518" s="221">
        <f t="shared" si="58"/>
        <v>0</v>
      </c>
      <c r="J518" s="221">
        <f>DMHH!G494</f>
        <v>0</v>
      </c>
      <c r="K518" s="221">
        <f>DMHH!H494</f>
        <v>0</v>
      </c>
      <c r="L518" s="221">
        <f t="shared" si="62"/>
        <v>0</v>
      </c>
      <c r="M518" s="221">
        <f t="shared" si="63"/>
        <v>0</v>
      </c>
      <c r="N518" s="222"/>
      <c r="O518" s="234" t="str">
        <f t="shared" si="64"/>
        <v/>
      </c>
      <c r="P518" s="171"/>
    </row>
    <row r="519" spans="1:16" ht="15" hidden="1" customHeight="1">
      <c r="A519" s="171"/>
      <c r="B519" s="199">
        <f>IF(O519="",0,MAX($B$32:B518)+1)</f>
        <v>0</v>
      </c>
      <c r="C519" s="84">
        <f>DMHH!C495</f>
        <v>0</v>
      </c>
      <c r="D519" s="84">
        <f>DMHH!D495</f>
        <v>0</v>
      </c>
      <c r="E519" s="220">
        <f>DMHH!E495</f>
        <v>0</v>
      </c>
      <c r="F519" s="221">
        <f t="shared" si="59"/>
        <v>0</v>
      </c>
      <c r="G519" s="221">
        <f t="shared" si="60"/>
        <v>0</v>
      </c>
      <c r="H519" s="221">
        <f t="shared" si="61"/>
        <v>0</v>
      </c>
      <c r="I519" s="221">
        <f t="shared" si="58"/>
        <v>0</v>
      </c>
      <c r="J519" s="221">
        <f>DMHH!G495</f>
        <v>0</v>
      </c>
      <c r="K519" s="221">
        <f>DMHH!H495</f>
        <v>0</v>
      </c>
      <c r="L519" s="221">
        <f t="shared" si="62"/>
        <v>0</v>
      </c>
      <c r="M519" s="221">
        <f t="shared" si="63"/>
        <v>0</v>
      </c>
      <c r="N519" s="222"/>
      <c r="O519" s="234" t="str">
        <f t="shared" si="64"/>
        <v/>
      </c>
      <c r="P519" s="171"/>
    </row>
    <row r="520" spans="1:16" ht="15" hidden="1" customHeight="1">
      <c r="A520" s="171"/>
      <c r="B520" s="199">
        <f>IF(O520="",0,MAX($B$32:B519)+1)</f>
        <v>0</v>
      </c>
      <c r="C520" s="84">
        <f>DMHH!C496</f>
        <v>0</v>
      </c>
      <c r="D520" s="84">
        <f>DMHH!D496</f>
        <v>0</v>
      </c>
      <c r="E520" s="220">
        <f>DMHH!E496</f>
        <v>0</v>
      </c>
      <c r="F520" s="221">
        <f t="shared" si="59"/>
        <v>0</v>
      </c>
      <c r="G520" s="221">
        <f t="shared" si="60"/>
        <v>0</v>
      </c>
      <c r="H520" s="221">
        <f t="shared" si="61"/>
        <v>0</v>
      </c>
      <c r="I520" s="221">
        <f t="shared" si="58"/>
        <v>0</v>
      </c>
      <c r="J520" s="221">
        <f>DMHH!G496</f>
        <v>0</v>
      </c>
      <c r="K520" s="221">
        <f>DMHH!H496</f>
        <v>0</v>
      </c>
      <c r="L520" s="221">
        <f t="shared" si="62"/>
        <v>0</v>
      </c>
      <c r="M520" s="221">
        <f t="shared" si="63"/>
        <v>0</v>
      </c>
      <c r="N520" s="222"/>
      <c r="O520" s="234" t="str">
        <f t="shared" si="64"/>
        <v/>
      </c>
      <c r="P520" s="171"/>
    </row>
    <row r="521" spans="1:16" ht="15" hidden="1" customHeight="1">
      <c r="A521" s="171"/>
      <c r="B521" s="199">
        <f>IF(O521="",0,MAX($B$32:B520)+1)</f>
        <v>0</v>
      </c>
      <c r="C521" s="84">
        <f>DMHH!C497</f>
        <v>0</v>
      </c>
      <c r="D521" s="84">
        <f>DMHH!D497</f>
        <v>0</v>
      </c>
      <c r="E521" s="220">
        <f>DMHH!E497</f>
        <v>0</v>
      </c>
      <c r="F521" s="221">
        <f t="shared" si="59"/>
        <v>0</v>
      </c>
      <c r="G521" s="221">
        <f t="shared" si="60"/>
        <v>0</v>
      </c>
      <c r="H521" s="221">
        <f t="shared" si="61"/>
        <v>0</v>
      </c>
      <c r="I521" s="221">
        <f t="shared" si="58"/>
        <v>0</v>
      </c>
      <c r="J521" s="221">
        <f>DMHH!G497</f>
        <v>0</v>
      </c>
      <c r="K521" s="221">
        <f>DMHH!H497</f>
        <v>0</v>
      </c>
      <c r="L521" s="221">
        <f t="shared" si="62"/>
        <v>0</v>
      </c>
      <c r="M521" s="221">
        <f t="shared" si="63"/>
        <v>0</v>
      </c>
      <c r="N521" s="222"/>
      <c r="O521" s="234" t="str">
        <f t="shared" si="64"/>
        <v/>
      </c>
      <c r="P521" s="171"/>
    </row>
    <row r="522" spans="1:16" ht="15" hidden="1" customHeight="1">
      <c r="A522" s="171"/>
      <c r="B522" s="199">
        <f>IF(O522="",0,MAX($B$32:B521)+1)</f>
        <v>0</v>
      </c>
      <c r="C522" s="84">
        <f>DMHH!C498</f>
        <v>0</v>
      </c>
      <c r="D522" s="84">
        <f>DMHH!D498</f>
        <v>0</v>
      </c>
      <c r="E522" s="220">
        <f>DMHH!E498</f>
        <v>0</v>
      </c>
      <c r="F522" s="221">
        <f t="shared" si="59"/>
        <v>0</v>
      </c>
      <c r="G522" s="221">
        <f t="shared" si="60"/>
        <v>0</v>
      </c>
      <c r="H522" s="221">
        <f t="shared" si="61"/>
        <v>0</v>
      </c>
      <c r="I522" s="221">
        <f t="shared" si="58"/>
        <v>0</v>
      </c>
      <c r="J522" s="221">
        <f>DMHH!G498</f>
        <v>0</v>
      </c>
      <c r="K522" s="221">
        <f>DMHH!H498</f>
        <v>0</v>
      </c>
      <c r="L522" s="221">
        <f t="shared" si="62"/>
        <v>0</v>
      </c>
      <c r="M522" s="221">
        <f t="shared" si="63"/>
        <v>0</v>
      </c>
      <c r="N522" s="222"/>
      <c r="O522" s="234" t="str">
        <f t="shared" si="64"/>
        <v/>
      </c>
      <c r="P522" s="171"/>
    </row>
    <row r="523" spans="1:16" ht="15" hidden="1" customHeight="1">
      <c r="A523" s="171"/>
      <c r="B523" s="199">
        <f>IF(O523="",0,MAX($B$32:B522)+1)</f>
        <v>0</v>
      </c>
      <c r="C523" s="84">
        <f>DMHH!C499</f>
        <v>0</v>
      </c>
      <c r="D523" s="84">
        <f>DMHH!D499</f>
        <v>0</v>
      </c>
      <c r="E523" s="220">
        <f>DMHH!E499</f>
        <v>0</v>
      </c>
      <c r="F523" s="221">
        <f t="shared" si="59"/>
        <v>0</v>
      </c>
      <c r="G523" s="221">
        <f t="shared" si="60"/>
        <v>0</v>
      </c>
      <c r="H523" s="221">
        <f t="shared" si="61"/>
        <v>0</v>
      </c>
      <c r="I523" s="221">
        <f t="shared" si="58"/>
        <v>0</v>
      </c>
      <c r="J523" s="221">
        <f>DMHH!G499</f>
        <v>0</v>
      </c>
      <c r="K523" s="221">
        <f>DMHH!H499</f>
        <v>0</v>
      </c>
      <c r="L523" s="221">
        <f t="shared" si="62"/>
        <v>0</v>
      </c>
      <c r="M523" s="221">
        <f t="shared" si="63"/>
        <v>0</v>
      </c>
      <c r="N523" s="222"/>
      <c r="O523" s="234" t="str">
        <f t="shared" si="64"/>
        <v/>
      </c>
      <c r="P523" s="171"/>
    </row>
    <row r="524" spans="1:16" ht="15" hidden="1" customHeight="1">
      <c r="A524" s="171"/>
      <c r="B524" s="199">
        <f>IF(O524="",0,MAX($B$32:B523)+1)</f>
        <v>0</v>
      </c>
      <c r="C524" s="84">
        <f>DMHH!C500</f>
        <v>0</v>
      </c>
      <c r="D524" s="84">
        <f>DMHH!D500</f>
        <v>0</v>
      </c>
      <c r="E524" s="220">
        <f>DMHH!E500</f>
        <v>0</v>
      </c>
      <c r="F524" s="221">
        <f t="shared" si="59"/>
        <v>0</v>
      </c>
      <c r="G524" s="221">
        <f t="shared" si="60"/>
        <v>0</v>
      </c>
      <c r="H524" s="221">
        <f t="shared" si="61"/>
        <v>0</v>
      </c>
      <c r="I524" s="221">
        <f t="shared" si="58"/>
        <v>0</v>
      </c>
      <c r="J524" s="221">
        <f>DMHH!G500</f>
        <v>0</v>
      </c>
      <c r="K524" s="221">
        <f>DMHH!H500</f>
        <v>0</v>
      </c>
      <c r="L524" s="221">
        <f t="shared" si="62"/>
        <v>0</v>
      </c>
      <c r="M524" s="221">
        <f t="shared" si="63"/>
        <v>0</v>
      </c>
      <c r="N524" s="222"/>
      <c r="O524" s="234" t="str">
        <f t="shared" si="64"/>
        <v/>
      </c>
      <c r="P524" s="171"/>
    </row>
    <row r="525" spans="1:16" ht="15" hidden="1" customHeight="1">
      <c r="A525" s="171"/>
      <c r="B525" s="199">
        <f>IF(O525="",0,MAX($B$32:B524)+1)</f>
        <v>0</v>
      </c>
      <c r="C525" s="84">
        <f>DMHH!C501</f>
        <v>0</v>
      </c>
      <c r="D525" s="84">
        <f>DMHH!D501</f>
        <v>0</v>
      </c>
      <c r="E525" s="220">
        <f>DMHH!E501</f>
        <v>0</v>
      </c>
      <c r="F525" s="221">
        <f t="shared" si="59"/>
        <v>0</v>
      </c>
      <c r="G525" s="221">
        <f t="shared" si="60"/>
        <v>0</v>
      </c>
      <c r="H525" s="221">
        <f t="shared" si="61"/>
        <v>0</v>
      </c>
      <c r="I525" s="221">
        <f t="shared" si="58"/>
        <v>0</v>
      </c>
      <c r="J525" s="221">
        <f>DMHH!G501</f>
        <v>0</v>
      </c>
      <c r="K525" s="221">
        <f>DMHH!H501</f>
        <v>0</v>
      </c>
      <c r="L525" s="221">
        <f t="shared" si="62"/>
        <v>0</v>
      </c>
      <c r="M525" s="221">
        <f t="shared" si="63"/>
        <v>0</v>
      </c>
      <c r="N525" s="222"/>
      <c r="O525" s="234" t="str">
        <f t="shared" si="64"/>
        <v/>
      </c>
      <c r="P525" s="171"/>
    </row>
    <row r="526" spans="1:16" ht="15" hidden="1" customHeight="1">
      <c r="A526" s="171"/>
      <c r="B526" s="199">
        <f>IF(O526="",0,MAX($B$32:B525)+1)</f>
        <v>0</v>
      </c>
      <c r="C526" s="84">
        <f>DMHH!C502</f>
        <v>0</v>
      </c>
      <c r="D526" s="84">
        <f>DMHH!D502</f>
        <v>0</v>
      </c>
      <c r="E526" s="220">
        <f>DMHH!E502</f>
        <v>0</v>
      </c>
      <c r="F526" s="221">
        <f t="shared" si="59"/>
        <v>0</v>
      </c>
      <c r="G526" s="221">
        <f t="shared" si="60"/>
        <v>0</v>
      </c>
      <c r="H526" s="221">
        <f t="shared" si="61"/>
        <v>0</v>
      </c>
      <c r="I526" s="221">
        <f t="shared" si="58"/>
        <v>0</v>
      </c>
      <c r="J526" s="221">
        <f>DMHH!G502</f>
        <v>0</v>
      </c>
      <c r="K526" s="221">
        <f>DMHH!H502</f>
        <v>0</v>
      </c>
      <c r="L526" s="221">
        <f t="shared" si="62"/>
        <v>0</v>
      </c>
      <c r="M526" s="221">
        <f t="shared" si="63"/>
        <v>0</v>
      </c>
      <c r="N526" s="222"/>
      <c r="O526" s="234" t="str">
        <f t="shared" si="64"/>
        <v/>
      </c>
      <c r="P526" s="171"/>
    </row>
    <row r="527" spans="1:16" ht="15" hidden="1" customHeight="1">
      <c r="A527" s="171"/>
      <c r="B527" s="199">
        <f>IF(O527="",0,MAX($B$32:B526)+1)</f>
        <v>0</v>
      </c>
      <c r="C527" s="84">
        <f>DMHH!C503</f>
        <v>0</v>
      </c>
      <c r="D527" s="84">
        <f>DMHH!D503</f>
        <v>0</v>
      </c>
      <c r="E527" s="220">
        <f>DMHH!E503</f>
        <v>0</v>
      </c>
      <c r="F527" s="221">
        <f t="shared" si="59"/>
        <v>0</v>
      </c>
      <c r="G527" s="221">
        <f t="shared" si="60"/>
        <v>0</v>
      </c>
      <c r="H527" s="221">
        <f t="shared" si="61"/>
        <v>0</v>
      </c>
      <c r="I527" s="221">
        <f t="shared" si="58"/>
        <v>0</v>
      </c>
      <c r="J527" s="221">
        <f>DMHH!G503</f>
        <v>0</v>
      </c>
      <c r="K527" s="221">
        <f>DMHH!H503</f>
        <v>0</v>
      </c>
      <c r="L527" s="221">
        <f t="shared" si="62"/>
        <v>0</v>
      </c>
      <c r="M527" s="221">
        <f t="shared" si="63"/>
        <v>0</v>
      </c>
      <c r="N527" s="222"/>
      <c r="O527" s="234" t="str">
        <f t="shared" si="64"/>
        <v/>
      </c>
      <c r="P527" s="171"/>
    </row>
    <row r="528" spans="1:16" ht="15" hidden="1" customHeight="1">
      <c r="A528" s="171"/>
      <c r="B528" s="199">
        <f>IF(O528="",0,MAX($B$32:B527)+1)</f>
        <v>0</v>
      </c>
      <c r="C528" s="84">
        <f>DMHH!C504</f>
        <v>0</v>
      </c>
      <c r="D528" s="84">
        <f>DMHH!D504</f>
        <v>0</v>
      </c>
      <c r="E528" s="220">
        <f>DMHH!E504</f>
        <v>0</v>
      </c>
      <c r="F528" s="221">
        <f t="shared" si="59"/>
        <v>0</v>
      </c>
      <c r="G528" s="221">
        <f t="shared" si="60"/>
        <v>0</v>
      </c>
      <c r="H528" s="221">
        <f t="shared" si="61"/>
        <v>0</v>
      </c>
      <c r="I528" s="221">
        <f t="shared" si="58"/>
        <v>0</v>
      </c>
      <c r="J528" s="221">
        <f>DMHH!G504</f>
        <v>0</v>
      </c>
      <c r="K528" s="221">
        <f>DMHH!H504</f>
        <v>0</v>
      </c>
      <c r="L528" s="221">
        <f t="shared" si="62"/>
        <v>0</v>
      </c>
      <c r="M528" s="221">
        <f t="shared" si="63"/>
        <v>0</v>
      </c>
      <c r="N528" s="222"/>
      <c r="O528" s="234" t="str">
        <f t="shared" si="64"/>
        <v/>
      </c>
      <c r="P528" s="171"/>
    </row>
    <row r="529" spans="1:16" ht="15" hidden="1" customHeight="1">
      <c r="A529" s="171"/>
      <c r="B529" s="199">
        <f>IF(O529="",0,MAX($B$32:B528)+1)</f>
        <v>0</v>
      </c>
      <c r="C529" s="84">
        <f>DMHH!C505</f>
        <v>0</v>
      </c>
      <c r="D529" s="84">
        <f>DMHH!D505</f>
        <v>0</v>
      </c>
      <c r="E529" s="220">
        <f>DMHH!E505</f>
        <v>0</v>
      </c>
      <c r="F529" s="221">
        <f t="shared" si="59"/>
        <v>0</v>
      </c>
      <c r="G529" s="221">
        <f t="shared" si="60"/>
        <v>0</v>
      </c>
      <c r="H529" s="221">
        <f t="shared" si="61"/>
        <v>0</v>
      </c>
      <c r="I529" s="221">
        <f t="shared" si="58"/>
        <v>0</v>
      </c>
      <c r="J529" s="221">
        <f>DMHH!G505</f>
        <v>0</v>
      </c>
      <c r="K529" s="221">
        <f>DMHH!H505</f>
        <v>0</v>
      </c>
      <c r="L529" s="221">
        <f t="shared" si="62"/>
        <v>0</v>
      </c>
      <c r="M529" s="221">
        <f t="shared" si="63"/>
        <v>0</v>
      </c>
      <c r="N529" s="222"/>
      <c r="O529" s="234" t="str">
        <f t="shared" si="64"/>
        <v/>
      </c>
      <c r="P529" s="171"/>
    </row>
    <row r="530" spans="1:16" ht="15" hidden="1" customHeight="1">
      <c r="A530" s="171"/>
      <c r="B530" s="199">
        <f>IF(O530="",0,MAX($B$32:B529)+1)</f>
        <v>0</v>
      </c>
      <c r="C530" s="84">
        <f>DMHH!C506</f>
        <v>0</v>
      </c>
      <c r="D530" s="84">
        <f>DMHH!D506</f>
        <v>0</v>
      </c>
      <c r="E530" s="220">
        <f>DMHH!E506</f>
        <v>0</v>
      </c>
      <c r="F530" s="221">
        <f t="shared" si="59"/>
        <v>0</v>
      </c>
      <c r="G530" s="221">
        <f t="shared" si="60"/>
        <v>0</v>
      </c>
      <c r="H530" s="221">
        <f t="shared" si="61"/>
        <v>0</v>
      </c>
      <c r="I530" s="221">
        <f t="shared" si="58"/>
        <v>0</v>
      </c>
      <c r="J530" s="221">
        <f>DMHH!G506</f>
        <v>0</v>
      </c>
      <c r="K530" s="221">
        <f>DMHH!H506</f>
        <v>0</v>
      </c>
      <c r="L530" s="221">
        <f t="shared" si="62"/>
        <v>0</v>
      </c>
      <c r="M530" s="221">
        <f t="shared" si="63"/>
        <v>0</v>
      </c>
      <c r="N530" s="222"/>
      <c r="O530" s="234" t="str">
        <f t="shared" si="64"/>
        <v/>
      </c>
      <c r="P530" s="171"/>
    </row>
    <row r="531" spans="1:16" ht="15" hidden="1" customHeight="1">
      <c r="A531" s="171"/>
      <c r="B531" s="319">
        <f>IF(O531="",0,MAX($B$32:B530)+1)</f>
        <v>0</v>
      </c>
      <c r="C531" s="320">
        <f>DMHH!C507</f>
        <v>0</v>
      </c>
      <c r="D531" s="320">
        <f>DMHH!D507</f>
        <v>0</v>
      </c>
      <c r="E531" s="321">
        <f>DMHH!E507</f>
        <v>0</v>
      </c>
      <c r="F531" s="322">
        <f t="shared" si="59"/>
        <v>0</v>
      </c>
      <c r="G531" s="322">
        <f t="shared" si="60"/>
        <v>0</v>
      </c>
      <c r="H531" s="322">
        <f t="shared" si="61"/>
        <v>0</v>
      </c>
      <c r="I531" s="322">
        <f t="shared" si="58"/>
        <v>0</v>
      </c>
      <c r="J531" s="322">
        <f>DMHH!G507</f>
        <v>0</v>
      </c>
      <c r="K531" s="322">
        <f>DMHH!H507</f>
        <v>0</v>
      </c>
      <c r="L531" s="322">
        <f t="shared" si="62"/>
        <v>0</v>
      </c>
      <c r="M531" s="322">
        <f t="shared" si="63"/>
        <v>0</v>
      </c>
      <c r="N531" s="323"/>
      <c r="O531" s="234" t="str">
        <f t="shared" si="64"/>
        <v/>
      </c>
      <c r="P531" s="171"/>
    </row>
    <row r="532" spans="1:16" ht="18" customHeight="1">
      <c r="A532" s="171"/>
      <c r="B532" s="324"/>
      <c r="C532" s="325"/>
      <c r="D532" s="326" t="s">
        <v>242</v>
      </c>
      <c r="E532" s="327"/>
      <c r="F532" s="328"/>
      <c r="G532" s="328"/>
      <c r="H532" s="328"/>
      <c r="I532" s="328"/>
      <c r="J532" s="328"/>
      <c r="K532" s="328"/>
      <c r="L532" s="344">
        <v>1</v>
      </c>
      <c r="M532" s="328"/>
      <c r="N532" s="329"/>
      <c r="O532" s="234" t="s">
        <v>245</v>
      </c>
      <c r="P532" s="171"/>
    </row>
    <row r="533" spans="1:16" ht="18" customHeight="1">
      <c r="A533" s="171"/>
      <c r="B533" s="330"/>
      <c r="C533" s="331"/>
      <c r="D533" s="332" t="s">
        <v>243</v>
      </c>
      <c r="E533" s="333"/>
      <c r="F533" s="334"/>
      <c r="G533" s="334"/>
      <c r="H533" s="334"/>
      <c r="I533" s="334"/>
      <c r="J533" s="334"/>
      <c r="K533" s="334"/>
      <c r="L533" s="345">
        <v>1</v>
      </c>
      <c r="M533" s="334"/>
      <c r="N533" s="335"/>
      <c r="O533" s="234" t="s">
        <v>245</v>
      </c>
      <c r="P533" s="171"/>
    </row>
    <row r="534" spans="1:16" ht="18" customHeight="1">
      <c r="A534" s="171"/>
      <c r="B534" s="336"/>
      <c r="C534" s="337"/>
      <c r="D534" s="338" t="s">
        <v>244</v>
      </c>
      <c r="E534" s="339"/>
      <c r="F534" s="340"/>
      <c r="G534" s="340"/>
      <c r="H534" s="340"/>
      <c r="I534" s="340"/>
      <c r="J534" s="340"/>
      <c r="K534" s="340"/>
      <c r="L534" s="346">
        <v>1</v>
      </c>
      <c r="M534" s="340"/>
      <c r="N534" s="341"/>
      <c r="O534" s="234" t="s">
        <v>245</v>
      </c>
      <c r="P534" s="171"/>
    </row>
    <row r="535" spans="1:16" ht="14.25">
      <c r="A535" s="171"/>
      <c r="B535" s="223"/>
      <c r="C535" s="224"/>
      <c r="D535" s="342" t="s">
        <v>34</v>
      </c>
      <c r="E535" s="225"/>
      <c r="F535" s="224"/>
      <c r="G535" s="224"/>
      <c r="H535" s="224"/>
      <c r="I535" s="224"/>
      <c r="J535" s="224"/>
      <c r="K535" s="224"/>
      <c r="L535" s="224"/>
      <c r="M535" s="224"/>
      <c r="N535" s="226"/>
      <c r="O535" s="235" t="s">
        <v>35</v>
      </c>
      <c r="P535" s="171"/>
    </row>
    <row r="536" spans="1:16">
      <c r="A536" s="171"/>
      <c r="O536" s="236" t="s">
        <v>35</v>
      </c>
      <c r="P536" s="171"/>
    </row>
    <row r="537" spans="1:16">
      <c r="A537" s="171"/>
      <c r="B537" s="172"/>
      <c r="C537" s="227"/>
      <c r="D537" s="227"/>
      <c r="E537" s="228"/>
      <c r="F537" s="227"/>
      <c r="G537" s="397">
        <f>J2</f>
        <v>42004</v>
      </c>
      <c r="H537" s="397"/>
      <c r="I537" s="397"/>
      <c r="J537" s="397"/>
      <c r="K537" s="397"/>
      <c r="L537" s="397"/>
      <c r="M537" s="397"/>
      <c r="N537" s="397"/>
      <c r="O537" s="236" t="s">
        <v>35</v>
      </c>
      <c r="P537" s="171"/>
    </row>
    <row r="538" spans="1:16">
      <c r="A538" s="171"/>
      <c r="B538" s="172"/>
      <c r="C538" s="229"/>
      <c r="D538" s="229"/>
      <c r="E538" s="230"/>
      <c r="F538" s="229"/>
      <c r="G538" s="393" t="s">
        <v>32</v>
      </c>
      <c r="H538" s="393"/>
      <c r="I538" s="393"/>
      <c r="J538" s="393"/>
      <c r="K538" s="393"/>
      <c r="L538" s="393"/>
      <c r="M538" s="393"/>
      <c r="N538" s="393"/>
      <c r="O538" s="236" t="s">
        <v>35</v>
      </c>
      <c r="P538" s="171"/>
    </row>
    <row r="539" spans="1:16">
      <c r="A539" s="171"/>
      <c r="G539" s="229"/>
      <c r="O539" s="236" t="s">
        <v>35</v>
      </c>
      <c r="P539" s="171"/>
    </row>
    <row r="540" spans="1:16">
      <c r="A540" s="171"/>
      <c r="O540" s="236" t="s">
        <v>35</v>
      </c>
      <c r="P540" s="171"/>
    </row>
    <row r="541" spans="1:16">
      <c r="A541" s="171"/>
      <c r="O541" s="236" t="s">
        <v>35</v>
      </c>
      <c r="P541" s="171"/>
    </row>
    <row r="542" spans="1:16">
      <c r="A542" s="171"/>
      <c r="O542" s="236" t="s">
        <v>35</v>
      </c>
      <c r="P542" s="171"/>
    </row>
    <row r="543" spans="1:16">
      <c r="A543" s="171"/>
      <c r="O543" s="236" t="s">
        <v>35</v>
      </c>
      <c r="P543" s="171"/>
    </row>
    <row r="544" spans="1:16">
      <c r="A544" s="171"/>
      <c r="B544" s="231"/>
      <c r="C544" s="171"/>
      <c r="D544" s="171"/>
      <c r="E544" s="155"/>
      <c r="F544" s="232"/>
      <c r="G544" s="232"/>
      <c r="H544" s="232"/>
      <c r="I544" s="232"/>
      <c r="J544" s="232"/>
      <c r="K544" s="232"/>
      <c r="L544" s="232"/>
      <c r="M544" s="232"/>
      <c r="N544" s="171"/>
      <c r="O544" s="171"/>
      <c r="P544" s="171"/>
    </row>
    <row r="545" spans="1:16">
      <c r="A545" s="171"/>
      <c r="B545" s="231"/>
      <c r="C545" s="171"/>
      <c r="D545" s="171"/>
      <c r="E545" s="155"/>
      <c r="F545" s="232"/>
      <c r="G545" s="232"/>
      <c r="H545" s="232"/>
      <c r="I545" s="232"/>
      <c r="J545" s="232"/>
      <c r="K545" s="232"/>
      <c r="L545" s="232"/>
      <c r="M545" s="232"/>
      <c r="N545" s="171"/>
      <c r="O545" s="171"/>
      <c r="P545" s="171"/>
    </row>
    <row r="546" spans="1:16" hidden="1"/>
    <row r="547" spans="1:16" hidden="1"/>
    <row r="548" spans="1:16" hidden="1"/>
    <row r="549" spans="1:16" hidden="1"/>
    <row r="550" spans="1:16" hidden="1"/>
    <row r="551" spans="1:16" hidden="1"/>
    <row r="552" spans="1:16" hidden="1"/>
    <row r="553" spans="1:16" hidden="1"/>
    <row r="554" spans="1:16" hidden="1"/>
    <row r="555" spans="1:16" hidden="1"/>
    <row r="556" spans="1:16" hidden="1"/>
    <row r="557" spans="1:16" hidden="1"/>
    <row r="558" spans="1:16" hidden="1"/>
    <row r="559" spans="1:16" hidden="1"/>
    <row r="560" spans="1:16"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sheetData>
  <sheetProtection sheet="1" objects="1" scenarios="1" autoFilter="0"/>
  <autoFilter ref="O14:O543">
    <filterColumn colId="0">
      <customFilters>
        <customFilter operator="notEqual" val=" "/>
      </customFilters>
    </filterColumn>
  </autoFilter>
  <mergeCells count="23">
    <mergeCell ref="G538:N538"/>
    <mergeCell ref="A1:A2"/>
    <mergeCell ref="B9:N9"/>
    <mergeCell ref="G537:N537"/>
    <mergeCell ref="F13:I13"/>
    <mergeCell ref="H1:I1"/>
    <mergeCell ref="H2:I2"/>
    <mergeCell ref="B1:G2"/>
    <mergeCell ref="K1:O2"/>
    <mergeCell ref="C13:C14"/>
    <mergeCell ref="B13:B14"/>
    <mergeCell ref="L13:L14"/>
    <mergeCell ref="M13:M14"/>
    <mergeCell ref="B10:N10"/>
    <mergeCell ref="N13:N14"/>
    <mergeCell ref="B11:C11"/>
    <mergeCell ref="G11:I11"/>
    <mergeCell ref="L11:M11"/>
    <mergeCell ref="E11:F11"/>
    <mergeCell ref="J13:J14"/>
    <mergeCell ref="K13:K14"/>
    <mergeCell ref="E13:E14"/>
    <mergeCell ref="D13:D14"/>
  </mergeCells>
  <conditionalFormatting sqref="L11:M11">
    <cfRule type="expression" dxfId="0" priority="1">
      <formula>IF($L$11&lt;0,TRUE,FALSE)</formula>
    </cfRule>
  </conditionalFormatting>
  <dataValidations count="1">
    <dataValidation type="date" operator="lessThanOrEqual" allowBlank="1" showInputMessage="1" showErrorMessage="1" errorTitle="Lưu ý hạn sử dụng:" error="Chương trình được đăng ký sử dụng đến hết ngày 31/12/2014. Bạn không được sử dụng quá hạn này!" sqref="J1:J2">
      <formula1>42004</formula1>
    </dataValidation>
  </dataValidations>
  <hyperlinks>
    <hyperlink ref="A1:A2" location="MENU!A1" display="MENU"/>
  </hyperlinks>
  <printOptions horizontalCentered="1"/>
  <pageMargins left="0.31496062992125984" right="0.31496062992125984" top="0.59055118110236227" bottom="0.59055118110236227"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sheetPr>
    <tabColor rgb="FFFFFF00"/>
  </sheetPr>
  <dimension ref="A1:M20"/>
  <sheetViews>
    <sheetView showGridLines="0" workbookViewId="0">
      <pane xSplit="13" ySplit="20" topLeftCell="N21" activePane="bottomRight" state="frozen"/>
      <selection pane="topRight" activeCell="N1" sqref="N1"/>
      <selection pane="bottomLeft" activeCell="A21" sqref="A21"/>
      <selection pane="bottomRight" sqref="A1:A2"/>
    </sheetView>
  </sheetViews>
  <sheetFormatPr defaultRowHeight="12.75"/>
  <cols>
    <col min="1" max="1" width="9.140625" style="312"/>
    <col min="2" max="6" width="10.7109375" style="311" customWidth="1"/>
    <col min="7" max="9" width="9.140625" style="312"/>
    <col min="10" max="10" width="10.42578125" style="312" bestFit="1" customWidth="1"/>
    <col min="11" max="13" width="0" style="312" hidden="1" customWidth="1"/>
    <col min="14" max="16384" width="9.140625" style="312"/>
  </cols>
  <sheetData>
    <row r="1" spans="1:13">
      <c r="A1" s="412" t="s">
        <v>3</v>
      </c>
    </row>
    <row r="2" spans="1:13">
      <c r="A2" s="412"/>
    </row>
    <row r="4" spans="1:13" ht="30.75" customHeight="1">
      <c r="B4" s="409" t="s">
        <v>179</v>
      </c>
      <c r="C4" s="409"/>
      <c r="D4" s="409"/>
      <c r="E4" s="409"/>
      <c r="F4" s="409"/>
      <c r="J4" s="410" t="s">
        <v>200</v>
      </c>
    </row>
    <row r="5" spans="1:13">
      <c r="J5" s="411"/>
      <c r="K5" s="312" t="s">
        <v>201</v>
      </c>
      <c r="L5" s="312" t="s">
        <v>202</v>
      </c>
    </row>
    <row r="6" spans="1:13" ht="22.5" customHeight="1">
      <c r="B6" s="313" t="str">
        <f>$J$6</f>
        <v>E101</v>
      </c>
      <c r="C6" s="314"/>
      <c r="D6" s="313" t="str">
        <f>$J$7</f>
        <v>E102</v>
      </c>
      <c r="E6" s="314"/>
      <c r="F6" s="313" t="str">
        <f>$J$8</f>
        <v>E103</v>
      </c>
      <c r="J6" s="315" t="s">
        <v>209</v>
      </c>
      <c r="K6" s="312">
        <f>DSUM(GHISO,GS_tienphong,ps_phong01)</f>
        <v>230000</v>
      </c>
      <c r="L6" s="312">
        <f>DSUM(GHISO,GS_giatui,ps_phong01)</f>
        <v>48000</v>
      </c>
      <c r="M6" s="312">
        <f>COUNTIF('Ghi So'!$U$14:$U$1014,'Check Phong'!J6&amp;"Close")</f>
        <v>1</v>
      </c>
    </row>
    <row r="7" spans="1:13" ht="22.5" customHeight="1">
      <c r="B7" s="316" t="str">
        <f>IF($M$6=0,"Open","Close")</f>
        <v>Close</v>
      </c>
      <c r="C7" s="314"/>
      <c r="D7" s="316" t="str">
        <f>IF($M$7=0,"Open","Close")</f>
        <v>Open</v>
      </c>
      <c r="E7" s="314"/>
      <c r="F7" s="316" t="str">
        <f>IF($M$8=0,"Open","Close")</f>
        <v>Close</v>
      </c>
      <c r="J7" s="315" t="s">
        <v>210</v>
      </c>
      <c r="K7" s="312">
        <f>DSUM(GHISO,GS_tienphong,ps_phong02)</f>
        <v>820000</v>
      </c>
      <c r="L7" s="312">
        <f>DSUM(GHISO,GS_giatui,ps_phong02)</f>
        <v>24000</v>
      </c>
      <c r="M7" s="312">
        <f>COUNTIF('Ghi So'!$U$14:$U$1014,'Check Phong'!J7&amp;"Close")</f>
        <v>0</v>
      </c>
    </row>
    <row r="8" spans="1:13" ht="22.5" customHeight="1">
      <c r="B8" s="314"/>
      <c r="C8" s="314"/>
      <c r="D8" s="314"/>
      <c r="E8" s="314"/>
      <c r="F8" s="314"/>
      <c r="J8" s="315" t="s">
        <v>211</v>
      </c>
      <c r="K8" s="312">
        <f>DSUM(GHISO,GS_tienphong,ps_phong03)</f>
        <v>2500000</v>
      </c>
      <c r="L8" s="312">
        <f>DSUM(GHISO,GS_giatui,ps_phong03)</f>
        <v>120000</v>
      </c>
      <c r="M8" s="312">
        <f>COUNTIF('Ghi So'!$U$14:$U$1014,'Check Phong'!J8&amp;"Close")</f>
        <v>1</v>
      </c>
    </row>
    <row r="9" spans="1:13" ht="22.5" customHeight="1">
      <c r="B9" s="313" t="str">
        <f>$J$9</f>
        <v>E201</v>
      </c>
      <c r="C9" s="317"/>
      <c r="D9" s="313" t="str">
        <f>$J$10</f>
        <v>E202</v>
      </c>
      <c r="E9" s="317"/>
      <c r="F9" s="313" t="str">
        <f>$J$11</f>
        <v>E203</v>
      </c>
      <c r="J9" s="315" t="s">
        <v>212</v>
      </c>
      <c r="K9" s="312">
        <f>DSUM(GHISO,GS_tienphong,ps_phong04)</f>
        <v>0</v>
      </c>
      <c r="L9" s="312">
        <f>DSUM(GHISO,GS_giatui,ps_phong04)</f>
        <v>0</v>
      </c>
      <c r="M9" s="312">
        <f>COUNTIF('Ghi So'!$U$14:$U$1014,'Check Phong'!J9&amp;"Close")</f>
        <v>0</v>
      </c>
    </row>
    <row r="10" spans="1:13" ht="22.5" customHeight="1">
      <c r="B10" s="316" t="str">
        <f>IF($M$9=0,"Open","Close")</f>
        <v>Open</v>
      </c>
      <c r="C10" s="314"/>
      <c r="D10" s="316" t="str">
        <f>IF($M$10=0,"Open","Close")</f>
        <v>Open</v>
      </c>
      <c r="E10" s="314"/>
      <c r="F10" s="316" t="str">
        <f>IF($M$11=0,"Open","Close")</f>
        <v>Open</v>
      </c>
      <c r="J10" s="315" t="s">
        <v>213</v>
      </c>
      <c r="K10" s="312">
        <f>DSUM(GHISO,GS_tienphong,ps_phong05)</f>
        <v>0</v>
      </c>
      <c r="L10" s="312">
        <f>DSUM(GHISO,GS_giatui,ps_phong05)</f>
        <v>0</v>
      </c>
      <c r="M10" s="312">
        <f>COUNTIF('Ghi So'!$U$14:$U$1014,'Check Phong'!J10&amp;"Close")</f>
        <v>0</v>
      </c>
    </row>
    <row r="11" spans="1:13" ht="22.5" customHeight="1">
      <c r="B11" s="314"/>
      <c r="C11" s="314"/>
      <c r="D11" s="314"/>
      <c r="E11" s="314"/>
      <c r="F11" s="314"/>
      <c r="J11" s="315" t="s">
        <v>214</v>
      </c>
      <c r="K11" s="312">
        <f>DSUM(GHISO,GS_tienphong,ps_phong06)</f>
        <v>0</v>
      </c>
      <c r="L11" s="312">
        <f>DSUM(GHISO,GS_giatui,ps_phong06)</f>
        <v>0</v>
      </c>
      <c r="M11" s="312">
        <f>COUNTIF('Ghi So'!$U$14:$U$1014,'Check Phong'!J11&amp;"Close")</f>
        <v>0</v>
      </c>
    </row>
    <row r="12" spans="1:13" ht="22.5" customHeight="1">
      <c r="B12" s="313" t="str">
        <f>$J$12</f>
        <v>E301</v>
      </c>
      <c r="C12" s="317"/>
      <c r="D12" s="313" t="str">
        <f>$J$13</f>
        <v>E302</v>
      </c>
      <c r="E12" s="317"/>
      <c r="F12" s="313" t="str">
        <f>$J$14</f>
        <v>E303</v>
      </c>
      <c r="J12" s="315" t="s">
        <v>215</v>
      </c>
      <c r="K12" s="312">
        <f>DSUM(GHISO,GS_tienphong,ps_phong07)</f>
        <v>0</v>
      </c>
      <c r="L12" s="312">
        <f>DSUM(GHISO,GS_giatui,ps_phong07)</f>
        <v>0</v>
      </c>
      <c r="M12" s="312">
        <f>COUNTIF('Ghi So'!$U$14:$U$1014,'Check Phong'!J12&amp;"Close")</f>
        <v>0</v>
      </c>
    </row>
    <row r="13" spans="1:13" ht="22.5" customHeight="1">
      <c r="B13" s="316" t="str">
        <f>IF($M$12=0,"Open","Close")</f>
        <v>Open</v>
      </c>
      <c r="C13" s="314"/>
      <c r="D13" s="316" t="str">
        <f>IF($M$13=0,"Open","Close")</f>
        <v>Open</v>
      </c>
      <c r="E13" s="314"/>
      <c r="F13" s="316" t="str">
        <f>IF($M$14=0,"Open","Close")</f>
        <v>Open</v>
      </c>
      <c r="J13" s="315" t="s">
        <v>216</v>
      </c>
      <c r="K13" s="312">
        <f>DSUM(GHISO,GS_tienphong,ps_phong08)</f>
        <v>0</v>
      </c>
      <c r="L13" s="312">
        <f>DSUM(GHISO,GS_giatui,ps_phong08)</f>
        <v>0</v>
      </c>
      <c r="M13" s="312">
        <f>COUNTIF('Ghi So'!$U$14:$U$1014,'Check Phong'!J13&amp;"Close")</f>
        <v>0</v>
      </c>
    </row>
    <row r="14" spans="1:13" ht="22.5" customHeight="1">
      <c r="B14" s="314"/>
      <c r="C14" s="314"/>
      <c r="D14" s="314"/>
      <c r="E14" s="314"/>
      <c r="F14" s="314"/>
      <c r="J14" s="315" t="s">
        <v>217</v>
      </c>
      <c r="K14" s="312">
        <f>DSUM(GHISO,GS_tienphong,ps_phong09)</f>
        <v>0</v>
      </c>
      <c r="L14" s="312">
        <f>DSUM(GHISO,GS_giatui,ps_phong09)</f>
        <v>0</v>
      </c>
      <c r="M14" s="312">
        <f>COUNTIF('Ghi So'!$U$14:$U$1014,'Check Phong'!J14&amp;"Close")</f>
        <v>0</v>
      </c>
    </row>
    <row r="15" spans="1:13" ht="22.5" customHeight="1">
      <c r="B15" s="313" t="str">
        <f>$J$15</f>
        <v>E401</v>
      </c>
      <c r="C15" s="317"/>
      <c r="D15" s="313" t="str">
        <f>$J$16</f>
        <v>E402</v>
      </c>
      <c r="E15" s="317"/>
      <c r="F15" s="313" t="str">
        <f>$J$17</f>
        <v>E403</v>
      </c>
      <c r="J15" s="315" t="s">
        <v>218</v>
      </c>
      <c r="K15" s="312">
        <f>DSUM(GHISO,GS_tienphong,ps_phong10)</f>
        <v>0</v>
      </c>
      <c r="L15" s="312">
        <f>DSUM(GHISO,GS_giatui,ps_phong10)</f>
        <v>0</v>
      </c>
      <c r="M15" s="312">
        <f>COUNTIF('Ghi So'!$U$14:$U$1014,'Check Phong'!J15&amp;"Close")</f>
        <v>0</v>
      </c>
    </row>
    <row r="16" spans="1:13" ht="22.5" customHeight="1">
      <c r="B16" s="316" t="str">
        <f>IF($M$15=0,"Open","Close")</f>
        <v>Open</v>
      </c>
      <c r="C16" s="314"/>
      <c r="D16" s="316" t="str">
        <f>IF($M$16=0,"Open","Close")</f>
        <v>Open</v>
      </c>
      <c r="E16" s="314"/>
      <c r="F16" s="316" t="str">
        <f>IF($M$17=0,"Open","Close")</f>
        <v>Open</v>
      </c>
      <c r="J16" s="315" t="s">
        <v>219</v>
      </c>
      <c r="K16" s="312">
        <f>DSUM(GHISO,GS_tienphong,ps_phong11)</f>
        <v>0</v>
      </c>
      <c r="L16" s="312">
        <f>DSUM(GHISO,GS_giatui,ps_phong11)</f>
        <v>0</v>
      </c>
      <c r="M16" s="312">
        <f>COUNTIF('Ghi So'!$U$14:$U$1014,'Check Phong'!J16&amp;"Close")</f>
        <v>0</v>
      </c>
    </row>
    <row r="17" spans="2:13" ht="22.5" customHeight="1">
      <c r="B17" s="314"/>
      <c r="C17" s="314"/>
      <c r="D17" s="314"/>
      <c r="E17" s="314"/>
      <c r="F17" s="314"/>
      <c r="J17" s="315" t="s">
        <v>220</v>
      </c>
      <c r="K17" s="312">
        <f>DSUM(GHISO,GS_tienphong,ps_phong12)</f>
        <v>0</v>
      </c>
      <c r="L17" s="312">
        <f>DSUM(GHISO,GS_giatui,ps_phong12)</f>
        <v>0</v>
      </c>
      <c r="M17" s="312">
        <f>COUNTIF('Ghi So'!$U$14:$U$1014,'Check Phong'!J17&amp;"Close")</f>
        <v>0</v>
      </c>
    </row>
    <row r="18" spans="2:13" ht="22.5" customHeight="1">
      <c r="B18" s="313" t="str">
        <f>$J$18</f>
        <v>E501</v>
      </c>
      <c r="C18" s="317"/>
      <c r="D18" s="313" t="str">
        <f>$J$19</f>
        <v>E502</v>
      </c>
      <c r="E18" s="317"/>
      <c r="F18" s="313" t="str">
        <f>$J$20</f>
        <v>E503</v>
      </c>
      <c r="J18" s="315" t="s">
        <v>221</v>
      </c>
      <c r="K18" s="312">
        <f>DSUM(GHISO,GS_tienphong,ps_phong13)</f>
        <v>0</v>
      </c>
      <c r="L18" s="312">
        <f>DSUM(GHISO,GS_giatui,ps_phong13)</f>
        <v>0</v>
      </c>
      <c r="M18" s="312">
        <f>COUNTIF('Ghi So'!$U$14:$U$1014,'Check Phong'!J18&amp;"Close")</f>
        <v>0</v>
      </c>
    </row>
    <row r="19" spans="2:13" ht="22.5" customHeight="1">
      <c r="B19" s="316" t="str">
        <f>IF($M$18=0,"Open","Close")</f>
        <v>Open</v>
      </c>
      <c r="C19" s="318"/>
      <c r="D19" s="316" t="str">
        <f>IF($M$19=0,"Open","Close")</f>
        <v>Open</v>
      </c>
      <c r="E19" s="318"/>
      <c r="F19" s="316" t="str">
        <f>IF($M$20=0,"Open","Close")</f>
        <v>Open</v>
      </c>
      <c r="J19" s="315" t="s">
        <v>222</v>
      </c>
      <c r="K19" s="312">
        <f>DSUM(GHISO,GS_tienphong,ps_phong14)</f>
        <v>0</v>
      </c>
      <c r="L19" s="312">
        <f>DSUM(GHISO,GS_giatui,ps_phong14)</f>
        <v>0</v>
      </c>
      <c r="M19" s="312">
        <f>COUNTIF('Ghi So'!$U$14:$U$1014,'Check Phong'!J19&amp;"Close")</f>
        <v>0</v>
      </c>
    </row>
    <row r="20" spans="2:13" ht="22.5" customHeight="1">
      <c r="J20" s="315" t="s">
        <v>223</v>
      </c>
      <c r="K20" s="312">
        <f>DSUM(GHISO,GS_tienphong,ps_phong15)</f>
        <v>0</v>
      </c>
      <c r="L20" s="312">
        <f>DSUM(GHISO,GS_giatui,ps_phong15)</f>
        <v>0</v>
      </c>
      <c r="M20" s="312">
        <f>COUNTIF('Ghi So'!$U$14:$U$1014,'Check Phong'!J20&amp;"Close")</f>
        <v>0</v>
      </c>
    </row>
  </sheetData>
  <sheetProtection sheet="1" objects="1" scenarios="1"/>
  <mergeCells count="3">
    <mergeCell ref="B4:F4"/>
    <mergeCell ref="J4:J5"/>
    <mergeCell ref="A1:A2"/>
  </mergeCells>
  <hyperlinks>
    <hyperlink ref="A1:A2" location="MENU!A1" display="MENU"/>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79998168889431442"/>
  </sheetPr>
  <dimension ref="A1:G32"/>
  <sheetViews>
    <sheetView showGridLines="0" showZeros="0" zoomScale="90" zoomScaleNormal="90" workbookViewId="0">
      <pane xSplit="5" ySplit="28" topLeftCell="F29" activePane="bottomRight" state="frozen"/>
      <selection pane="topRight" activeCell="F1" sqref="F1"/>
      <selection pane="bottomLeft" activeCell="A28" sqref="A28"/>
      <selection pane="bottomRight" activeCell="C25" sqref="C25:E25"/>
    </sheetView>
  </sheetViews>
  <sheetFormatPr defaultColWidth="0" defaultRowHeight="12.75" zeroHeight="1"/>
  <cols>
    <col min="1" max="1" width="9.140625" style="172" customWidth="1"/>
    <col min="2" max="2" width="31.28515625" style="172" customWidth="1"/>
    <col min="3" max="3" width="15.28515625" style="172" customWidth="1"/>
    <col min="4" max="4" width="15" style="172" customWidth="1"/>
    <col min="5" max="5" width="20.85546875" style="172" customWidth="1"/>
    <col min="6" max="7" width="9.140625" style="347" customWidth="1"/>
    <col min="8" max="16384" width="9.140625" style="172" hidden="1"/>
  </cols>
  <sheetData>
    <row r="1" spans="1:7" ht="19.5" customHeight="1">
      <c r="A1" s="171"/>
      <c r="B1" s="420" t="s">
        <v>180</v>
      </c>
      <c r="C1" s="418" t="s">
        <v>226</v>
      </c>
      <c r="D1" s="348"/>
      <c r="E1" s="412" t="s">
        <v>3</v>
      </c>
      <c r="F1" s="171"/>
      <c r="G1" s="171"/>
    </row>
    <row r="2" spans="1:7">
      <c r="A2" s="171"/>
      <c r="B2" s="421"/>
      <c r="C2" s="419"/>
      <c r="D2" s="349"/>
      <c r="E2" s="412"/>
      <c r="F2" s="171"/>
      <c r="G2" s="171"/>
    </row>
    <row r="3" spans="1:7" ht="16.5" customHeight="1">
      <c r="A3" s="171"/>
      <c r="B3" s="416" t="str">
        <f>TongHop!B5</f>
        <v>Đơn vị: Khách sạn A</v>
      </c>
      <c r="C3" s="416"/>
      <c r="D3" s="416"/>
      <c r="E3" s="416"/>
      <c r="F3" s="171"/>
      <c r="G3" s="171"/>
    </row>
    <row r="4" spans="1:7" ht="16.5" customHeight="1">
      <c r="A4" s="171"/>
      <c r="B4" s="416" t="str">
        <f>TongHop!B6</f>
        <v>Bộ phận: Kế toán</v>
      </c>
      <c r="C4" s="417"/>
      <c r="D4" s="417"/>
      <c r="E4" s="417"/>
      <c r="F4" s="171"/>
      <c r="G4" s="171"/>
    </row>
    <row r="5" spans="1:7" ht="7.5" customHeight="1">
      <c r="A5" s="171"/>
      <c r="B5" s="238"/>
      <c r="C5" s="238"/>
      <c r="D5" s="238"/>
      <c r="E5" s="238"/>
      <c r="F5" s="171"/>
      <c r="G5" s="171"/>
    </row>
    <row r="6" spans="1:7" ht="20.25">
      <c r="A6" s="171"/>
      <c r="B6" s="413" t="s">
        <v>181</v>
      </c>
      <c r="C6" s="413"/>
      <c r="D6" s="413"/>
      <c r="E6" s="413"/>
      <c r="F6" s="171"/>
      <c r="G6" s="171"/>
    </row>
    <row r="7" spans="1:7" ht="7.5" customHeight="1">
      <c r="A7" s="171"/>
      <c r="B7" s="238"/>
      <c r="C7" s="238"/>
      <c r="D7" s="238"/>
      <c r="E7" s="238"/>
      <c r="F7" s="171"/>
      <c r="G7" s="171"/>
    </row>
    <row r="8" spans="1:7" ht="16.5" customHeight="1">
      <c r="A8" s="171"/>
      <c r="B8" s="239" t="s">
        <v>182</v>
      </c>
      <c r="C8" s="127" t="str">
        <f>VLOOKUP($C$1,A1_GHI_SO,3,0)</f>
        <v>E101</v>
      </c>
      <c r="D8" s="238"/>
      <c r="E8" s="238"/>
      <c r="F8" s="171"/>
      <c r="G8" s="171"/>
    </row>
    <row r="9" spans="1:7" ht="16.5" customHeight="1">
      <c r="A9" s="171"/>
      <c r="B9" s="238" t="s">
        <v>183</v>
      </c>
      <c r="C9" s="237" t="str">
        <f>VLOOKUP($C$1,A1_GHI_SO,4,0)&amp;" h "&amp;TEXT(VLOOKUP($C$1,A1_GHI_SO,5,0),"0#")&amp;" phút"</f>
        <v>9 h 0 phút</v>
      </c>
      <c r="D9" s="237" t="s">
        <v>185</v>
      </c>
      <c r="E9" s="240">
        <f>VLOOKUP($C$1,A1_GHI_SO,2,0)</f>
        <v>41883</v>
      </c>
      <c r="F9" s="171"/>
      <c r="G9" s="171"/>
    </row>
    <row r="10" spans="1:7" ht="16.5" customHeight="1">
      <c r="A10" s="171"/>
      <c r="B10" s="239" t="s">
        <v>184</v>
      </c>
      <c r="C10" s="237" t="str">
        <f>VLOOKUP($C$1,A1_GHI_SO,6,0)&amp;" h "&amp;TEXT(VLOOKUP($C$1,A1_GHI_SO,7,0),"0#")&amp;" phút"</f>
        <v>11 h 47 phút</v>
      </c>
      <c r="D10" s="237" t="s">
        <v>185</v>
      </c>
      <c r="E10" s="240">
        <f>IF(VLOOKUP($C$1,A1_GHI_SO,8,0)=0,E9,VLOOKUP($C$1,A1_GHI_SO,8,0))</f>
        <v>41883</v>
      </c>
      <c r="F10" s="171"/>
      <c r="G10" s="171"/>
    </row>
    <row r="11" spans="1:7" ht="6" customHeight="1">
      <c r="A11" s="171"/>
      <c r="B11" s="238"/>
      <c r="C11" s="238"/>
      <c r="D11" s="238"/>
      <c r="E11" s="238"/>
      <c r="F11" s="171"/>
      <c r="G11" s="171"/>
    </row>
    <row r="12" spans="1:7" ht="18.75" customHeight="1">
      <c r="A12" s="171"/>
      <c r="B12" s="241" t="s">
        <v>186</v>
      </c>
      <c r="C12" s="241" t="s">
        <v>188</v>
      </c>
      <c r="D12" s="241" t="s">
        <v>189</v>
      </c>
      <c r="E12" s="241" t="s">
        <v>190</v>
      </c>
      <c r="F12" s="171"/>
      <c r="G12" s="171"/>
    </row>
    <row r="13" spans="1:7" ht="18.75" customHeight="1">
      <c r="A13" s="171"/>
      <c r="B13" s="242" t="s">
        <v>187</v>
      </c>
      <c r="C13" s="243"/>
      <c r="D13" s="243"/>
      <c r="E13" s="244">
        <f>SUMIF('Ghi So'!$B$14:$B$1013,In!$C$1,'Ghi So'!$O$14:$O$1014)</f>
        <v>80000</v>
      </c>
      <c r="F13" s="171"/>
      <c r="G13" s="171"/>
    </row>
    <row r="14" spans="1:7" ht="18.75" customHeight="1">
      <c r="A14" s="171"/>
      <c r="B14" s="245" t="s">
        <v>191</v>
      </c>
      <c r="C14" s="246"/>
      <c r="D14" s="246"/>
      <c r="E14" s="247">
        <f>SUM(E15:E23)</f>
        <v>40000</v>
      </c>
      <c r="F14" s="171"/>
      <c r="G14" s="171"/>
    </row>
    <row r="15" spans="1:7" ht="15" customHeight="1">
      <c r="A15" s="350">
        <v>1</v>
      </c>
      <c r="B15" s="248" t="str">
        <f t="shared" ref="B15:B23" si="0">IF(ISERROR(VLOOKUP($A15,Loc_NX,4,0)),"",VLOOKUP($A15,Loc_NX,4,0))</f>
        <v>Bao cao su</v>
      </c>
      <c r="C15" s="249">
        <f t="shared" ref="C15:C23" si="1">IF($B15="",0,VLOOKUP($A15,Loc_NX,7,0))</f>
        <v>1</v>
      </c>
      <c r="D15" s="249">
        <f t="shared" ref="D15:D23" si="2">IF($B15="",0,VLOOKUP($A15,Loc_NX,8,0))</f>
        <v>20000</v>
      </c>
      <c r="E15" s="249">
        <f t="shared" ref="E15:E23" si="3">IF($B15="",0,VLOOKUP($A15,Loc_NX,9,0))</f>
        <v>20000</v>
      </c>
      <c r="F15" s="171"/>
      <c r="G15" s="171"/>
    </row>
    <row r="16" spans="1:7" ht="15" customHeight="1">
      <c r="A16" s="350">
        <v>2</v>
      </c>
      <c r="B16" s="248" t="str">
        <f t="shared" si="0"/>
        <v>Bia</v>
      </c>
      <c r="C16" s="249">
        <f t="shared" si="1"/>
        <v>2</v>
      </c>
      <c r="D16" s="249">
        <f t="shared" si="2"/>
        <v>10000</v>
      </c>
      <c r="E16" s="249">
        <f t="shared" si="3"/>
        <v>20000</v>
      </c>
      <c r="F16" s="171"/>
      <c r="G16" s="171"/>
    </row>
    <row r="17" spans="1:7" ht="15" customHeight="1">
      <c r="A17" s="350">
        <v>3</v>
      </c>
      <c r="B17" s="248" t="str">
        <f t="shared" si="0"/>
        <v/>
      </c>
      <c r="C17" s="249">
        <f t="shared" si="1"/>
        <v>0</v>
      </c>
      <c r="D17" s="249">
        <f t="shared" si="2"/>
        <v>0</v>
      </c>
      <c r="E17" s="249">
        <f t="shared" si="3"/>
        <v>0</v>
      </c>
      <c r="F17" s="171"/>
      <c r="G17" s="171"/>
    </row>
    <row r="18" spans="1:7" ht="15" customHeight="1">
      <c r="A18" s="350">
        <v>4</v>
      </c>
      <c r="B18" s="248" t="str">
        <f t="shared" si="0"/>
        <v/>
      </c>
      <c r="C18" s="249">
        <f t="shared" si="1"/>
        <v>0</v>
      </c>
      <c r="D18" s="249">
        <f t="shared" si="2"/>
        <v>0</v>
      </c>
      <c r="E18" s="249">
        <f t="shared" si="3"/>
        <v>0</v>
      </c>
      <c r="F18" s="171"/>
      <c r="G18" s="171"/>
    </row>
    <row r="19" spans="1:7" ht="15" customHeight="1">
      <c r="A19" s="350">
        <v>5</v>
      </c>
      <c r="B19" s="248" t="str">
        <f t="shared" si="0"/>
        <v/>
      </c>
      <c r="C19" s="249">
        <f t="shared" si="1"/>
        <v>0</v>
      </c>
      <c r="D19" s="249">
        <f t="shared" si="2"/>
        <v>0</v>
      </c>
      <c r="E19" s="249">
        <f t="shared" si="3"/>
        <v>0</v>
      </c>
      <c r="F19" s="171"/>
      <c r="G19" s="171"/>
    </row>
    <row r="20" spans="1:7" ht="15" customHeight="1">
      <c r="A20" s="350">
        <v>6</v>
      </c>
      <c r="B20" s="248" t="str">
        <f t="shared" si="0"/>
        <v/>
      </c>
      <c r="C20" s="249">
        <f t="shared" si="1"/>
        <v>0</v>
      </c>
      <c r="D20" s="249">
        <f t="shared" si="2"/>
        <v>0</v>
      </c>
      <c r="E20" s="249">
        <f t="shared" si="3"/>
        <v>0</v>
      </c>
      <c r="F20" s="171"/>
      <c r="G20" s="171"/>
    </row>
    <row r="21" spans="1:7" ht="15" customHeight="1">
      <c r="A21" s="350">
        <v>7</v>
      </c>
      <c r="B21" s="248" t="str">
        <f t="shared" si="0"/>
        <v/>
      </c>
      <c r="C21" s="249">
        <f t="shared" si="1"/>
        <v>0</v>
      </c>
      <c r="D21" s="249">
        <f t="shared" si="2"/>
        <v>0</v>
      </c>
      <c r="E21" s="249">
        <f t="shared" si="3"/>
        <v>0</v>
      </c>
      <c r="F21" s="171"/>
      <c r="G21" s="171"/>
    </row>
    <row r="22" spans="1:7" ht="15" customHeight="1">
      <c r="A22" s="350">
        <v>8</v>
      </c>
      <c r="B22" s="248" t="str">
        <f t="shared" si="0"/>
        <v/>
      </c>
      <c r="C22" s="249">
        <f t="shared" si="1"/>
        <v>0</v>
      </c>
      <c r="D22" s="249">
        <f t="shared" si="2"/>
        <v>0</v>
      </c>
      <c r="E22" s="249">
        <f t="shared" si="3"/>
        <v>0</v>
      </c>
      <c r="F22" s="171"/>
      <c r="G22" s="171"/>
    </row>
    <row r="23" spans="1:7" ht="15" customHeight="1">
      <c r="A23" s="350">
        <v>9</v>
      </c>
      <c r="B23" s="248" t="str">
        <f t="shared" si="0"/>
        <v/>
      </c>
      <c r="C23" s="249">
        <f t="shared" si="1"/>
        <v>0</v>
      </c>
      <c r="D23" s="249">
        <f t="shared" si="2"/>
        <v>0</v>
      </c>
      <c r="E23" s="249">
        <f t="shared" si="3"/>
        <v>0</v>
      </c>
      <c r="F23" s="171"/>
      <c r="G23" s="171"/>
    </row>
    <row r="24" spans="1:7" ht="6" customHeight="1">
      <c r="A24" s="171"/>
      <c r="B24" s="238"/>
      <c r="C24" s="238"/>
      <c r="D24" s="238"/>
      <c r="E24" s="238"/>
      <c r="F24" s="171"/>
      <c r="G24" s="171"/>
    </row>
    <row r="25" spans="1:7" ht="16.5" customHeight="1">
      <c r="A25" s="171"/>
      <c r="B25" s="238"/>
      <c r="C25" s="414">
        <f>E10</f>
        <v>41883</v>
      </c>
      <c r="D25" s="414"/>
      <c r="E25" s="414"/>
      <c r="F25" s="171"/>
      <c r="G25" s="171"/>
    </row>
    <row r="26" spans="1:7" ht="16.5" customHeight="1">
      <c r="A26" s="171"/>
      <c r="B26" s="238"/>
      <c r="C26" s="415" t="s">
        <v>192</v>
      </c>
      <c r="D26" s="415"/>
      <c r="E26" s="415"/>
      <c r="F26" s="171"/>
      <c r="G26" s="171"/>
    </row>
    <row r="27" spans="1:7" ht="16.5" customHeight="1">
      <c r="A27" s="171"/>
      <c r="B27" s="238"/>
      <c r="C27" s="238"/>
      <c r="D27" s="238"/>
      <c r="E27" s="238"/>
      <c r="F27" s="171"/>
      <c r="G27" s="171"/>
    </row>
    <row r="28" spans="1:7" ht="16.5" customHeight="1">
      <c r="A28" s="171"/>
      <c r="B28" s="238"/>
      <c r="C28" s="238"/>
      <c r="D28" s="238"/>
      <c r="E28" s="238"/>
      <c r="F28" s="171"/>
      <c r="G28" s="171"/>
    </row>
    <row r="29" spans="1:7">
      <c r="A29" s="171"/>
      <c r="B29" s="171"/>
      <c r="C29" s="171"/>
      <c r="D29" s="171"/>
      <c r="E29" s="171"/>
      <c r="F29" s="171"/>
      <c r="G29" s="171"/>
    </row>
    <row r="30" spans="1:7">
      <c r="A30" s="171"/>
      <c r="B30" s="171"/>
      <c r="C30" s="171"/>
      <c r="D30" s="171"/>
      <c r="E30" s="171"/>
      <c r="F30" s="171"/>
      <c r="G30" s="171"/>
    </row>
    <row r="31" spans="1:7">
      <c r="A31" s="171"/>
      <c r="B31" s="171"/>
      <c r="C31" s="171"/>
      <c r="D31" s="171"/>
      <c r="E31" s="171"/>
      <c r="F31" s="171"/>
      <c r="G31" s="171"/>
    </row>
    <row r="32" spans="1:7"/>
  </sheetData>
  <mergeCells count="8">
    <mergeCell ref="E1:E2"/>
    <mergeCell ref="B6:E6"/>
    <mergeCell ref="C25:E25"/>
    <mergeCell ref="C26:E26"/>
    <mergeCell ref="B3:E3"/>
    <mergeCell ref="B4:E4"/>
    <mergeCell ref="C1:C2"/>
    <mergeCell ref="B1:B2"/>
  </mergeCells>
  <hyperlinks>
    <hyperlink ref="E1:E2" location="MENU!A1" display="MENU"/>
  </hyperlinks>
  <printOptions horizontalCentered="1"/>
  <pageMargins left="0.31496062992125984" right="0.31496062992125984" top="0.35433070866141736" bottom="0.19685039370078741" header="0.31496062992125984" footer="0.31496062992125984"/>
  <pageSetup paperSize="11" orientation="landscape" r:id="rId1"/>
</worksheet>
</file>

<file path=xl/worksheets/sheet8.xml><?xml version="1.0" encoding="utf-8"?>
<worksheet xmlns="http://schemas.openxmlformats.org/spreadsheetml/2006/main" xmlns:r="http://schemas.openxmlformats.org/officeDocument/2006/relationships">
  <sheetPr>
    <tabColor theme="4" tint="0.79998168889431442"/>
  </sheetPr>
  <dimension ref="A1:L1010"/>
  <sheetViews>
    <sheetView showGridLines="0" workbookViewId="0">
      <pane xSplit="3" ySplit="7" topLeftCell="D8" activePane="bottomRight" state="frozen"/>
      <selection pane="topRight" activeCell="D1" sqref="D1"/>
      <selection pane="bottomLeft" activeCell="A8" sqref="A8"/>
      <selection pane="bottomRight" activeCell="D25" sqref="D25"/>
    </sheetView>
  </sheetViews>
  <sheetFormatPr defaultColWidth="0" defaultRowHeight="15.75" zeroHeight="1"/>
  <cols>
    <col min="1" max="1" width="2.85546875" style="252" customWidth="1"/>
    <col min="2" max="2" width="4.7109375" style="253" customWidth="1"/>
    <col min="3" max="3" width="10.85546875" style="252" customWidth="1"/>
    <col min="4" max="4" width="29.85546875" style="252" customWidth="1"/>
    <col min="5" max="5" width="7.140625" style="120" customWidth="1"/>
    <col min="6" max="6" width="11.5703125" style="254" customWidth="1"/>
    <col min="7" max="8" width="10.28515625" style="254" customWidth="1"/>
    <col min="9" max="11" width="9.140625" style="250" hidden="1" customWidth="1"/>
    <col min="12" max="12" width="9.140625" style="252" customWidth="1"/>
    <col min="13" max="16384" width="9.140625" style="252" hidden="1"/>
  </cols>
  <sheetData>
    <row r="1" spans="2:12">
      <c r="B1" s="422" t="s">
        <v>3</v>
      </c>
      <c r="C1" s="423"/>
      <c r="D1" s="425"/>
      <c r="E1" s="426"/>
      <c r="F1" s="426"/>
      <c r="G1" s="426"/>
      <c r="H1" s="427"/>
      <c r="L1" s="251"/>
    </row>
    <row r="2" spans="2:12">
      <c r="B2" s="422"/>
      <c r="C2" s="423"/>
      <c r="D2" s="428"/>
      <c r="E2" s="429"/>
      <c r="F2" s="429"/>
      <c r="G2" s="429"/>
      <c r="H2" s="430"/>
      <c r="L2" s="251"/>
    </row>
    <row r="3" spans="2:12" ht="3.75" customHeight="1">
      <c r="L3" s="251"/>
    </row>
    <row r="4" spans="2:12" ht="22.5" customHeight="1">
      <c r="B4" s="424" t="s">
        <v>232</v>
      </c>
      <c r="C4" s="424"/>
      <c r="D4" s="424"/>
      <c r="E4" s="424"/>
      <c r="F4" s="424"/>
      <c r="G4" s="424"/>
      <c r="H4" s="424"/>
      <c r="L4" s="251"/>
    </row>
    <row r="5" spans="2:12" ht="3.75" customHeight="1" thickBot="1">
      <c r="L5" s="251"/>
    </row>
    <row r="6" spans="2:12" ht="30" customHeight="1">
      <c r="B6" s="255" t="s">
        <v>15</v>
      </c>
      <c r="C6" s="256" t="s">
        <v>16</v>
      </c>
      <c r="D6" s="256" t="s">
        <v>17</v>
      </c>
      <c r="E6" s="256" t="s">
        <v>18</v>
      </c>
      <c r="F6" s="257" t="s">
        <v>19</v>
      </c>
      <c r="G6" s="258" t="s">
        <v>126</v>
      </c>
      <c r="H6" s="259" t="s">
        <v>127</v>
      </c>
      <c r="I6" s="260" t="s">
        <v>29</v>
      </c>
      <c r="J6" s="261" t="s">
        <v>30</v>
      </c>
      <c r="K6" s="261" t="s">
        <v>31</v>
      </c>
      <c r="L6" s="251"/>
    </row>
    <row r="7" spans="2:12" ht="15" customHeight="1">
      <c r="B7" s="262">
        <f>COLUMN()-COLUMN($A$1)</f>
        <v>1</v>
      </c>
      <c r="C7" s="263">
        <f t="shared" ref="C7:K7" si="0">COLUMN()-COLUMN($A$1)</f>
        <v>2</v>
      </c>
      <c r="D7" s="263">
        <f t="shared" si="0"/>
        <v>3</v>
      </c>
      <c r="E7" s="263">
        <f t="shared" si="0"/>
        <v>4</v>
      </c>
      <c r="F7" s="264">
        <f t="shared" si="0"/>
        <v>5</v>
      </c>
      <c r="G7" s="265"/>
      <c r="H7" s="266">
        <f t="shared" si="0"/>
        <v>7</v>
      </c>
      <c r="I7" s="267">
        <f t="shared" si="0"/>
        <v>8</v>
      </c>
      <c r="J7" s="268">
        <f t="shared" si="0"/>
        <v>9</v>
      </c>
      <c r="K7" s="268">
        <f t="shared" si="0"/>
        <v>10</v>
      </c>
      <c r="L7" s="251"/>
    </row>
    <row r="8" spans="2:12" s="273" customFormat="1" ht="15" customHeight="1">
      <c r="B8" s="269">
        <v>1</v>
      </c>
      <c r="C8" s="97" t="s">
        <v>229</v>
      </c>
      <c r="D8" s="98" t="s">
        <v>109</v>
      </c>
      <c r="E8" s="286" t="s">
        <v>13</v>
      </c>
      <c r="F8" s="287">
        <v>0</v>
      </c>
      <c r="G8" s="288">
        <v>12000</v>
      </c>
      <c r="H8" s="289">
        <v>17000</v>
      </c>
      <c r="I8" s="270">
        <f>DSUM(A1_NHAP_XUAT,NX_cot_SLNhap,td_hang001)-DSUM(A1_NHAP_XUAT,NX_cot_SLXuat,td_hang001)+F8</f>
        <v>0</v>
      </c>
      <c r="J8" s="271">
        <f>DSUM(A1_NHAP_XUAT,NX_cot_SLNhap,ps_hang001)</f>
        <v>20</v>
      </c>
      <c r="K8" s="271">
        <f>DSUM(A1_NHAP_XUAT,NX_cot_SLXuat,ps_hang001)</f>
        <v>0</v>
      </c>
      <c r="L8" s="272"/>
    </row>
    <row r="9" spans="2:12" ht="15" customHeight="1">
      <c r="B9" s="274">
        <v>2</v>
      </c>
      <c r="C9" s="97" t="s">
        <v>110</v>
      </c>
      <c r="D9" s="98" t="s">
        <v>111</v>
      </c>
      <c r="E9" s="286" t="s">
        <v>13</v>
      </c>
      <c r="F9" s="287">
        <v>0</v>
      </c>
      <c r="G9" s="288">
        <v>10000</v>
      </c>
      <c r="H9" s="290">
        <v>20000</v>
      </c>
      <c r="I9" s="270">
        <f>DSUM(A1_NHAP_XUAT,NX_cot_SLNhap,td_hang002)-DSUM(A1_NHAP_XUAT,NX_cot_SLXuat,td_hang002)+F9</f>
        <v>0</v>
      </c>
      <c r="J9" s="271">
        <f>DSUM(A1_NHAP_XUAT,NX_cot_SLNhap,ps_hang002)</f>
        <v>20</v>
      </c>
      <c r="K9" s="271">
        <f>DSUM(A1_NHAP_XUAT,NX_cot_SLXuat,ps_hang002)</f>
        <v>1</v>
      </c>
      <c r="L9" s="251"/>
    </row>
    <row r="10" spans="2:12" ht="15" customHeight="1">
      <c r="B10" s="274">
        <v>3</v>
      </c>
      <c r="C10" s="97" t="s">
        <v>112</v>
      </c>
      <c r="D10" s="98" t="s">
        <v>113</v>
      </c>
      <c r="E10" s="286" t="s">
        <v>123</v>
      </c>
      <c r="F10" s="287">
        <v>0</v>
      </c>
      <c r="G10" s="288">
        <v>7000</v>
      </c>
      <c r="H10" s="290">
        <v>10000</v>
      </c>
      <c r="I10" s="270">
        <f>DSUM(A1_NHAP_XUAT,NX_cot_SLNhap,td_hang003)-DSUM(A1_NHAP_XUAT,NX_cot_SLXuat,td_hang003)+F10</f>
        <v>0</v>
      </c>
      <c r="J10" s="271">
        <f>DSUM(A1_NHAP_XUAT,NX_cot_SLNhap,ps_hang003)</f>
        <v>20</v>
      </c>
      <c r="K10" s="271">
        <f>DSUM(A1_NHAP_XUAT,NX_cot_SLXuat,ps_hang003)</f>
        <v>2</v>
      </c>
      <c r="L10" s="251"/>
    </row>
    <row r="11" spans="2:12" ht="15" customHeight="1">
      <c r="B11" s="274">
        <v>4</v>
      </c>
      <c r="C11" s="97" t="s">
        <v>114</v>
      </c>
      <c r="D11" s="104" t="s">
        <v>115</v>
      </c>
      <c r="E11" s="291" t="s">
        <v>13</v>
      </c>
      <c r="F11" s="292">
        <v>0</v>
      </c>
      <c r="G11" s="293">
        <v>7000</v>
      </c>
      <c r="H11" s="290">
        <v>10000</v>
      </c>
      <c r="I11" s="270">
        <f>DSUM(A1_NHAP_XUAT,NX_cot_SLNhap,td_hang004)-DSUM(A1_NHAP_XUAT,NX_cot_SLXuat,td_hang004)+F11</f>
        <v>0</v>
      </c>
      <c r="J11" s="271">
        <f>DSUM(A1_NHAP_XUAT,NX_cot_SLNhap,ps_hang004)</f>
        <v>20</v>
      </c>
      <c r="K11" s="271">
        <f>DSUM(A1_NHAP_XUAT,NX_cot_SLXuat,ps_hang004)</f>
        <v>0</v>
      </c>
      <c r="L11" s="251"/>
    </row>
    <row r="12" spans="2:12" ht="15" customHeight="1">
      <c r="B12" s="274">
        <v>5</v>
      </c>
      <c r="C12" s="97" t="s">
        <v>116</v>
      </c>
      <c r="D12" s="104" t="s">
        <v>156</v>
      </c>
      <c r="E12" s="291" t="s">
        <v>124</v>
      </c>
      <c r="F12" s="292">
        <v>0</v>
      </c>
      <c r="G12" s="293">
        <v>5000</v>
      </c>
      <c r="H12" s="290">
        <v>10000</v>
      </c>
      <c r="I12" s="270">
        <f>DSUM(A1_NHAP_XUAT,NX_cot_SLNhap,td_hang005)-DSUM(A1_NHAP_XUAT,NX_cot_SLXuat,td_hang005)+F12</f>
        <v>0</v>
      </c>
      <c r="J12" s="271">
        <f>DSUM(A1_NHAP_XUAT,NX_cot_SLNhap,ps_hang005)</f>
        <v>20</v>
      </c>
      <c r="K12" s="271">
        <f>DSUM(A1_NHAP_XUAT,NX_cot_SLXuat,ps_hang005)</f>
        <v>2</v>
      </c>
      <c r="L12" s="251"/>
    </row>
    <row r="13" spans="2:12" ht="15" customHeight="1">
      <c r="B13" s="274">
        <v>6</v>
      </c>
      <c r="C13" s="97" t="s">
        <v>117</v>
      </c>
      <c r="D13" s="104" t="s">
        <v>118</v>
      </c>
      <c r="E13" s="291" t="s">
        <v>123</v>
      </c>
      <c r="F13" s="292">
        <v>0</v>
      </c>
      <c r="G13" s="293">
        <v>10000</v>
      </c>
      <c r="H13" s="290">
        <v>15000</v>
      </c>
      <c r="I13" s="270">
        <f>DSUM(A1_NHAP_XUAT,NX_cot_SLNhap,td_hang006)-DSUM(A1_NHAP_XUAT,NX_cot_SLXuat,td_hang006)+F13</f>
        <v>0</v>
      </c>
      <c r="J13" s="271">
        <f>DSUM(A1_NHAP_XUAT,NX_cot_SLNhap,ps_hang006)</f>
        <v>20</v>
      </c>
      <c r="K13" s="271">
        <f>DSUM(A1_NHAP_XUAT,NX_cot_SLXuat,ps_hang006)</f>
        <v>0</v>
      </c>
      <c r="L13" s="251"/>
    </row>
    <row r="14" spans="2:12" ht="15" customHeight="1">
      <c r="B14" s="274">
        <v>7</v>
      </c>
      <c r="C14" s="97" t="s">
        <v>119</v>
      </c>
      <c r="D14" s="104" t="s">
        <v>120</v>
      </c>
      <c r="E14" s="291" t="s">
        <v>108</v>
      </c>
      <c r="F14" s="292">
        <v>0</v>
      </c>
      <c r="G14" s="293">
        <v>15000</v>
      </c>
      <c r="H14" s="290">
        <v>25000</v>
      </c>
      <c r="I14" s="270">
        <f>DSUM(A1_NHAP_XUAT,NX_cot_SLNhap,td_hang007)-DSUM(A1_NHAP_XUAT,NX_cot_SLXuat,td_hang007)+F14</f>
        <v>0</v>
      </c>
      <c r="J14" s="271">
        <f>DSUM(A1_NHAP_XUAT,NX_cot_SLNhap,ps_hang007)</f>
        <v>20</v>
      </c>
      <c r="K14" s="271">
        <f>DSUM(A1_NHAP_XUAT,NX_cot_SLXuat,ps_hang007)</f>
        <v>0</v>
      </c>
      <c r="L14" s="251"/>
    </row>
    <row r="15" spans="2:12" ht="15" customHeight="1">
      <c r="B15" s="274">
        <v>8</v>
      </c>
      <c r="C15" s="97" t="s">
        <v>121</v>
      </c>
      <c r="D15" s="104" t="s">
        <v>122</v>
      </c>
      <c r="E15" s="291" t="s">
        <v>125</v>
      </c>
      <c r="F15" s="292">
        <v>0</v>
      </c>
      <c r="G15" s="293">
        <v>3000</v>
      </c>
      <c r="H15" s="290">
        <v>5000</v>
      </c>
      <c r="I15" s="270">
        <f>DSUM(A1_NHAP_XUAT,NX_cot_SLNhap,td_hang008)-DSUM(A1_NHAP_XUAT,NX_cot_SLXuat,td_hang008)+F15</f>
        <v>0</v>
      </c>
      <c r="J15" s="271">
        <f>DSUM(A1_NHAP_XUAT,NX_cot_SLNhap,ps_hang008)</f>
        <v>20</v>
      </c>
      <c r="K15" s="271">
        <f>DSUM(A1_NHAP_XUAT,NX_cot_SLXuat,ps_hang008)</f>
        <v>0</v>
      </c>
      <c r="L15" s="251"/>
    </row>
    <row r="16" spans="2:12" ht="15" customHeight="1">
      <c r="B16" s="274">
        <v>9</v>
      </c>
      <c r="C16" s="97"/>
      <c r="D16" s="104"/>
      <c r="E16" s="291"/>
      <c r="F16" s="292"/>
      <c r="G16" s="293"/>
      <c r="H16" s="290"/>
      <c r="I16" s="270">
        <f>DSUM(A1_NHAP_XUAT,NX_cot_SLNhap,td_hang009)-DSUM(A1_NHAP_XUAT,NX_cot_SLXuat,td_hang009)+F16</f>
        <v>0</v>
      </c>
      <c r="J16" s="271">
        <f>DSUM(A1_NHAP_XUAT,NX_cot_SLNhap,ps_hang009)</f>
        <v>0</v>
      </c>
      <c r="K16" s="271">
        <f>DSUM(A1_NHAP_XUAT,NX_cot_SLXuat,ps_hang009)</f>
        <v>0</v>
      </c>
      <c r="L16" s="251"/>
    </row>
    <row r="17" spans="2:12" ht="15" customHeight="1">
      <c r="B17" s="274">
        <v>10</v>
      </c>
      <c r="C17" s="97"/>
      <c r="D17" s="104"/>
      <c r="E17" s="291"/>
      <c r="F17" s="292"/>
      <c r="G17" s="293"/>
      <c r="H17" s="290"/>
      <c r="I17" s="270">
        <f>DSUM(A1_NHAP_XUAT,NX_cot_SLNhap,td_hang010)-DSUM(A1_NHAP_XUAT,NX_cot_SLXuat,td_hang010)+F17</f>
        <v>0</v>
      </c>
      <c r="J17" s="271">
        <f>DSUM(A1_NHAP_XUAT,NX_cot_SLNhap,ps_hang010)</f>
        <v>0</v>
      </c>
      <c r="K17" s="271">
        <f>DSUM(A1_NHAP_XUAT,NX_cot_SLXuat,ps_hang010)</f>
        <v>0</v>
      </c>
      <c r="L17" s="251"/>
    </row>
    <row r="18" spans="2:12" ht="15" customHeight="1">
      <c r="B18" s="274">
        <v>11</v>
      </c>
      <c r="C18" s="97"/>
      <c r="D18" s="104"/>
      <c r="E18" s="291"/>
      <c r="F18" s="292"/>
      <c r="G18" s="293"/>
      <c r="H18" s="290"/>
      <c r="I18" s="270">
        <f>DSUM(A1_NHAP_XUAT,NX_cot_SLNhap,td_hang011)-DSUM(A1_NHAP_XUAT,NX_cot_SLXuat,td_hang011)+F18</f>
        <v>0</v>
      </c>
      <c r="J18" s="271">
        <f>DSUM(A1_NHAP_XUAT,NX_cot_SLNhap,ps_hang011)</f>
        <v>0</v>
      </c>
      <c r="K18" s="271">
        <f>DSUM(A1_NHAP_XUAT,NX_cot_SLXuat,ps_hang011)</f>
        <v>0</v>
      </c>
      <c r="L18" s="251"/>
    </row>
    <row r="19" spans="2:12" ht="15" customHeight="1">
      <c r="B19" s="274">
        <v>12</v>
      </c>
      <c r="C19" s="97"/>
      <c r="D19" s="104"/>
      <c r="E19" s="291"/>
      <c r="F19" s="292"/>
      <c r="G19" s="293"/>
      <c r="H19" s="290"/>
      <c r="I19" s="270">
        <f>DSUM(A1_NHAP_XUAT,NX_cot_SLNhap,td_hang012)-DSUM(A1_NHAP_XUAT,NX_cot_SLXuat,td_hang012)+F19</f>
        <v>0</v>
      </c>
      <c r="J19" s="271">
        <f>DSUM(A1_NHAP_XUAT,NX_cot_SLNhap,ps_hang012)</f>
        <v>0</v>
      </c>
      <c r="K19" s="271">
        <f>DSUM(A1_NHAP_XUAT,NX_cot_SLXuat,ps_hang012)</f>
        <v>0</v>
      </c>
      <c r="L19" s="251"/>
    </row>
    <row r="20" spans="2:12" ht="15" customHeight="1">
      <c r="B20" s="274">
        <v>13</v>
      </c>
      <c r="C20" s="97"/>
      <c r="D20" s="104"/>
      <c r="E20" s="291"/>
      <c r="F20" s="292"/>
      <c r="G20" s="293"/>
      <c r="H20" s="290"/>
      <c r="I20" s="270">
        <f>DSUM(A1_NHAP_XUAT,NX_cot_SLNhap,td_hang013)-DSUM(A1_NHAP_XUAT,NX_cot_SLXuat,td_hang013)+F20</f>
        <v>0</v>
      </c>
      <c r="J20" s="271">
        <f>DSUM(A1_NHAP_XUAT,NX_cot_SLNhap,ps_hang013)</f>
        <v>0</v>
      </c>
      <c r="K20" s="271">
        <f>DSUM(A1_NHAP_XUAT,NX_cot_SLXuat,ps_hang013)</f>
        <v>0</v>
      </c>
      <c r="L20" s="251"/>
    </row>
    <row r="21" spans="2:12" ht="15" customHeight="1">
      <c r="B21" s="274">
        <v>14</v>
      </c>
      <c r="C21" s="97"/>
      <c r="D21" s="104"/>
      <c r="E21" s="291"/>
      <c r="F21" s="292"/>
      <c r="G21" s="293"/>
      <c r="H21" s="290"/>
      <c r="I21" s="270">
        <f>DSUM(A1_NHAP_XUAT,NX_cot_SLNhap,td_hang014)-DSUM(A1_NHAP_XUAT,NX_cot_SLXuat,td_hang014)+F21</f>
        <v>0</v>
      </c>
      <c r="J21" s="271">
        <f>DSUM(A1_NHAP_XUAT,NX_cot_SLNhap,ps_hang014)</f>
        <v>0</v>
      </c>
      <c r="K21" s="271">
        <f>DSUM(A1_NHAP_XUAT,NX_cot_SLXuat,ps_hang014)</f>
        <v>0</v>
      </c>
      <c r="L21" s="251"/>
    </row>
    <row r="22" spans="2:12" ht="15" customHeight="1">
      <c r="B22" s="274">
        <v>15</v>
      </c>
      <c r="C22" s="97"/>
      <c r="D22" s="104"/>
      <c r="E22" s="291"/>
      <c r="F22" s="292"/>
      <c r="G22" s="293"/>
      <c r="H22" s="290"/>
      <c r="I22" s="270">
        <f>DSUM(A1_NHAP_XUAT,NX_cot_SLNhap,td_hang015)-DSUM(A1_NHAP_XUAT,NX_cot_SLXuat,td_hang015)+F22</f>
        <v>0</v>
      </c>
      <c r="J22" s="271">
        <f>DSUM(A1_NHAP_XUAT,NX_cot_SLNhap,ps_hang015)</f>
        <v>0</v>
      </c>
      <c r="K22" s="271">
        <f>DSUM(A1_NHAP_XUAT,NX_cot_SLXuat,ps_hang015)</f>
        <v>0</v>
      </c>
      <c r="L22" s="251"/>
    </row>
    <row r="23" spans="2:12" ht="15" customHeight="1">
      <c r="B23" s="274">
        <v>16</v>
      </c>
      <c r="C23" s="97"/>
      <c r="D23" s="104"/>
      <c r="E23" s="291"/>
      <c r="F23" s="292"/>
      <c r="G23" s="293"/>
      <c r="H23" s="294"/>
      <c r="I23" s="270">
        <f>DSUM(A1_NHAP_XUAT,NX_cot_SLNhap,td_hang016)-DSUM(A1_NHAP_XUAT,NX_cot_SLXuat,td_hang016)+F23</f>
        <v>0</v>
      </c>
      <c r="J23" s="271">
        <f>DSUM(A1_NHAP_XUAT,NX_cot_SLNhap,ps_hang016)</f>
        <v>0</v>
      </c>
      <c r="K23" s="271">
        <f>DSUM(A1_NHAP_XUAT,NX_cot_SLXuat,ps_hang016)</f>
        <v>0</v>
      </c>
      <c r="L23" s="251"/>
    </row>
    <row r="24" spans="2:12" ht="15" customHeight="1">
      <c r="B24" s="274">
        <v>17</v>
      </c>
      <c r="C24" s="97"/>
      <c r="D24" s="104"/>
      <c r="E24" s="291"/>
      <c r="F24" s="292"/>
      <c r="G24" s="293"/>
      <c r="H24" s="294"/>
      <c r="I24" s="270">
        <f>DSUM(A1_NHAP_XUAT,NX_cot_SLNhap,td_hang017)-DSUM(A1_NHAP_XUAT,NX_cot_SLXuat,td_hang017)+F24</f>
        <v>0</v>
      </c>
      <c r="J24" s="271">
        <f>DSUM(A1_NHAP_XUAT,NX_cot_SLNhap,ps_hang017)</f>
        <v>0</v>
      </c>
      <c r="K24" s="271">
        <f>DSUM(A1_NHAP_XUAT,NX_cot_SLXuat,ps_hang017)</f>
        <v>0</v>
      </c>
      <c r="L24" s="251"/>
    </row>
    <row r="25" spans="2:12" ht="15" customHeight="1">
      <c r="B25" s="274">
        <v>18</v>
      </c>
      <c r="C25" s="97"/>
      <c r="D25" s="104"/>
      <c r="E25" s="291"/>
      <c r="F25" s="292"/>
      <c r="G25" s="293"/>
      <c r="H25" s="294"/>
      <c r="I25" s="270">
        <f>DSUM(A1_NHAP_XUAT,NX_cot_SLNhap,td_hang018)-DSUM(A1_NHAP_XUAT,NX_cot_SLXuat,td_hang018)+F25</f>
        <v>0</v>
      </c>
      <c r="J25" s="271">
        <f>DSUM(A1_NHAP_XUAT,NX_cot_SLNhap,ps_hang018)</f>
        <v>0</v>
      </c>
      <c r="K25" s="271">
        <f>DSUM(A1_NHAP_XUAT,NX_cot_SLXuat,ps_hang018)</f>
        <v>0</v>
      </c>
      <c r="L25" s="251"/>
    </row>
    <row r="26" spans="2:12" s="273" customFormat="1" ht="15" customHeight="1">
      <c r="B26" s="275">
        <v>19</v>
      </c>
      <c r="C26" s="97"/>
      <c r="D26" s="104"/>
      <c r="E26" s="291"/>
      <c r="F26" s="292"/>
      <c r="G26" s="293"/>
      <c r="H26" s="295"/>
      <c r="I26" s="270">
        <f>DSUM(A1_NHAP_XUAT,NX_cot_SLNhap,td_hang019)-DSUM(A1_NHAP_XUAT,NX_cot_SLXuat,td_hang019)+F26</f>
        <v>0</v>
      </c>
      <c r="J26" s="271">
        <f>DSUM(A1_NHAP_XUAT,NX_cot_SLNhap,ps_hang019)</f>
        <v>0</v>
      </c>
      <c r="K26" s="271">
        <f>DSUM(A1_NHAP_XUAT,NX_cot_SLXuat,ps_hang019)</f>
        <v>0</v>
      </c>
      <c r="L26" s="272"/>
    </row>
    <row r="27" spans="2:12" ht="15" customHeight="1">
      <c r="B27" s="274">
        <v>20</v>
      </c>
      <c r="C27" s="97"/>
      <c r="D27" s="104"/>
      <c r="E27" s="291"/>
      <c r="F27" s="292"/>
      <c r="G27" s="293"/>
      <c r="H27" s="294"/>
      <c r="I27" s="270">
        <f>DSUM(A1_NHAP_XUAT,NX_cot_SLNhap,td_hang020)-DSUM(A1_NHAP_XUAT,NX_cot_SLXuat,td_hang020)+F27</f>
        <v>0</v>
      </c>
      <c r="J27" s="271">
        <f>DSUM(A1_NHAP_XUAT,NX_cot_SLNhap,ps_hang020)</f>
        <v>0</v>
      </c>
      <c r="K27" s="271">
        <f>DSUM(A1_NHAP_XUAT,NX_cot_SLXuat,ps_hang020)</f>
        <v>0</v>
      </c>
      <c r="L27" s="251"/>
    </row>
    <row r="28" spans="2:12" ht="15" customHeight="1">
      <c r="B28" s="274">
        <v>21</v>
      </c>
      <c r="C28" s="97"/>
      <c r="D28" s="104"/>
      <c r="E28" s="291"/>
      <c r="F28" s="292"/>
      <c r="G28" s="293"/>
      <c r="H28" s="294"/>
      <c r="I28" s="270">
        <f>DSUM(A1_NHAP_XUAT,NX_cot_SLNhap,td_hang021)-DSUM(A1_NHAP_XUAT,NX_cot_SLXuat,td_hang021)+F28</f>
        <v>0</v>
      </c>
      <c r="J28" s="271">
        <f>DSUM(A1_NHAP_XUAT,NX_cot_SLNhap,ps_hang021)</f>
        <v>0</v>
      </c>
      <c r="K28" s="271">
        <f>DSUM(A1_NHAP_XUAT,NX_cot_SLXuat,ps_hang021)</f>
        <v>0</v>
      </c>
      <c r="L28" s="251"/>
    </row>
    <row r="29" spans="2:12">
      <c r="B29" s="274">
        <v>22</v>
      </c>
      <c r="C29" s="97"/>
      <c r="D29" s="104"/>
      <c r="E29" s="291"/>
      <c r="F29" s="292"/>
      <c r="G29" s="293"/>
      <c r="H29" s="294"/>
      <c r="I29" s="270">
        <f>DSUM(A1_NHAP_XUAT,NX_cot_SLNhap,td_hang022)-DSUM(A1_NHAP_XUAT,NX_cot_SLXuat,td_hang022)+F29</f>
        <v>0</v>
      </c>
      <c r="J29" s="271">
        <f>DSUM(A1_NHAP_XUAT,NX_cot_SLNhap,ps_hang022)</f>
        <v>0</v>
      </c>
      <c r="K29" s="271">
        <f>DSUM(A1_NHAP_XUAT,NX_cot_SLXuat,ps_hang022)</f>
        <v>0</v>
      </c>
      <c r="L29" s="251"/>
    </row>
    <row r="30" spans="2:12">
      <c r="B30" s="274">
        <v>23</v>
      </c>
      <c r="C30" s="97"/>
      <c r="D30" s="104"/>
      <c r="E30" s="291"/>
      <c r="F30" s="292"/>
      <c r="G30" s="293"/>
      <c r="H30" s="294"/>
      <c r="I30" s="270">
        <f>DSUM(A1_NHAP_XUAT,NX_cot_SLNhap,td_hang023)-DSUM(A1_NHAP_XUAT,NX_cot_SLXuat,td_hang023)+F30</f>
        <v>0</v>
      </c>
      <c r="J30" s="271">
        <f>DSUM(A1_NHAP_XUAT,NX_cot_SLNhap,ps_hang023)</f>
        <v>0</v>
      </c>
      <c r="K30" s="271">
        <f>DSUM(A1_NHAP_XUAT,NX_cot_SLXuat,ps_hang023)</f>
        <v>0</v>
      </c>
      <c r="L30" s="251"/>
    </row>
    <row r="31" spans="2:12">
      <c r="B31" s="275">
        <v>24</v>
      </c>
      <c r="C31" s="97"/>
      <c r="D31" s="104"/>
      <c r="E31" s="291"/>
      <c r="F31" s="292"/>
      <c r="G31" s="293"/>
      <c r="H31" s="294"/>
      <c r="I31" s="270">
        <f>DSUM(A1_NHAP_XUAT,NX_cot_SLNhap,td_hang024)-DSUM(A1_NHAP_XUAT,NX_cot_SLXuat,td_hang024)+F31</f>
        <v>0</v>
      </c>
      <c r="J31" s="271">
        <f>DSUM(A1_NHAP_XUAT,NX_cot_SLNhap,ps_hang024)</f>
        <v>0</v>
      </c>
      <c r="K31" s="271">
        <f>DSUM(A1_NHAP_XUAT,NX_cot_SLXuat,ps_hang024)</f>
        <v>0</v>
      </c>
      <c r="L31" s="251"/>
    </row>
    <row r="32" spans="2:12" s="273" customFormat="1">
      <c r="B32" s="275">
        <v>25</v>
      </c>
      <c r="C32" s="97"/>
      <c r="D32" s="104"/>
      <c r="E32" s="291"/>
      <c r="F32" s="292"/>
      <c r="G32" s="293"/>
      <c r="H32" s="294"/>
      <c r="I32" s="270">
        <f>DSUM(A1_NHAP_XUAT,NX_cot_SLNhap,td_hang025)-DSUM(A1_NHAP_XUAT,NX_cot_SLXuat,td_hang025)+F32</f>
        <v>0</v>
      </c>
      <c r="J32" s="271">
        <f>DSUM(A1_NHAP_XUAT,NX_cot_SLNhap,ps_hang025)</f>
        <v>0</v>
      </c>
      <c r="K32" s="271">
        <f>DSUM(A1_NHAP_XUAT,NX_cot_SLXuat,ps_hang025)</f>
        <v>0</v>
      </c>
      <c r="L32" s="272"/>
    </row>
    <row r="33" spans="2:12">
      <c r="B33" s="275">
        <v>26</v>
      </c>
      <c r="C33" s="97"/>
      <c r="D33" s="104"/>
      <c r="E33" s="291"/>
      <c r="F33" s="292"/>
      <c r="G33" s="293"/>
      <c r="H33" s="294"/>
      <c r="I33" s="270">
        <f>DSUM(A1_NHAP_XUAT,NX_cot_SLNhap,td_hang026)-DSUM(A1_NHAP_XUAT,NX_cot_SLXuat,td_hang026)+F33</f>
        <v>0</v>
      </c>
      <c r="J33" s="271">
        <f>DSUM(A1_NHAP_XUAT,NX_cot_SLNhap,ps_hang026)</f>
        <v>0</v>
      </c>
      <c r="K33" s="271">
        <f>DSUM(A1_NHAP_XUAT,NX_cot_SLXuat,ps_hang026)</f>
        <v>0</v>
      </c>
      <c r="L33" s="251"/>
    </row>
    <row r="34" spans="2:12">
      <c r="B34" s="275">
        <v>27</v>
      </c>
      <c r="C34" s="97"/>
      <c r="D34" s="104"/>
      <c r="E34" s="291"/>
      <c r="F34" s="292"/>
      <c r="G34" s="293"/>
      <c r="H34" s="294"/>
      <c r="I34" s="270">
        <f>DSUM(A1_NHAP_XUAT,NX_cot_SLNhap,td_hang027)-DSUM(A1_NHAP_XUAT,NX_cot_SLXuat,td_hang027)+F34</f>
        <v>0</v>
      </c>
      <c r="J34" s="271">
        <f>DSUM(A1_NHAP_XUAT,NX_cot_SLNhap,ps_hang027)</f>
        <v>0</v>
      </c>
      <c r="K34" s="271">
        <f>DSUM(A1_NHAP_XUAT,NX_cot_SLXuat,ps_hang027)</f>
        <v>0</v>
      </c>
      <c r="L34" s="251"/>
    </row>
    <row r="35" spans="2:12">
      <c r="B35" s="275">
        <v>28</v>
      </c>
      <c r="C35" s="97"/>
      <c r="D35" s="104"/>
      <c r="E35" s="291"/>
      <c r="F35" s="292"/>
      <c r="G35" s="293"/>
      <c r="H35" s="294"/>
      <c r="I35" s="270">
        <f>DSUM(A1_NHAP_XUAT,NX_cot_SLNhap,td_hang028)-DSUM(A1_NHAP_XUAT,NX_cot_SLXuat,td_hang028)+F35</f>
        <v>0</v>
      </c>
      <c r="J35" s="271">
        <f>DSUM(A1_NHAP_XUAT,NX_cot_SLNhap,ps_hang028)</f>
        <v>0</v>
      </c>
      <c r="K35" s="271">
        <f>DSUM(A1_NHAP_XUAT,NX_cot_SLXuat,ps_hang028)</f>
        <v>0</v>
      </c>
      <c r="L35" s="251"/>
    </row>
    <row r="36" spans="2:12">
      <c r="B36" s="275">
        <v>29</v>
      </c>
      <c r="C36" s="97"/>
      <c r="D36" s="104"/>
      <c r="E36" s="291"/>
      <c r="F36" s="292"/>
      <c r="G36" s="293"/>
      <c r="H36" s="294"/>
      <c r="I36" s="270">
        <f>DSUM(A1_NHAP_XUAT,NX_cot_SLNhap,td_hang029)-DSUM(A1_NHAP_XUAT,NX_cot_SLXuat,td_hang029)+F36</f>
        <v>0</v>
      </c>
      <c r="J36" s="271">
        <f>DSUM(A1_NHAP_XUAT,NX_cot_SLNhap,ps_hang029)</f>
        <v>0</v>
      </c>
      <c r="K36" s="271">
        <f>DSUM(A1_NHAP_XUAT,NX_cot_SLXuat,ps_hang029)</f>
        <v>0</v>
      </c>
      <c r="L36" s="251"/>
    </row>
    <row r="37" spans="2:12">
      <c r="B37" s="275">
        <v>30</v>
      </c>
      <c r="C37" s="97"/>
      <c r="D37" s="104"/>
      <c r="E37" s="291"/>
      <c r="F37" s="292"/>
      <c r="G37" s="293"/>
      <c r="H37" s="294"/>
      <c r="I37" s="270">
        <f>DSUM(A1_NHAP_XUAT,NX_cot_SLNhap,td_hang030)-DSUM(A1_NHAP_XUAT,NX_cot_SLXuat,td_hang030)+F37</f>
        <v>0</v>
      </c>
      <c r="J37" s="271">
        <f>DSUM(A1_NHAP_XUAT,NX_cot_SLNhap,ps_hang030)</f>
        <v>0</v>
      </c>
      <c r="K37" s="271">
        <f>DSUM(A1_NHAP_XUAT,NX_cot_SLXuat,ps_hang030)</f>
        <v>0</v>
      </c>
      <c r="L37" s="251"/>
    </row>
    <row r="38" spans="2:12">
      <c r="B38" s="275">
        <v>31</v>
      </c>
      <c r="C38" s="97"/>
      <c r="D38" s="104"/>
      <c r="E38" s="291"/>
      <c r="F38" s="292"/>
      <c r="G38" s="293"/>
      <c r="H38" s="294"/>
      <c r="I38" s="270">
        <f>DSUM(A1_NHAP_XUAT,NX_cot_SLNhap,td_hang031)-DSUM(A1_NHAP_XUAT,NX_cot_SLXuat,td_hang031)+F38</f>
        <v>0</v>
      </c>
      <c r="J38" s="271">
        <f>DSUM(A1_NHAP_XUAT,NX_cot_SLNhap,ps_hang031)</f>
        <v>0</v>
      </c>
      <c r="K38" s="271">
        <f>DSUM(A1_NHAP_XUAT,NX_cot_SLXuat,ps_hang031)</f>
        <v>0</v>
      </c>
      <c r="L38" s="251"/>
    </row>
    <row r="39" spans="2:12">
      <c r="B39" s="275">
        <v>32</v>
      </c>
      <c r="C39" s="97"/>
      <c r="D39" s="104"/>
      <c r="E39" s="291"/>
      <c r="F39" s="292"/>
      <c r="G39" s="293"/>
      <c r="H39" s="294"/>
      <c r="I39" s="270">
        <f>DSUM(A1_NHAP_XUAT,NX_cot_SLNhap,td_hang032)-DSUM(A1_NHAP_XUAT,NX_cot_SLXuat,td_hang032)+F39</f>
        <v>0</v>
      </c>
      <c r="J39" s="271">
        <f>DSUM(A1_NHAP_XUAT,NX_cot_SLNhap,ps_hang032)</f>
        <v>0</v>
      </c>
      <c r="K39" s="271">
        <f>DSUM(A1_NHAP_XUAT,NX_cot_SLXuat,ps_hang032)</f>
        <v>0</v>
      </c>
      <c r="L39" s="251"/>
    </row>
    <row r="40" spans="2:12">
      <c r="B40" s="275">
        <v>33</v>
      </c>
      <c r="C40" s="97"/>
      <c r="D40" s="104"/>
      <c r="E40" s="291"/>
      <c r="F40" s="292"/>
      <c r="G40" s="293"/>
      <c r="H40" s="294"/>
      <c r="I40" s="270">
        <f>DSUM(A1_NHAP_XUAT,NX_cot_SLNhap,td_hang033)-DSUM(A1_NHAP_XUAT,NX_cot_SLXuat,td_hang033)+F40</f>
        <v>0</v>
      </c>
      <c r="J40" s="271">
        <f>DSUM(A1_NHAP_XUAT,NX_cot_SLNhap,ps_hang033)</f>
        <v>0</v>
      </c>
      <c r="K40" s="271">
        <f>DSUM(A1_NHAP_XUAT,NX_cot_SLXuat,ps_hang033)</f>
        <v>0</v>
      </c>
      <c r="L40" s="251"/>
    </row>
    <row r="41" spans="2:12">
      <c r="B41" s="275">
        <v>34</v>
      </c>
      <c r="C41" s="97"/>
      <c r="D41" s="104"/>
      <c r="E41" s="291"/>
      <c r="F41" s="292"/>
      <c r="G41" s="293"/>
      <c r="H41" s="294"/>
      <c r="I41" s="270">
        <f>DSUM(A1_NHAP_XUAT,NX_cot_SLNhap,td_hang034)-DSUM(A1_NHAP_XUAT,NX_cot_SLXuat,td_hang034)+F41</f>
        <v>0</v>
      </c>
      <c r="J41" s="271">
        <f>DSUM(A1_NHAP_XUAT,NX_cot_SLNhap,ps_hang034)</f>
        <v>0</v>
      </c>
      <c r="K41" s="271">
        <f>DSUM(A1_NHAP_XUAT,NX_cot_SLXuat,ps_hang034)</f>
        <v>0</v>
      </c>
      <c r="L41" s="251"/>
    </row>
    <row r="42" spans="2:12">
      <c r="B42" s="275">
        <v>35</v>
      </c>
      <c r="C42" s="97"/>
      <c r="D42" s="104"/>
      <c r="E42" s="291"/>
      <c r="F42" s="292"/>
      <c r="G42" s="293"/>
      <c r="H42" s="294"/>
      <c r="I42" s="270">
        <f>DSUM(A1_NHAP_XUAT,NX_cot_SLNhap,td_hang035)-DSUM(A1_NHAP_XUAT,NX_cot_SLXuat,td_hang035)+F42</f>
        <v>0</v>
      </c>
      <c r="J42" s="271">
        <f>DSUM(A1_NHAP_XUAT,NX_cot_SLNhap,ps_hang035)</f>
        <v>0</v>
      </c>
      <c r="K42" s="271">
        <f>DSUM(A1_NHAP_XUAT,NX_cot_SLXuat,ps_hang035)</f>
        <v>0</v>
      </c>
      <c r="L42" s="251"/>
    </row>
    <row r="43" spans="2:12">
      <c r="B43" s="274">
        <v>36</v>
      </c>
      <c r="C43" s="97"/>
      <c r="D43" s="104"/>
      <c r="E43" s="291"/>
      <c r="F43" s="292"/>
      <c r="G43" s="293"/>
      <c r="H43" s="294"/>
      <c r="I43" s="270">
        <f>DSUM(A1_NHAP_XUAT,NX_cot_SLNhap,td_hang036)-DSUM(A1_NHAP_XUAT,NX_cot_SLXuat,td_hang036)+F43</f>
        <v>0</v>
      </c>
      <c r="J43" s="271">
        <f>DSUM(A1_NHAP_XUAT,NX_cot_SLNhap,ps_hang036)</f>
        <v>0</v>
      </c>
      <c r="K43" s="271">
        <f>DSUM(A1_NHAP_XUAT,NX_cot_SLXuat,ps_hang036)</f>
        <v>0</v>
      </c>
      <c r="L43" s="251"/>
    </row>
    <row r="44" spans="2:12">
      <c r="B44" s="274">
        <v>37</v>
      </c>
      <c r="C44" s="97"/>
      <c r="D44" s="296"/>
      <c r="E44" s="291"/>
      <c r="F44" s="292"/>
      <c r="G44" s="293"/>
      <c r="H44" s="294"/>
      <c r="I44" s="270">
        <f>DSUM(A1_NHAP_XUAT,NX_cot_SLNhap,td_hang037)-DSUM(A1_NHAP_XUAT,NX_cot_SLXuat,td_hang037)+F44</f>
        <v>0</v>
      </c>
      <c r="J44" s="271">
        <f>DSUM(A1_NHAP_XUAT,NX_cot_SLNhap,ps_hang037)</f>
        <v>0</v>
      </c>
      <c r="K44" s="271">
        <f>DSUM(A1_NHAP_XUAT,NX_cot_SLXuat,ps_hang037)</f>
        <v>0</v>
      </c>
      <c r="L44" s="251"/>
    </row>
    <row r="45" spans="2:12">
      <c r="B45" s="274">
        <v>38</v>
      </c>
      <c r="C45" s="97"/>
      <c r="D45" s="296"/>
      <c r="E45" s="291"/>
      <c r="F45" s="292"/>
      <c r="G45" s="293"/>
      <c r="H45" s="294"/>
      <c r="I45" s="270">
        <f>DSUM(A1_NHAP_XUAT,NX_cot_SLNhap,td_hang038)-DSUM(A1_NHAP_XUAT,NX_cot_SLXuat,td_hang038)+F45</f>
        <v>0</v>
      </c>
      <c r="J45" s="271">
        <f>DSUM(A1_NHAP_XUAT,NX_cot_SLNhap,ps_hang038)</f>
        <v>0</v>
      </c>
      <c r="K45" s="271">
        <f>DSUM(A1_NHAP_XUAT,NX_cot_SLXuat,ps_hang038)</f>
        <v>0</v>
      </c>
      <c r="L45" s="251"/>
    </row>
    <row r="46" spans="2:12">
      <c r="B46" s="274">
        <v>39</v>
      </c>
      <c r="C46" s="97"/>
      <c r="D46" s="296"/>
      <c r="E46" s="291"/>
      <c r="F46" s="292"/>
      <c r="G46" s="293"/>
      <c r="H46" s="294"/>
      <c r="I46" s="270">
        <f>DSUM(A1_NHAP_XUAT,NX_cot_SLNhap,td_hang039)-DSUM(A1_NHAP_XUAT,NX_cot_SLXuat,td_hang039)+F46</f>
        <v>0</v>
      </c>
      <c r="J46" s="271">
        <f>DSUM(A1_NHAP_XUAT,NX_cot_SLNhap,ps_hang039)</f>
        <v>0</v>
      </c>
      <c r="K46" s="271">
        <f>DSUM(A1_NHAP_XUAT,NX_cot_SLXuat,ps_hang039)</f>
        <v>0</v>
      </c>
      <c r="L46" s="251"/>
    </row>
    <row r="47" spans="2:12">
      <c r="B47" s="274">
        <v>40</v>
      </c>
      <c r="C47" s="97"/>
      <c r="D47" s="296"/>
      <c r="E47" s="291"/>
      <c r="F47" s="292"/>
      <c r="G47" s="293"/>
      <c r="H47" s="294"/>
      <c r="I47" s="270">
        <f>DSUM(A1_NHAP_XUAT,NX_cot_SLNhap,td_hang040)-DSUM(A1_NHAP_XUAT,NX_cot_SLXuat,td_hang040)+F47</f>
        <v>0</v>
      </c>
      <c r="J47" s="271">
        <f>DSUM(A1_NHAP_XUAT,NX_cot_SLNhap,ps_hang040)</f>
        <v>0</v>
      </c>
      <c r="K47" s="271">
        <f>DSUM(A1_NHAP_XUAT,NX_cot_SLXuat,ps_hang040)</f>
        <v>0</v>
      </c>
      <c r="L47" s="251"/>
    </row>
    <row r="48" spans="2:12">
      <c r="B48" s="274">
        <v>41</v>
      </c>
      <c r="C48" s="97"/>
      <c r="D48" s="296"/>
      <c r="E48" s="291"/>
      <c r="F48" s="292"/>
      <c r="G48" s="293"/>
      <c r="H48" s="294"/>
      <c r="I48" s="270">
        <f>DSUM(A1_NHAP_XUAT,NX_cot_SLNhap,td_hang041)-DSUM(A1_NHAP_XUAT,NX_cot_SLXuat,td_hang041)+F48</f>
        <v>0</v>
      </c>
      <c r="J48" s="271">
        <f>DSUM(A1_NHAP_XUAT,NX_cot_SLNhap,ps_hang041)</f>
        <v>0</v>
      </c>
      <c r="K48" s="271">
        <f>DSUM(A1_NHAP_XUAT,NX_cot_SLXuat,ps_hang041)</f>
        <v>0</v>
      </c>
      <c r="L48" s="251"/>
    </row>
    <row r="49" spans="2:12">
      <c r="B49" s="274">
        <v>42</v>
      </c>
      <c r="C49" s="97"/>
      <c r="D49" s="296"/>
      <c r="E49" s="291"/>
      <c r="F49" s="292"/>
      <c r="G49" s="293"/>
      <c r="H49" s="294"/>
      <c r="I49" s="270">
        <f>DSUM(A1_NHAP_XUAT,NX_cot_SLNhap,td_hang042)-DSUM(A1_NHAP_XUAT,NX_cot_SLXuat,td_hang042)+F49</f>
        <v>0</v>
      </c>
      <c r="J49" s="271">
        <f>DSUM(A1_NHAP_XUAT,NX_cot_SLNhap,ps_hang042)</f>
        <v>0</v>
      </c>
      <c r="K49" s="271">
        <f>DSUM(A1_NHAP_XUAT,NX_cot_SLXuat,ps_hang042)</f>
        <v>0</v>
      </c>
      <c r="L49" s="251"/>
    </row>
    <row r="50" spans="2:12">
      <c r="B50" s="274">
        <v>43</v>
      </c>
      <c r="C50" s="97"/>
      <c r="D50" s="296"/>
      <c r="E50" s="291"/>
      <c r="F50" s="292"/>
      <c r="G50" s="293"/>
      <c r="H50" s="294"/>
      <c r="I50" s="270">
        <f>DSUM(A1_NHAP_XUAT,NX_cot_SLNhap,td_hang043)-DSUM(A1_NHAP_XUAT,NX_cot_SLXuat,td_hang043)+F50</f>
        <v>0</v>
      </c>
      <c r="J50" s="271">
        <f>DSUM(A1_NHAP_XUAT,NX_cot_SLNhap,ps_hang043)</f>
        <v>0</v>
      </c>
      <c r="K50" s="271">
        <f>DSUM(A1_NHAP_XUAT,NX_cot_SLXuat,ps_hang043)</f>
        <v>0</v>
      </c>
      <c r="L50" s="251"/>
    </row>
    <row r="51" spans="2:12">
      <c r="B51" s="274">
        <v>44</v>
      </c>
      <c r="C51" s="97"/>
      <c r="D51" s="296"/>
      <c r="E51" s="291"/>
      <c r="F51" s="292"/>
      <c r="G51" s="293"/>
      <c r="H51" s="294"/>
      <c r="I51" s="270">
        <f>DSUM(A1_NHAP_XUAT,NX_cot_SLNhap,td_hang044)-DSUM(A1_NHAP_XUAT,NX_cot_SLXuat,td_hang044)+F51</f>
        <v>0</v>
      </c>
      <c r="J51" s="271">
        <f>DSUM(A1_NHAP_XUAT,NX_cot_SLNhap,ps_hang044)</f>
        <v>0</v>
      </c>
      <c r="K51" s="271">
        <f>DSUM(A1_NHAP_XUAT,NX_cot_SLXuat,ps_hang044)</f>
        <v>0</v>
      </c>
      <c r="L51" s="251"/>
    </row>
    <row r="52" spans="2:12">
      <c r="B52" s="274">
        <v>45</v>
      </c>
      <c r="C52" s="97"/>
      <c r="D52" s="296"/>
      <c r="E52" s="291"/>
      <c r="F52" s="292"/>
      <c r="G52" s="293"/>
      <c r="H52" s="294"/>
      <c r="I52" s="270">
        <f>DSUM(A1_NHAP_XUAT,NX_cot_SLNhap,td_hang045)-DSUM(A1_NHAP_XUAT,NX_cot_SLXuat,td_hang045)+F52</f>
        <v>0</v>
      </c>
      <c r="J52" s="271">
        <f>DSUM(A1_NHAP_XUAT,NX_cot_SLNhap,ps_hang045)</f>
        <v>0</v>
      </c>
      <c r="K52" s="271">
        <f>DSUM(A1_NHAP_XUAT,NX_cot_SLXuat,ps_hang045)</f>
        <v>0</v>
      </c>
      <c r="L52" s="251"/>
    </row>
    <row r="53" spans="2:12">
      <c r="B53" s="274">
        <v>46</v>
      </c>
      <c r="C53" s="97"/>
      <c r="D53" s="296"/>
      <c r="E53" s="291"/>
      <c r="F53" s="292"/>
      <c r="G53" s="293"/>
      <c r="H53" s="294"/>
      <c r="I53" s="270">
        <f>DSUM(A1_NHAP_XUAT,NX_cot_SLNhap,td_hang046)-DSUM(A1_NHAP_XUAT,NX_cot_SLXuat,td_hang046)+F53</f>
        <v>0</v>
      </c>
      <c r="J53" s="271">
        <f>DSUM(A1_NHAP_XUAT,NX_cot_SLNhap,ps_hang046)</f>
        <v>0</v>
      </c>
      <c r="K53" s="271">
        <f>DSUM(A1_NHAP_XUAT,NX_cot_SLXuat,ps_hang046)</f>
        <v>0</v>
      </c>
      <c r="L53" s="251"/>
    </row>
    <row r="54" spans="2:12">
      <c r="B54" s="274">
        <v>47</v>
      </c>
      <c r="C54" s="97"/>
      <c r="D54" s="296"/>
      <c r="E54" s="291"/>
      <c r="F54" s="292"/>
      <c r="G54" s="293"/>
      <c r="H54" s="294"/>
      <c r="I54" s="270">
        <f>DSUM(A1_NHAP_XUAT,NX_cot_SLNhap,td_hang047)-DSUM(A1_NHAP_XUAT,NX_cot_SLXuat,td_hang047)+F54</f>
        <v>0</v>
      </c>
      <c r="J54" s="271">
        <f>DSUM(A1_NHAP_XUAT,NX_cot_SLNhap,ps_hang047)</f>
        <v>0</v>
      </c>
      <c r="K54" s="271">
        <f>DSUM(A1_NHAP_XUAT,NX_cot_SLXuat,ps_hang047)</f>
        <v>0</v>
      </c>
      <c r="L54" s="251"/>
    </row>
    <row r="55" spans="2:12">
      <c r="B55" s="274">
        <v>48</v>
      </c>
      <c r="C55" s="97"/>
      <c r="D55" s="296"/>
      <c r="E55" s="291"/>
      <c r="F55" s="292"/>
      <c r="G55" s="293"/>
      <c r="H55" s="294"/>
      <c r="I55" s="270">
        <f>DSUM(A1_NHAP_XUAT,NX_cot_SLNhap,td_hang048)-DSUM(A1_NHAP_XUAT,NX_cot_SLXuat,td_hang048)+F55</f>
        <v>0</v>
      </c>
      <c r="J55" s="271">
        <f>DSUM(A1_NHAP_XUAT,NX_cot_SLNhap,ps_hang048)</f>
        <v>0</v>
      </c>
      <c r="K55" s="271">
        <f>DSUM(A1_NHAP_XUAT,NX_cot_SLXuat,ps_hang048)</f>
        <v>0</v>
      </c>
      <c r="L55" s="251"/>
    </row>
    <row r="56" spans="2:12">
      <c r="B56" s="274">
        <v>49</v>
      </c>
      <c r="C56" s="97"/>
      <c r="D56" s="296"/>
      <c r="E56" s="291"/>
      <c r="F56" s="292"/>
      <c r="G56" s="293"/>
      <c r="H56" s="294"/>
      <c r="I56" s="270">
        <f>DSUM(A1_NHAP_XUAT,NX_cot_SLNhap,td_hang049)-DSUM(A1_NHAP_XUAT,NX_cot_SLXuat,td_hang049)+F56</f>
        <v>0</v>
      </c>
      <c r="J56" s="271">
        <f>DSUM(A1_NHAP_XUAT,NX_cot_SLNhap,ps_hang049)</f>
        <v>0</v>
      </c>
      <c r="K56" s="271">
        <f>DSUM(A1_NHAP_XUAT,NX_cot_SLXuat,ps_hang049)</f>
        <v>0</v>
      </c>
      <c r="L56" s="251"/>
    </row>
    <row r="57" spans="2:12">
      <c r="B57" s="274">
        <v>50</v>
      </c>
      <c r="C57" s="97"/>
      <c r="D57" s="296"/>
      <c r="E57" s="291"/>
      <c r="F57" s="292"/>
      <c r="G57" s="293"/>
      <c r="H57" s="294"/>
      <c r="I57" s="270">
        <f>DSUM(A1_NHAP_XUAT,NX_cot_SLNhap,td_hang050)-DSUM(A1_NHAP_XUAT,NX_cot_SLXuat,td_hang050)+F57</f>
        <v>0</v>
      </c>
      <c r="J57" s="271">
        <f>DSUM(A1_NHAP_XUAT,NX_cot_SLNhap,ps_hang050)</f>
        <v>0</v>
      </c>
      <c r="K57" s="271">
        <f>DSUM(A1_NHAP_XUAT,NX_cot_SLXuat,ps_hang050)</f>
        <v>0</v>
      </c>
      <c r="L57" s="251"/>
    </row>
    <row r="58" spans="2:12">
      <c r="B58" s="274">
        <v>51</v>
      </c>
      <c r="C58" s="97"/>
      <c r="D58" s="296"/>
      <c r="E58" s="291"/>
      <c r="F58" s="292"/>
      <c r="G58" s="293"/>
      <c r="H58" s="294"/>
      <c r="I58" s="270" t="e">
        <f>DSUM(A1_NHAP_XUAT,NX_cot_SLNhap,td_hang51)-DSUM(A1_NHAP_XUAT,NX_cot_SLXuat,td_hang51)+F58</f>
        <v>#NAME?</v>
      </c>
      <c r="J58" s="271" t="e">
        <f>DSUM(A1_NHAP_XUAT,NX_cot_SLNhap,ps_hang51)</f>
        <v>#NAME?</v>
      </c>
      <c r="K58" s="271" t="e">
        <f>DSUM(A1_NHAP_XUAT,NX_cot_SLXuat,ps_hang51)</f>
        <v>#NAME?</v>
      </c>
      <c r="L58" s="251"/>
    </row>
    <row r="59" spans="2:12">
      <c r="B59" s="274">
        <v>52</v>
      </c>
      <c r="C59" s="97"/>
      <c r="D59" s="296"/>
      <c r="E59" s="291"/>
      <c r="F59" s="292"/>
      <c r="G59" s="293"/>
      <c r="H59" s="294"/>
      <c r="I59" s="270">
        <f>DSUM(A1_NHAP_XUAT,NX_cot_SLNhap,td_hang052)-DSUM(A1_NHAP_XUAT,NX_cot_SLXuat,td_hang052)+F59</f>
        <v>0</v>
      </c>
      <c r="J59" s="271" t="e">
        <f>DSUM(A1_NHAP_XUAT,NX_cot_SLNhap,ps_hang52)</f>
        <v>#NAME?</v>
      </c>
      <c r="K59" s="271" t="e">
        <f>DSUM(A1_NHAP_XUAT,NX_cot_SLXuat,ps_hang52)</f>
        <v>#NAME?</v>
      </c>
      <c r="L59" s="251"/>
    </row>
    <row r="60" spans="2:12">
      <c r="B60" s="274">
        <v>53</v>
      </c>
      <c r="C60" s="97"/>
      <c r="D60" s="296"/>
      <c r="E60" s="291"/>
      <c r="F60" s="292"/>
      <c r="G60" s="293"/>
      <c r="H60" s="294"/>
      <c r="I60" s="270" t="e">
        <f>DSUM(A1_NHAP_XUAT,NX_cot_SLNhap,td_hang53)-DSUM(A1_NHAP_XUAT,NX_cot_SLXuat,td_hang53)+F60</f>
        <v>#NAME?</v>
      </c>
      <c r="J60" s="271" t="e">
        <f>DSUM(A1_NHAP_XUAT,NX_cot_SLNhap,ps_hang53)</f>
        <v>#NAME?</v>
      </c>
      <c r="K60" s="271" t="e">
        <f>DSUM(A1_NHAP_XUAT,NX_cot_SLXuat,ps_hang53)</f>
        <v>#NAME?</v>
      </c>
      <c r="L60" s="251"/>
    </row>
    <row r="61" spans="2:12">
      <c r="B61" s="274">
        <v>54</v>
      </c>
      <c r="C61" s="97"/>
      <c r="D61" s="296"/>
      <c r="E61" s="291"/>
      <c r="F61" s="292"/>
      <c r="G61" s="293"/>
      <c r="H61" s="294"/>
      <c r="I61" s="270">
        <f>DSUM(A1_NHAP_XUAT,NX_cot_SLNhap,td_hang054)-DSUM(A1_NHAP_XUAT,NX_cot_SLXuat,td_hang054)+F61</f>
        <v>0</v>
      </c>
      <c r="J61" s="271" t="e">
        <f>DSUM(A1_NHAP_XUAT,NX_cot_SLNhap,ps_hang54)</f>
        <v>#NAME?</v>
      </c>
      <c r="K61" s="271" t="e">
        <f>DSUM(A1_NHAP_XUAT,NX_cot_SLXuat,ps_hang54)</f>
        <v>#NAME?</v>
      </c>
      <c r="L61" s="251"/>
    </row>
    <row r="62" spans="2:12">
      <c r="B62" s="274">
        <v>55</v>
      </c>
      <c r="C62" s="97"/>
      <c r="D62" s="296"/>
      <c r="E62" s="291"/>
      <c r="F62" s="292"/>
      <c r="G62" s="293"/>
      <c r="H62" s="294"/>
      <c r="I62" s="270">
        <f>DSUM(A1_NHAP_XUAT,NX_cot_SLNhap,td_hang055)-DSUM(A1_NHAP_XUAT,NX_cot_SLXuat,td_hang055)+F62</f>
        <v>0</v>
      </c>
      <c r="J62" s="271" t="e">
        <f>DSUM(A1_NHAP_XUAT,NX_cot_SLNhap,ps_hang55)</f>
        <v>#NAME?</v>
      </c>
      <c r="K62" s="271" t="e">
        <f>DSUM(A1_NHAP_XUAT,NX_cot_SLXuat,ps_hang55)</f>
        <v>#NAME?</v>
      </c>
      <c r="L62" s="251"/>
    </row>
    <row r="63" spans="2:12">
      <c r="B63" s="274">
        <v>56</v>
      </c>
      <c r="C63" s="286"/>
      <c r="D63" s="296"/>
      <c r="E63" s="291"/>
      <c r="F63" s="292"/>
      <c r="G63" s="293"/>
      <c r="H63" s="294"/>
      <c r="I63" s="270">
        <f>DSUM(A1_NHAP_XUAT,NX_cot_SLNhap,td_hang056)-DSUM(A1_NHAP_XUAT,NX_cot_SLXuat,td_hang056)+F63</f>
        <v>0</v>
      </c>
      <c r="J63" s="271" t="e">
        <f>DSUM(A1_NHAP_XUAT,NX_cot_SLNhap,ps_hang56)</f>
        <v>#NAME?</v>
      </c>
      <c r="K63" s="271" t="e">
        <f>DSUM(A1_NHAP_XUAT,NX_cot_SLXuat,ps_hang56)</f>
        <v>#NAME?</v>
      </c>
      <c r="L63" s="251"/>
    </row>
    <row r="64" spans="2:12">
      <c r="B64" s="274">
        <v>57</v>
      </c>
      <c r="C64" s="286"/>
      <c r="D64" s="296"/>
      <c r="E64" s="291"/>
      <c r="F64" s="292"/>
      <c r="G64" s="293"/>
      <c r="H64" s="294"/>
      <c r="I64" s="270">
        <f>DSUM(A1_NHAP_XUAT,NX_cot_SLNhap,td_hang057)-DSUM(A1_NHAP_XUAT,NX_cot_SLXuat,td_hang057)+F64</f>
        <v>0</v>
      </c>
      <c r="J64" s="271" t="e">
        <f>DSUM(A1_NHAP_XUAT,NX_cot_SLNhap,ps_hang57)</f>
        <v>#NAME?</v>
      </c>
      <c r="K64" s="271" t="e">
        <f>DSUM(A1_NHAP_XUAT,NX_cot_SLXuat,ps_hang57)</f>
        <v>#NAME?</v>
      </c>
      <c r="L64" s="251"/>
    </row>
    <row r="65" spans="2:12">
      <c r="B65" s="274">
        <v>58</v>
      </c>
      <c r="C65" s="286"/>
      <c r="D65" s="296"/>
      <c r="E65" s="291"/>
      <c r="F65" s="292"/>
      <c r="G65" s="293"/>
      <c r="H65" s="294"/>
      <c r="I65" s="270">
        <f>DSUM(A1_NHAP_XUAT,NX_cot_SLNhap,td_hang058)-DSUM(A1_NHAP_XUAT,NX_cot_SLXuat,td_hang058)+F65</f>
        <v>0</v>
      </c>
      <c r="J65" s="271" t="e">
        <f>DSUM(A1_NHAP_XUAT,NX_cot_SLNhap,ps_hang58)</f>
        <v>#NAME?</v>
      </c>
      <c r="K65" s="271" t="e">
        <f>DSUM(A1_NHAP_XUAT,NX_cot_SLXuat,ps_hang58)</f>
        <v>#NAME?</v>
      </c>
      <c r="L65" s="251"/>
    </row>
    <row r="66" spans="2:12">
      <c r="B66" s="274">
        <v>59</v>
      </c>
      <c r="C66" s="286"/>
      <c r="D66" s="296"/>
      <c r="E66" s="291"/>
      <c r="F66" s="292"/>
      <c r="G66" s="293"/>
      <c r="H66" s="294"/>
      <c r="I66" s="270">
        <f>DSUM(A1_NHAP_XUAT,NX_cot_SLNhap,td_hang059)-DSUM(A1_NHAP_XUAT,NX_cot_SLXuat,td_hang059)+F66</f>
        <v>0</v>
      </c>
      <c r="J66" s="271" t="e">
        <f>DSUM(A1_NHAP_XUAT,NX_cot_SLNhap,ps_hang59)</f>
        <v>#NAME?</v>
      </c>
      <c r="K66" s="271" t="e">
        <f>DSUM(A1_NHAP_XUAT,NX_cot_SLXuat,ps_hang59)</f>
        <v>#NAME?</v>
      </c>
      <c r="L66" s="251"/>
    </row>
    <row r="67" spans="2:12">
      <c r="B67" s="274">
        <v>60</v>
      </c>
      <c r="C67" s="286"/>
      <c r="D67" s="104"/>
      <c r="E67" s="291"/>
      <c r="F67" s="292"/>
      <c r="G67" s="293"/>
      <c r="H67" s="290"/>
      <c r="I67" s="270">
        <f>DSUM(A1_NHAP_XUAT,NX_cot_SLNhap,td_hang060)-DSUM(A1_NHAP_XUAT,NX_cot_SLXuat,td_hang060)+F67</f>
        <v>0</v>
      </c>
      <c r="J67" s="271" t="e">
        <f>DSUM(A1_NHAP_XUAT,NX_cot_SLNhap,ps_hang60)</f>
        <v>#NAME?</v>
      </c>
      <c r="K67" s="271" t="e">
        <f>DSUM(A1_NHAP_XUAT,NX_cot_SLXuat,ps_hang60)</f>
        <v>#NAME?</v>
      </c>
      <c r="L67" s="251"/>
    </row>
    <row r="68" spans="2:12">
      <c r="B68" s="274">
        <v>61</v>
      </c>
      <c r="C68" s="286"/>
      <c r="D68" s="104"/>
      <c r="E68" s="291"/>
      <c r="F68" s="292"/>
      <c r="G68" s="293"/>
      <c r="H68" s="290"/>
      <c r="I68" s="270">
        <f>DSUM(A1_NHAP_XUAT,NX_cot_SLNhap,td_hang061)-DSUM(A1_NHAP_XUAT,NX_cot_SLXuat,td_hang061)+F68</f>
        <v>0</v>
      </c>
      <c r="J68" s="271" t="e">
        <f>DSUM(A1_NHAP_XUAT,NX_cot_SLNhap,ps_hang61)</f>
        <v>#NAME?</v>
      </c>
      <c r="K68" s="271" t="e">
        <f>DSUM(A1_NHAP_XUAT,NX_cot_SLXuat,ps_hang61)</f>
        <v>#NAME?</v>
      </c>
      <c r="L68" s="251"/>
    </row>
    <row r="69" spans="2:12">
      <c r="B69" s="274">
        <v>62</v>
      </c>
      <c r="C69" s="286"/>
      <c r="D69" s="104"/>
      <c r="E69" s="291"/>
      <c r="F69" s="292"/>
      <c r="G69" s="293"/>
      <c r="H69" s="290"/>
      <c r="I69" s="270" t="e">
        <f>DSUM(A1_NHAP_XUAT,NX_cot_SLNhap,td_hang62)-DSUM(A1_NHAP_XUAT,NX_cot_SLXuat,td_hang62)+F69</f>
        <v>#NAME?</v>
      </c>
      <c r="J69" s="271" t="e">
        <f>DSUM(A1_NHAP_XUAT,NX_cot_SLNhap,ps_hang62)</f>
        <v>#NAME?</v>
      </c>
      <c r="K69" s="271" t="e">
        <f>DSUM(A1_NHAP_XUAT,NX_cot_SLXuat,ps_hang62)</f>
        <v>#NAME?</v>
      </c>
      <c r="L69" s="251"/>
    </row>
    <row r="70" spans="2:12">
      <c r="B70" s="274">
        <v>63</v>
      </c>
      <c r="C70" s="286"/>
      <c r="D70" s="104"/>
      <c r="E70" s="291"/>
      <c r="F70" s="292"/>
      <c r="G70" s="293"/>
      <c r="H70" s="295"/>
      <c r="I70" s="270" t="e">
        <f>DSUM(A1_NHAP_XUAT,NX_cot_SLNhap,td_hang63)-DSUM(A1_NHAP_XUAT,NX_cot_SLXuat,td_hang63)+F70</f>
        <v>#NAME?</v>
      </c>
      <c r="J70" s="271" t="e">
        <f>DSUM(A1_NHAP_XUAT,NX_cot_SLNhap,ps_hang63)</f>
        <v>#NAME?</v>
      </c>
      <c r="K70" s="271" t="e">
        <f>DSUM(A1_NHAP_XUAT,NX_cot_SLXuat,ps_hang63)</f>
        <v>#NAME?</v>
      </c>
      <c r="L70" s="251"/>
    </row>
    <row r="71" spans="2:12">
      <c r="B71" s="274">
        <v>64</v>
      </c>
      <c r="C71" s="286"/>
      <c r="D71" s="104"/>
      <c r="E71" s="291"/>
      <c r="F71" s="292"/>
      <c r="G71" s="293"/>
      <c r="H71" s="290"/>
      <c r="I71" s="270" t="e">
        <f>DSUM(A1_NHAP_XUAT,NX_cot_SLNhap,td_hang64)-DSUM(A1_NHAP_XUAT,NX_cot_SLXuat,td_hang64)+F71</f>
        <v>#NAME?</v>
      </c>
      <c r="J71" s="271" t="e">
        <f>DSUM(A1_NHAP_XUAT,NX_cot_SLNhap,ps_hang64)</f>
        <v>#NAME?</v>
      </c>
      <c r="K71" s="271" t="e">
        <f>DSUM(A1_NHAP_XUAT,NX_cot_SLXuat,ps_hang64)</f>
        <v>#NAME?</v>
      </c>
      <c r="L71" s="251"/>
    </row>
    <row r="72" spans="2:12">
      <c r="B72" s="274">
        <v>65</v>
      </c>
      <c r="C72" s="286"/>
      <c r="D72" s="104"/>
      <c r="E72" s="291"/>
      <c r="F72" s="292"/>
      <c r="G72" s="293"/>
      <c r="H72" s="290"/>
      <c r="I72" s="270" t="e">
        <f>DSUM(A1_NHAP_XUAT,NX_cot_SLNhap,td_hang65)-DSUM(A1_NHAP_XUAT,NX_cot_SLXuat,td_hang65)+F72</f>
        <v>#NAME?</v>
      </c>
      <c r="J72" s="271" t="e">
        <f>DSUM(A1_NHAP_XUAT,NX_cot_SLNhap,ps_hang65)</f>
        <v>#NAME?</v>
      </c>
      <c r="K72" s="271" t="e">
        <f>DSUM(A1_NHAP_XUAT,NX_cot_SLXuat,ps_hang65)</f>
        <v>#NAME?</v>
      </c>
      <c r="L72" s="251"/>
    </row>
    <row r="73" spans="2:12">
      <c r="B73" s="274">
        <v>66</v>
      </c>
      <c r="C73" s="286"/>
      <c r="D73" s="104"/>
      <c r="E73" s="291"/>
      <c r="F73" s="292"/>
      <c r="G73" s="293"/>
      <c r="H73" s="290"/>
      <c r="I73" s="270">
        <f>DSUM(A1_NHAP_XUAT,NX_cot_SLNhap,td_hang066)-DSUM(A1_NHAP_XUAT,NX_cot_SLXuat,td_hang066)+F73</f>
        <v>0</v>
      </c>
      <c r="J73" s="271" t="e">
        <f>DSUM(A1_NHAP_XUAT,NX_cot_SLNhap,ps_hang66)</f>
        <v>#NAME?</v>
      </c>
      <c r="K73" s="271" t="e">
        <f>DSUM(A1_NHAP_XUAT,NX_cot_SLXuat,ps_hang66)</f>
        <v>#NAME?</v>
      </c>
      <c r="L73" s="251"/>
    </row>
    <row r="74" spans="2:12">
      <c r="B74" s="274">
        <v>67</v>
      </c>
      <c r="C74" s="286"/>
      <c r="D74" s="104"/>
      <c r="E74" s="291"/>
      <c r="F74" s="292"/>
      <c r="G74" s="293"/>
      <c r="H74" s="290"/>
      <c r="I74" s="270" t="e">
        <f>DSUM(A1_NHAP_XUAT,NX_cot_SLNhap,td_hang67)-DSUM(A1_NHAP_XUAT,NX_cot_SLXuat,td_hang67)+F74</f>
        <v>#NAME?</v>
      </c>
      <c r="J74" s="271" t="e">
        <f>DSUM(A1_NHAP_XUAT,NX_cot_SLNhap,ps_hang67)</f>
        <v>#NAME?</v>
      </c>
      <c r="K74" s="271" t="e">
        <f>DSUM(A1_NHAP_XUAT,NX_cot_SLXuat,ps_hang67)</f>
        <v>#NAME?</v>
      </c>
      <c r="L74" s="251"/>
    </row>
    <row r="75" spans="2:12">
      <c r="B75" s="274">
        <v>68</v>
      </c>
      <c r="C75" s="286"/>
      <c r="D75" s="104"/>
      <c r="E75" s="291"/>
      <c r="F75" s="292"/>
      <c r="G75" s="293"/>
      <c r="H75" s="290"/>
      <c r="I75" s="270">
        <f>DSUM(A1_NHAP_XUAT,NX_cot_SLNhap,td_hang068)-DSUM(A1_NHAP_XUAT,NX_cot_SLXuat,td_hang068)+F75</f>
        <v>0</v>
      </c>
      <c r="J75" s="271" t="e">
        <f>DSUM(A1_NHAP_XUAT,NX_cot_SLNhap,ps_hang68)</f>
        <v>#NAME?</v>
      </c>
      <c r="K75" s="271" t="e">
        <f>DSUM(A1_NHAP_XUAT,NX_cot_SLXuat,ps_hang68)</f>
        <v>#NAME?</v>
      </c>
      <c r="L75" s="251"/>
    </row>
    <row r="76" spans="2:12">
      <c r="B76" s="274">
        <v>69</v>
      </c>
      <c r="C76" s="286"/>
      <c r="D76" s="104"/>
      <c r="E76" s="291"/>
      <c r="F76" s="292"/>
      <c r="G76" s="293"/>
      <c r="H76" s="290"/>
      <c r="I76" s="270">
        <f>DSUM(A1_NHAP_XUAT,NX_cot_SLNhap,td_hang069)-DSUM(A1_NHAP_XUAT,NX_cot_SLXuat,td_hang069)+F76</f>
        <v>0</v>
      </c>
      <c r="J76" s="271" t="e">
        <f>DSUM(A1_NHAP_XUAT,NX_cot_SLNhap,ps_hang69)</f>
        <v>#NAME?</v>
      </c>
      <c r="K76" s="271" t="e">
        <f>DSUM(A1_NHAP_XUAT,NX_cot_SLXuat,ps_hang69)</f>
        <v>#NAME?</v>
      </c>
      <c r="L76" s="251"/>
    </row>
    <row r="77" spans="2:12">
      <c r="B77" s="274">
        <v>70</v>
      </c>
      <c r="C77" s="286"/>
      <c r="D77" s="104"/>
      <c r="E77" s="291"/>
      <c r="F77" s="292"/>
      <c r="G77" s="293"/>
      <c r="H77" s="290"/>
      <c r="I77" s="270" t="e">
        <f>DSUM(A1_NHAP_XUAT,NX_cot_SLNhap,td_hang70)-DSUM(A1_NHAP_XUAT,NX_cot_SLXuat,td_hang70)+F77</f>
        <v>#NAME?</v>
      </c>
      <c r="J77" s="271" t="e">
        <f>DSUM(A1_NHAP_XUAT,NX_cot_SLNhap,ps_hang70)</f>
        <v>#NAME?</v>
      </c>
      <c r="K77" s="271" t="e">
        <f>DSUM(A1_NHAP_XUAT,NX_cot_SLXuat,ps_hang70)</f>
        <v>#NAME?</v>
      </c>
      <c r="L77" s="251"/>
    </row>
    <row r="78" spans="2:12">
      <c r="B78" s="274">
        <v>71</v>
      </c>
      <c r="C78" s="286"/>
      <c r="D78" s="104"/>
      <c r="E78" s="291"/>
      <c r="F78" s="292"/>
      <c r="G78" s="293"/>
      <c r="H78" s="290"/>
      <c r="I78" s="270" t="e">
        <f>DSUM(A1_NHAP_XUAT,NX_cot_SLNhap,td_hang71)-DSUM(A1_NHAP_XUAT,NX_cot_SLXuat,td_hang71)+F78</f>
        <v>#NAME?</v>
      </c>
      <c r="J78" s="271" t="e">
        <f>DSUM(A1_NHAP_XUAT,NX_cot_SLNhap,ps_hang71)</f>
        <v>#NAME?</v>
      </c>
      <c r="K78" s="271" t="e">
        <f>DSUM(A1_NHAP_XUAT,NX_cot_SLXuat,ps_hang71)</f>
        <v>#NAME?</v>
      </c>
      <c r="L78" s="251"/>
    </row>
    <row r="79" spans="2:12">
      <c r="B79" s="274">
        <v>72</v>
      </c>
      <c r="C79" s="286"/>
      <c r="D79" s="104"/>
      <c r="E79" s="291"/>
      <c r="F79" s="292"/>
      <c r="G79" s="293"/>
      <c r="H79" s="290"/>
      <c r="I79" s="270" t="e">
        <f>DSUM(A1_NHAP_XUAT,NX_cot_SLNhap,td_hang72)-DSUM(A1_NHAP_XUAT,NX_cot_SLXuat,td_hang72)+F79</f>
        <v>#NAME?</v>
      </c>
      <c r="J79" s="271" t="e">
        <f>DSUM(A1_NHAP_XUAT,NX_cot_SLNhap,ps_hang72)</f>
        <v>#NAME?</v>
      </c>
      <c r="K79" s="271" t="e">
        <f>DSUM(A1_NHAP_XUAT,NX_cot_SLXuat,ps_hang72)</f>
        <v>#NAME?</v>
      </c>
      <c r="L79" s="251"/>
    </row>
    <row r="80" spans="2:12">
      <c r="B80" s="274">
        <v>73</v>
      </c>
      <c r="C80" s="286"/>
      <c r="D80" s="104"/>
      <c r="E80" s="291"/>
      <c r="F80" s="292"/>
      <c r="G80" s="293"/>
      <c r="H80" s="290"/>
      <c r="I80" s="270" t="e">
        <f>DSUM(A1_NHAP_XUAT,NX_cot_SLNhap,td_hang73)-DSUM(A1_NHAP_XUAT,NX_cot_SLXuat,td_hang73)+F80</f>
        <v>#NAME?</v>
      </c>
      <c r="J80" s="271" t="e">
        <f>DSUM(A1_NHAP_XUAT,NX_cot_SLNhap,ps_hang73)</f>
        <v>#NAME?</v>
      </c>
      <c r="K80" s="271" t="e">
        <f>DSUM(A1_NHAP_XUAT,NX_cot_SLXuat,ps_hang73)</f>
        <v>#NAME?</v>
      </c>
      <c r="L80" s="251"/>
    </row>
    <row r="81" spans="2:12">
      <c r="B81" s="274">
        <v>74</v>
      </c>
      <c r="C81" s="286"/>
      <c r="D81" s="104"/>
      <c r="E81" s="291"/>
      <c r="F81" s="292"/>
      <c r="G81" s="293"/>
      <c r="H81" s="290"/>
      <c r="I81" s="270" t="e">
        <f>DSUM(A1_NHAP_XUAT,NX_cot_SLNhap,td_hang74)-DSUM(A1_NHAP_XUAT,NX_cot_SLXuat,td_hang74)+F81</f>
        <v>#NAME?</v>
      </c>
      <c r="J81" s="271" t="e">
        <f>DSUM(A1_NHAP_XUAT,NX_cot_SLNhap,ps_hang74)</f>
        <v>#NAME?</v>
      </c>
      <c r="K81" s="271" t="e">
        <f>DSUM(A1_NHAP_XUAT,NX_cot_SLXuat,ps_hang74)</f>
        <v>#NAME?</v>
      </c>
      <c r="L81" s="251"/>
    </row>
    <row r="82" spans="2:12">
      <c r="B82" s="274">
        <v>75</v>
      </c>
      <c r="C82" s="286"/>
      <c r="D82" s="104"/>
      <c r="E82" s="291"/>
      <c r="F82" s="292"/>
      <c r="G82" s="293"/>
      <c r="H82" s="290"/>
      <c r="I82" s="270" t="e">
        <f>DSUM(A1_NHAP_XUAT,NX_cot_SLNhap,td_hang75)-DSUM(A1_NHAP_XUAT,NX_cot_SLXuat,td_hang75)+F82</f>
        <v>#NAME?</v>
      </c>
      <c r="J82" s="271" t="e">
        <f>DSUM(A1_NHAP_XUAT,NX_cot_SLNhap,ps_hang75)</f>
        <v>#NAME?</v>
      </c>
      <c r="K82" s="271" t="e">
        <f>DSUM(A1_NHAP_XUAT,NX_cot_SLXuat,ps_hang75)</f>
        <v>#NAME?</v>
      </c>
      <c r="L82" s="251"/>
    </row>
    <row r="83" spans="2:12">
      <c r="B83" s="274">
        <v>76</v>
      </c>
      <c r="C83" s="286"/>
      <c r="D83" s="104"/>
      <c r="E83" s="291"/>
      <c r="F83" s="292"/>
      <c r="G83" s="293"/>
      <c r="H83" s="290"/>
      <c r="I83" s="270" t="e">
        <f>DSUM(A1_NHAP_XUAT,NX_cot_SLNhap,td_hang76)-DSUM(A1_NHAP_XUAT,NX_cot_SLXuat,td_hang76)+F83</f>
        <v>#NAME?</v>
      </c>
      <c r="J83" s="271" t="e">
        <f>DSUM(A1_NHAP_XUAT,NX_cot_SLNhap,ps_hang76)</f>
        <v>#NAME?</v>
      </c>
      <c r="K83" s="271" t="e">
        <f>DSUM(A1_NHAP_XUAT,NX_cot_SLXuat,ps_hang76)</f>
        <v>#NAME?</v>
      </c>
      <c r="L83" s="251"/>
    </row>
    <row r="84" spans="2:12">
      <c r="B84" s="274">
        <v>77</v>
      </c>
      <c r="C84" s="286"/>
      <c r="D84" s="104"/>
      <c r="E84" s="291"/>
      <c r="F84" s="292"/>
      <c r="G84" s="293"/>
      <c r="H84" s="290"/>
      <c r="I84" s="270" t="e">
        <f>DSUM(A1_NHAP_XUAT,NX_cot_SLNhap,td_hang77)-DSUM(A1_NHAP_XUAT,NX_cot_SLXuat,td_hang77)+F84</f>
        <v>#NAME?</v>
      </c>
      <c r="J84" s="271" t="e">
        <f>DSUM(A1_NHAP_XUAT,NX_cot_SLNhap,ps_hang77)</f>
        <v>#NAME?</v>
      </c>
      <c r="K84" s="271" t="e">
        <f>DSUM(A1_NHAP_XUAT,NX_cot_SLXuat,ps_hang77)</f>
        <v>#NAME?</v>
      </c>
      <c r="L84" s="251"/>
    </row>
    <row r="85" spans="2:12">
      <c r="B85" s="274">
        <v>78</v>
      </c>
      <c r="C85" s="286"/>
      <c r="D85" s="104"/>
      <c r="E85" s="291"/>
      <c r="F85" s="292"/>
      <c r="G85" s="293"/>
      <c r="H85" s="290"/>
      <c r="I85" s="270" t="e">
        <f>DSUM(A1_NHAP_XUAT,NX_cot_SLNhap,td_hang78)-DSUM(A1_NHAP_XUAT,NX_cot_SLXuat,td_hang78)+F85</f>
        <v>#NAME?</v>
      </c>
      <c r="J85" s="271" t="e">
        <f>DSUM(A1_NHAP_XUAT,NX_cot_SLNhap,ps_hang78)</f>
        <v>#NAME?</v>
      </c>
      <c r="K85" s="271" t="e">
        <f>DSUM(A1_NHAP_XUAT,NX_cot_SLXuat,ps_hang78)</f>
        <v>#NAME?</v>
      </c>
      <c r="L85" s="251"/>
    </row>
    <row r="86" spans="2:12">
      <c r="B86" s="274">
        <v>79</v>
      </c>
      <c r="C86" s="286"/>
      <c r="D86" s="104"/>
      <c r="E86" s="291"/>
      <c r="F86" s="292"/>
      <c r="G86" s="293"/>
      <c r="H86" s="290"/>
      <c r="I86" s="270" t="e">
        <f>DSUM(A1_NHAP_XUAT,NX_cot_SLNhap,td_hang79)-DSUM(A1_NHAP_XUAT,NX_cot_SLXuat,td_hang79)+F86</f>
        <v>#NAME?</v>
      </c>
      <c r="J86" s="271" t="e">
        <f>DSUM(A1_NHAP_XUAT,NX_cot_SLNhap,ps_hang79)</f>
        <v>#NAME?</v>
      </c>
      <c r="K86" s="271" t="e">
        <f>DSUM(A1_NHAP_XUAT,NX_cot_SLXuat,ps_hang79)</f>
        <v>#NAME?</v>
      </c>
      <c r="L86" s="251"/>
    </row>
    <row r="87" spans="2:12">
      <c r="B87" s="274">
        <v>80</v>
      </c>
      <c r="C87" s="286"/>
      <c r="D87" s="104"/>
      <c r="E87" s="291"/>
      <c r="F87" s="292"/>
      <c r="G87" s="293"/>
      <c r="H87" s="290"/>
      <c r="I87" s="270" t="e">
        <f>DSUM(A1_NHAP_XUAT,NX_cot_SLNhap,td_hang80)-DSUM(A1_NHAP_XUAT,NX_cot_SLXuat,td_hang80)+F87</f>
        <v>#NAME?</v>
      </c>
      <c r="J87" s="271" t="e">
        <f>DSUM(A1_NHAP_XUAT,NX_cot_SLNhap,ps_hang80)</f>
        <v>#NAME?</v>
      </c>
      <c r="K87" s="271" t="e">
        <f>DSUM(A1_NHAP_XUAT,NX_cot_SLXuat,ps_hang80)</f>
        <v>#NAME?</v>
      </c>
      <c r="L87" s="251"/>
    </row>
    <row r="88" spans="2:12">
      <c r="B88" s="274">
        <v>81</v>
      </c>
      <c r="C88" s="286"/>
      <c r="D88" s="104"/>
      <c r="E88" s="291"/>
      <c r="F88" s="292"/>
      <c r="G88" s="293"/>
      <c r="H88" s="290"/>
      <c r="I88" s="270" t="e">
        <f>DSUM(A1_NHAP_XUAT,NX_cot_SLNhap,td_hang81)-DSUM(A1_NHAP_XUAT,NX_cot_SLXuat,td_hang81)+F88</f>
        <v>#NAME?</v>
      </c>
      <c r="J88" s="271" t="e">
        <f>DSUM(A1_NHAP_XUAT,NX_cot_SLNhap,ps_hang81)</f>
        <v>#NAME?</v>
      </c>
      <c r="K88" s="271" t="e">
        <f>DSUM(A1_NHAP_XUAT,NX_cot_SLXuat,ps_hang81)</f>
        <v>#NAME?</v>
      </c>
      <c r="L88" s="251"/>
    </row>
    <row r="89" spans="2:12">
      <c r="B89" s="274">
        <v>82</v>
      </c>
      <c r="C89" s="286"/>
      <c r="D89" s="104"/>
      <c r="E89" s="291"/>
      <c r="F89" s="292"/>
      <c r="G89" s="293"/>
      <c r="H89" s="290"/>
      <c r="I89" s="270" t="e">
        <f>DSUM(A1_NHAP_XUAT,NX_cot_SLNhap,td_hang82)-DSUM(A1_NHAP_XUAT,NX_cot_SLXuat,td_hang82)+F89</f>
        <v>#NAME?</v>
      </c>
      <c r="J89" s="271" t="e">
        <f>DSUM(A1_NHAP_XUAT,NX_cot_SLNhap,ps_hang82)</f>
        <v>#NAME?</v>
      </c>
      <c r="K89" s="271" t="e">
        <f>DSUM(A1_NHAP_XUAT,NX_cot_SLXuat,ps_hang82)</f>
        <v>#NAME?</v>
      </c>
      <c r="L89" s="251"/>
    </row>
    <row r="90" spans="2:12">
      <c r="B90" s="274">
        <v>83</v>
      </c>
      <c r="C90" s="286"/>
      <c r="D90" s="104"/>
      <c r="E90" s="291"/>
      <c r="F90" s="292"/>
      <c r="G90" s="293"/>
      <c r="H90" s="290"/>
      <c r="I90" s="270" t="e">
        <f>DSUM(A1_NHAP_XUAT,NX_cot_SLNhap,td_hang83)-DSUM(A1_NHAP_XUAT,NX_cot_SLXuat,td_hang83)+F90</f>
        <v>#NAME?</v>
      </c>
      <c r="J90" s="271" t="e">
        <f>DSUM(A1_NHAP_XUAT,NX_cot_SLNhap,ps_hang83)</f>
        <v>#NAME?</v>
      </c>
      <c r="K90" s="271" t="e">
        <f>DSUM(A1_NHAP_XUAT,NX_cot_SLXuat,ps_hang83)</f>
        <v>#NAME?</v>
      </c>
      <c r="L90" s="251"/>
    </row>
    <row r="91" spans="2:12">
      <c r="B91" s="274">
        <v>84</v>
      </c>
      <c r="C91" s="286"/>
      <c r="D91" s="104"/>
      <c r="E91" s="291"/>
      <c r="F91" s="292"/>
      <c r="G91" s="293"/>
      <c r="H91" s="290"/>
      <c r="I91" s="270">
        <f>DSUM(A1_NHAP_XUAT,NX_cot_SLNhap,td_hang084)-DSUM(A1_NHAP_XUAT,NX_cot_SLXuat,td_hang084)+F91</f>
        <v>0</v>
      </c>
      <c r="J91" s="271" t="e">
        <f>DSUM(A1_NHAP_XUAT,NX_cot_SLNhap,ps_hang84)</f>
        <v>#NAME?</v>
      </c>
      <c r="K91" s="271" t="e">
        <f>DSUM(A1_NHAP_XUAT,NX_cot_SLXuat,ps_hang84)</f>
        <v>#NAME?</v>
      </c>
      <c r="L91" s="251"/>
    </row>
    <row r="92" spans="2:12">
      <c r="B92" s="274">
        <v>85</v>
      </c>
      <c r="C92" s="286"/>
      <c r="D92" s="104"/>
      <c r="E92" s="291"/>
      <c r="F92" s="292"/>
      <c r="G92" s="293"/>
      <c r="H92" s="290"/>
      <c r="I92" s="270">
        <f>DSUM(A1_NHAP_XUAT,NX_cot_SLNhap,td_hang085)-DSUM(A1_NHAP_XUAT,NX_cot_SLXuat,td_hang085)+F92</f>
        <v>0</v>
      </c>
      <c r="J92" s="271" t="e">
        <f>DSUM(A1_NHAP_XUAT,NX_cot_SLNhap,ps_hang85)</f>
        <v>#NAME?</v>
      </c>
      <c r="K92" s="271" t="e">
        <f>DSUM(A1_NHAP_XUAT,NX_cot_SLXuat,ps_hang85)</f>
        <v>#NAME?</v>
      </c>
      <c r="L92" s="251"/>
    </row>
    <row r="93" spans="2:12">
      <c r="B93" s="274">
        <v>86</v>
      </c>
      <c r="C93" s="286"/>
      <c r="D93" s="104"/>
      <c r="E93" s="291"/>
      <c r="F93" s="292"/>
      <c r="G93" s="293"/>
      <c r="H93" s="290"/>
      <c r="I93" s="270">
        <f>DSUM(A1_NHAP_XUAT,NX_cot_SLNhap,td_hang086)-DSUM(A1_NHAP_XUAT,NX_cot_SLXuat,td_hang086)+F93</f>
        <v>0</v>
      </c>
      <c r="J93" s="271" t="e">
        <f>DSUM(A1_NHAP_XUAT,NX_cot_SLNhap,ps_hang86)</f>
        <v>#NAME?</v>
      </c>
      <c r="K93" s="271" t="e">
        <f>DSUM(A1_NHAP_XUAT,NX_cot_SLXuat,ps_hang86)</f>
        <v>#NAME?</v>
      </c>
      <c r="L93" s="251"/>
    </row>
    <row r="94" spans="2:12">
      <c r="B94" s="274">
        <v>87</v>
      </c>
      <c r="C94" s="286"/>
      <c r="D94" s="104"/>
      <c r="E94" s="291"/>
      <c r="F94" s="292"/>
      <c r="G94" s="293"/>
      <c r="H94" s="295"/>
      <c r="I94" s="270">
        <f>DSUM(A1_NHAP_XUAT,NX_cot_SLNhap,td_hang087)-DSUM(A1_NHAP_XUAT,NX_cot_SLXuat,td_hang087)+F94</f>
        <v>0</v>
      </c>
      <c r="J94" s="271" t="e">
        <f>DSUM(A1_NHAP_XUAT,NX_cot_SLNhap,ps_hang87)</f>
        <v>#NAME?</v>
      </c>
      <c r="K94" s="271" t="e">
        <f>DSUM(A1_NHAP_XUAT,NX_cot_SLXuat,ps_hang87)</f>
        <v>#NAME?</v>
      </c>
      <c r="L94" s="251"/>
    </row>
    <row r="95" spans="2:12">
      <c r="B95" s="274">
        <v>88</v>
      </c>
      <c r="C95" s="286"/>
      <c r="D95" s="104"/>
      <c r="E95" s="291"/>
      <c r="F95" s="292"/>
      <c r="G95" s="293"/>
      <c r="H95" s="290"/>
      <c r="I95" s="270">
        <f>DSUM(A1_NHAP_XUAT,NX_cot_SLNhap,td_hang088)-DSUM(A1_NHAP_XUAT,NX_cot_SLXuat,td_hang088)+F95</f>
        <v>0</v>
      </c>
      <c r="J95" s="271" t="e">
        <f>DSUM(A1_NHAP_XUAT,NX_cot_SLNhap,ps_hang88)</f>
        <v>#NAME?</v>
      </c>
      <c r="K95" s="271" t="e">
        <f>DSUM(A1_NHAP_XUAT,NX_cot_SLXuat,ps_hang88)</f>
        <v>#NAME?</v>
      </c>
      <c r="L95" s="251"/>
    </row>
    <row r="96" spans="2:12">
      <c r="B96" s="274">
        <v>89</v>
      </c>
      <c r="C96" s="286"/>
      <c r="D96" s="104"/>
      <c r="E96" s="291"/>
      <c r="F96" s="292"/>
      <c r="G96" s="293"/>
      <c r="H96" s="297"/>
      <c r="I96" s="270">
        <f>DSUM(A1_NHAP_XUAT,NX_cot_SLNhap,td_hang089)-DSUM(A1_NHAP_XUAT,NX_cot_SLXuat,td_hang089)+F96</f>
        <v>0</v>
      </c>
      <c r="J96" s="271" t="e">
        <f>DSUM(A1_NHAP_XUAT,NX_cot_SLNhap,ps_hang89)</f>
        <v>#NAME?</v>
      </c>
      <c r="K96" s="271" t="e">
        <f>DSUM(A1_NHAP_XUAT,NX_cot_SLXuat,ps_hang89)</f>
        <v>#NAME?</v>
      </c>
      <c r="L96" s="251"/>
    </row>
    <row r="97" spans="2:12">
      <c r="B97" s="274">
        <v>90</v>
      </c>
      <c r="C97" s="286"/>
      <c r="D97" s="104"/>
      <c r="E97" s="291"/>
      <c r="F97" s="292"/>
      <c r="G97" s="293"/>
      <c r="H97" s="297"/>
      <c r="I97" s="270">
        <f>DSUM(A1_NHAP_XUAT,NX_cot_SLNhap,td_hang090)-DSUM(A1_NHAP_XUAT,NX_cot_SLXuat,td_hang090)+F97</f>
        <v>0</v>
      </c>
      <c r="J97" s="271" t="e">
        <f>DSUM(A1_NHAP_XUAT,NX_cot_SLNhap,ps_hang90)</f>
        <v>#NAME?</v>
      </c>
      <c r="K97" s="271" t="e">
        <f>DSUM(A1_NHAP_XUAT,NX_cot_SLXuat,ps_hang90)</f>
        <v>#NAME?</v>
      </c>
      <c r="L97" s="251"/>
    </row>
    <row r="98" spans="2:12">
      <c r="B98" s="274">
        <v>91</v>
      </c>
      <c r="C98" s="286"/>
      <c r="D98" s="104"/>
      <c r="E98" s="291"/>
      <c r="F98" s="292"/>
      <c r="G98" s="293"/>
      <c r="H98" s="290"/>
      <c r="I98" s="270">
        <f>DSUM(A1_NHAP_XUAT,NX_cot_SLNhap,td_hang091)-DSUM(A1_NHAP_XUAT,NX_cot_SLXuat,td_hang091)+F98</f>
        <v>0</v>
      </c>
      <c r="J98" s="271" t="e">
        <f>DSUM(A1_NHAP_XUAT,NX_cot_SLNhap,ps_hang91)</f>
        <v>#NAME?</v>
      </c>
      <c r="K98" s="271" t="e">
        <f>DSUM(A1_NHAP_XUAT,NX_cot_SLXuat,ps_hang91)</f>
        <v>#NAME?</v>
      </c>
      <c r="L98" s="251"/>
    </row>
    <row r="99" spans="2:12">
      <c r="B99" s="274">
        <v>92</v>
      </c>
      <c r="C99" s="97"/>
      <c r="D99" s="104"/>
      <c r="E99" s="291"/>
      <c r="F99" s="292"/>
      <c r="G99" s="293"/>
      <c r="H99" s="290"/>
      <c r="I99" s="270">
        <f>DSUM(A1_NHAP_XUAT,NX_cot_SLNhap,td_hang092)-DSUM(A1_NHAP_XUAT,NX_cot_SLXuat,td_hang092)+F99</f>
        <v>0</v>
      </c>
      <c r="J99" s="271" t="e">
        <f>DSUM(A1_NHAP_XUAT,NX_cot_SLNhap,ps_hang92)</f>
        <v>#NAME?</v>
      </c>
      <c r="K99" s="271" t="e">
        <f>DSUM(A1_NHAP_XUAT,NX_cot_SLXuat,ps_hang92)</f>
        <v>#NAME?</v>
      </c>
      <c r="L99" s="251"/>
    </row>
    <row r="100" spans="2:12">
      <c r="B100" s="274">
        <v>93</v>
      </c>
      <c r="C100" s="97"/>
      <c r="D100" s="104"/>
      <c r="E100" s="291"/>
      <c r="F100" s="292"/>
      <c r="G100" s="293"/>
      <c r="H100" s="290"/>
      <c r="I100" s="270">
        <f>DSUM(A1_NHAP_XUAT,NX_cot_SLNhap,td_hang093)-DSUM(A1_NHAP_XUAT,NX_cot_SLXuat,td_hang093)+F100</f>
        <v>0</v>
      </c>
      <c r="J100" s="271" t="e">
        <f>DSUM(A1_NHAP_XUAT,NX_cot_SLNhap,ps_hang93)</f>
        <v>#NAME?</v>
      </c>
      <c r="K100" s="271" t="e">
        <f>DSUM(A1_NHAP_XUAT,NX_cot_SLXuat,ps_hang93)</f>
        <v>#NAME?</v>
      </c>
      <c r="L100" s="251"/>
    </row>
    <row r="101" spans="2:12">
      <c r="B101" s="274">
        <v>94</v>
      </c>
      <c r="C101" s="97"/>
      <c r="D101" s="104"/>
      <c r="E101" s="291"/>
      <c r="F101" s="292"/>
      <c r="G101" s="293"/>
      <c r="H101" s="290"/>
      <c r="I101" s="270">
        <f>DSUM(A1_NHAP_XUAT,NX_cot_SLNhap,td_hang094)-DSUM(A1_NHAP_XUAT,NX_cot_SLXuat,td_hang094)+F101</f>
        <v>0</v>
      </c>
      <c r="J101" s="271" t="e">
        <f>DSUM(A1_NHAP_XUAT,NX_cot_SLNhap,ps_hang94)</f>
        <v>#NAME?</v>
      </c>
      <c r="K101" s="271" t="e">
        <f>DSUM(A1_NHAP_XUAT,NX_cot_SLXuat,ps_hang94)</f>
        <v>#NAME?</v>
      </c>
      <c r="L101" s="251"/>
    </row>
    <row r="102" spans="2:12">
      <c r="B102" s="274">
        <v>95</v>
      </c>
      <c r="C102" s="97"/>
      <c r="D102" s="104"/>
      <c r="E102" s="291"/>
      <c r="F102" s="292"/>
      <c r="G102" s="293"/>
      <c r="H102" s="290"/>
      <c r="I102" s="270">
        <f>DSUM(A1_NHAP_XUAT,NX_cot_SLNhap,td_hang095)-DSUM(A1_NHAP_XUAT,NX_cot_SLXuat,td_hang095)+F102</f>
        <v>0</v>
      </c>
      <c r="J102" s="271" t="e">
        <f>DSUM(A1_NHAP_XUAT,NX_cot_SLNhap,ps_hang95)</f>
        <v>#NAME?</v>
      </c>
      <c r="K102" s="271" t="e">
        <f>DSUM(A1_NHAP_XUAT,NX_cot_SLXuat,ps_hang95)</f>
        <v>#NAME?</v>
      </c>
      <c r="L102" s="251"/>
    </row>
    <row r="103" spans="2:12">
      <c r="B103" s="274">
        <v>96</v>
      </c>
      <c r="C103" s="97"/>
      <c r="D103" s="104"/>
      <c r="E103" s="291"/>
      <c r="F103" s="292"/>
      <c r="G103" s="293"/>
      <c r="H103" s="290"/>
      <c r="I103" s="270">
        <f>DSUM(A1_NHAP_XUAT,NX_cot_SLNhap,td_hang096)-DSUM(A1_NHAP_XUAT,NX_cot_SLXuat,td_hang096)+F103</f>
        <v>0</v>
      </c>
      <c r="J103" s="271" t="e">
        <f>DSUM(A1_NHAP_XUAT,NX_cot_SLNhap,ps_hang96)</f>
        <v>#NAME?</v>
      </c>
      <c r="K103" s="271" t="e">
        <f>DSUM(A1_NHAP_XUAT,NX_cot_SLXuat,ps_hang96)</f>
        <v>#NAME?</v>
      </c>
      <c r="L103" s="251"/>
    </row>
    <row r="104" spans="2:12">
      <c r="B104" s="274">
        <v>97</v>
      </c>
      <c r="C104" s="97"/>
      <c r="D104" s="104"/>
      <c r="E104" s="291"/>
      <c r="F104" s="292"/>
      <c r="G104" s="293"/>
      <c r="H104" s="290"/>
      <c r="I104" s="270">
        <f>DSUM(A1_NHAP_XUAT,NX_cot_SLNhap,td_hang097)-DSUM(A1_NHAP_XUAT,NX_cot_SLXuat,td_hang097)+F104</f>
        <v>0</v>
      </c>
      <c r="J104" s="271" t="e">
        <f>DSUM(A1_NHAP_XUAT,NX_cot_SLNhap,ps_hang97)</f>
        <v>#NAME?</v>
      </c>
      <c r="K104" s="271" t="e">
        <f>DSUM(A1_NHAP_XUAT,NX_cot_SLXuat,ps_hang97)</f>
        <v>#NAME?</v>
      </c>
      <c r="L104" s="251"/>
    </row>
    <row r="105" spans="2:12">
      <c r="B105" s="274">
        <v>98</v>
      </c>
      <c r="C105" s="97"/>
      <c r="D105" s="104"/>
      <c r="E105" s="291"/>
      <c r="F105" s="292"/>
      <c r="G105" s="293"/>
      <c r="H105" s="290"/>
      <c r="I105" s="270">
        <f>DSUM(A1_NHAP_XUAT,NX_cot_SLNhap,td_hang098)-DSUM(A1_NHAP_XUAT,NX_cot_SLXuat,td_hang098)+F105</f>
        <v>0</v>
      </c>
      <c r="J105" s="271" t="e">
        <f>DSUM(A1_NHAP_XUAT,NX_cot_SLNhap,ps_hang98)</f>
        <v>#NAME?</v>
      </c>
      <c r="K105" s="271" t="e">
        <f>DSUM(A1_NHAP_XUAT,NX_cot_SLXuat,ps_hang98)</f>
        <v>#NAME?</v>
      </c>
      <c r="L105" s="251"/>
    </row>
    <row r="106" spans="2:12">
      <c r="B106" s="274">
        <v>99</v>
      </c>
      <c r="C106" s="97"/>
      <c r="D106" s="104"/>
      <c r="E106" s="291"/>
      <c r="F106" s="292"/>
      <c r="G106" s="293"/>
      <c r="H106" s="290"/>
      <c r="I106" s="270">
        <f>DSUM(A1_NHAP_XUAT,NX_cot_SLNhap,td_hang099)-DSUM(A1_NHAP_XUAT,NX_cot_SLXuat,td_hang099)+F106</f>
        <v>0</v>
      </c>
      <c r="J106" s="271" t="e">
        <f>DSUM(A1_NHAP_XUAT,NX_cot_SLNhap,ps_hang99)</f>
        <v>#NAME?</v>
      </c>
      <c r="K106" s="271" t="e">
        <f>DSUM(A1_NHAP_XUAT,NX_cot_SLXuat,ps_hang99)</f>
        <v>#NAME?</v>
      </c>
      <c r="L106" s="251"/>
    </row>
    <row r="107" spans="2:12">
      <c r="B107" s="274">
        <v>100</v>
      </c>
      <c r="C107" s="97"/>
      <c r="D107" s="104"/>
      <c r="E107" s="291"/>
      <c r="F107" s="292"/>
      <c r="G107" s="293"/>
      <c r="H107" s="290"/>
      <c r="I107" s="270">
        <f>DSUM(A1_NHAP_XUAT,NX_cot_SLNhap,td_hang100)-DSUM(A1_NHAP_XUAT,NX_cot_SLXuat,td_hang100)+F107</f>
        <v>0</v>
      </c>
      <c r="J107" s="271">
        <f>DSUM(A1_NHAP_XUAT,NX_cot_SLNhap,ps_hang100)</f>
        <v>0</v>
      </c>
      <c r="K107" s="271">
        <f>DSUM(A1_NHAP_XUAT,NX_cot_SLXuat,ps_hang100)</f>
        <v>0</v>
      </c>
      <c r="L107" s="251"/>
    </row>
    <row r="108" spans="2:12">
      <c r="B108" s="274">
        <v>101</v>
      </c>
      <c r="C108" s="97"/>
      <c r="D108" s="104"/>
      <c r="E108" s="291"/>
      <c r="F108" s="292"/>
      <c r="G108" s="293"/>
      <c r="H108" s="290"/>
      <c r="I108" s="270">
        <f>DSUM(A1_NHAP_XUAT,NX_cot_SLNhap,td_hang101)-DSUM(A1_NHAP_XUAT,NX_cot_SLXuat,td_hang101)+F108</f>
        <v>0</v>
      </c>
      <c r="J108" s="271">
        <f>DSUM(A1_NHAP_XUAT,NX_cot_SLNhap,ps_hang101)</f>
        <v>0</v>
      </c>
      <c r="K108" s="271">
        <f>DSUM(A1_NHAP_XUAT,NX_cot_SLXuat,ps_hang101)</f>
        <v>0</v>
      </c>
      <c r="L108" s="251"/>
    </row>
    <row r="109" spans="2:12">
      <c r="B109" s="274">
        <v>102</v>
      </c>
      <c r="C109" s="97"/>
      <c r="D109" s="104"/>
      <c r="E109" s="291"/>
      <c r="F109" s="292"/>
      <c r="G109" s="293"/>
      <c r="H109" s="295"/>
      <c r="I109" s="270">
        <f>DSUM(A1_NHAP_XUAT,NX_cot_SLNhap,td_hang102)-DSUM(A1_NHAP_XUAT,NX_cot_SLXuat,td_hang102)+F109</f>
        <v>0</v>
      </c>
      <c r="J109" s="271">
        <f>DSUM(A1_NHAP_XUAT,NX_cot_SLNhap,ps_hang102)</f>
        <v>0</v>
      </c>
      <c r="K109" s="271">
        <f>DSUM(A1_NHAP_XUAT,NX_cot_SLXuat,ps_hang102)</f>
        <v>0</v>
      </c>
      <c r="L109" s="251"/>
    </row>
    <row r="110" spans="2:12">
      <c r="B110" s="274">
        <v>103</v>
      </c>
      <c r="C110" s="97"/>
      <c r="D110" s="104"/>
      <c r="E110" s="291"/>
      <c r="F110" s="292"/>
      <c r="G110" s="293"/>
      <c r="H110" s="290"/>
      <c r="I110" s="270">
        <f>DSUM(A1_NHAP_XUAT,NX_cot_SLNhap,td_hang103)-DSUM(A1_NHAP_XUAT,NX_cot_SLXuat,td_hang103)+F110</f>
        <v>0</v>
      </c>
      <c r="J110" s="271">
        <f>DSUM(A1_NHAP_XUAT,NX_cot_SLNhap,ps_hang103)</f>
        <v>0</v>
      </c>
      <c r="K110" s="271">
        <f>DSUM(A1_NHAP_XUAT,NX_cot_SLXuat,ps_hang103)</f>
        <v>0</v>
      </c>
      <c r="L110" s="251"/>
    </row>
    <row r="111" spans="2:12">
      <c r="B111" s="274">
        <v>104</v>
      </c>
      <c r="C111" s="97"/>
      <c r="D111" s="104"/>
      <c r="E111" s="291"/>
      <c r="F111" s="292"/>
      <c r="G111" s="293"/>
      <c r="H111" s="290"/>
      <c r="I111" s="270">
        <f>DSUM(A1_NHAP_XUAT,NX_cot_SLNhap,td_hang104)-DSUM(A1_NHAP_XUAT,NX_cot_SLXuat,td_hang104)+F111</f>
        <v>0</v>
      </c>
      <c r="J111" s="271">
        <f>DSUM(A1_NHAP_XUAT,NX_cot_SLNhap,ps_hang104)</f>
        <v>0</v>
      </c>
      <c r="K111" s="271">
        <f>DSUM(A1_NHAP_XUAT,NX_cot_SLXuat,ps_hang104)</f>
        <v>0</v>
      </c>
      <c r="L111" s="251"/>
    </row>
    <row r="112" spans="2:12">
      <c r="B112" s="274">
        <v>105</v>
      </c>
      <c r="C112" s="97"/>
      <c r="D112" s="104"/>
      <c r="E112" s="291"/>
      <c r="F112" s="292"/>
      <c r="G112" s="293"/>
      <c r="H112" s="290"/>
      <c r="I112" s="270">
        <f>DSUM(A1_NHAP_XUAT,NX_cot_SLNhap,td_hang105)-DSUM(A1_NHAP_XUAT,NX_cot_SLXuat,td_hang105)+F112</f>
        <v>0</v>
      </c>
      <c r="J112" s="271">
        <f>DSUM(A1_NHAP_XUAT,NX_cot_SLNhap,ps_hang105)</f>
        <v>0</v>
      </c>
      <c r="K112" s="271">
        <f>DSUM(A1_NHAP_XUAT,NX_cot_SLXuat,ps_hang105)</f>
        <v>0</v>
      </c>
      <c r="L112" s="251"/>
    </row>
    <row r="113" spans="2:12">
      <c r="B113" s="274">
        <v>106</v>
      </c>
      <c r="C113" s="286"/>
      <c r="D113" s="104"/>
      <c r="E113" s="291"/>
      <c r="F113" s="292"/>
      <c r="G113" s="293"/>
      <c r="H113" s="298"/>
      <c r="I113" s="270">
        <f>DSUM(A1_NHAP_XUAT,NX_cot_SLNhap,td_hang106)-DSUM(A1_NHAP_XUAT,NX_cot_SLXuat,td_hang106)+F113</f>
        <v>0</v>
      </c>
      <c r="J113" s="271">
        <f>DSUM(A1_NHAP_XUAT,NX_cot_SLNhap,ps_hang106)</f>
        <v>0</v>
      </c>
      <c r="K113" s="271">
        <f>DSUM(A1_NHAP_XUAT,NX_cot_SLXuat,ps_hang106)</f>
        <v>0</v>
      </c>
      <c r="L113" s="251"/>
    </row>
    <row r="114" spans="2:12">
      <c r="B114" s="274">
        <v>107</v>
      </c>
      <c r="C114" s="286"/>
      <c r="D114" s="104"/>
      <c r="E114" s="291"/>
      <c r="F114" s="292"/>
      <c r="G114" s="293"/>
      <c r="H114" s="298"/>
      <c r="I114" s="270">
        <f>DSUM(A1_NHAP_XUAT,NX_cot_SLNhap,td_hang107)-DSUM(A1_NHAP_XUAT,NX_cot_SLXuat,td_hang107)+F114</f>
        <v>0</v>
      </c>
      <c r="J114" s="271">
        <f>DSUM(A1_NHAP_XUAT,NX_cot_SLNhap,ps_hang107)</f>
        <v>0</v>
      </c>
      <c r="K114" s="271">
        <f>DSUM(A1_NHAP_XUAT,NX_cot_SLXuat,ps_hang107)</f>
        <v>0</v>
      </c>
      <c r="L114" s="251"/>
    </row>
    <row r="115" spans="2:12">
      <c r="B115" s="274">
        <v>108</v>
      </c>
      <c r="C115" s="286"/>
      <c r="D115" s="104"/>
      <c r="E115" s="291"/>
      <c r="F115" s="292"/>
      <c r="G115" s="293"/>
      <c r="H115" s="290"/>
      <c r="I115" s="270">
        <f>DSUM(A1_NHAP_XUAT,NX_cot_SLNhap,td_hang108)-DSUM(A1_NHAP_XUAT,NX_cot_SLXuat,td_hang108)+F115</f>
        <v>0</v>
      </c>
      <c r="J115" s="271">
        <f>DSUM(A1_NHAP_XUAT,NX_cot_SLNhap,ps_hang108)</f>
        <v>0</v>
      </c>
      <c r="K115" s="271">
        <f>DSUM(A1_NHAP_XUAT,NX_cot_SLXuat,ps_hang108)</f>
        <v>0</v>
      </c>
      <c r="L115" s="251"/>
    </row>
    <row r="116" spans="2:12">
      <c r="B116" s="274">
        <v>109</v>
      </c>
      <c r="C116" s="286"/>
      <c r="D116" s="296"/>
      <c r="E116" s="291"/>
      <c r="F116" s="292"/>
      <c r="G116" s="293"/>
      <c r="H116" s="290"/>
      <c r="I116" s="270">
        <f>DSUM(A1_NHAP_XUAT,NX_cot_SLNhap,td_hang109)-DSUM(A1_NHAP_XUAT,NX_cot_SLXuat,td_hang109)+F116</f>
        <v>0</v>
      </c>
      <c r="J116" s="271">
        <f>DSUM(A1_NHAP_XUAT,NX_cot_SLNhap,ps_hang109)</f>
        <v>0</v>
      </c>
      <c r="K116" s="271">
        <f>DSUM(A1_NHAP_XUAT,NX_cot_SLXuat,ps_hang109)</f>
        <v>0</v>
      </c>
      <c r="L116" s="251"/>
    </row>
    <row r="117" spans="2:12">
      <c r="B117" s="274">
        <v>110</v>
      </c>
      <c r="C117" s="286"/>
      <c r="D117" s="299"/>
      <c r="E117" s="291"/>
      <c r="F117" s="292"/>
      <c r="G117" s="293"/>
      <c r="H117" s="290"/>
      <c r="I117" s="270">
        <f>DSUM(A1_NHAP_XUAT,NX_cot_SLNhap,td_hang110)-DSUM(A1_NHAP_XUAT,NX_cot_SLXuat,td_hang110)+F117</f>
        <v>0</v>
      </c>
      <c r="J117" s="271">
        <f>DSUM(A1_NHAP_XUAT,NX_cot_SLNhap,ps_hang110)</f>
        <v>0</v>
      </c>
      <c r="K117" s="271">
        <f>DSUM(A1_NHAP_XUAT,NX_cot_SLXuat,ps_hang110)</f>
        <v>0</v>
      </c>
      <c r="L117" s="251"/>
    </row>
    <row r="118" spans="2:12">
      <c r="B118" s="274">
        <v>111</v>
      </c>
      <c r="C118" s="286"/>
      <c r="D118" s="296"/>
      <c r="E118" s="291"/>
      <c r="F118" s="292"/>
      <c r="G118" s="293"/>
      <c r="H118" s="290"/>
      <c r="I118" s="270">
        <f>DSUM(A1_NHAP_XUAT,NX_cot_SLNhap,td_hang111)-DSUM(A1_NHAP_XUAT,NX_cot_SLXuat,td_hang111)+F118</f>
        <v>0</v>
      </c>
      <c r="J118" s="271">
        <f>DSUM(A1_NHAP_XUAT,NX_cot_SLNhap,ps_hang111)</f>
        <v>0</v>
      </c>
      <c r="K118" s="271">
        <f>DSUM(A1_NHAP_XUAT,NX_cot_SLXuat,ps_hang111)</f>
        <v>0</v>
      </c>
      <c r="L118" s="251"/>
    </row>
    <row r="119" spans="2:12">
      <c r="B119" s="274">
        <v>112</v>
      </c>
      <c r="C119" s="286"/>
      <c r="D119" s="296"/>
      <c r="E119" s="291"/>
      <c r="F119" s="292"/>
      <c r="G119" s="293"/>
      <c r="H119" s="290"/>
      <c r="I119" s="270">
        <f>DSUM(A1_NHAP_XUAT,NX_cot_SLNhap,td_hang112)-DSUM(A1_NHAP_XUAT,NX_cot_SLXuat,td_hang112)+F119</f>
        <v>0</v>
      </c>
      <c r="J119" s="271">
        <f>DSUM(A1_NHAP_XUAT,NX_cot_SLNhap,ps_hang112)</f>
        <v>0</v>
      </c>
      <c r="K119" s="271">
        <f>DSUM(A1_NHAP_XUAT,NX_cot_SLXuat,ps_hang112)</f>
        <v>0</v>
      </c>
      <c r="L119" s="251"/>
    </row>
    <row r="120" spans="2:12">
      <c r="B120" s="274">
        <v>113</v>
      </c>
      <c r="C120" s="286"/>
      <c r="D120" s="104"/>
      <c r="E120" s="291"/>
      <c r="F120" s="292"/>
      <c r="G120" s="293"/>
      <c r="H120" s="298"/>
      <c r="I120" s="270">
        <f>DSUM(A1_NHAP_XUAT,NX_cot_SLNhap,td_hang113)-DSUM(A1_NHAP_XUAT,NX_cot_SLXuat,td_hang113)+F120</f>
        <v>0</v>
      </c>
      <c r="J120" s="271">
        <f>DSUM(A1_NHAP_XUAT,NX_cot_SLNhap,ps_hang113)</f>
        <v>0</v>
      </c>
      <c r="K120" s="271">
        <f>DSUM(A1_NHAP_XUAT,NX_cot_SLXuat,ps_hang113)</f>
        <v>0</v>
      </c>
      <c r="L120" s="251"/>
    </row>
    <row r="121" spans="2:12">
      <c r="B121" s="274">
        <v>114</v>
      </c>
      <c r="C121" s="286"/>
      <c r="D121" s="104"/>
      <c r="E121" s="291"/>
      <c r="F121" s="292"/>
      <c r="G121" s="293"/>
      <c r="H121" s="298"/>
      <c r="I121" s="270">
        <f>DSUM(A1_NHAP_XUAT,NX_cot_SLNhap,td_hang114)-DSUM(A1_NHAP_XUAT,NX_cot_SLXuat,td_hang114)+F121</f>
        <v>0</v>
      </c>
      <c r="J121" s="271">
        <f>DSUM(A1_NHAP_XUAT,NX_cot_SLNhap,ps_hang114)</f>
        <v>0</v>
      </c>
      <c r="K121" s="271">
        <f>DSUM(A1_NHAP_XUAT,NX_cot_SLXuat,ps_hang114)</f>
        <v>0</v>
      </c>
      <c r="L121" s="251"/>
    </row>
    <row r="122" spans="2:12">
      <c r="B122" s="274">
        <v>115</v>
      </c>
      <c r="C122" s="286"/>
      <c r="D122" s="104"/>
      <c r="E122" s="291"/>
      <c r="F122" s="292"/>
      <c r="G122" s="293"/>
      <c r="H122" s="290"/>
      <c r="I122" s="270">
        <f>DSUM(A1_NHAP_XUAT,NX_cot_SLNhap,td_hang115)-DSUM(A1_NHAP_XUAT,NX_cot_SLXuat,td_hang115)+F122</f>
        <v>0</v>
      </c>
      <c r="J122" s="271">
        <f>DSUM(A1_NHAP_XUAT,NX_cot_SLNhap,ps_hang115)</f>
        <v>0</v>
      </c>
      <c r="K122" s="271">
        <f>DSUM(A1_NHAP_XUAT,NX_cot_SLXuat,ps_hang115)</f>
        <v>0</v>
      </c>
      <c r="L122" s="251"/>
    </row>
    <row r="123" spans="2:12" s="273" customFormat="1">
      <c r="B123" s="276">
        <v>116</v>
      </c>
      <c r="C123" s="286"/>
      <c r="D123" s="104"/>
      <c r="E123" s="291"/>
      <c r="F123" s="292"/>
      <c r="G123" s="293"/>
      <c r="H123" s="290"/>
      <c r="I123" s="270">
        <f>DSUM(A1_NHAP_XUAT,NX_cot_SLNhap,td_hang116)-DSUM(A1_NHAP_XUAT,NX_cot_SLXuat,td_hang116)+F123</f>
        <v>0</v>
      </c>
      <c r="J123" s="271">
        <f>DSUM(A1_NHAP_XUAT,NX_cot_SLNhap,ps_hang116)</f>
        <v>0</v>
      </c>
      <c r="K123" s="271">
        <f>DSUM(A1_NHAP_XUAT,NX_cot_SLXuat,ps_hang116)</f>
        <v>0</v>
      </c>
      <c r="L123" s="272"/>
    </row>
    <row r="124" spans="2:12">
      <c r="B124" s="274">
        <v>117</v>
      </c>
      <c r="C124" s="286"/>
      <c r="D124" s="104"/>
      <c r="E124" s="291"/>
      <c r="F124" s="292"/>
      <c r="G124" s="293"/>
      <c r="H124" s="290"/>
      <c r="I124" s="270">
        <f>DSUM(A1_NHAP_XUAT,NX_cot_SLNhap,td_hang117)-DSUM(A1_NHAP_XUAT,NX_cot_SLXuat,td_hang117)+F124</f>
        <v>0</v>
      </c>
      <c r="J124" s="271">
        <f>DSUM(A1_NHAP_XUAT,NX_cot_SLNhap,ps_hang117)</f>
        <v>0</v>
      </c>
      <c r="K124" s="271">
        <f>DSUM(A1_NHAP_XUAT,NX_cot_SLXuat,ps_hang117)</f>
        <v>0</v>
      </c>
      <c r="L124" s="251"/>
    </row>
    <row r="125" spans="2:12" s="273" customFormat="1">
      <c r="B125" s="276">
        <v>118</v>
      </c>
      <c r="C125" s="286"/>
      <c r="D125" s="104"/>
      <c r="E125" s="291"/>
      <c r="F125" s="292"/>
      <c r="G125" s="293"/>
      <c r="H125" s="290"/>
      <c r="I125" s="270">
        <f>DSUM(A1_NHAP_XUAT,NX_cot_SLNhap,td_hang118)-DSUM(A1_NHAP_XUAT,NX_cot_SLXuat,td_hang118)+F125</f>
        <v>0</v>
      </c>
      <c r="J125" s="271">
        <f>DSUM(A1_NHAP_XUAT,NX_cot_SLNhap,ps_hang118)</f>
        <v>0</v>
      </c>
      <c r="K125" s="271">
        <f>DSUM(A1_NHAP_XUAT,NX_cot_SLXuat,ps_hang118)</f>
        <v>0</v>
      </c>
      <c r="L125" s="272"/>
    </row>
    <row r="126" spans="2:12">
      <c r="B126" s="274">
        <v>119</v>
      </c>
      <c r="C126" s="286"/>
      <c r="D126" s="104"/>
      <c r="E126" s="291"/>
      <c r="F126" s="292"/>
      <c r="G126" s="293"/>
      <c r="H126" s="295"/>
      <c r="I126" s="270">
        <f>DSUM(A1_NHAP_XUAT,NX_cot_SLNhap,td_hang119)-DSUM(A1_NHAP_XUAT,NX_cot_SLXuat,td_hang119)+F126</f>
        <v>0</v>
      </c>
      <c r="J126" s="271">
        <f>DSUM(A1_NHAP_XUAT,NX_cot_SLNhap,ps_hang119)</f>
        <v>0</v>
      </c>
      <c r="K126" s="271">
        <f>DSUM(A1_NHAP_XUAT,NX_cot_SLXuat,ps_hang119)</f>
        <v>0</v>
      </c>
      <c r="L126" s="251"/>
    </row>
    <row r="127" spans="2:12">
      <c r="B127" s="274">
        <v>120</v>
      </c>
      <c r="C127" s="286"/>
      <c r="D127" s="104"/>
      <c r="E127" s="291"/>
      <c r="F127" s="292"/>
      <c r="G127" s="293"/>
      <c r="H127" s="290"/>
      <c r="I127" s="270">
        <f>DSUM(A1_NHAP_XUAT,NX_cot_SLNhap,td_hang120)-DSUM(A1_NHAP_XUAT,NX_cot_SLXuat,td_hang120)+F127</f>
        <v>0</v>
      </c>
      <c r="J127" s="271">
        <f>DSUM(A1_NHAP_XUAT,NX_cot_SLNhap,ps_hang120)</f>
        <v>0</v>
      </c>
      <c r="K127" s="271">
        <f>DSUM(A1_NHAP_XUAT,NX_cot_SLXuat,ps_hang120)</f>
        <v>0</v>
      </c>
      <c r="L127" s="251"/>
    </row>
    <row r="128" spans="2:12">
      <c r="B128" s="274">
        <v>121</v>
      </c>
      <c r="C128" s="286"/>
      <c r="D128" s="104"/>
      <c r="E128" s="291"/>
      <c r="F128" s="292"/>
      <c r="G128" s="293"/>
      <c r="H128" s="295"/>
      <c r="I128" s="270">
        <f>DSUM(A1_NHAP_XUAT,NX_cot_SLNhap,td_hang121)-DSUM(A1_NHAP_XUAT,NX_cot_SLXuat,td_hang121)+F128</f>
        <v>0</v>
      </c>
      <c r="J128" s="271">
        <f>DSUM(A1_NHAP_XUAT,NX_cot_SLNhap,ps_hang121)</f>
        <v>0</v>
      </c>
      <c r="K128" s="271">
        <f>DSUM(A1_NHAP_XUAT,NX_cot_SLXuat,ps_hang121)</f>
        <v>0</v>
      </c>
      <c r="L128" s="251"/>
    </row>
    <row r="129" spans="2:12">
      <c r="B129" s="274">
        <v>122</v>
      </c>
      <c r="C129" s="286"/>
      <c r="D129" s="299"/>
      <c r="E129" s="291"/>
      <c r="F129" s="292"/>
      <c r="G129" s="293"/>
      <c r="H129" s="290"/>
      <c r="I129" s="270">
        <f>DSUM(A1_NHAP_XUAT,NX_cot_SLNhap,td_hang122)-DSUM(A1_NHAP_XUAT,NX_cot_SLXuat,td_hang122)+F129</f>
        <v>0</v>
      </c>
      <c r="J129" s="271">
        <f>DSUM(A1_NHAP_XUAT,NX_cot_SLNhap,ps_hang122)</f>
        <v>0</v>
      </c>
      <c r="K129" s="271">
        <f>DSUM(A1_NHAP_XUAT,NX_cot_SLXuat,ps_hang122)</f>
        <v>0</v>
      </c>
      <c r="L129" s="251"/>
    </row>
    <row r="130" spans="2:12">
      <c r="B130" s="274">
        <v>123</v>
      </c>
      <c r="C130" s="286"/>
      <c r="D130" s="299"/>
      <c r="E130" s="291"/>
      <c r="F130" s="292"/>
      <c r="G130" s="293"/>
      <c r="H130" s="290"/>
      <c r="I130" s="270">
        <f>DSUM(A1_NHAP_XUAT,NX_cot_SLNhap,td_hang123)-DSUM(A1_NHAP_XUAT,NX_cot_SLXuat,td_hang123)+F130</f>
        <v>0</v>
      </c>
      <c r="J130" s="271">
        <f>DSUM(A1_NHAP_XUAT,NX_cot_SLNhap,ps_hang123)</f>
        <v>0</v>
      </c>
      <c r="K130" s="271">
        <f>DSUM(A1_NHAP_XUAT,NX_cot_SLXuat,ps_hang123)</f>
        <v>0</v>
      </c>
      <c r="L130" s="251"/>
    </row>
    <row r="131" spans="2:12" s="273" customFormat="1">
      <c r="B131" s="276">
        <v>124</v>
      </c>
      <c r="C131" s="286"/>
      <c r="D131" s="296"/>
      <c r="E131" s="291"/>
      <c r="F131" s="292"/>
      <c r="G131" s="293"/>
      <c r="H131" s="290"/>
      <c r="I131" s="270">
        <f>DSUM(A1_NHAP_XUAT,NX_cot_SLNhap,td_hang124)-DSUM(A1_NHAP_XUAT,NX_cot_SLXuat,td_hang124)+F131</f>
        <v>0</v>
      </c>
      <c r="J131" s="271">
        <f>DSUM(A1_NHAP_XUAT,NX_cot_SLNhap,ps_hang124)</f>
        <v>0</v>
      </c>
      <c r="K131" s="271">
        <f>DSUM(A1_NHAP_XUAT,NX_cot_SLXuat,ps_hang124)</f>
        <v>0</v>
      </c>
      <c r="L131" s="272"/>
    </row>
    <row r="132" spans="2:12">
      <c r="B132" s="274">
        <v>125</v>
      </c>
      <c r="C132" s="286"/>
      <c r="D132" s="296"/>
      <c r="E132" s="291"/>
      <c r="F132" s="292"/>
      <c r="G132" s="293"/>
      <c r="H132" s="290"/>
      <c r="I132" s="270">
        <f>DSUM(A1_NHAP_XUAT,NX_cot_SLNhap,td_hang125)-DSUM(A1_NHAP_XUAT,NX_cot_SLXuat,td_hang125)+F132</f>
        <v>0</v>
      </c>
      <c r="J132" s="271">
        <f>DSUM(A1_NHAP_XUAT,NX_cot_SLNhap,ps_hang125)</f>
        <v>0</v>
      </c>
      <c r="K132" s="271">
        <f>DSUM(A1_NHAP_XUAT,NX_cot_SLXuat,ps_hang125)</f>
        <v>0</v>
      </c>
      <c r="L132" s="251"/>
    </row>
    <row r="133" spans="2:12">
      <c r="B133" s="274">
        <v>126</v>
      </c>
      <c r="C133" s="286"/>
      <c r="D133" s="296"/>
      <c r="E133" s="291"/>
      <c r="F133" s="292"/>
      <c r="G133" s="293"/>
      <c r="H133" s="290"/>
      <c r="I133" s="270">
        <f>DSUM(A1_NHAP_XUAT,NX_cot_SLNhap,td_hang126)-DSUM(A1_NHAP_XUAT,NX_cot_SLXuat,td_hang126)+F133</f>
        <v>0</v>
      </c>
      <c r="J133" s="271">
        <f>DSUM(A1_NHAP_XUAT,NX_cot_SLNhap,ps_hang126)</f>
        <v>0</v>
      </c>
      <c r="K133" s="271">
        <f>DSUM(A1_NHAP_XUAT,NX_cot_SLXuat,ps_hang126)</f>
        <v>0</v>
      </c>
      <c r="L133" s="251"/>
    </row>
    <row r="134" spans="2:12">
      <c r="B134" s="274">
        <v>127</v>
      </c>
      <c r="C134" s="286"/>
      <c r="D134" s="296"/>
      <c r="E134" s="291"/>
      <c r="F134" s="292"/>
      <c r="G134" s="293"/>
      <c r="H134" s="295"/>
      <c r="I134" s="270">
        <f>DSUM(A1_NHAP_XUAT,NX_cot_SLNhap,td_hang127)-DSUM(A1_NHAP_XUAT,NX_cot_SLXuat,td_hang127)+F134</f>
        <v>0</v>
      </c>
      <c r="J134" s="271">
        <f>DSUM(A1_NHAP_XUAT,NX_cot_SLNhap,ps_hang127)</f>
        <v>0</v>
      </c>
      <c r="K134" s="271">
        <f>DSUM(A1_NHAP_XUAT,NX_cot_SLXuat,ps_hang127)</f>
        <v>0</v>
      </c>
      <c r="L134" s="251"/>
    </row>
    <row r="135" spans="2:12">
      <c r="B135" s="274">
        <v>128</v>
      </c>
      <c r="C135" s="286"/>
      <c r="D135" s="296"/>
      <c r="E135" s="291"/>
      <c r="F135" s="292"/>
      <c r="G135" s="293"/>
      <c r="H135" s="290"/>
      <c r="I135" s="270">
        <f>DSUM(A1_NHAP_XUAT,NX_cot_SLNhap,td_hang128)-DSUM(A1_NHAP_XUAT,NX_cot_SLXuat,td_hang128)+F135</f>
        <v>0</v>
      </c>
      <c r="J135" s="271">
        <f>DSUM(A1_NHAP_XUAT,NX_cot_SLNhap,ps_hang128)</f>
        <v>0</v>
      </c>
      <c r="K135" s="271">
        <f>DSUM(A1_NHAP_XUAT,NX_cot_SLXuat,ps_hang128)</f>
        <v>0</v>
      </c>
      <c r="L135" s="251"/>
    </row>
    <row r="136" spans="2:12">
      <c r="B136" s="274">
        <v>129</v>
      </c>
      <c r="C136" s="286"/>
      <c r="D136" s="296"/>
      <c r="E136" s="291"/>
      <c r="F136" s="292"/>
      <c r="G136" s="293"/>
      <c r="H136" s="290"/>
      <c r="I136" s="270">
        <f>DSUM(A1_NHAP_XUAT,NX_cot_SLNhap,td_hang129)-DSUM(A1_NHAP_XUAT,NX_cot_SLXuat,td_hang129)+F136</f>
        <v>0</v>
      </c>
      <c r="J136" s="271">
        <f>DSUM(A1_NHAP_XUAT,NX_cot_SLNhap,ps_hang129)</f>
        <v>0</v>
      </c>
      <c r="K136" s="271">
        <f>DSUM(A1_NHAP_XUAT,NX_cot_SLXuat,ps_hang129)</f>
        <v>0</v>
      </c>
      <c r="L136" s="251"/>
    </row>
    <row r="137" spans="2:12">
      <c r="B137" s="274">
        <v>130</v>
      </c>
      <c r="C137" s="286"/>
      <c r="D137" s="296"/>
      <c r="E137" s="291"/>
      <c r="F137" s="292"/>
      <c r="G137" s="293"/>
      <c r="H137" s="290"/>
      <c r="I137" s="270">
        <f>DSUM(A1_NHAP_XUAT,NX_cot_SLNhap,td_hang130)-DSUM(A1_NHAP_XUAT,NX_cot_SLXuat,td_hang130)+F137</f>
        <v>0</v>
      </c>
      <c r="J137" s="271">
        <f>DSUM(A1_NHAP_XUAT,NX_cot_SLNhap,ps_hang130)</f>
        <v>0</v>
      </c>
      <c r="K137" s="271">
        <f>DSUM(A1_NHAP_XUAT,NX_cot_SLXuat,ps_hang130)</f>
        <v>0</v>
      </c>
      <c r="L137" s="251"/>
    </row>
    <row r="138" spans="2:12">
      <c r="B138" s="274">
        <v>131</v>
      </c>
      <c r="C138" s="286"/>
      <c r="D138" s="296"/>
      <c r="E138" s="291"/>
      <c r="F138" s="292"/>
      <c r="G138" s="293"/>
      <c r="H138" s="290"/>
      <c r="I138" s="270">
        <f>DSUM(A1_NHAP_XUAT,NX_cot_SLNhap,td_hang131)-DSUM(A1_NHAP_XUAT,NX_cot_SLXuat,td_hang131)+F138</f>
        <v>0</v>
      </c>
      <c r="J138" s="271">
        <f>DSUM(A1_NHAP_XUAT,NX_cot_SLNhap,ps_hang131)</f>
        <v>0</v>
      </c>
      <c r="K138" s="271">
        <f>DSUM(A1_NHAP_XUAT,NX_cot_SLXuat,ps_hang131)</f>
        <v>0</v>
      </c>
      <c r="L138" s="251"/>
    </row>
    <row r="139" spans="2:12">
      <c r="B139" s="274">
        <v>132</v>
      </c>
      <c r="C139" s="286"/>
      <c r="D139" s="299"/>
      <c r="E139" s="291"/>
      <c r="F139" s="292"/>
      <c r="G139" s="293"/>
      <c r="H139" s="290"/>
      <c r="I139" s="270">
        <f>DSUM(A1_NHAP_XUAT,NX_cot_SLNhap,td_hang132)-DSUM(A1_NHAP_XUAT,NX_cot_SLXuat,td_hang132)+F139</f>
        <v>0</v>
      </c>
      <c r="J139" s="271">
        <f>DSUM(A1_NHAP_XUAT,NX_cot_SLNhap,ps_hang132)</f>
        <v>0</v>
      </c>
      <c r="K139" s="271">
        <f>DSUM(A1_NHAP_XUAT,NX_cot_SLXuat,ps_hang132)</f>
        <v>0</v>
      </c>
      <c r="L139" s="251"/>
    </row>
    <row r="140" spans="2:12">
      <c r="B140" s="274">
        <v>133</v>
      </c>
      <c r="C140" s="286"/>
      <c r="D140" s="299"/>
      <c r="E140" s="291"/>
      <c r="F140" s="292"/>
      <c r="G140" s="293"/>
      <c r="H140" s="290"/>
      <c r="I140" s="270">
        <f>DSUM(A1_NHAP_XUAT,NX_cot_SLNhap,td_hang133)-DSUM(A1_NHAP_XUAT,NX_cot_SLXuat,td_hang133)+F140</f>
        <v>0</v>
      </c>
      <c r="J140" s="271">
        <f>DSUM(A1_NHAP_XUAT,NX_cot_SLNhap,ps_hang133)</f>
        <v>0</v>
      </c>
      <c r="K140" s="271">
        <f>DSUM(A1_NHAP_XUAT,NX_cot_SLXuat,ps_hang133)</f>
        <v>0</v>
      </c>
      <c r="L140" s="251"/>
    </row>
    <row r="141" spans="2:12">
      <c r="B141" s="274">
        <v>134</v>
      </c>
      <c r="C141" s="286"/>
      <c r="D141" s="299"/>
      <c r="E141" s="291"/>
      <c r="F141" s="292"/>
      <c r="G141" s="293"/>
      <c r="H141" s="290"/>
      <c r="I141" s="270">
        <f>DSUM(A1_NHAP_XUAT,NX_cot_SLNhap,td_hang134)-DSUM(A1_NHAP_XUAT,NX_cot_SLXuat,td_hang134)+F141</f>
        <v>0</v>
      </c>
      <c r="J141" s="271">
        <f>DSUM(A1_NHAP_XUAT,NX_cot_SLNhap,ps_hang134)</f>
        <v>0</v>
      </c>
      <c r="K141" s="271">
        <f>DSUM(A1_NHAP_XUAT,NX_cot_SLXuat,ps_hang134)</f>
        <v>0</v>
      </c>
      <c r="L141" s="251"/>
    </row>
    <row r="142" spans="2:12">
      <c r="B142" s="274">
        <v>135</v>
      </c>
      <c r="C142" s="286"/>
      <c r="D142" s="299"/>
      <c r="E142" s="291"/>
      <c r="F142" s="292"/>
      <c r="G142" s="293"/>
      <c r="H142" s="290"/>
      <c r="I142" s="270">
        <f>DSUM(A1_NHAP_XUAT,NX_cot_SLNhap,td_hang135)-DSUM(A1_NHAP_XUAT,NX_cot_SLXuat,td_hang135)+F142</f>
        <v>0</v>
      </c>
      <c r="J142" s="271">
        <f>DSUM(A1_NHAP_XUAT,NX_cot_SLNhap,ps_hang135)</f>
        <v>0</v>
      </c>
      <c r="K142" s="271">
        <f>DSUM(A1_NHAP_XUAT,NX_cot_SLXuat,ps_hang135)</f>
        <v>0</v>
      </c>
      <c r="L142" s="251"/>
    </row>
    <row r="143" spans="2:12">
      <c r="B143" s="274">
        <v>136</v>
      </c>
      <c r="C143" s="286"/>
      <c r="D143" s="104"/>
      <c r="E143" s="291"/>
      <c r="F143" s="292"/>
      <c r="G143" s="293"/>
      <c r="H143" s="295"/>
      <c r="I143" s="270">
        <f>DSUM(A1_NHAP_XUAT,NX_cot_SLNhap,td_hang136)-DSUM(A1_NHAP_XUAT,NX_cot_SLXuat,td_hang136)+F143</f>
        <v>0</v>
      </c>
      <c r="J143" s="271">
        <f>DSUM(A1_NHAP_XUAT,NX_cot_SLNhap,ps_hang136)</f>
        <v>0</v>
      </c>
      <c r="K143" s="271">
        <f>DSUM(A1_NHAP_XUAT,NX_cot_SLXuat,ps_hang136)</f>
        <v>0</v>
      </c>
      <c r="L143" s="251"/>
    </row>
    <row r="144" spans="2:12">
      <c r="B144" s="274">
        <v>137</v>
      </c>
      <c r="C144" s="286"/>
      <c r="D144" s="104"/>
      <c r="E144" s="291"/>
      <c r="F144" s="292"/>
      <c r="G144" s="293"/>
      <c r="H144" s="290"/>
      <c r="I144" s="270">
        <f>DSUM(A1_NHAP_XUAT,NX_cot_SLNhap,td_hang137)-DSUM(A1_NHAP_XUAT,NX_cot_SLXuat,td_hang137)+F144</f>
        <v>0</v>
      </c>
      <c r="J144" s="271">
        <f>DSUM(A1_NHAP_XUAT,NX_cot_SLNhap,ps_hang137)</f>
        <v>0</v>
      </c>
      <c r="K144" s="271">
        <f>DSUM(A1_NHAP_XUAT,NX_cot_SLXuat,ps_hang137)</f>
        <v>0</v>
      </c>
      <c r="L144" s="251"/>
    </row>
    <row r="145" spans="2:12">
      <c r="B145" s="274">
        <v>138</v>
      </c>
      <c r="C145" s="286"/>
      <c r="D145" s="104"/>
      <c r="E145" s="291"/>
      <c r="F145" s="292"/>
      <c r="G145" s="293"/>
      <c r="H145" s="290"/>
      <c r="I145" s="270">
        <f>DSUM(A1_NHAP_XUAT,NX_cot_SLNhap,td_hang138)-DSUM(A1_NHAP_XUAT,NX_cot_SLXuat,td_hang138)+F145</f>
        <v>0</v>
      </c>
      <c r="J145" s="271">
        <f>DSUM(A1_NHAP_XUAT,NX_cot_SLNhap,ps_hang138)</f>
        <v>0</v>
      </c>
      <c r="K145" s="271">
        <f>DSUM(A1_NHAP_XUAT,NX_cot_SLXuat,ps_hang138)</f>
        <v>0</v>
      </c>
      <c r="L145" s="251"/>
    </row>
    <row r="146" spans="2:12">
      <c r="B146" s="274">
        <v>139</v>
      </c>
      <c r="C146" s="286"/>
      <c r="D146" s="104"/>
      <c r="E146" s="291"/>
      <c r="F146" s="292"/>
      <c r="G146" s="293"/>
      <c r="H146" s="290"/>
      <c r="I146" s="270">
        <f>DSUM(A1_NHAP_XUAT,NX_cot_SLNhap,td_hang139)-DSUM(A1_NHAP_XUAT,NX_cot_SLXuat,td_hang139)+F146</f>
        <v>0</v>
      </c>
      <c r="J146" s="271">
        <f>DSUM(A1_NHAP_XUAT,NX_cot_SLNhap,ps_hang139)</f>
        <v>0</v>
      </c>
      <c r="K146" s="271">
        <f>DSUM(A1_NHAP_XUAT,NX_cot_SLXuat,ps_hang139)</f>
        <v>0</v>
      </c>
      <c r="L146" s="251"/>
    </row>
    <row r="147" spans="2:12">
      <c r="B147" s="274">
        <v>140</v>
      </c>
      <c r="C147" s="286"/>
      <c r="D147" s="300"/>
      <c r="E147" s="301"/>
      <c r="F147" s="292"/>
      <c r="G147" s="293"/>
      <c r="H147" s="290"/>
      <c r="I147" s="270">
        <f>DSUM(A1_NHAP_XUAT,NX_cot_SLNhap,td_hang140)-DSUM(A1_NHAP_XUAT,NX_cot_SLXuat,td_hang140)+F147</f>
        <v>0</v>
      </c>
      <c r="J147" s="271">
        <f>DSUM(A1_NHAP_XUAT,NX_cot_SLNhap,ps_hang140)</f>
        <v>0</v>
      </c>
      <c r="K147" s="271">
        <f>DSUM(A1_NHAP_XUAT,NX_cot_SLXuat,ps_hang140)</f>
        <v>0</v>
      </c>
      <c r="L147" s="251"/>
    </row>
    <row r="148" spans="2:12">
      <c r="B148" s="274">
        <v>141</v>
      </c>
      <c r="C148" s="286"/>
      <c r="D148" s="104"/>
      <c r="E148" s="291"/>
      <c r="F148" s="292"/>
      <c r="G148" s="293"/>
      <c r="H148" s="290"/>
      <c r="I148" s="270">
        <f>DSUM(A1_NHAP_XUAT,NX_cot_SLNhap,td_hang141)-DSUM(A1_NHAP_XUAT,NX_cot_SLXuat,td_hang141)+F148</f>
        <v>0</v>
      </c>
      <c r="J148" s="271">
        <f>DSUM(A1_NHAP_XUAT,NX_cot_SLNhap,ps_hang141)</f>
        <v>0</v>
      </c>
      <c r="K148" s="271">
        <f>DSUM(A1_NHAP_XUAT,NX_cot_SLXuat,ps_hang141)</f>
        <v>0</v>
      </c>
      <c r="L148" s="251"/>
    </row>
    <row r="149" spans="2:12">
      <c r="B149" s="274">
        <v>142</v>
      </c>
      <c r="C149" s="286"/>
      <c r="D149" s="104"/>
      <c r="E149" s="291"/>
      <c r="F149" s="292"/>
      <c r="G149" s="293"/>
      <c r="H149" s="290"/>
      <c r="I149" s="270">
        <f>DSUM(A1_NHAP_XUAT,NX_cot_SLNhap,td_hang142)-DSUM(A1_NHAP_XUAT,NX_cot_SLXuat,td_hang142)+F149</f>
        <v>0</v>
      </c>
      <c r="J149" s="271">
        <f>DSUM(A1_NHAP_XUAT,NX_cot_SLNhap,ps_hang142)</f>
        <v>0</v>
      </c>
      <c r="K149" s="271">
        <f>DSUM(A1_NHAP_XUAT,NX_cot_SLXuat,ps_hang142)</f>
        <v>0</v>
      </c>
      <c r="L149" s="251"/>
    </row>
    <row r="150" spans="2:12">
      <c r="B150" s="274">
        <v>143</v>
      </c>
      <c r="C150" s="286"/>
      <c r="D150" s="104"/>
      <c r="E150" s="291"/>
      <c r="F150" s="292"/>
      <c r="G150" s="293"/>
      <c r="H150" s="290"/>
      <c r="I150" s="270">
        <f>DSUM(A1_NHAP_XUAT,NX_cot_SLNhap,td_hang143)-DSUM(A1_NHAP_XUAT,NX_cot_SLXuat,td_hang143)+F150</f>
        <v>0</v>
      </c>
      <c r="J150" s="271">
        <f>DSUM(A1_NHAP_XUAT,NX_cot_SLNhap,ps_hang143)</f>
        <v>0</v>
      </c>
      <c r="K150" s="271">
        <f>DSUM(A1_NHAP_XUAT,NX_cot_SLXuat,ps_hang143)</f>
        <v>0</v>
      </c>
      <c r="L150" s="251"/>
    </row>
    <row r="151" spans="2:12">
      <c r="B151" s="274">
        <v>144</v>
      </c>
      <c r="C151" s="286"/>
      <c r="D151" s="300"/>
      <c r="E151" s="301"/>
      <c r="F151" s="292"/>
      <c r="G151" s="293"/>
      <c r="H151" s="295"/>
      <c r="I151" s="270">
        <f>DSUM(A1_NHAP_XUAT,NX_cot_SLNhap,td_hang144)-DSUM(A1_NHAP_XUAT,NX_cot_SLXuat,td_hang144)+F151</f>
        <v>0</v>
      </c>
      <c r="J151" s="271">
        <f>DSUM(A1_NHAP_XUAT,NX_cot_SLNhap,ps_hang144)</f>
        <v>0</v>
      </c>
      <c r="K151" s="271">
        <f>DSUM(A1_NHAP_XUAT,NX_cot_SLXuat,ps_hang144)</f>
        <v>0</v>
      </c>
      <c r="L151" s="251"/>
    </row>
    <row r="152" spans="2:12">
      <c r="B152" s="274">
        <v>145</v>
      </c>
      <c r="C152" s="286"/>
      <c r="D152" s="104"/>
      <c r="E152" s="291"/>
      <c r="F152" s="292"/>
      <c r="G152" s="293"/>
      <c r="H152" s="290"/>
      <c r="I152" s="270">
        <f>DSUM(A1_NHAP_XUAT,NX_cot_SLNhap,td_hang145)-DSUM(A1_NHAP_XUAT,NX_cot_SLXuat,td_hang145)+F152</f>
        <v>0</v>
      </c>
      <c r="J152" s="271">
        <f>DSUM(A1_NHAP_XUAT,NX_cot_SLNhap,ps_hang145)</f>
        <v>0</v>
      </c>
      <c r="K152" s="271">
        <f>DSUM(A1_NHAP_XUAT,NX_cot_SLXuat,ps_hang145)</f>
        <v>0</v>
      </c>
      <c r="L152" s="251"/>
    </row>
    <row r="153" spans="2:12">
      <c r="B153" s="274">
        <v>146</v>
      </c>
      <c r="C153" s="286"/>
      <c r="D153" s="104"/>
      <c r="E153" s="291"/>
      <c r="F153" s="292"/>
      <c r="G153" s="293"/>
      <c r="H153" s="290"/>
      <c r="I153" s="270">
        <f>DSUM(A1_NHAP_XUAT,NX_cot_SLNhap,td_hang146)-DSUM(A1_NHAP_XUAT,NX_cot_SLXuat,td_hang146)+F153</f>
        <v>0</v>
      </c>
      <c r="J153" s="271">
        <f>DSUM(A1_NHAP_XUAT,NX_cot_SLNhap,ps_hang146)</f>
        <v>0</v>
      </c>
      <c r="K153" s="271">
        <f>DSUM(A1_NHAP_XUAT,NX_cot_SLXuat,ps_hang146)</f>
        <v>0</v>
      </c>
      <c r="L153" s="251"/>
    </row>
    <row r="154" spans="2:12">
      <c r="B154" s="274">
        <v>147</v>
      </c>
      <c r="C154" s="286"/>
      <c r="D154" s="104"/>
      <c r="E154" s="291"/>
      <c r="F154" s="292"/>
      <c r="G154" s="293"/>
      <c r="H154" s="290"/>
      <c r="I154" s="270">
        <f>DSUM(A1_NHAP_XUAT,NX_cot_SLNhap,td_hang147)-DSUM(A1_NHAP_XUAT,NX_cot_SLXuat,td_hang147)+F154</f>
        <v>0</v>
      </c>
      <c r="J154" s="271">
        <f>DSUM(A1_NHAP_XUAT,NX_cot_SLNhap,ps_hang147)</f>
        <v>0</v>
      </c>
      <c r="K154" s="271">
        <f>DSUM(A1_NHAP_XUAT,NX_cot_SLXuat,ps_hang147)</f>
        <v>0</v>
      </c>
      <c r="L154" s="251"/>
    </row>
    <row r="155" spans="2:12">
      <c r="B155" s="274">
        <v>148</v>
      </c>
      <c r="C155" s="286"/>
      <c r="D155" s="104"/>
      <c r="E155" s="291"/>
      <c r="F155" s="292"/>
      <c r="G155" s="293"/>
      <c r="H155" s="290"/>
      <c r="I155" s="270">
        <f>DSUM(A1_NHAP_XUAT,NX_cot_SLNhap,td_hang148)-DSUM(A1_NHAP_XUAT,NX_cot_SLXuat,td_hang148)+F155</f>
        <v>0</v>
      </c>
      <c r="J155" s="271">
        <f>DSUM(A1_NHAP_XUAT,NX_cot_SLNhap,ps_hang148)</f>
        <v>0</v>
      </c>
      <c r="K155" s="271">
        <f>DSUM(A1_NHAP_XUAT,NX_cot_SLXuat,ps_hang148)</f>
        <v>0</v>
      </c>
      <c r="L155" s="251"/>
    </row>
    <row r="156" spans="2:12">
      <c r="B156" s="274">
        <v>149</v>
      </c>
      <c r="C156" s="286"/>
      <c r="D156" s="104"/>
      <c r="E156" s="291"/>
      <c r="F156" s="292"/>
      <c r="G156" s="293"/>
      <c r="H156" s="290"/>
      <c r="I156" s="270">
        <f>DSUM(A1_NHAP_XUAT,NX_cot_SLNhap,td_hang149)-DSUM(A1_NHAP_XUAT,NX_cot_SLXuat,td_hang149)+F156</f>
        <v>0</v>
      </c>
      <c r="J156" s="271">
        <f>DSUM(A1_NHAP_XUAT,NX_cot_SLNhap,ps_hang149)</f>
        <v>0</v>
      </c>
      <c r="K156" s="271">
        <f>DSUM(A1_NHAP_XUAT,NX_cot_SLXuat,ps_hang149)</f>
        <v>0</v>
      </c>
      <c r="L156" s="251"/>
    </row>
    <row r="157" spans="2:12">
      <c r="B157" s="274">
        <v>150</v>
      </c>
      <c r="C157" s="286"/>
      <c r="D157" s="104"/>
      <c r="E157" s="291"/>
      <c r="F157" s="292"/>
      <c r="G157" s="293"/>
      <c r="H157" s="290"/>
      <c r="I157" s="270">
        <f>DSUM(A1_NHAP_XUAT,NX_cot_SLNhap,td_hang150)-DSUM(A1_NHAP_XUAT,NX_cot_SLXuat,td_hang150)+F157</f>
        <v>0</v>
      </c>
      <c r="J157" s="271">
        <f>DSUM(A1_NHAP_XUAT,NX_cot_SLNhap,ps_hang150)</f>
        <v>0</v>
      </c>
      <c r="K157" s="271">
        <f>DSUM(A1_NHAP_XUAT,NX_cot_SLXuat,ps_hang150)</f>
        <v>0</v>
      </c>
      <c r="L157" s="251"/>
    </row>
    <row r="158" spans="2:12">
      <c r="B158" s="274">
        <v>151</v>
      </c>
      <c r="C158" s="286"/>
      <c r="D158" s="104"/>
      <c r="E158" s="291"/>
      <c r="F158" s="292"/>
      <c r="G158" s="293"/>
      <c r="H158" s="290"/>
      <c r="I158" s="270">
        <f>DSUM(A1_NHAP_XUAT,NX_cot_SLNhap,td_hang151)-DSUM(A1_NHAP_XUAT,NX_cot_SLXuat,td_hang151)+F158</f>
        <v>0</v>
      </c>
      <c r="J158" s="271">
        <f>DSUM(A1_NHAP_XUAT,NX_cot_SLNhap,ps_hang151)</f>
        <v>0</v>
      </c>
      <c r="K158" s="271">
        <f>DSUM(A1_NHAP_XUAT,NX_cot_SLXuat,ps_hang151)</f>
        <v>0</v>
      </c>
      <c r="L158" s="251"/>
    </row>
    <row r="159" spans="2:12">
      <c r="B159" s="274">
        <v>152</v>
      </c>
      <c r="C159" s="286"/>
      <c r="D159" s="104"/>
      <c r="E159" s="291"/>
      <c r="F159" s="292"/>
      <c r="G159" s="293"/>
      <c r="H159" s="290"/>
      <c r="I159" s="270">
        <f>DSUM(A1_NHAP_XUAT,NX_cot_SLNhap,td_hang152)-DSUM(A1_NHAP_XUAT,NX_cot_SLXuat,td_hang152)+F159</f>
        <v>0</v>
      </c>
      <c r="J159" s="271">
        <f>DSUM(A1_NHAP_XUAT,NX_cot_SLNhap,ps_hang152)</f>
        <v>0</v>
      </c>
      <c r="K159" s="271">
        <f>DSUM(A1_NHAP_XUAT,NX_cot_SLXuat,ps_hang152)</f>
        <v>0</v>
      </c>
      <c r="L159" s="251"/>
    </row>
    <row r="160" spans="2:12">
      <c r="B160" s="274">
        <v>153</v>
      </c>
      <c r="C160" s="286"/>
      <c r="D160" s="104"/>
      <c r="E160" s="291"/>
      <c r="F160" s="292"/>
      <c r="G160" s="293"/>
      <c r="H160" s="290"/>
      <c r="I160" s="270">
        <f>DSUM(A1_NHAP_XUAT,NX_cot_SLNhap,td_hang153)-DSUM(A1_NHAP_XUAT,NX_cot_SLXuat,td_hang153)+F160</f>
        <v>0</v>
      </c>
      <c r="J160" s="271">
        <f>DSUM(A1_NHAP_XUAT,NX_cot_SLNhap,ps_hang153)</f>
        <v>0</v>
      </c>
      <c r="K160" s="271">
        <f>DSUM(A1_NHAP_XUAT,NX_cot_SLXuat,ps_hang153)</f>
        <v>0</v>
      </c>
      <c r="L160" s="251"/>
    </row>
    <row r="161" spans="2:12">
      <c r="B161" s="274">
        <v>154</v>
      </c>
      <c r="C161" s="286"/>
      <c r="D161" s="104"/>
      <c r="E161" s="291"/>
      <c r="F161" s="292"/>
      <c r="G161" s="293"/>
      <c r="H161" s="290"/>
      <c r="I161" s="270">
        <f>DSUM(A1_NHAP_XUAT,NX_cot_SLNhap,td_hang154)-DSUM(A1_NHAP_XUAT,NX_cot_SLXuat,td_hang154)+F161</f>
        <v>0</v>
      </c>
      <c r="J161" s="271">
        <f>DSUM(A1_NHAP_XUAT,NX_cot_SLNhap,ps_hang154)</f>
        <v>0</v>
      </c>
      <c r="K161" s="271">
        <f>DSUM(A1_NHAP_XUAT,NX_cot_SLXuat,ps_hang154)</f>
        <v>0</v>
      </c>
      <c r="L161" s="251"/>
    </row>
    <row r="162" spans="2:12">
      <c r="B162" s="274">
        <v>155</v>
      </c>
      <c r="C162" s="286"/>
      <c r="D162" s="104"/>
      <c r="E162" s="291"/>
      <c r="F162" s="292"/>
      <c r="G162" s="293"/>
      <c r="H162" s="290"/>
      <c r="I162" s="270">
        <f>DSUM(A1_NHAP_XUAT,NX_cot_SLNhap,td_hang155)-DSUM(A1_NHAP_XUAT,NX_cot_SLXuat,td_hang155)+F162</f>
        <v>0</v>
      </c>
      <c r="J162" s="271">
        <f>DSUM(A1_NHAP_XUAT,NX_cot_SLNhap,ps_hang155)</f>
        <v>0</v>
      </c>
      <c r="K162" s="271">
        <f>DSUM(A1_NHAP_XUAT,NX_cot_SLXuat,ps_hang155)</f>
        <v>0</v>
      </c>
      <c r="L162" s="251"/>
    </row>
    <row r="163" spans="2:12">
      <c r="B163" s="274">
        <v>156</v>
      </c>
      <c r="C163" s="286"/>
      <c r="D163" s="104"/>
      <c r="E163" s="291"/>
      <c r="F163" s="292"/>
      <c r="G163" s="293"/>
      <c r="H163" s="290"/>
      <c r="I163" s="270">
        <f>DSUM(A1_NHAP_XUAT,NX_cot_SLNhap,td_hang156)-DSUM(A1_NHAP_XUAT,NX_cot_SLXuat,td_hang156)+F163</f>
        <v>0</v>
      </c>
      <c r="J163" s="271">
        <f>DSUM(A1_NHAP_XUAT,NX_cot_SLNhap,ps_hang156)</f>
        <v>0</v>
      </c>
      <c r="K163" s="271">
        <f>DSUM(A1_NHAP_XUAT,NX_cot_SLXuat,ps_hang156)</f>
        <v>0</v>
      </c>
      <c r="L163" s="251"/>
    </row>
    <row r="164" spans="2:12">
      <c r="B164" s="274">
        <v>157</v>
      </c>
      <c r="C164" s="286"/>
      <c r="D164" s="104"/>
      <c r="E164" s="291"/>
      <c r="F164" s="292"/>
      <c r="G164" s="293"/>
      <c r="H164" s="290"/>
      <c r="I164" s="270">
        <f>DSUM(A1_NHAP_XUAT,NX_cot_SLNhap,td_hang157)-DSUM(A1_NHAP_XUAT,NX_cot_SLXuat,td_hang157)+F164</f>
        <v>0</v>
      </c>
      <c r="J164" s="271">
        <f>DSUM(A1_NHAP_XUAT,NX_cot_SLNhap,ps_hang157)</f>
        <v>0</v>
      </c>
      <c r="K164" s="271">
        <f>DSUM(A1_NHAP_XUAT,NX_cot_SLXuat,ps_hang157)</f>
        <v>0</v>
      </c>
      <c r="L164" s="251"/>
    </row>
    <row r="165" spans="2:12">
      <c r="B165" s="274">
        <v>158</v>
      </c>
      <c r="C165" s="286"/>
      <c r="D165" s="104"/>
      <c r="E165" s="291"/>
      <c r="F165" s="292"/>
      <c r="G165" s="293"/>
      <c r="H165" s="290"/>
      <c r="I165" s="270">
        <f>DSUM(A1_NHAP_XUAT,NX_cot_SLNhap,td_hang158)-DSUM(A1_NHAP_XUAT,NX_cot_SLXuat,td_hang158)+F165</f>
        <v>0</v>
      </c>
      <c r="J165" s="271">
        <f>DSUM(A1_NHAP_XUAT,NX_cot_SLNhap,ps_hang158)</f>
        <v>0</v>
      </c>
      <c r="K165" s="271">
        <f>DSUM(A1_NHAP_XUAT,NX_cot_SLXuat,ps_hang158)</f>
        <v>0</v>
      </c>
      <c r="L165" s="251"/>
    </row>
    <row r="166" spans="2:12">
      <c r="B166" s="274">
        <v>159</v>
      </c>
      <c r="C166" s="286"/>
      <c r="D166" s="104"/>
      <c r="E166" s="291"/>
      <c r="F166" s="292"/>
      <c r="G166" s="293"/>
      <c r="H166" s="290"/>
      <c r="I166" s="270">
        <f>DSUM(A1_NHAP_XUAT,NX_cot_SLNhap,td_hang159)-DSUM(A1_NHAP_XUAT,NX_cot_SLXuat,td_hang159)+F166</f>
        <v>0</v>
      </c>
      <c r="J166" s="271">
        <f>DSUM(A1_NHAP_XUAT,NX_cot_SLNhap,ps_hang159)</f>
        <v>0</v>
      </c>
      <c r="K166" s="271">
        <f>DSUM(A1_NHAP_XUAT,NX_cot_SLXuat,ps_hang159)</f>
        <v>0</v>
      </c>
      <c r="L166" s="251"/>
    </row>
    <row r="167" spans="2:12">
      <c r="B167" s="274">
        <v>160</v>
      </c>
      <c r="C167" s="286"/>
      <c r="D167" s="104"/>
      <c r="E167" s="291"/>
      <c r="F167" s="292"/>
      <c r="G167" s="293"/>
      <c r="H167" s="290"/>
      <c r="I167" s="270">
        <f>DSUM(A1_NHAP_XUAT,NX_cot_SLNhap,td_hang160)-DSUM(A1_NHAP_XUAT,NX_cot_SLXuat,td_hang160)+F167</f>
        <v>0</v>
      </c>
      <c r="J167" s="271">
        <f>DSUM(A1_NHAP_XUAT,NX_cot_SLNhap,ps_hang160)</f>
        <v>0</v>
      </c>
      <c r="K167" s="271">
        <f>DSUM(A1_NHAP_XUAT,NX_cot_SLXuat,ps_hang160)</f>
        <v>0</v>
      </c>
      <c r="L167" s="251"/>
    </row>
    <row r="168" spans="2:12">
      <c r="B168" s="274">
        <v>161</v>
      </c>
      <c r="C168" s="286"/>
      <c r="D168" s="104"/>
      <c r="E168" s="291"/>
      <c r="F168" s="292"/>
      <c r="G168" s="293"/>
      <c r="H168" s="290"/>
      <c r="I168" s="270">
        <f>DSUM(A1_NHAP_XUAT,NX_cot_SLNhap,td_hang161)-DSUM(A1_NHAP_XUAT,NX_cot_SLXuat,td_hang161)+F168</f>
        <v>0</v>
      </c>
      <c r="J168" s="271">
        <f>DSUM(A1_NHAP_XUAT,NX_cot_SLNhap,ps_hang161)</f>
        <v>0</v>
      </c>
      <c r="K168" s="271">
        <f>DSUM(A1_NHAP_XUAT,NX_cot_SLXuat,ps_hang161)</f>
        <v>0</v>
      </c>
      <c r="L168" s="251"/>
    </row>
    <row r="169" spans="2:12">
      <c r="B169" s="274">
        <v>162</v>
      </c>
      <c r="C169" s="286"/>
      <c r="D169" s="104"/>
      <c r="E169" s="291"/>
      <c r="F169" s="292"/>
      <c r="G169" s="293"/>
      <c r="H169" s="290"/>
      <c r="I169" s="270">
        <f>DSUM(A1_NHAP_XUAT,NX_cot_SLNhap,td_hang162)-DSUM(A1_NHAP_XUAT,NX_cot_SLXuat,td_hang162)+F169</f>
        <v>0</v>
      </c>
      <c r="J169" s="271">
        <f>DSUM(A1_NHAP_XUAT,NX_cot_SLNhap,ps_hang162)</f>
        <v>0</v>
      </c>
      <c r="K169" s="271">
        <f>DSUM(A1_NHAP_XUAT,NX_cot_SLXuat,ps_hang162)</f>
        <v>0</v>
      </c>
      <c r="L169" s="251"/>
    </row>
    <row r="170" spans="2:12">
      <c r="B170" s="274">
        <v>163</v>
      </c>
      <c r="C170" s="286"/>
      <c r="D170" s="104"/>
      <c r="E170" s="291"/>
      <c r="F170" s="292"/>
      <c r="G170" s="293"/>
      <c r="H170" s="290"/>
      <c r="I170" s="270">
        <f>DSUM(A1_NHAP_XUAT,NX_cot_SLNhap,td_hang163)-DSUM(A1_NHAP_XUAT,NX_cot_SLXuat,td_hang163)+F170</f>
        <v>0</v>
      </c>
      <c r="J170" s="271">
        <f>DSUM(A1_NHAP_XUAT,NX_cot_SLNhap,ps_hang163)</f>
        <v>0</v>
      </c>
      <c r="K170" s="271">
        <f>DSUM(A1_NHAP_XUAT,NX_cot_SLXuat,ps_hang163)</f>
        <v>0</v>
      </c>
      <c r="L170" s="251"/>
    </row>
    <row r="171" spans="2:12">
      <c r="B171" s="274">
        <v>164</v>
      </c>
      <c r="C171" s="286"/>
      <c r="D171" s="104"/>
      <c r="E171" s="291"/>
      <c r="F171" s="292"/>
      <c r="G171" s="293"/>
      <c r="H171" s="290"/>
      <c r="I171" s="270">
        <f>DSUM(A1_NHAP_XUAT,NX_cot_SLNhap,td_hang164)-DSUM(A1_NHAP_XUAT,NX_cot_SLXuat,td_hang164)+F171</f>
        <v>0</v>
      </c>
      <c r="J171" s="271">
        <f>DSUM(A1_NHAP_XUAT,NX_cot_SLNhap,ps_hang164)</f>
        <v>0</v>
      </c>
      <c r="K171" s="271">
        <f>DSUM(A1_NHAP_XUAT,NX_cot_SLXuat,ps_hang164)</f>
        <v>0</v>
      </c>
      <c r="L171" s="251"/>
    </row>
    <row r="172" spans="2:12">
      <c r="B172" s="274">
        <v>165</v>
      </c>
      <c r="C172" s="286"/>
      <c r="D172" s="104"/>
      <c r="E172" s="291"/>
      <c r="F172" s="292"/>
      <c r="G172" s="293"/>
      <c r="H172" s="295"/>
      <c r="I172" s="270">
        <f>DSUM(A1_NHAP_XUAT,NX_cot_SLNhap,td_hang165)-DSUM(A1_NHAP_XUAT,NX_cot_SLXuat,td_hang165)+F172</f>
        <v>0</v>
      </c>
      <c r="J172" s="271">
        <f>DSUM(A1_NHAP_XUAT,NX_cot_SLNhap,ps_hang165)</f>
        <v>0</v>
      </c>
      <c r="K172" s="271">
        <f>DSUM(A1_NHAP_XUAT,NX_cot_SLXuat,ps_hang165)</f>
        <v>0</v>
      </c>
      <c r="L172" s="251"/>
    </row>
    <row r="173" spans="2:12">
      <c r="B173" s="274">
        <v>166</v>
      </c>
      <c r="C173" s="286"/>
      <c r="D173" s="104"/>
      <c r="E173" s="291"/>
      <c r="F173" s="292"/>
      <c r="G173" s="293"/>
      <c r="H173" s="290"/>
      <c r="I173" s="270">
        <f>DSUM(A1_NHAP_XUAT,NX_cot_SLNhap,td_hang166)-DSUM(A1_NHAP_XUAT,NX_cot_SLXuat,td_hang166)+F173</f>
        <v>0</v>
      </c>
      <c r="J173" s="271">
        <f>DSUM(A1_NHAP_XUAT,NX_cot_SLNhap,ps_hang166)</f>
        <v>0</v>
      </c>
      <c r="K173" s="271">
        <f>DSUM(A1_NHAP_XUAT,NX_cot_SLXuat,ps_hang166)</f>
        <v>0</v>
      </c>
      <c r="L173" s="251"/>
    </row>
    <row r="174" spans="2:12">
      <c r="B174" s="274">
        <v>167</v>
      </c>
      <c r="C174" s="286"/>
      <c r="D174" s="104"/>
      <c r="E174" s="291"/>
      <c r="F174" s="292"/>
      <c r="G174" s="293"/>
      <c r="H174" s="290"/>
      <c r="I174" s="270">
        <f>DSUM(A1_NHAP_XUAT,NX_cot_SLNhap,td_hang167)-DSUM(A1_NHAP_XUAT,NX_cot_SLXuat,td_hang167)+F174</f>
        <v>0</v>
      </c>
      <c r="J174" s="271">
        <f>DSUM(A1_NHAP_XUAT,NX_cot_SLNhap,ps_hang167)</f>
        <v>0</v>
      </c>
      <c r="K174" s="271">
        <f>DSUM(A1_NHAP_XUAT,NX_cot_SLXuat,ps_hang167)</f>
        <v>0</v>
      </c>
      <c r="L174" s="251"/>
    </row>
    <row r="175" spans="2:12">
      <c r="B175" s="274">
        <v>168</v>
      </c>
      <c r="C175" s="286"/>
      <c r="D175" s="104"/>
      <c r="E175" s="291"/>
      <c r="F175" s="292"/>
      <c r="G175" s="293"/>
      <c r="H175" s="290"/>
      <c r="I175" s="270">
        <f>DSUM(A1_NHAP_XUAT,NX_cot_SLNhap,td_hang168)-DSUM(A1_NHAP_XUAT,NX_cot_SLXuat,td_hang168)+F175</f>
        <v>0</v>
      </c>
      <c r="J175" s="271">
        <f>DSUM(A1_NHAP_XUAT,NX_cot_SLNhap,ps_hang168)</f>
        <v>0</v>
      </c>
      <c r="K175" s="271">
        <f>DSUM(A1_NHAP_XUAT,NX_cot_SLXuat,ps_hang168)</f>
        <v>0</v>
      </c>
      <c r="L175" s="251"/>
    </row>
    <row r="176" spans="2:12">
      <c r="B176" s="274">
        <v>169</v>
      </c>
      <c r="C176" s="286"/>
      <c r="D176" s="300"/>
      <c r="E176" s="301"/>
      <c r="F176" s="292"/>
      <c r="G176" s="293"/>
      <c r="H176" s="290"/>
      <c r="I176" s="270">
        <f>DSUM(A1_NHAP_XUAT,NX_cot_SLNhap,td_hang169)-DSUM(A1_NHAP_XUAT,NX_cot_SLXuat,td_hang169)+F176</f>
        <v>0</v>
      </c>
      <c r="J176" s="271">
        <f>DSUM(A1_NHAP_XUAT,NX_cot_SLNhap,ps_hang169)</f>
        <v>0</v>
      </c>
      <c r="K176" s="271">
        <f>DSUM(A1_NHAP_XUAT,NX_cot_SLXuat,ps_hang169)</f>
        <v>0</v>
      </c>
      <c r="L176" s="251"/>
    </row>
    <row r="177" spans="2:12">
      <c r="B177" s="274">
        <v>170</v>
      </c>
      <c r="C177" s="286"/>
      <c r="D177" s="104"/>
      <c r="E177" s="291"/>
      <c r="F177" s="292"/>
      <c r="G177" s="293"/>
      <c r="H177" s="290"/>
      <c r="I177" s="270">
        <f>DSUM(A1_NHAP_XUAT,NX_cot_SLNhap,td_hang170)-DSUM(A1_NHAP_XUAT,NX_cot_SLXuat,td_hang170)+F177</f>
        <v>0</v>
      </c>
      <c r="J177" s="271">
        <f>DSUM(A1_NHAP_XUAT,NX_cot_SLNhap,ps_hang170)</f>
        <v>0</v>
      </c>
      <c r="K177" s="271">
        <f>DSUM(A1_NHAP_XUAT,NX_cot_SLXuat,ps_hang170)</f>
        <v>0</v>
      </c>
      <c r="L177" s="251"/>
    </row>
    <row r="178" spans="2:12">
      <c r="B178" s="274">
        <v>171</v>
      </c>
      <c r="C178" s="286"/>
      <c r="D178" s="104"/>
      <c r="E178" s="291"/>
      <c r="F178" s="292"/>
      <c r="G178" s="293"/>
      <c r="H178" s="290"/>
      <c r="I178" s="270">
        <f>DSUM(A1_NHAP_XUAT,NX_cot_SLNhap,td_hang171)-DSUM(A1_NHAP_XUAT,NX_cot_SLXuat,td_hang171)+F178</f>
        <v>0</v>
      </c>
      <c r="J178" s="271">
        <f>DSUM(A1_NHAP_XUAT,NX_cot_SLNhap,ps_hang171)</f>
        <v>0</v>
      </c>
      <c r="K178" s="271">
        <f>DSUM(A1_NHAP_XUAT,NX_cot_SLXuat,ps_hang171)</f>
        <v>0</v>
      </c>
      <c r="L178" s="251"/>
    </row>
    <row r="179" spans="2:12">
      <c r="B179" s="274">
        <v>172</v>
      </c>
      <c r="C179" s="286"/>
      <c r="D179" s="104"/>
      <c r="E179" s="291"/>
      <c r="F179" s="292"/>
      <c r="G179" s="293"/>
      <c r="H179" s="290"/>
      <c r="I179" s="270">
        <f>DSUM(A1_NHAP_XUAT,NX_cot_SLNhap,td_hang172)-DSUM(A1_NHAP_XUAT,NX_cot_SLXuat,td_hang172)+F179</f>
        <v>0</v>
      </c>
      <c r="J179" s="271">
        <f>DSUM(A1_NHAP_XUAT,NX_cot_SLNhap,ps_hang172)</f>
        <v>0</v>
      </c>
      <c r="K179" s="271">
        <f>DSUM(A1_NHAP_XUAT,NX_cot_SLXuat,ps_hang172)</f>
        <v>0</v>
      </c>
      <c r="L179" s="251"/>
    </row>
    <row r="180" spans="2:12">
      <c r="B180" s="274">
        <v>173</v>
      </c>
      <c r="C180" s="286"/>
      <c r="D180" s="104"/>
      <c r="E180" s="291"/>
      <c r="F180" s="292"/>
      <c r="G180" s="293"/>
      <c r="H180" s="290"/>
      <c r="I180" s="270">
        <f>DSUM(A1_NHAP_XUAT,NX_cot_SLNhap,td_hang173)-DSUM(A1_NHAP_XUAT,NX_cot_SLXuat,td_hang173)+F180</f>
        <v>0</v>
      </c>
      <c r="J180" s="271">
        <f>DSUM(A1_NHAP_XUAT,NX_cot_SLNhap,ps_hang173)</f>
        <v>0</v>
      </c>
      <c r="K180" s="271">
        <f>DSUM(A1_NHAP_XUAT,NX_cot_SLXuat,ps_hang173)</f>
        <v>0</v>
      </c>
      <c r="L180" s="251"/>
    </row>
    <row r="181" spans="2:12">
      <c r="B181" s="274">
        <v>174</v>
      </c>
      <c r="C181" s="286"/>
      <c r="D181" s="104"/>
      <c r="E181" s="291"/>
      <c r="F181" s="292"/>
      <c r="G181" s="293"/>
      <c r="H181" s="290"/>
      <c r="I181" s="270">
        <f>DSUM(A1_NHAP_XUAT,NX_cot_SLNhap,td_hang174)-DSUM(A1_NHAP_XUAT,NX_cot_SLXuat,td_hang174)+F181</f>
        <v>0</v>
      </c>
      <c r="J181" s="271">
        <f>DSUM(A1_NHAP_XUAT,NX_cot_SLNhap,ps_hang174)</f>
        <v>0</v>
      </c>
      <c r="K181" s="271">
        <f>DSUM(A1_NHAP_XUAT,NX_cot_SLXuat,ps_hang174)</f>
        <v>0</v>
      </c>
      <c r="L181" s="251"/>
    </row>
    <row r="182" spans="2:12">
      <c r="B182" s="274">
        <v>175</v>
      </c>
      <c r="C182" s="286"/>
      <c r="D182" s="104"/>
      <c r="E182" s="291"/>
      <c r="F182" s="292"/>
      <c r="G182" s="293"/>
      <c r="H182" s="290"/>
      <c r="I182" s="270">
        <f>DSUM(A1_NHAP_XUAT,NX_cot_SLNhap,td_hang175)-DSUM(A1_NHAP_XUAT,NX_cot_SLXuat,td_hang175)+F182</f>
        <v>0</v>
      </c>
      <c r="J182" s="271">
        <f>DSUM(A1_NHAP_XUAT,NX_cot_SLNhap,ps_hang175)</f>
        <v>0</v>
      </c>
      <c r="K182" s="271">
        <f>DSUM(A1_NHAP_XUAT,NX_cot_SLXuat,ps_hang175)</f>
        <v>0</v>
      </c>
      <c r="L182" s="251"/>
    </row>
    <row r="183" spans="2:12">
      <c r="B183" s="274">
        <v>176</v>
      </c>
      <c r="C183" s="286"/>
      <c r="D183" s="104"/>
      <c r="E183" s="291"/>
      <c r="F183" s="292"/>
      <c r="G183" s="293"/>
      <c r="H183" s="290"/>
      <c r="I183" s="270">
        <f>DSUM(A1_NHAP_XUAT,NX_cot_SLNhap,td_hang176)-DSUM(A1_NHAP_XUAT,NX_cot_SLXuat,td_hang176)+F183</f>
        <v>0</v>
      </c>
      <c r="J183" s="271">
        <f>DSUM(A1_NHAP_XUAT,NX_cot_SLNhap,ps_hang176)</f>
        <v>0</v>
      </c>
      <c r="K183" s="271">
        <f>DSUM(A1_NHAP_XUAT,NX_cot_SLXuat,ps_hang176)</f>
        <v>0</v>
      </c>
      <c r="L183" s="251"/>
    </row>
    <row r="184" spans="2:12">
      <c r="B184" s="274">
        <v>177</v>
      </c>
      <c r="C184" s="286"/>
      <c r="D184" s="104"/>
      <c r="E184" s="291"/>
      <c r="F184" s="292"/>
      <c r="G184" s="293"/>
      <c r="H184" s="290"/>
      <c r="I184" s="270">
        <f>DSUM(A1_NHAP_XUAT,NX_cot_SLNhap,td_hang177)-DSUM(A1_NHAP_XUAT,NX_cot_SLXuat,td_hang177)+F184</f>
        <v>0</v>
      </c>
      <c r="J184" s="271">
        <f>DSUM(A1_NHAP_XUAT,NX_cot_SLNhap,ps_hang177)</f>
        <v>0</v>
      </c>
      <c r="K184" s="271">
        <f>DSUM(A1_NHAP_XUAT,NX_cot_SLXuat,ps_hang177)</f>
        <v>0</v>
      </c>
      <c r="L184" s="251"/>
    </row>
    <row r="185" spans="2:12">
      <c r="B185" s="274">
        <v>178</v>
      </c>
      <c r="C185" s="286"/>
      <c r="D185" s="104"/>
      <c r="E185" s="291"/>
      <c r="F185" s="292"/>
      <c r="G185" s="293"/>
      <c r="H185" s="290"/>
      <c r="I185" s="270">
        <f>DSUM(A1_NHAP_XUAT,NX_cot_SLNhap,td_hang178)-DSUM(A1_NHAP_XUAT,NX_cot_SLXuat,td_hang178)+F185</f>
        <v>0</v>
      </c>
      <c r="J185" s="271">
        <f>DSUM(A1_NHAP_XUAT,NX_cot_SLNhap,ps_hang178)</f>
        <v>0</v>
      </c>
      <c r="K185" s="271">
        <f>DSUM(A1_NHAP_XUAT,NX_cot_SLXuat,ps_hang178)</f>
        <v>0</v>
      </c>
      <c r="L185" s="251"/>
    </row>
    <row r="186" spans="2:12">
      <c r="B186" s="274">
        <v>179</v>
      </c>
      <c r="C186" s="286"/>
      <c r="D186" s="104"/>
      <c r="E186" s="291"/>
      <c r="F186" s="292"/>
      <c r="G186" s="293"/>
      <c r="H186" s="290"/>
      <c r="I186" s="270">
        <f>DSUM(A1_NHAP_XUAT,NX_cot_SLNhap,td_hang179)-DSUM(A1_NHAP_XUAT,NX_cot_SLXuat,td_hang179)+F186</f>
        <v>0</v>
      </c>
      <c r="J186" s="271">
        <f>DSUM(A1_NHAP_XUAT,NX_cot_SLNhap,ps_hang179)</f>
        <v>0</v>
      </c>
      <c r="K186" s="271">
        <f>DSUM(A1_NHAP_XUAT,NX_cot_SLXuat,ps_hang179)</f>
        <v>0</v>
      </c>
      <c r="L186" s="251"/>
    </row>
    <row r="187" spans="2:12">
      <c r="B187" s="274">
        <v>180</v>
      </c>
      <c r="C187" s="286"/>
      <c r="D187" s="104"/>
      <c r="E187" s="291"/>
      <c r="F187" s="292"/>
      <c r="G187" s="293"/>
      <c r="H187" s="290"/>
      <c r="I187" s="270">
        <f>DSUM(A1_NHAP_XUAT,NX_cot_SLNhap,td_hang180)-DSUM(A1_NHAP_XUAT,NX_cot_SLXuat,td_hang180)+F187</f>
        <v>0</v>
      </c>
      <c r="J187" s="271">
        <f>DSUM(A1_NHAP_XUAT,NX_cot_SLNhap,ps_hang180)</f>
        <v>0</v>
      </c>
      <c r="K187" s="271">
        <f>DSUM(A1_NHAP_XUAT,NX_cot_SLXuat,ps_hang180)</f>
        <v>0</v>
      </c>
      <c r="L187" s="251"/>
    </row>
    <row r="188" spans="2:12">
      <c r="B188" s="274">
        <v>181</v>
      </c>
      <c r="C188" s="286"/>
      <c r="D188" s="104"/>
      <c r="E188" s="291"/>
      <c r="F188" s="292"/>
      <c r="G188" s="293"/>
      <c r="H188" s="290"/>
      <c r="I188" s="270">
        <f>DSUM(A1_NHAP_XUAT,NX_cot_SLNhap,td_hang181)-DSUM(A1_NHAP_XUAT,NX_cot_SLXuat,td_hang181)+F188</f>
        <v>0</v>
      </c>
      <c r="J188" s="271">
        <f>DSUM(A1_NHAP_XUAT,NX_cot_SLNhap,ps_hang181)</f>
        <v>0</v>
      </c>
      <c r="K188" s="271">
        <f>DSUM(A1_NHAP_XUAT,NX_cot_SLXuat,ps_hang181)</f>
        <v>0</v>
      </c>
      <c r="L188" s="251"/>
    </row>
    <row r="189" spans="2:12">
      <c r="B189" s="274">
        <v>182</v>
      </c>
      <c r="C189" s="286"/>
      <c r="D189" s="104"/>
      <c r="E189" s="291"/>
      <c r="F189" s="292"/>
      <c r="G189" s="293"/>
      <c r="H189" s="290"/>
      <c r="I189" s="270">
        <f>DSUM(A1_NHAP_XUAT,NX_cot_SLNhap,td_hang182)-DSUM(A1_NHAP_XUAT,NX_cot_SLXuat,td_hang182)+F189</f>
        <v>0</v>
      </c>
      <c r="J189" s="271">
        <f>DSUM(A1_NHAP_XUAT,NX_cot_SLNhap,ps_hang182)</f>
        <v>0</v>
      </c>
      <c r="K189" s="271">
        <f>DSUM(A1_NHAP_XUAT,NX_cot_SLXuat,ps_hang182)</f>
        <v>0</v>
      </c>
      <c r="L189" s="251"/>
    </row>
    <row r="190" spans="2:12">
      <c r="B190" s="274">
        <v>183</v>
      </c>
      <c r="C190" s="286"/>
      <c r="D190" s="104"/>
      <c r="E190" s="291"/>
      <c r="F190" s="292"/>
      <c r="G190" s="293"/>
      <c r="H190" s="290"/>
      <c r="I190" s="270">
        <f>DSUM(A1_NHAP_XUAT,NX_cot_SLNhap,td_hang183)-DSUM(A1_NHAP_XUAT,NX_cot_SLXuat,td_hang183)+F190</f>
        <v>0</v>
      </c>
      <c r="J190" s="271">
        <f>DSUM(A1_NHAP_XUAT,NX_cot_SLNhap,ps_hang183)</f>
        <v>0</v>
      </c>
      <c r="K190" s="271">
        <f>DSUM(A1_NHAP_XUAT,NX_cot_SLXuat,ps_hang183)</f>
        <v>0</v>
      </c>
      <c r="L190" s="251"/>
    </row>
    <row r="191" spans="2:12">
      <c r="B191" s="274">
        <v>184</v>
      </c>
      <c r="C191" s="286"/>
      <c r="D191" s="104"/>
      <c r="E191" s="291"/>
      <c r="F191" s="292"/>
      <c r="G191" s="293"/>
      <c r="H191" s="290"/>
      <c r="I191" s="270">
        <f>DSUM(A1_NHAP_XUAT,NX_cot_SLNhap,td_hang184)-DSUM(A1_NHAP_XUAT,NX_cot_SLXuat,td_hang184)+F191</f>
        <v>0</v>
      </c>
      <c r="J191" s="271">
        <f>DSUM(A1_NHAP_XUAT,NX_cot_SLNhap,ps_hang184)</f>
        <v>0</v>
      </c>
      <c r="K191" s="271">
        <f>DSUM(A1_NHAP_XUAT,NX_cot_SLXuat,ps_hang184)</f>
        <v>0</v>
      </c>
      <c r="L191" s="251"/>
    </row>
    <row r="192" spans="2:12">
      <c r="B192" s="274">
        <v>185</v>
      </c>
      <c r="C192" s="286"/>
      <c r="D192" s="104"/>
      <c r="E192" s="291"/>
      <c r="F192" s="292"/>
      <c r="G192" s="293"/>
      <c r="H192" s="290"/>
      <c r="I192" s="270">
        <f>DSUM(A1_NHAP_XUAT,NX_cot_SLNhap,td_hang185)-DSUM(A1_NHAP_XUAT,NX_cot_SLXuat,td_hang185)+F192</f>
        <v>0</v>
      </c>
      <c r="J192" s="271">
        <f>DSUM(A1_NHAP_XUAT,NX_cot_SLNhap,ps_hang185)</f>
        <v>0</v>
      </c>
      <c r="K192" s="271">
        <f>DSUM(A1_NHAP_XUAT,NX_cot_SLXuat,ps_hang185)</f>
        <v>0</v>
      </c>
      <c r="L192" s="251"/>
    </row>
    <row r="193" spans="2:12">
      <c r="B193" s="274">
        <v>186</v>
      </c>
      <c r="C193" s="286"/>
      <c r="D193" s="104"/>
      <c r="E193" s="291"/>
      <c r="F193" s="292"/>
      <c r="G193" s="293"/>
      <c r="H193" s="290"/>
      <c r="I193" s="270">
        <f>DSUM(A1_NHAP_XUAT,NX_cot_SLNhap,td_hang186)-DSUM(A1_NHAP_XUAT,NX_cot_SLXuat,td_hang186)+F193</f>
        <v>0</v>
      </c>
      <c r="J193" s="271">
        <f>DSUM(A1_NHAP_XUAT,NX_cot_SLNhap,ps_hang186)</f>
        <v>0</v>
      </c>
      <c r="K193" s="271">
        <f>DSUM(A1_NHAP_XUAT,NX_cot_SLXuat,ps_hang186)</f>
        <v>0</v>
      </c>
      <c r="L193" s="251"/>
    </row>
    <row r="194" spans="2:12">
      <c r="B194" s="274">
        <v>187</v>
      </c>
      <c r="C194" s="286"/>
      <c r="D194" s="104"/>
      <c r="E194" s="291"/>
      <c r="F194" s="292"/>
      <c r="G194" s="293"/>
      <c r="H194" s="290"/>
      <c r="I194" s="270">
        <f>DSUM(A1_NHAP_XUAT,NX_cot_SLNhap,td_hang187)-DSUM(A1_NHAP_XUAT,NX_cot_SLXuat,td_hang187)+F194</f>
        <v>0</v>
      </c>
      <c r="J194" s="271">
        <f>DSUM(A1_NHAP_XUAT,NX_cot_SLNhap,ps_hang187)</f>
        <v>0</v>
      </c>
      <c r="K194" s="271">
        <f>DSUM(A1_NHAP_XUAT,NX_cot_SLXuat,ps_hang187)</f>
        <v>0</v>
      </c>
      <c r="L194" s="251"/>
    </row>
    <row r="195" spans="2:12">
      <c r="B195" s="274">
        <v>188</v>
      </c>
      <c r="C195" s="286"/>
      <c r="D195" s="104"/>
      <c r="E195" s="291"/>
      <c r="F195" s="292"/>
      <c r="G195" s="293"/>
      <c r="H195" s="290"/>
      <c r="I195" s="270">
        <f>DSUM(A1_NHAP_XUAT,NX_cot_SLNhap,td_hang188)-DSUM(A1_NHAP_XUAT,NX_cot_SLXuat,td_hang188)+F195</f>
        <v>0</v>
      </c>
      <c r="J195" s="271">
        <f>DSUM(A1_NHAP_XUAT,NX_cot_SLNhap,ps_hang188)</f>
        <v>0</v>
      </c>
      <c r="K195" s="271">
        <f>DSUM(A1_NHAP_XUAT,NX_cot_SLXuat,ps_hang188)</f>
        <v>0</v>
      </c>
      <c r="L195" s="251"/>
    </row>
    <row r="196" spans="2:12">
      <c r="B196" s="274">
        <v>189</v>
      </c>
      <c r="C196" s="286"/>
      <c r="D196" s="104"/>
      <c r="E196" s="291"/>
      <c r="F196" s="292"/>
      <c r="G196" s="293"/>
      <c r="H196" s="290"/>
      <c r="I196" s="270">
        <f>DSUM(A1_NHAP_XUAT,NX_cot_SLNhap,td_hang189)-DSUM(A1_NHAP_XUAT,NX_cot_SLXuat,td_hang189)+F196</f>
        <v>0</v>
      </c>
      <c r="J196" s="271">
        <f>DSUM(A1_NHAP_XUAT,NX_cot_SLNhap,ps_hang189)</f>
        <v>0</v>
      </c>
      <c r="K196" s="271">
        <f>DSUM(A1_NHAP_XUAT,NX_cot_SLXuat,ps_hang189)</f>
        <v>0</v>
      </c>
      <c r="L196" s="251"/>
    </row>
    <row r="197" spans="2:12">
      <c r="B197" s="274">
        <v>190</v>
      </c>
      <c r="C197" s="286"/>
      <c r="D197" s="104"/>
      <c r="E197" s="291"/>
      <c r="F197" s="292"/>
      <c r="G197" s="293"/>
      <c r="H197" s="290"/>
      <c r="I197" s="270">
        <f>DSUM(A1_NHAP_XUAT,NX_cot_SLNhap,td_hang190)-DSUM(A1_NHAP_XUAT,NX_cot_SLXuat,td_hang190)+F197</f>
        <v>0</v>
      </c>
      <c r="J197" s="271">
        <f>DSUM(A1_NHAP_XUAT,NX_cot_SLNhap,ps_hang190)</f>
        <v>0</v>
      </c>
      <c r="K197" s="271">
        <f>DSUM(A1_NHAP_XUAT,NX_cot_SLXuat,ps_hang190)</f>
        <v>0</v>
      </c>
      <c r="L197" s="251"/>
    </row>
    <row r="198" spans="2:12">
      <c r="B198" s="274">
        <v>191</v>
      </c>
      <c r="C198" s="286"/>
      <c r="D198" s="104"/>
      <c r="E198" s="291"/>
      <c r="F198" s="292"/>
      <c r="G198" s="293"/>
      <c r="H198" s="290"/>
      <c r="I198" s="270">
        <f>DSUM(A1_NHAP_XUAT,NX_cot_SLNhap,td_hang191)-DSUM(A1_NHAP_XUAT,NX_cot_SLXuat,td_hang191)+F198</f>
        <v>0</v>
      </c>
      <c r="J198" s="271">
        <f>DSUM(A1_NHAP_XUAT,NX_cot_SLNhap,ps_hang191)</f>
        <v>0</v>
      </c>
      <c r="K198" s="271">
        <f>DSUM(A1_NHAP_XUAT,NX_cot_SLXuat,ps_hang191)</f>
        <v>0</v>
      </c>
      <c r="L198" s="251"/>
    </row>
    <row r="199" spans="2:12">
      <c r="B199" s="274">
        <v>192</v>
      </c>
      <c r="C199" s="97"/>
      <c r="D199" s="302"/>
      <c r="E199" s="97"/>
      <c r="F199" s="303"/>
      <c r="G199" s="304"/>
      <c r="H199" s="290"/>
      <c r="I199" s="270">
        <f>DSUM(A1_NHAP_XUAT,NX_cot_SLNhap,td_hang192)-DSUM(A1_NHAP_XUAT,NX_cot_SLXuat,td_hang192)+F199</f>
        <v>0</v>
      </c>
      <c r="J199" s="271">
        <f>DSUM(A1_NHAP_XUAT,NX_cot_SLNhap,ps_hang192)</f>
        <v>0</v>
      </c>
      <c r="K199" s="271">
        <f>DSUM(A1_NHAP_XUAT,NX_cot_SLXuat,ps_hang192)</f>
        <v>0</v>
      </c>
      <c r="L199" s="251"/>
    </row>
    <row r="200" spans="2:12">
      <c r="B200" s="274">
        <v>193</v>
      </c>
      <c r="C200" s="97"/>
      <c r="D200" s="302"/>
      <c r="E200" s="97"/>
      <c r="F200" s="303"/>
      <c r="G200" s="304"/>
      <c r="H200" s="290"/>
      <c r="I200" s="270">
        <f>DSUM(A1_NHAP_XUAT,NX_cot_SLNhap,td_hang193)-DSUM(A1_NHAP_XUAT,NX_cot_SLXuat,td_hang193)+F200</f>
        <v>0</v>
      </c>
      <c r="J200" s="271">
        <f>DSUM(A1_NHAP_XUAT,NX_cot_SLNhap,ps_hang193)</f>
        <v>0</v>
      </c>
      <c r="K200" s="271">
        <f>DSUM(A1_NHAP_XUAT,NX_cot_SLXuat,ps_hang193)</f>
        <v>0</v>
      </c>
      <c r="L200" s="251"/>
    </row>
    <row r="201" spans="2:12">
      <c r="B201" s="274">
        <v>194</v>
      </c>
      <c r="C201" s="97"/>
      <c r="D201" s="302"/>
      <c r="E201" s="97"/>
      <c r="F201" s="303"/>
      <c r="G201" s="304"/>
      <c r="H201" s="290"/>
      <c r="I201" s="270">
        <f>DSUM(A1_NHAP_XUAT,NX_cot_SLNhap,td_hang194)-DSUM(A1_NHAP_XUAT,NX_cot_SLXuat,td_hang194)+F201</f>
        <v>0</v>
      </c>
      <c r="J201" s="271">
        <f>DSUM(A1_NHAP_XUAT,NX_cot_SLNhap,ps_hang194)</f>
        <v>0</v>
      </c>
      <c r="K201" s="271">
        <f>DSUM(A1_NHAP_XUAT,NX_cot_SLXuat,ps_hang194)</f>
        <v>0</v>
      </c>
      <c r="L201" s="251"/>
    </row>
    <row r="202" spans="2:12">
      <c r="B202" s="274">
        <v>195</v>
      </c>
      <c r="C202" s="97"/>
      <c r="D202" s="302"/>
      <c r="E202" s="97"/>
      <c r="F202" s="303"/>
      <c r="G202" s="304"/>
      <c r="H202" s="290"/>
      <c r="I202" s="270">
        <f>DSUM(A1_NHAP_XUAT,NX_cot_SLNhap,td_hang195)-DSUM(A1_NHAP_XUAT,NX_cot_SLXuat,td_hang195)+F202</f>
        <v>0</v>
      </c>
      <c r="J202" s="271">
        <f>DSUM(A1_NHAP_XUAT,NX_cot_SLNhap,ps_hang195)</f>
        <v>0</v>
      </c>
      <c r="K202" s="271">
        <f>DSUM(A1_NHAP_XUAT,NX_cot_SLXuat,ps_hang195)</f>
        <v>0</v>
      </c>
      <c r="L202" s="251"/>
    </row>
    <row r="203" spans="2:12">
      <c r="B203" s="274">
        <v>196</v>
      </c>
      <c r="C203" s="97"/>
      <c r="D203" s="302"/>
      <c r="E203" s="97"/>
      <c r="F203" s="303"/>
      <c r="G203" s="304"/>
      <c r="H203" s="290"/>
      <c r="I203" s="270">
        <f>DSUM(A1_NHAP_XUAT,NX_cot_SLNhap,td_hang196)-DSUM(A1_NHAP_XUAT,NX_cot_SLXuat,td_hang196)+F203</f>
        <v>0</v>
      </c>
      <c r="J203" s="271">
        <f>DSUM(A1_NHAP_XUAT,NX_cot_SLNhap,ps_hang196)</f>
        <v>0</v>
      </c>
      <c r="K203" s="271">
        <f>DSUM(A1_NHAP_XUAT,NX_cot_SLXuat,ps_hang196)</f>
        <v>0</v>
      </c>
      <c r="L203" s="251"/>
    </row>
    <row r="204" spans="2:12">
      <c r="B204" s="274">
        <v>197</v>
      </c>
      <c r="C204" s="97"/>
      <c r="D204" s="302"/>
      <c r="E204" s="97"/>
      <c r="F204" s="303"/>
      <c r="G204" s="304"/>
      <c r="H204" s="290"/>
      <c r="I204" s="270">
        <f>DSUM(A1_NHAP_XUAT,NX_cot_SLNhap,td_hang197)-DSUM(A1_NHAP_XUAT,NX_cot_SLXuat,td_hang197)+F204</f>
        <v>0</v>
      </c>
      <c r="J204" s="271">
        <f>DSUM(A1_NHAP_XUAT,NX_cot_SLNhap,ps_hang197)</f>
        <v>0</v>
      </c>
      <c r="K204" s="271">
        <f>DSUM(A1_NHAP_XUAT,NX_cot_SLXuat,ps_hang197)</f>
        <v>0</v>
      </c>
      <c r="L204" s="251"/>
    </row>
    <row r="205" spans="2:12">
      <c r="B205" s="274">
        <v>198</v>
      </c>
      <c r="C205" s="97"/>
      <c r="D205" s="302"/>
      <c r="E205" s="97"/>
      <c r="F205" s="303"/>
      <c r="G205" s="304"/>
      <c r="H205" s="290"/>
      <c r="I205" s="270">
        <f>DSUM(A1_NHAP_XUAT,NX_cot_SLNhap,td_hang198)-DSUM(A1_NHAP_XUAT,NX_cot_SLXuat,td_hang198)+F205</f>
        <v>0</v>
      </c>
      <c r="J205" s="271">
        <f>DSUM(A1_NHAP_XUAT,NX_cot_SLNhap,ps_hang198)</f>
        <v>0</v>
      </c>
      <c r="K205" s="271">
        <f>DSUM(A1_NHAP_XUAT,NX_cot_SLXuat,ps_hang198)</f>
        <v>0</v>
      </c>
      <c r="L205" s="251"/>
    </row>
    <row r="206" spans="2:12">
      <c r="B206" s="274">
        <v>199</v>
      </c>
      <c r="C206" s="97"/>
      <c r="D206" s="302"/>
      <c r="E206" s="97"/>
      <c r="F206" s="303"/>
      <c r="G206" s="304"/>
      <c r="H206" s="290"/>
      <c r="I206" s="270">
        <f>DSUM(A1_NHAP_XUAT,NX_cot_SLNhap,td_hang199)-DSUM(A1_NHAP_XUAT,NX_cot_SLXuat,td_hang199)+F206</f>
        <v>0</v>
      </c>
      <c r="J206" s="271">
        <f>DSUM(A1_NHAP_XUAT,NX_cot_SLNhap,ps_hang199)</f>
        <v>0</v>
      </c>
      <c r="K206" s="271">
        <f>DSUM(A1_NHAP_XUAT,NX_cot_SLXuat,ps_hang199)</f>
        <v>0</v>
      </c>
      <c r="L206" s="251"/>
    </row>
    <row r="207" spans="2:12">
      <c r="B207" s="274">
        <v>200</v>
      </c>
      <c r="C207" s="97"/>
      <c r="D207" s="302"/>
      <c r="E207" s="97"/>
      <c r="F207" s="303"/>
      <c r="G207" s="304"/>
      <c r="H207" s="290"/>
      <c r="I207" s="270">
        <f>DSUM(A1_NHAP_XUAT,NX_cot_SLNhap,td_hang200)-DSUM(A1_NHAP_XUAT,NX_cot_SLXuat,td_hang200)+F207</f>
        <v>0</v>
      </c>
      <c r="J207" s="271">
        <f>DSUM(A1_NHAP_XUAT,NX_cot_SLNhap,ps_hang200)</f>
        <v>0</v>
      </c>
      <c r="K207" s="271">
        <f>DSUM(A1_NHAP_XUAT,NX_cot_SLXuat,ps_hang200)</f>
        <v>0</v>
      </c>
      <c r="L207" s="251"/>
    </row>
    <row r="208" spans="2:12">
      <c r="B208" s="274">
        <v>201</v>
      </c>
      <c r="C208" s="97"/>
      <c r="D208" s="302"/>
      <c r="E208" s="97"/>
      <c r="F208" s="303"/>
      <c r="G208" s="304"/>
      <c r="H208" s="290"/>
      <c r="I208" s="270">
        <f>DSUM(A1_NHAP_XUAT,NX_cot_SLNhap,td_hang201)-DSUM(A1_NHAP_XUAT,NX_cot_SLXuat,td_hang201)+F208</f>
        <v>0</v>
      </c>
      <c r="J208" s="271">
        <f>DSUM(A1_NHAP_XUAT,NX_cot_SLNhap,ps_hang201)</f>
        <v>0</v>
      </c>
      <c r="K208" s="271">
        <f>DSUM(A1_NHAP_XUAT,NX_cot_SLXuat,ps_hang201)</f>
        <v>0</v>
      </c>
      <c r="L208" s="251"/>
    </row>
    <row r="209" spans="2:12">
      <c r="B209" s="274">
        <v>202</v>
      </c>
      <c r="C209" s="97"/>
      <c r="D209" s="302"/>
      <c r="E209" s="97"/>
      <c r="F209" s="303"/>
      <c r="G209" s="304"/>
      <c r="H209" s="290"/>
      <c r="I209" s="270">
        <f>DSUM(A1_NHAP_XUAT,NX_cot_SLNhap,td_hang202)-DSUM(A1_NHAP_XUAT,NX_cot_SLXuat,td_hang202)+F209</f>
        <v>0</v>
      </c>
      <c r="J209" s="271">
        <f>DSUM(A1_NHAP_XUAT,NX_cot_SLNhap,ps_hang202)</f>
        <v>0</v>
      </c>
      <c r="K209" s="271">
        <f>DSUM(A1_NHAP_XUAT,NX_cot_SLXuat,ps_hang202)</f>
        <v>0</v>
      </c>
      <c r="L209" s="251"/>
    </row>
    <row r="210" spans="2:12">
      <c r="B210" s="274">
        <v>203</v>
      </c>
      <c r="C210" s="97"/>
      <c r="D210" s="302"/>
      <c r="E210" s="97"/>
      <c r="F210" s="303"/>
      <c r="G210" s="304"/>
      <c r="H210" s="290"/>
      <c r="I210" s="270">
        <f>DSUM(A1_NHAP_XUAT,NX_cot_SLNhap,td_hang203)-DSUM(A1_NHAP_XUAT,NX_cot_SLXuat,td_hang203)+F210</f>
        <v>0</v>
      </c>
      <c r="J210" s="271">
        <f>DSUM(A1_NHAP_XUAT,NX_cot_SLNhap,ps_hang203)</f>
        <v>0</v>
      </c>
      <c r="K210" s="271">
        <f>DSUM(A1_NHAP_XUAT,NX_cot_SLXuat,ps_hang203)</f>
        <v>0</v>
      </c>
      <c r="L210" s="251"/>
    </row>
    <row r="211" spans="2:12">
      <c r="B211" s="274">
        <v>204</v>
      </c>
      <c r="C211" s="97"/>
      <c r="D211" s="302"/>
      <c r="E211" s="97"/>
      <c r="F211" s="303"/>
      <c r="G211" s="304"/>
      <c r="H211" s="290"/>
      <c r="I211" s="270">
        <f>DSUM(A1_NHAP_XUAT,NX_cot_SLNhap,td_hang204)-DSUM(A1_NHAP_XUAT,NX_cot_SLXuat,td_hang204)+F211</f>
        <v>0</v>
      </c>
      <c r="J211" s="271">
        <f>DSUM(A1_NHAP_XUAT,NX_cot_SLNhap,ps_hang204)</f>
        <v>0</v>
      </c>
      <c r="K211" s="271">
        <f>DSUM(A1_NHAP_XUAT,NX_cot_SLXuat,ps_hang204)</f>
        <v>0</v>
      </c>
      <c r="L211" s="251"/>
    </row>
    <row r="212" spans="2:12">
      <c r="B212" s="274">
        <v>205</v>
      </c>
      <c r="C212" s="97"/>
      <c r="D212" s="302"/>
      <c r="E212" s="97"/>
      <c r="F212" s="303"/>
      <c r="G212" s="304"/>
      <c r="H212" s="290"/>
      <c r="I212" s="270">
        <f>DSUM(A1_NHAP_XUAT,NX_cot_SLNhap,td_hang205)-DSUM(A1_NHAP_XUAT,NX_cot_SLXuat,td_hang205)+F212</f>
        <v>0</v>
      </c>
      <c r="J212" s="271">
        <f>DSUM(A1_NHAP_XUAT,NX_cot_SLNhap,ps_hang205)</f>
        <v>0</v>
      </c>
      <c r="K212" s="271">
        <f>DSUM(A1_NHAP_XUAT,NX_cot_SLXuat,ps_hang205)</f>
        <v>0</v>
      </c>
      <c r="L212" s="251"/>
    </row>
    <row r="213" spans="2:12">
      <c r="B213" s="274">
        <v>206</v>
      </c>
      <c r="C213" s="97"/>
      <c r="D213" s="302"/>
      <c r="E213" s="97"/>
      <c r="F213" s="303"/>
      <c r="G213" s="304"/>
      <c r="H213" s="290"/>
      <c r="I213" s="270">
        <f>DSUM(A1_NHAP_XUAT,NX_cot_SLNhap,td_hang206)-DSUM(A1_NHAP_XUAT,NX_cot_SLXuat,td_hang206)+F213</f>
        <v>0</v>
      </c>
      <c r="J213" s="271">
        <f>DSUM(A1_NHAP_XUAT,NX_cot_SLNhap,ps_hang206)</f>
        <v>0</v>
      </c>
      <c r="K213" s="271">
        <f>DSUM(A1_NHAP_XUAT,NX_cot_SLXuat,ps_hang206)</f>
        <v>0</v>
      </c>
      <c r="L213" s="251"/>
    </row>
    <row r="214" spans="2:12">
      <c r="B214" s="274">
        <v>207</v>
      </c>
      <c r="C214" s="97"/>
      <c r="D214" s="302"/>
      <c r="E214" s="97"/>
      <c r="F214" s="303"/>
      <c r="G214" s="304"/>
      <c r="H214" s="290"/>
      <c r="I214" s="270">
        <f>DSUM(A1_NHAP_XUAT,NX_cot_SLNhap,td_hang207)-DSUM(A1_NHAP_XUAT,NX_cot_SLXuat,td_hang207)+F214</f>
        <v>0</v>
      </c>
      <c r="J214" s="271">
        <f>DSUM(A1_NHAP_XUAT,NX_cot_SLNhap,ps_hang207)</f>
        <v>0</v>
      </c>
      <c r="K214" s="271">
        <f>DSUM(A1_NHAP_XUAT,NX_cot_SLXuat,ps_hang207)</f>
        <v>0</v>
      </c>
      <c r="L214" s="251"/>
    </row>
    <row r="215" spans="2:12">
      <c r="B215" s="274">
        <v>208</v>
      </c>
      <c r="C215" s="97"/>
      <c r="D215" s="302"/>
      <c r="E215" s="97"/>
      <c r="F215" s="303"/>
      <c r="G215" s="304"/>
      <c r="H215" s="290"/>
      <c r="I215" s="270">
        <f>DSUM(A1_NHAP_XUAT,NX_cot_SLNhap,td_hang208)-DSUM(A1_NHAP_XUAT,NX_cot_SLXuat,td_hang208)+F215</f>
        <v>0</v>
      </c>
      <c r="J215" s="271">
        <f>DSUM(A1_NHAP_XUAT,NX_cot_SLNhap,ps_hang208)</f>
        <v>0</v>
      </c>
      <c r="K215" s="271">
        <f>DSUM(A1_NHAP_XUAT,NX_cot_SLXuat,ps_hang208)</f>
        <v>0</v>
      </c>
      <c r="L215" s="251"/>
    </row>
    <row r="216" spans="2:12">
      <c r="B216" s="274">
        <v>209</v>
      </c>
      <c r="C216" s="97"/>
      <c r="D216" s="302"/>
      <c r="E216" s="97"/>
      <c r="F216" s="303"/>
      <c r="G216" s="304"/>
      <c r="H216" s="290"/>
      <c r="I216" s="270">
        <f>DSUM(A1_NHAP_XUAT,NX_cot_SLNhap,td_hang209)-DSUM(A1_NHAP_XUAT,NX_cot_SLXuat,td_hang209)+F216</f>
        <v>0</v>
      </c>
      <c r="J216" s="271">
        <f>DSUM(A1_NHAP_XUAT,NX_cot_SLNhap,ps_hang209)</f>
        <v>0</v>
      </c>
      <c r="K216" s="271">
        <f>DSUM(A1_NHAP_XUAT,NX_cot_SLXuat,ps_hang209)</f>
        <v>0</v>
      </c>
      <c r="L216" s="251"/>
    </row>
    <row r="217" spans="2:12">
      <c r="B217" s="274">
        <v>210</v>
      </c>
      <c r="C217" s="97"/>
      <c r="D217" s="302"/>
      <c r="E217" s="97"/>
      <c r="F217" s="303"/>
      <c r="G217" s="304"/>
      <c r="H217" s="290"/>
      <c r="I217" s="270">
        <f>DSUM(A1_NHAP_XUAT,NX_cot_SLNhap,td_hang210)-DSUM(A1_NHAP_XUAT,NX_cot_SLXuat,td_hang210)+F217</f>
        <v>0</v>
      </c>
      <c r="J217" s="271">
        <f>DSUM(A1_NHAP_XUAT,NX_cot_SLNhap,ps_hang210)</f>
        <v>0</v>
      </c>
      <c r="K217" s="271">
        <f>DSUM(A1_NHAP_XUAT,NX_cot_SLXuat,ps_hang210)</f>
        <v>0</v>
      </c>
      <c r="L217" s="251"/>
    </row>
    <row r="218" spans="2:12">
      <c r="B218" s="274">
        <v>211</v>
      </c>
      <c r="C218" s="97"/>
      <c r="D218" s="302"/>
      <c r="E218" s="97"/>
      <c r="F218" s="303"/>
      <c r="G218" s="304"/>
      <c r="H218" s="290"/>
      <c r="I218" s="270">
        <f>DSUM(A1_NHAP_XUAT,NX_cot_SLNhap,td_hang211)-DSUM(A1_NHAP_XUAT,NX_cot_SLXuat,td_hang211)+F218</f>
        <v>0</v>
      </c>
      <c r="J218" s="271">
        <f>DSUM(A1_NHAP_XUAT,NX_cot_SLNhap,ps_hang211)</f>
        <v>0</v>
      </c>
      <c r="K218" s="271">
        <f>DSUM(A1_NHAP_XUAT,NX_cot_SLXuat,ps_hang211)</f>
        <v>0</v>
      </c>
      <c r="L218" s="251"/>
    </row>
    <row r="219" spans="2:12">
      <c r="B219" s="274">
        <v>212</v>
      </c>
      <c r="C219" s="97"/>
      <c r="D219" s="302"/>
      <c r="E219" s="97"/>
      <c r="F219" s="303"/>
      <c r="G219" s="304"/>
      <c r="H219" s="290"/>
      <c r="I219" s="270">
        <f>DSUM(A1_NHAP_XUAT,NX_cot_SLNhap,td_hang212)-DSUM(A1_NHAP_XUAT,NX_cot_SLXuat,td_hang212)+F219</f>
        <v>0</v>
      </c>
      <c r="J219" s="271">
        <f>DSUM(A1_NHAP_XUAT,NX_cot_SLNhap,ps_hang212)</f>
        <v>0</v>
      </c>
      <c r="K219" s="271">
        <f>DSUM(A1_NHAP_XUAT,NX_cot_SLXuat,ps_hang212)</f>
        <v>0</v>
      </c>
      <c r="L219" s="251"/>
    </row>
    <row r="220" spans="2:12">
      <c r="B220" s="274">
        <v>213</v>
      </c>
      <c r="C220" s="97"/>
      <c r="D220" s="302"/>
      <c r="E220" s="97"/>
      <c r="F220" s="303"/>
      <c r="G220" s="304"/>
      <c r="H220" s="290"/>
      <c r="I220" s="270">
        <f>DSUM(A1_NHAP_XUAT,NX_cot_SLNhap,td_hang213)-DSUM(A1_NHAP_XUAT,NX_cot_SLXuat,td_hang213)+F220</f>
        <v>0</v>
      </c>
      <c r="J220" s="271">
        <f>DSUM(A1_NHAP_XUAT,NX_cot_SLNhap,ps_hang213)</f>
        <v>0</v>
      </c>
      <c r="K220" s="271">
        <f>DSUM(A1_NHAP_XUAT,NX_cot_SLXuat,ps_hang213)</f>
        <v>0</v>
      </c>
      <c r="L220" s="251"/>
    </row>
    <row r="221" spans="2:12">
      <c r="B221" s="274">
        <v>214</v>
      </c>
      <c r="C221" s="97"/>
      <c r="D221" s="302"/>
      <c r="E221" s="97"/>
      <c r="F221" s="303"/>
      <c r="G221" s="304"/>
      <c r="H221" s="290"/>
      <c r="I221" s="270">
        <f>DSUM(A1_NHAP_XUAT,NX_cot_SLNhap,td_hang214)-DSUM(A1_NHAP_XUAT,NX_cot_SLXuat,td_hang214)+F221</f>
        <v>0</v>
      </c>
      <c r="J221" s="271">
        <f>DSUM(A1_NHAP_XUAT,NX_cot_SLNhap,ps_hang214)</f>
        <v>0</v>
      </c>
      <c r="K221" s="271">
        <f>DSUM(A1_NHAP_XUAT,NX_cot_SLXuat,ps_hang214)</f>
        <v>0</v>
      </c>
      <c r="L221" s="251"/>
    </row>
    <row r="222" spans="2:12">
      <c r="B222" s="274">
        <v>215</v>
      </c>
      <c r="C222" s="97"/>
      <c r="D222" s="302"/>
      <c r="E222" s="97"/>
      <c r="F222" s="303"/>
      <c r="G222" s="304"/>
      <c r="H222" s="290"/>
      <c r="I222" s="270">
        <f>DSUM(A1_NHAP_XUAT,NX_cot_SLNhap,td_hang215)-DSUM(A1_NHAP_XUAT,NX_cot_SLXuat,td_hang215)+F222</f>
        <v>0</v>
      </c>
      <c r="J222" s="271">
        <f>DSUM(A1_NHAP_XUAT,NX_cot_SLNhap,ps_hang215)</f>
        <v>0</v>
      </c>
      <c r="K222" s="271">
        <f>DSUM(A1_NHAP_XUAT,NX_cot_SLXuat,ps_hang215)</f>
        <v>0</v>
      </c>
      <c r="L222" s="251"/>
    </row>
    <row r="223" spans="2:12">
      <c r="B223" s="274">
        <v>216</v>
      </c>
      <c r="C223" s="97"/>
      <c r="D223" s="302"/>
      <c r="E223" s="97"/>
      <c r="F223" s="303"/>
      <c r="G223" s="304"/>
      <c r="H223" s="290"/>
      <c r="I223" s="270">
        <f>DSUM(A1_NHAP_XUAT,NX_cot_SLNhap,td_hang216)-DSUM(A1_NHAP_XUAT,NX_cot_SLXuat,td_hang216)+F223</f>
        <v>0</v>
      </c>
      <c r="J223" s="271">
        <f>DSUM(A1_NHAP_XUAT,NX_cot_SLNhap,ps_hang216)</f>
        <v>0</v>
      </c>
      <c r="K223" s="271">
        <f>DSUM(A1_NHAP_XUAT,NX_cot_SLXuat,ps_hang216)</f>
        <v>0</v>
      </c>
      <c r="L223" s="251"/>
    </row>
    <row r="224" spans="2:12">
      <c r="B224" s="274">
        <v>217</v>
      </c>
      <c r="C224" s="97"/>
      <c r="D224" s="302"/>
      <c r="E224" s="97"/>
      <c r="F224" s="303"/>
      <c r="G224" s="304"/>
      <c r="H224" s="290"/>
      <c r="I224" s="270">
        <f>DSUM(A1_NHAP_XUAT,NX_cot_SLNhap,td_hang217)-DSUM(A1_NHAP_XUAT,NX_cot_SLXuat,td_hang217)+F224</f>
        <v>0</v>
      </c>
      <c r="J224" s="271">
        <f>DSUM(A1_NHAP_XUAT,NX_cot_SLNhap,ps_hang217)</f>
        <v>0</v>
      </c>
      <c r="K224" s="271">
        <f>DSUM(A1_NHAP_XUAT,NX_cot_SLXuat,ps_hang217)</f>
        <v>0</v>
      </c>
      <c r="L224" s="251"/>
    </row>
    <row r="225" spans="2:12">
      <c r="B225" s="274">
        <v>218</v>
      </c>
      <c r="C225" s="97"/>
      <c r="D225" s="302"/>
      <c r="E225" s="97"/>
      <c r="F225" s="303"/>
      <c r="G225" s="304"/>
      <c r="H225" s="290"/>
      <c r="I225" s="270">
        <f>DSUM(A1_NHAP_XUAT,NX_cot_SLNhap,td_hang218)-DSUM(A1_NHAP_XUAT,NX_cot_SLXuat,td_hang218)+F225</f>
        <v>0</v>
      </c>
      <c r="J225" s="271">
        <f>DSUM(A1_NHAP_XUAT,NX_cot_SLNhap,ps_hang218)</f>
        <v>0</v>
      </c>
      <c r="K225" s="271">
        <f>DSUM(A1_NHAP_XUAT,NX_cot_SLXuat,ps_hang218)</f>
        <v>0</v>
      </c>
      <c r="L225" s="251"/>
    </row>
    <row r="226" spans="2:12">
      <c r="B226" s="274">
        <v>219</v>
      </c>
      <c r="C226" s="97"/>
      <c r="D226" s="302"/>
      <c r="E226" s="97"/>
      <c r="F226" s="303"/>
      <c r="G226" s="304"/>
      <c r="H226" s="290"/>
      <c r="I226" s="270">
        <f>DSUM(A1_NHAP_XUAT,NX_cot_SLNhap,td_hang219)-DSUM(A1_NHAP_XUAT,NX_cot_SLXuat,td_hang219)+F226</f>
        <v>0</v>
      </c>
      <c r="J226" s="271">
        <f>DSUM(A1_NHAP_XUAT,NX_cot_SLNhap,ps_hang219)</f>
        <v>0</v>
      </c>
      <c r="K226" s="271">
        <f>DSUM(A1_NHAP_XUAT,NX_cot_SLXuat,ps_hang219)</f>
        <v>0</v>
      </c>
      <c r="L226" s="251"/>
    </row>
    <row r="227" spans="2:12">
      <c r="B227" s="274">
        <v>220</v>
      </c>
      <c r="C227" s="97"/>
      <c r="D227" s="302"/>
      <c r="E227" s="97"/>
      <c r="F227" s="303"/>
      <c r="G227" s="304"/>
      <c r="H227" s="290"/>
      <c r="I227" s="270">
        <f>DSUM(A1_NHAP_XUAT,NX_cot_SLNhap,td_hang220)-DSUM(A1_NHAP_XUAT,NX_cot_SLXuat,td_hang220)+F227</f>
        <v>0</v>
      </c>
      <c r="J227" s="271">
        <f>DSUM(A1_NHAP_XUAT,NX_cot_SLNhap,ps_hang220)</f>
        <v>0</v>
      </c>
      <c r="K227" s="271">
        <f>DSUM(A1_NHAP_XUAT,NX_cot_SLXuat,ps_hang220)</f>
        <v>0</v>
      </c>
      <c r="L227" s="251"/>
    </row>
    <row r="228" spans="2:12">
      <c r="B228" s="274">
        <v>221</v>
      </c>
      <c r="C228" s="97"/>
      <c r="D228" s="302"/>
      <c r="E228" s="97"/>
      <c r="F228" s="303"/>
      <c r="G228" s="304"/>
      <c r="H228" s="290"/>
      <c r="I228" s="270">
        <f>DSUM(A1_NHAP_XUAT,NX_cot_SLNhap,td_hang221)-DSUM(A1_NHAP_XUAT,NX_cot_SLXuat,td_hang221)+F228</f>
        <v>0</v>
      </c>
      <c r="J228" s="271">
        <f>DSUM(A1_NHAP_XUAT,NX_cot_SLNhap,ps_hang221)</f>
        <v>0</v>
      </c>
      <c r="K228" s="271">
        <f>DSUM(A1_NHAP_XUAT,NX_cot_SLXuat,ps_hang221)</f>
        <v>0</v>
      </c>
      <c r="L228" s="251"/>
    </row>
    <row r="229" spans="2:12">
      <c r="B229" s="274">
        <v>222</v>
      </c>
      <c r="C229" s="97"/>
      <c r="D229" s="302"/>
      <c r="E229" s="97"/>
      <c r="F229" s="303"/>
      <c r="G229" s="304"/>
      <c r="H229" s="290"/>
      <c r="I229" s="270">
        <f>DSUM(A1_NHAP_XUAT,NX_cot_SLNhap,td_hang222)-DSUM(A1_NHAP_XUAT,NX_cot_SLXuat,td_hang222)+F229</f>
        <v>0</v>
      </c>
      <c r="J229" s="271">
        <f>DSUM(A1_NHAP_XUAT,NX_cot_SLNhap,ps_hang222)</f>
        <v>0</v>
      </c>
      <c r="K229" s="271">
        <f>DSUM(A1_NHAP_XUAT,NX_cot_SLXuat,ps_hang222)</f>
        <v>0</v>
      </c>
      <c r="L229" s="251"/>
    </row>
    <row r="230" spans="2:12">
      <c r="B230" s="274">
        <v>223</v>
      </c>
      <c r="C230" s="97"/>
      <c r="D230" s="302"/>
      <c r="E230" s="97"/>
      <c r="F230" s="303"/>
      <c r="G230" s="304"/>
      <c r="H230" s="290"/>
      <c r="I230" s="270">
        <f>DSUM(A1_NHAP_XUAT,NX_cot_SLNhap,td_hang223)-DSUM(A1_NHAP_XUAT,NX_cot_SLXuat,td_hang223)+F230</f>
        <v>0</v>
      </c>
      <c r="J230" s="271">
        <f>DSUM(A1_NHAP_XUAT,NX_cot_SLNhap,ps_hang223)</f>
        <v>0</v>
      </c>
      <c r="K230" s="271">
        <f>DSUM(A1_NHAP_XUAT,NX_cot_SLXuat,ps_hang223)</f>
        <v>0</v>
      </c>
      <c r="L230" s="251"/>
    </row>
    <row r="231" spans="2:12">
      <c r="B231" s="274">
        <v>224</v>
      </c>
      <c r="C231" s="97"/>
      <c r="D231" s="302"/>
      <c r="E231" s="97"/>
      <c r="F231" s="303"/>
      <c r="G231" s="304"/>
      <c r="H231" s="290"/>
      <c r="I231" s="270">
        <f>DSUM(A1_NHAP_XUAT,NX_cot_SLNhap,td_hang224)-DSUM(A1_NHAP_XUAT,NX_cot_SLXuat,td_hang224)+F231</f>
        <v>0</v>
      </c>
      <c r="J231" s="271">
        <f>DSUM(A1_NHAP_XUAT,NX_cot_SLNhap,ps_hang224)</f>
        <v>0</v>
      </c>
      <c r="K231" s="271">
        <f>DSUM(A1_NHAP_XUAT,NX_cot_SLXuat,ps_hang224)</f>
        <v>0</v>
      </c>
      <c r="L231" s="251"/>
    </row>
    <row r="232" spans="2:12">
      <c r="B232" s="274">
        <v>225</v>
      </c>
      <c r="C232" s="97"/>
      <c r="D232" s="302"/>
      <c r="E232" s="97"/>
      <c r="F232" s="303"/>
      <c r="G232" s="304"/>
      <c r="H232" s="290"/>
      <c r="I232" s="270">
        <f>DSUM(A1_NHAP_XUAT,NX_cot_SLNhap,td_hang225)-DSUM(A1_NHAP_XUAT,NX_cot_SLXuat,td_hang225)+F232</f>
        <v>0</v>
      </c>
      <c r="J232" s="271">
        <f>DSUM(A1_NHAP_XUAT,NX_cot_SLNhap,ps_hang225)</f>
        <v>0</v>
      </c>
      <c r="K232" s="271">
        <f>DSUM(A1_NHAP_XUAT,NX_cot_SLXuat,ps_hang225)</f>
        <v>0</v>
      </c>
      <c r="L232" s="251"/>
    </row>
    <row r="233" spans="2:12">
      <c r="B233" s="274">
        <v>226</v>
      </c>
      <c r="C233" s="97"/>
      <c r="D233" s="302"/>
      <c r="E233" s="97"/>
      <c r="F233" s="303"/>
      <c r="G233" s="304"/>
      <c r="H233" s="290"/>
      <c r="I233" s="270">
        <f>DSUM(A1_NHAP_XUAT,NX_cot_SLNhap,td_hang226)-DSUM(A1_NHAP_XUAT,NX_cot_SLXuat,td_hang226)+F233</f>
        <v>0</v>
      </c>
      <c r="J233" s="271">
        <f>DSUM(A1_NHAP_XUAT,NX_cot_SLNhap,ps_hang226)</f>
        <v>0</v>
      </c>
      <c r="K233" s="271">
        <f>DSUM(A1_NHAP_XUAT,NX_cot_SLXuat,ps_hang226)</f>
        <v>0</v>
      </c>
      <c r="L233" s="251"/>
    </row>
    <row r="234" spans="2:12">
      <c r="B234" s="274">
        <v>227</v>
      </c>
      <c r="C234" s="97"/>
      <c r="D234" s="302"/>
      <c r="E234" s="97"/>
      <c r="F234" s="303"/>
      <c r="G234" s="304"/>
      <c r="H234" s="290"/>
      <c r="I234" s="270">
        <f>DSUM(A1_NHAP_XUAT,NX_cot_SLNhap,td_hang227)-DSUM(A1_NHAP_XUAT,NX_cot_SLXuat,td_hang227)+F234</f>
        <v>0</v>
      </c>
      <c r="J234" s="271">
        <f>DSUM(A1_NHAP_XUAT,NX_cot_SLNhap,ps_hang227)</f>
        <v>0</v>
      </c>
      <c r="K234" s="271">
        <f>DSUM(A1_NHAP_XUAT,NX_cot_SLXuat,ps_hang227)</f>
        <v>0</v>
      </c>
      <c r="L234" s="251"/>
    </row>
    <row r="235" spans="2:12">
      <c r="B235" s="274">
        <v>228</v>
      </c>
      <c r="C235" s="97"/>
      <c r="D235" s="302"/>
      <c r="E235" s="97"/>
      <c r="F235" s="303"/>
      <c r="G235" s="304"/>
      <c r="H235" s="290"/>
      <c r="I235" s="270">
        <f>DSUM(A1_NHAP_XUAT,NX_cot_SLNhap,td_hang228)-DSUM(A1_NHAP_XUAT,NX_cot_SLXuat,td_hang228)+F235</f>
        <v>0</v>
      </c>
      <c r="J235" s="271">
        <f>DSUM(A1_NHAP_XUAT,NX_cot_SLNhap,ps_hang228)</f>
        <v>0</v>
      </c>
      <c r="K235" s="271">
        <f>DSUM(A1_NHAP_XUAT,NX_cot_SLXuat,ps_hang228)</f>
        <v>0</v>
      </c>
      <c r="L235" s="251"/>
    </row>
    <row r="236" spans="2:12">
      <c r="B236" s="274">
        <v>229</v>
      </c>
      <c r="C236" s="97"/>
      <c r="D236" s="302"/>
      <c r="E236" s="97"/>
      <c r="F236" s="303"/>
      <c r="G236" s="304"/>
      <c r="H236" s="290"/>
      <c r="I236" s="270">
        <f>DSUM(A1_NHAP_XUAT,NX_cot_SLNhap,td_hang229)-DSUM(A1_NHAP_XUAT,NX_cot_SLXuat,td_hang229)+F236</f>
        <v>0</v>
      </c>
      <c r="J236" s="271">
        <f>DSUM(A1_NHAP_XUAT,NX_cot_SLNhap,ps_hang229)</f>
        <v>0</v>
      </c>
      <c r="K236" s="271">
        <f>DSUM(A1_NHAP_XUAT,NX_cot_SLXuat,ps_hang229)</f>
        <v>0</v>
      </c>
      <c r="L236" s="251"/>
    </row>
    <row r="237" spans="2:12">
      <c r="B237" s="274">
        <v>230</v>
      </c>
      <c r="C237" s="97"/>
      <c r="D237" s="302"/>
      <c r="E237" s="97"/>
      <c r="F237" s="303"/>
      <c r="G237" s="304"/>
      <c r="H237" s="290"/>
      <c r="I237" s="270">
        <f>DSUM(A1_NHAP_XUAT,NX_cot_SLNhap,td_hang230)-DSUM(A1_NHAP_XUAT,NX_cot_SLXuat,td_hang230)+F237</f>
        <v>0</v>
      </c>
      <c r="J237" s="271">
        <f>DSUM(A1_NHAP_XUAT,NX_cot_SLNhap,ps_hang230)</f>
        <v>0</v>
      </c>
      <c r="K237" s="271">
        <f>DSUM(A1_NHAP_XUAT,NX_cot_SLXuat,ps_hang230)</f>
        <v>0</v>
      </c>
      <c r="L237" s="251"/>
    </row>
    <row r="238" spans="2:12">
      <c r="B238" s="274">
        <v>231</v>
      </c>
      <c r="C238" s="97"/>
      <c r="D238" s="302"/>
      <c r="E238" s="97"/>
      <c r="F238" s="303"/>
      <c r="G238" s="304"/>
      <c r="H238" s="290"/>
      <c r="I238" s="270">
        <f>DSUM(A1_NHAP_XUAT,NX_cot_SLNhap,td_hang231)-DSUM(A1_NHAP_XUAT,NX_cot_SLXuat,td_hang231)+F238</f>
        <v>0</v>
      </c>
      <c r="J238" s="271">
        <f>DSUM(A1_NHAP_XUAT,NX_cot_SLNhap,ps_hang231)</f>
        <v>0</v>
      </c>
      <c r="K238" s="271">
        <f>DSUM(A1_NHAP_XUAT,NX_cot_SLXuat,ps_hang231)</f>
        <v>0</v>
      </c>
      <c r="L238" s="251"/>
    </row>
    <row r="239" spans="2:12">
      <c r="B239" s="274">
        <v>232</v>
      </c>
      <c r="C239" s="97"/>
      <c r="D239" s="302"/>
      <c r="E239" s="97"/>
      <c r="F239" s="303"/>
      <c r="G239" s="304"/>
      <c r="H239" s="290"/>
      <c r="I239" s="270">
        <f>DSUM(A1_NHAP_XUAT,NX_cot_SLNhap,td_hang232)-DSUM(A1_NHAP_XUAT,NX_cot_SLXuat,td_hang232)+F239</f>
        <v>0</v>
      </c>
      <c r="J239" s="271">
        <f>DSUM(A1_NHAP_XUAT,NX_cot_SLNhap,ps_hang232)</f>
        <v>0</v>
      </c>
      <c r="K239" s="271">
        <f>DSUM(A1_NHAP_XUAT,NX_cot_SLXuat,ps_hang232)</f>
        <v>0</v>
      </c>
      <c r="L239" s="251"/>
    </row>
    <row r="240" spans="2:12">
      <c r="B240" s="274">
        <v>233</v>
      </c>
      <c r="C240" s="97"/>
      <c r="D240" s="302"/>
      <c r="E240" s="97"/>
      <c r="F240" s="303"/>
      <c r="G240" s="304"/>
      <c r="H240" s="290"/>
      <c r="I240" s="270">
        <f>DSUM(A1_NHAP_XUAT,NX_cot_SLNhap,td_hang233)-DSUM(A1_NHAP_XUAT,NX_cot_SLXuat,td_hang233)+F240</f>
        <v>0</v>
      </c>
      <c r="J240" s="271">
        <f>DSUM(A1_NHAP_XUAT,NX_cot_SLNhap,ps_hang233)</f>
        <v>0</v>
      </c>
      <c r="K240" s="271">
        <f>DSUM(A1_NHAP_XUAT,NX_cot_SLXuat,ps_hang233)</f>
        <v>0</v>
      </c>
      <c r="L240" s="251"/>
    </row>
    <row r="241" spans="2:12">
      <c r="B241" s="274">
        <v>234</v>
      </c>
      <c r="C241" s="97"/>
      <c r="D241" s="302"/>
      <c r="E241" s="97"/>
      <c r="F241" s="303"/>
      <c r="G241" s="304"/>
      <c r="H241" s="290"/>
      <c r="I241" s="270">
        <f>DSUM(A1_NHAP_XUAT,NX_cot_SLNhap,td_hang234)-DSUM(A1_NHAP_XUAT,NX_cot_SLXuat,td_hang234)+F241</f>
        <v>0</v>
      </c>
      <c r="J241" s="271">
        <f>DSUM(A1_NHAP_XUAT,NX_cot_SLNhap,ps_hang234)</f>
        <v>0</v>
      </c>
      <c r="K241" s="271">
        <f>DSUM(A1_NHAP_XUAT,NX_cot_SLXuat,ps_hang234)</f>
        <v>0</v>
      </c>
      <c r="L241" s="251"/>
    </row>
    <row r="242" spans="2:12">
      <c r="B242" s="274">
        <v>235</v>
      </c>
      <c r="C242" s="97"/>
      <c r="D242" s="302"/>
      <c r="E242" s="97"/>
      <c r="F242" s="303"/>
      <c r="G242" s="304"/>
      <c r="H242" s="290"/>
      <c r="I242" s="270">
        <f>DSUM(A1_NHAP_XUAT,NX_cot_SLNhap,td_hang235)-DSUM(A1_NHAP_XUAT,NX_cot_SLXuat,td_hang235)+F242</f>
        <v>0</v>
      </c>
      <c r="J242" s="271">
        <f>DSUM(A1_NHAP_XUAT,NX_cot_SLNhap,ps_hang235)</f>
        <v>0</v>
      </c>
      <c r="K242" s="271">
        <f>DSUM(A1_NHAP_XUAT,NX_cot_SLXuat,ps_hang235)</f>
        <v>0</v>
      </c>
      <c r="L242" s="251"/>
    </row>
    <row r="243" spans="2:12">
      <c r="B243" s="274">
        <v>236</v>
      </c>
      <c r="C243" s="97"/>
      <c r="D243" s="302"/>
      <c r="E243" s="97"/>
      <c r="F243" s="303"/>
      <c r="G243" s="304"/>
      <c r="H243" s="290"/>
      <c r="I243" s="270">
        <f>DSUM(A1_NHAP_XUAT,NX_cot_SLNhap,td_hang236)-DSUM(A1_NHAP_XUAT,NX_cot_SLXuat,td_hang236)+F243</f>
        <v>0</v>
      </c>
      <c r="J243" s="271">
        <f>DSUM(A1_NHAP_XUAT,NX_cot_SLNhap,ps_hang236)</f>
        <v>0</v>
      </c>
      <c r="K243" s="271">
        <f>DSUM(A1_NHAP_XUAT,NX_cot_SLXuat,ps_hang236)</f>
        <v>0</v>
      </c>
      <c r="L243" s="251"/>
    </row>
    <row r="244" spans="2:12">
      <c r="B244" s="274">
        <v>237</v>
      </c>
      <c r="C244" s="97"/>
      <c r="D244" s="302"/>
      <c r="E244" s="97"/>
      <c r="F244" s="303"/>
      <c r="G244" s="304"/>
      <c r="H244" s="290"/>
      <c r="I244" s="270">
        <f>DSUM(A1_NHAP_XUAT,NX_cot_SLNhap,td_hang237)-DSUM(A1_NHAP_XUAT,NX_cot_SLXuat,td_hang237)+F244</f>
        <v>0</v>
      </c>
      <c r="J244" s="271">
        <f>DSUM(A1_NHAP_XUAT,NX_cot_SLNhap,ps_hang237)</f>
        <v>0</v>
      </c>
      <c r="K244" s="271">
        <f>DSUM(A1_NHAP_XUAT,NX_cot_SLXuat,ps_hang237)</f>
        <v>0</v>
      </c>
      <c r="L244" s="251"/>
    </row>
    <row r="245" spans="2:12">
      <c r="B245" s="274">
        <v>238</v>
      </c>
      <c r="C245" s="97"/>
      <c r="D245" s="302"/>
      <c r="E245" s="97"/>
      <c r="F245" s="303"/>
      <c r="G245" s="304"/>
      <c r="H245" s="290"/>
      <c r="I245" s="270">
        <f>DSUM(A1_NHAP_XUAT,NX_cot_SLNhap,td_hang238)-DSUM(A1_NHAP_XUAT,NX_cot_SLXuat,td_hang238)+F245</f>
        <v>0</v>
      </c>
      <c r="J245" s="271">
        <f>DSUM(A1_NHAP_XUAT,NX_cot_SLNhap,ps_hang238)</f>
        <v>0</v>
      </c>
      <c r="K245" s="271">
        <f>DSUM(A1_NHAP_XUAT,NX_cot_SLXuat,ps_hang238)</f>
        <v>0</v>
      </c>
      <c r="L245" s="251"/>
    </row>
    <row r="246" spans="2:12">
      <c r="B246" s="274">
        <v>239</v>
      </c>
      <c r="C246" s="97"/>
      <c r="D246" s="302"/>
      <c r="E246" s="97"/>
      <c r="F246" s="303"/>
      <c r="G246" s="304"/>
      <c r="H246" s="290"/>
      <c r="I246" s="270">
        <f>DSUM(A1_NHAP_XUAT,NX_cot_SLNhap,td_hang239)-DSUM(A1_NHAP_XUAT,NX_cot_SLXuat,td_hang239)+F246</f>
        <v>0</v>
      </c>
      <c r="J246" s="271">
        <f>DSUM(A1_NHAP_XUAT,NX_cot_SLNhap,ps_hang239)</f>
        <v>0</v>
      </c>
      <c r="K246" s="271">
        <f>DSUM(A1_NHAP_XUAT,NX_cot_SLXuat,ps_hang239)</f>
        <v>0</v>
      </c>
      <c r="L246" s="251"/>
    </row>
    <row r="247" spans="2:12">
      <c r="B247" s="274">
        <v>240</v>
      </c>
      <c r="C247" s="97"/>
      <c r="D247" s="302"/>
      <c r="E247" s="97"/>
      <c r="F247" s="303"/>
      <c r="G247" s="304"/>
      <c r="H247" s="290"/>
      <c r="I247" s="270">
        <f>DSUM(A1_NHAP_XUAT,NX_cot_SLNhap,td_hang240)-DSUM(A1_NHAP_XUAT,NX_cot_SLXuat,td_hang240)+F247</f>
        <v>0</v>
      </c>
      <c r="J247" s="271">
        <f>DSUM(A1_NHAP_XUAT,NX_cot_SLNhap,ps_hang240)</f>
        <v>0</v>
      </c>
      <c r="K247" s="271">
        <f>DSUM(A1_NHAP_XUAT,NX_cot_SLXuat,ps_hang240)</f>
        <v>0</v>
      </c>
      <c r="L247" s="251"/>
    </row>
    <row r="248" spans="2:12">
      <c r="B248" s="274">
        <v>241</v>
      </c>
      <c r="C248" s="97"/>
      <c r="D248" s="302"/>
      <c r="E248" s="97"/>
      <c r="F248" s="303"/>
      <c r="G248" s="304"/>
      <c r="H248" s="290"/>
      <c r="I248" s="270">
        <f>DSUM(A1_NHAP_XUAT,NX_cot_SLNhap,td_hang241)-DSUM(A1_NHAP_XUAT,NX_cot_SLXuat,td_hang241)+F248</f>
        <v>0</v>
      </c>
      <c r="J248" s="271">
        <f>DSUM(A1_NHAP_XUAT,NX_cot_SLNhap,ps_hang241)</f>
        <v>0</v>
      </c>
      <c r="K248" s="271">
        <f>DSUM(A1_NHAP_XUAT,NX_cot_SLXuat,ps_hang241)</f>
        <v>0</v>
      </c>
      <c r="L248" s="251"/>
    </row>
    <row r="249" spans="2:12">
      <c r="B249" s="274">
        <v>242</v>
      </c>
      <c r="C249" s="97"/>
      <c r="D249" s="302"/>
      <c r="E249" s="97"/>
      <c r="F249" s="303"/>
      <c r="G249" s="304"/>
      <c r="H249" s="290"/>
      <c r="I249" s="270">
        <f>DSUM(A1_NHAP_XUAT,NX_cot_SLNhap,td_hang242)-DSUM(A1_NHAP_XUAT,NX_cot_SLXuat,td_hang242)+F249</f>
        <v>0</v>
      </c>
      <c r="J249" s="271">
        <f>DSUM(A1_NHAP_XUAT,NX_cot_SLNhap,ps_hang242)</f>
        <v>0</v>
      </c>
      <c r="K249" s="271">
        <f>DSUM(A1_NHAP_XUAT,NX_cot_SLXuat,ps_hang242)</f>
        <v>0</v>
      </c>
      <c r="L249" s="251"/>
    </row>
    <row r="250" spans="2:12">
      <c r="B250" s="274">
        <v>243</v>
      </c>
      <c r="C250" s="97"/>
      <c r="D250" s="302"/>
      <c r="E250" s="97"/>
      <c r="F250" s="303"/>
      <c r="G250" s="304"/>
      <c r="H250" s="290"/>
      <c r="I250" s="270">
        <f>DSUM(A1_NHAP_XUAT,NX_cot_SLNhap,td_hang243)-DSUM(A1_NHAP_XUAT,NX_cot_SLXuat,td_hang243)+F250</f>
        <v>0</v>
      </c>
      <c r="J250" s="271">
        <f>DSUM(A1_NHAP_XUAT,NX_cot_SLNhap,ps_hang243)</f>
        <v>0</v>
      </c>
      <c r="K250" s="271">
        <f>DSUM(A1_NHAP_XUAT,NX_cot_SLXuat,ps_hang243)</f>
        <v>0</v>
      </c>
      <c r="L250" s="251"/>
    </row>
    <row r="251" spans="2:12">
      <c r="B251" s="274">
        <v>244</v>
      </c>
      <c r="C251" s="97"/>
      <c r="D251" s="302"/>
      <c r="E251" s="97"/>
      <c r="F251" s="303"/>
      <c r="G251" s="304"/>
      <c r="H251" s="290"/>
      <c r="I251" s="270">
        <f>DSUM(A1_NHAP_XUAT,NX_cot_SLNhap,td_hang244)-DSUM(A1_NHAP_XUAT,NX_cot_SLXuat,td_hang244)+F251</f>
        <v>0</v>
      </c>
      <c r="J251" s="271">
        <f>DSUM(A1_NHAP_XUAT,NX_cot_SLNhap,ps_hang244)</f>
        <v>0</v>
      </c>
      <c r="K251" s="271">
        <f>DSUM(A1_NHAP_XUAT,NX_cot_SLXuat,ps_hang244)</f>
        <v>0</v>
      </c>
      <c r="L251" s="251"/>
    </row>
    <row r="252" spans="2:12">
      <c r="B252" s="274">
        <v>245</v>
      </c>
      <c r="C252" s="97"/>
      <c r="D252" s="302"/>
      <c r="E252" s="97"/>
      <c r="F252" s="303"/>
      <c r="G252" s="304"/>
      <c r="H252" s="290"/>
      <c r="I252" s="270">
        <f>DSUM(A1_NHAP_XUAT,NX_cot_SLNhap,td_hang245)-DSUM(A1_NHAP_XUAT,NX_cot_SLXuat,td_hang245)+F252</f>
        <v>0</v>
      </c>
      <c r="J252" s="271">
        <f>DSUM(A1_NHAP_XUAT,NX_cot_SLNhap,ps_hang245)</f>
        <v>0</v>
      </c>
      <c r="K252" s="271">
        <f>DSUM(A1_NHAP_XUAT,NX_cot_SLXuat,ps_hang245)</f>
        <v>0</v>
      </c>
      <c r="L252" s="251"/>
    </row>
    <row r="253" spans="2:12">
      <c r="B253" s="274">
        <v>246</v>
      </c>
      <c r="C253" s="97"/>
      <c r="D253" s="302"/>
      <c r="E253" s="97"/>
      <c r="F253" s="303"/>
      <c r="G253" s="304"/>
      <c r="H253" s="290"/>
      <c r="I253" s="270">
        <f>DSUM(A1_NHAP_XUAT,NX_cot_SLNhap,td_hang246)-DSUM(A1_NHAP_XUAT,NX_cot_SLXuat,td_hang246)+F253</f>
        <v>0</v>
      </c>
      <c r="J253" s="271">
        <f>DSUM(A1_NHAP_XUAT,NX_cot_SLNhap,ps_hang246)</f>
        <v>0</v>
      </c>
      <c r="K253" s="271">
        <f>DSUM(A1_NHAP_XUAT,NX_cot_SLXuat,ps_hang246)</f>
        <v>0</v>
      </c>
      <c r="L253" s="251"/>
    </row>
    <row r="254" spans="2:12">
      <c r="B254" s="274">
        <v>247</v>
      </c>
      <c r="C254" s="97"/>
      <c r="D254" s="302"/>
      <c r="E254" s="97"/>
      <c r="F254" s="303"/>
      <c r="G254" s="304"/>
      <c r="H254" s="290"/>
      <c r="I254" s="270">
        <f>DSUM(A1_NHAP_XUAT,NX_cot_SLNhap,td_hang247)-DSUM(A1_NHAP_XUAT,NX_cot_SLXuat,td_hang247)+F254</f>
        <v>0</v>
      </c>
      <c r="J254" s="271">
        <f>DSUM(A1_NHAP_XUAT,NX_cot_SLNhap,ps_hang247)</f>
        <v>0</v>
      </c>
      <c r="K254" s="271">
        <f>DSUM(A1_NHAP_XUAT,NX_cot_SLXuat,ps_hang247)</f>
        <v>0</v>
      </c>
      <c r="L254" s="251"/>
    </row>
    <row r="255" spans="2:12">
      <c r="B255" s="274">
        <v>248</v>
      </c>
      <c r="C255" s="97"/>
      <c r="D255" s="302"/>
      <c r="E255" s="97"/>
      <c r="F255" s="303"/>
      <c r="G255" s="304"/>
      <c r="H255" s="290"/>
      <c r="I255" s="270">
        <f>DSUM(A1_NHAP_XUAT,NX_cot_SLNhap,td_hang248)-DSUM(A1_NHAP_XUAT,NX_cot_SLXuat,td_hang248)+F255</f>
        <v>0</v>
      </c>
      <c r="J255" s="271">
        <f>DSUM(A1_NHAP_XUAT,NX_cot_SLNhap,ps_hang248)</f>
        <v>0</v>
      </c>
      <c r="K255" s="271">
        <f>DSUM(A1_NHAP_XUAT,NX_cot_SLXuat,ps_hang248)</f>
        <v>0</v>
      </c>
      <c r="L255" s="251"/>
    </row>
    <row r="256" spans="2:12">
      <c r="B256" s="274">
        <v>249</v>
      </c>
      <c r="C256" s="97"/>
      <c r="D256" s="302"/>
      <c r="E256" s="97"/>
      <c r="F256" s="303"/>
      <c r="G256" s="304"/>
      <c r="H256" s="290"/>
      <c r="I256" s="270">
        <f>DSUM(A1_NHAP_XUAT,NX_cot_SLNhap,td_hang249)-DSUM(A1_NHAP_XUAT,NX_cot_SLXuat,td_hang249)+F256</f>
        <v>0</v>
      </c>
      <c r="J256" s="271">
        <f>DSUM(A1_NHAP_XUAT,NX_cot_SLNhap,ps_hang249)</f>
        <v>0</v>
      </c>
      <c r="K256" s="271">
        <f>DSUM(A1_NHAP_XUAT,NX_cot_SLXuat,ps_hang249)</f>
        <v>0</v>
      </c>
      <c r="L256" s="251"/>
    </row>
    <row r="257" spans="2:12">
      <c r="B257" s="274">
        <v>250</v>
      </c>
      <c r="C257" s="97"/>
      <c r="D257" s="302"/>
      <c r="E257" s="97"/>
      <c r="F257" s="303"/>
      <c r="G257" s="304"/>
      <c r="H257" s="290"/>
      <c r="I257" s="270">
        <f>DSUM(A1_NHAP_XUAT,NX_cot_SLNhap,td_hang250)-DSUM(A1_NHAP_XUAT,NX_cot_SLXuat,td_hang250)+F257</f>
        <v>0</v>
      </c>
      <c r="J257" s="271">
        <f>DSUM(A1_NHAP_XUAT,NX_cot_SLNhap,ps_hang250)</f>
        <v>0</v>
      </c>
      <c r="K257" s="271">
        <f>DSUM(A1_NHAP_XUAT,NX_cot_SLXuat,ps_hang250)</f>
        <v>0</v>
      </c>
      <c r="L257" s="251"/>
    </row>
    <row r="258" spans="2:12">
      <c r="B258" s="274">
        <v>251</v>
      </c>
      <c r="C258" s="97"/>
      <c r="D258" s="302"/>
      <c r="E258" s="97"/>
      <c r="F258" s="303"/>
      <c r="G258" s="304"/>
      <c r="H258" s="290"/>
      <c r="I258" s="270">
        <f>DSUM(A1_NHAP_XUAT,NX_cot_SLNhap,td_hang251)-DSUM(A1_NHAP_XUAT,NX_cot_SLXuat,td_hang251)+F258</f>
        <v>0</v>
      </c>
      <c r="J258" s="271">
        <f>DSUM(A1_NHAP_XUAT,NX_cot_SLNhap,ps_hang251)</f>
        <v>0</v>
      </c>
      <c r="K258" s="271">
        <f>DSUM(A1_NHAP_XUAT,NX_cot_SLXuat,ps_hang251)</f>
        <v>0</v>
      </c>
      <c r="L258" s="251"/>
    </row>
    <row r="259" spans="2:12">
      <c r="B259" s="274">
        <v>252</v>
      </c>
      <c r="C259" s="97"/>
      <c r="D259" s="302"/>
      <c r="E259" s="97"/>
      <c r="F259" s="303"/>
      <c r="G259" s="304"/>
      <c r="H259" s="290"/>
      <c r="I259" s="270">
        <f>DSUM(A1_NHAP_XUAT,NX_cot_SLNhap,td_hang252)-DSUM(A1_NHAP_XUAT,NX_cot_SLXuat,td_hang252)+F259</f>
        <v>0</v>
      </c>
      <c r="J259" s="271">
        <f>DSUM(A1_NHAP_XUAT,NX_cot_SLNhap,ps_hang252)</f>
        <v>0</v>
      </c>
      <c r="K259" s="271">
        <f>DSUM(A1_NHAP_XUAT,NX_cot_SLXuat,ps_hang252)</f>
        <v>0</v>
      </c>
      <c r="L259" s="251"/>
    </row>
    <row r="260" spans="2:12">
      <c r="B260" s="274">
        <v>253</v>
      </c>
      <c r="C260" s="97"/>
      <c r="D260" s="302"/>
      <c r="E260" s="97"/>
      <c r="F260" s="303"/>
      <c r="G260" s="304"/>
      <c r="H260" s="290"/>
      <c r="I260" s="270">
        <f>DSUM(A1_NHAP_XUAT,NX_cot_SLNhap,td_hang253)-DSUM(A1_NHAP_XUAT,NX_cot_SLXuat,td_hang253)+F260</f>
        <v>0</v>
      </c>
      <c r="J260" s="271">
        <f>DSUM(A1_NHAP_XUAT,NX_cot_SLNhap,ps_hang253)</f>
        <v>0</v>
      </c>
      <c r="K260" s="271">
        <f>DSUM(A1_NHAP_XUAT,NX_cot_SLXuat,ps_hang253)</f>
        <v>0</v>
      </c>
      <c r="L260" s="251"/>
    </row>
    <row r="261" spans="2:12">
      <c r="B261" s="274">
        <v>254</v>
      </c>
      <c r="C261" s="97"/>
      <c r="D261" s="302"/>
      <c r="E261" s="97"/>
      <c r="F261" s="303"/>
      <c r="G261" s="304"/>
      <c r="H261" s="290"/>
      <c r="I261" s="270">
        <f>DSUM(A1_NHAP_XUAT,NX_cot_SLNhap,td_hang254)-DSUM(A1_NHAP_XUAT,NX_cot_SLXuat,td_hang254)+F261</f>
        <v>0</v>
      </c>
      <c r="J261" s="271">
        <f>DSUM(A1_NHAP_XUAT,NX_cot_SLNhap,ps_hang254)</f>
        <v>0</v>
      </c>
      <c r="K261" s="271">
        <f>DSUM(A1_NHAP_XUAT,NX_cot_SLXuat,ps_hang254)</f>
        <v>0</v>
      </c>
      <c r="L261" s="251"/>
    </row>
    <row r="262" spans="2:12">
      <c r="B262" s="274">
        <v>255</v>
      </c>
      <c r="C262" s="97"/>
      <c r="D262" s="302"/>
      <c r="E262" s="97"/>
      <c r="F262" s="303"/>
      <c r="G262" s="304"/>
      <c r="H262" s="290"/>
      <c r="I262" s="270">
        <f>DSUM(A1_NHAP_XUAT,NX_cot_SLNhap,td_hang255)-DSUM(A1_NHAP_XUAT,NX_cot_SLXuat,td_hang255)+F262</f>
        <v>0</v>
      </c>
      <c r="J262" s="271">
        <f>DSUM(A1_NHAP_XUAT,NX_cot_SLNhap,ps_hang255)</f>
        <v>0</v>
      </c>
      <c r="K262" s="271">
        <f>DSUM(A1_NHAP_XUAT,NX_cot_SLXuat,ps_hang255)</f>
        <v>0</v>
      </c>
      <c r="L262" s="251"/>
    </row>
    <row r="263" spans="2:12">
      <c r="B263" s="274">
        <v>256</v>
      </c>
      <c r="C263" s="97"/>
      <c r="D263" s="302"/>
      <c r="E263" s="97"/>
      <c r="F263" s="303"/>
      <c r="G263" s="304"/>
      <c r="H263" s="290"/>
      <c r="I263" s="270">
        <f>DSUM(A1_NHAP_XUAT,NX_cot_SLNhap,td_hang256)-DSUM(A1_NHAP_XUAT,NX_cot_SLXuat,td_hang256)+F263</f>
        <v>0</v>
      </c>
      <c r="J263" s="271">
        <f>DSUM(A1_NHAP_XUAT,NX_cot_SLNhap,ps_hang256)</f>
        <v>0</v>
      </c>
      <c r="K263" s="271">
        <f>DSUM(A1_NHAP_XUAT,NX_cot_SLXuat,ps_hang256)</f>
        <v>0</v>
      </c>
      <c r="L263" s="251"/>
    </row>
    <row r="264" spans="2:12">
      <c r="B264" s="274">
        <v>257</v>
      </c>
      <c r="C264" s="97"/>
      <c r="D264" s="302"/>
      <c r="E264" s="97"/>
      <c r="F264" s="303"/>
      <c r="G264" s="304"/>
      <c r="H264" s="290"/>
      <c r="I264" s="270">
        <f>DSUM(A1_NHAP_XUAT,NX_cot_SLNhap,td_hang257)-DSUM(A1_NHAP_XUAT,NX_cot_SLXuat,td_hang257)+F264</f>
        <v>0</v>
      </c>
      <c r="J264" s="271">
        <f>DSUM(A1_NHAP_XUAT,NX_cot_SLNhap,ps_hang257)</f>
        <v>0</v>
      </c>
      <c r="K264" s="271">
        <f>DSUM(A1_NHAP_XUAT,NX_cot_SLXuat,ps_hang257)</f>
        <v>0</v>
      </c>
      <c r="L264" s="251"/>
    </row>
    <row r="265" spans="2:12">
      <c r="B265" s="274">
        <v>258</v>
      </c>
      <c r="C265" s="97"/>
      <c r="D265" s="302"/>
      <c r="E265" s="97"/>
      <c r="F265" s="303"/>
      <c r="G265" s="304"/>
      <c r="H265" s="290"/>
      <c r="I265" s="270">
        <f>DSUM(A1_NHAP_XUAT,NX_cot_SLNhap,td_hang258)-DSUM(A1_NHAP_XUAT,NX_cot_SLXuat,td_hang258)+F265</f>
        <v>0</v>
      </c>
      <c r="J265" s="271">
        <f>DSUM(A1_NHAP_XUAT,NX_cot_SLNhap,ps_hang258)</f>
        <v>0</v>
      </c>
      <c r="K265" s="271">
        <f>DSUM(A1_NHAP_XUAT,NX_cot_SLXuat,ps_hang258)</f>
        <v>0</v>
      </c>
      <c r="L265" s="251"/>
    </row>
    <row r="266" spans="2:12">
      <c r="B266" s="274">
        <v>259</v>
      </c>
      <c r="C266" s="97"/>
      <c r="D266" s="302"/>
      <c r="E266" s="97"/>
      <c r="F266" s="303"/>
      <c r="G266" s="304"/>
      <c r="H266" s="290"/>
      <c r="I266" s="270">
        <f>DSUM(A1_NHAP_XUAT,NX_cot_SLNhap,td_hang259)-DSUM(A1_NHAP_XUAT,NX_cot_SLXuat,td_hang259)+F266</f>
        <v>0</v>
      </c>
      <c r="J266" s="271">
        <f>DSUM(A1_NHAP_XUAT,NX_cot_SLNhap,ps_hang259)</f>
        <v>0</v>
      </c>
      <c r="K266" s="271">
        <f>DSUM(A1_NHAP_XUAT,NX_cot_SLXuat,ps_hang259)</f>
        <v>0</v>
      </c>
      <c r="L266" s="251"/>
    </row>
    <row r="267" spans="2:12">
      <c r="B267" s="274">
        <v>260</v>
      </c>
      <c r="C267" s="97"/>
      <c r="D267" s="302"/>
      <c r="E267" s="97"/>
      <c r="F267" s="303"/>
      <c r="G267" s="304"/>
      <c r="H267" s="290"/>
      <c r="I267" s="270">
        <f>DSUM(A1_NHAP_XUAT,NX_cot_SLNhap,td_hang260)-DSUM(A1_NHAP_XUAT,NX_cot_SLXuat,td_hang260)+F267</f>
        <v>0</v>
      </c>
      <c r="J267" s="271">
        <f>DSUM(A1_NHAP_XUAT,NX_cot_SLNhap,ps_hang260)</f>
        <v>0</v>
      </c>
      <c r="K267" s="271">
        <f>DSUM(A1_NHAP_XUAT,NX_cot_SLXuat,ps_hang260)</f>
        <v>0</v>
      </c>
      <c r="L267" s="251"/>
    </row>
    <row r="268" spans="2:12">
      <c r="B268" s="274">
        <v>261</v>
      </c>
      <c r="C268" s="97"/>
      <c r="D268" s="302"/>
      <c r="E268" s="97"/>
      <c r="F268" s="303"/>
      <c r="G268" s="304"/>
      <c r="H268" s="290"/>
      <c r="I268" s="270">
        <f>DSUM(A1_NHAP_XUAT,NX_cot_SLNhap,td_hang261)-DSUM(A1_NHAP_XUAT,NX_cot_SLXuat,td_hang261)+F268</f>
        <v>0</v>
      </c>
      <c r="J268" s="271">
        <f>DSUM(A1_NHAP_XUAT,NX_cot_SLNhap,ps_hang261)</f>
        <v>0</v>
      </c>
      <c r="K268" s="271">
        <f>DSUM(A1_NHAP_XUAT,NX_cot_SLXuat,ps_hang261)</f>
        <v>0</v>
      </c>
      <c r="L268" s="251"/>
    </row>
    <row r="269" spans="2:12">
      <c r="B269" s="274">
        <v>262</v>
      </c>
      <c r="C269" s="97"/>
      <c r="D269" s="302"/>
      <c r="E269" s="97"/>
      <c r="F269" s="303"/>
      <c r="G269" s="304"/>
      <c r="H269" s="290"/>
      <c r="I269" s="270">
        <f>DSUM(A1_NHAP_XUAT,NX_cot_SLNhap,td_hang262)-DSUM(A1_NHAP_XUAT,NX_cot_SLXuat,td_hang262)+F269</f>
        <v>0</v>
      </c>
      <c r="J269" s="271">
        <f>DSUM(A1_NHAP_XUAT,NX_cot_SLNhap,ps_hang262)</f>
        <v>0</v>
      </c>
      <c r="K269" s="271">
        <f>DSUM(A1_NHAP_XUAT,NX_cot_SLXuat,ps_hang262)</f>
        <v>0</v>
      </c>
      <c r="L269" s="251"/>
    </row>
    <row r="270" spans="2:12">
      <c r="B270" s="274">
        <v>263</v>
      </c>
      <c r="C270" s="97"/>
      <c r="D270" s="302"/>
      <c r="E270" s="97"/>
      <c r="F270" s="303"/>
      <c r="G270" s="304"/>
      <c r="H270" s="290"/>
      <c r="I270" s="270">
        <f>DSUM(A1_NHAP_XUAT,NX_cot_SLNhap,td_hang263)-DSUM(A1_NHAP_XUAT,NX_cot_SLXuat,td_hang263)+F270</f>
        <v>0</v>
      </c>
      <c r="J270" s="271">
        <f>DSUM(A1_NHAP_XUAT,NX_cot_SLNhap,ps_hang263)</f>
        <v>0</v>
      </c>
      <c r="K270" s="271">
        <f>DSUM(A1_NHAP_XUAT,NX_cot_SLXuat,ps_hang263)</f>
        <v>0</v>
      </c>
      <c r="L270" s="251"/>
    </row>
    <row r="271" spans="2:12">
      <c r="B271" s="274">
        <v>264</v>
      </c>
      <c r="C271" s="97"/>
      <c r="D271" s="302"/>
      <c r="E271" s="97"/>
      <c r="F271" s="303"/>
      <c r="G271" s="304"/>
      <c r="H271" s="290"/>
      <c r="I271" s="270">
        <f>DSUM(A1_NHAP_XUAT,NX_cot_SLNhap,td_hang264)-DSUM(A1_NHAP_XUAT,NX_cot_SLXuat,td_hang264)+F271</f>
        <v>0</v>
      </c>
      <c r="J271" s="271">
        <f>DSUM(A1_NHAP_XUAT,NX_cot_SLNhap,ps_hang264)</f>
        <v>0</v>
      </c>
      <c r="K271" s="271">
        <f>DSUM(A1_NHAP_XUAT,NX_cot_SLXuat,ps_hang264)</f>
        <v>0</v>
      </c>
      <c r="L271" s="251"/>
    </row>
    <row r="272" spans="2:12">
      <c r="B272" s="274">
        <v>265</v>
      </c>
      <c r="C272" s="97"/>
      <c r="D272" s="302"/>
      <c r="E272" s="97"/>
      <c r="F272" s="303"/>
      <c r="G272" s="304"/>
      <c r="H272" s="290"/>
      <c r="I272" s="270">
        <f>DSUM(A1_NHAP_XUAT,NX_cot_SLNhap,td_hang265)-DSUM(A1_NHAP_XUAT,NX_cot_SLXuat,td_hang265)+F272</f>
        <v>0</v>
      </c>
      <c r="J272" s="271">
        <f>DSUM(A1_NHAP_XUAT,NX_cot_SLNhap,ps_hang265)</f>
        <v>0</v>
      </c>
      <c r="K272" s="271">
        <f>DSUM(A1_NHAP_XUAT,NX_cot_SLXuat,ps_hang265)</f>
        <v>0</v>
      </c>
      <c r="L272" s="251"/>
    </row>
    <row r="273" spans="2:12">
      <c r="B273" s="274">
        <v>266</v>
      </c>
      <c r="C273" s="97"/>
      <c r="D273" s="302"/>
      <c r="E273" s="97"/>
      <c r="F273" s="303"/>
      <c r="G273" s="304"/>
      <c r="H273" s="290"/>
      <c r="I273" s="270">
        <f>DSUM(A1_NHAP_XUAT,NX_cot_SLNhap,td_hang266)-DSUM(A1_NHAP_XUAT,NX_cot_SLXuat,td_hang266)+F273</f>
        <v>0</v>
      </c>
      <c r="J273" s="271">
        <f>DSUM(A1_NHAP_XUAT,NX_cot_SLNhap,ps_hang266)</f>
        <v>0</v>
      </c>
      <c r="K273" s="271">
        <f>DSUM(A1_NHAP_XUAT,NX_cot_SLXuat,ps_hang266)</f>
        <v>0</v>
      </c>
      <c r="L273" s="251"/>
    </row>
    <row r="274" spans="2:12">
      <c r="B274" s="274">
        <v>267</v>
      </c>
      <c r="C274" s="97"/>
      <c r="D274" s="302"/>
      <c r="E274" s="97"/>
      <c r="F274" s="303"/>
      <c r="G274" s="304"/>
      <c r="H274" s="290"/>
      <c r="I274" s="270">
        <f>DSUM(A1_NHAP_XUAT,NX_cot_SLNhap,td_hang267)-DSUM(A1_NHAP_XUAT,NX_cot_SLXuat,td_hang267)+F274</f>
        <v>0</v>
      </c>
      <c r="J274" s="271">
        <f>DSUM(A1_NHAP_XUAT,NX_cot_SLNhap,ps_hang267)</f>
        <v>0</v>
      </c>
      <c r="K274" s="271">
        <f>DSUM(A1_NHAP_XUAT,NX_cot_SLXuat,ps_hang267)</f>
        <v>0</v>
      </c>
      <c r="L274" s="251"/>
    </row>
    <row r="275" spans="2:12">
      <c r="B275" s="274">
        <v>268</v>
      </c>
      <c r="C275" s="97"/>
      <c r="D275" s="302"/>
      <c r="E275" s="97"/>
      <c r="F275" s="303"/>
      <c r="G275" s="304"/>
      <c r="H275" s="290"/>
      <c r="I275" s="270">
        <f>DSUM(A1_NHAP_XUAT,NX_cot_SLNhap,td_hang268)-DSUM(A1_NHAP_XUAT,NX_cot_SLXuat,td_hang268)+F275</f>
        <v>0</v>
      </c>
      <c r="J275" s="271">
        <f>DSUM(A1_NHAP_XUAT,NX_cot_SLNhap,ps_hang268)</f>
        <v>0</v>
      </c>
      <c r="K275" s="271">
        <f>DSUM(A1_NHAP_XUAT,NX_cot_SLXuat,ps_hang268)</f>
        <v>0</v>
      </c>
      <c r="L275" s="251"/>
    </row>
    <row r="276" spans="2:12">
      <c r="B276" s="274">
        <v>269</v>
      </c>
      <c r="C276" s="97"/>
      <c r="D276" s="302"/>
      <c r="E276" s="97"/>
      <c r="F276" s="303"/>
      <c r="G276" s="304"/>
      <c r="H276" s="290"/>
      <c r="I276" s="270">
        <f>DSUM(A1_NHAP_XUAT,NX_cot_SLNhap,td_hang269)-DSUM(A1_NHAP_XUAT,NX_cot_SLXuat,td_hang269)+F276</f>
        <v>0</v>
      </c>
      <c r="J276" s="271">
        <f>DSUM(A1_NHAP_XUAT,NX_cot_SLNhap,ps_hang269)</f>
        <v>0</v>
      </c>
      <c r="K276" s="271">
        <f>DSUM(A1_NHAP_XUAT,NX_cot_SLXuat,ps_hang269)</f>
        <v>0</v>
      </c>
      <c r="L276" s="251"/>
    </row>
    <row r="277" spans="2:12">
      <c r="B277" s="274">
        <v>270</v>
      </c>
      <c r="C277" s="97"/>
      <c r="D277" s="302"/>
      <c r="E277" s="97"/>
      <c r="F277" s="303"/>
      <c r="G277" s="304"/>
      <c r="H277" s="290"/>
      <c r="I277" s="270">
        <f>DSUM(A1_NHAP_XUAT,NX_cot_SLNhap,td_hang270)-DSUM(A1_NHAP_XUAT,NX_cot_SLXuat,td_hang270)+F277</f>
        <v>0</v>
      </c>
      <c r="J277" s="271">
        <f>DSUM(A1_NHAP_XUAT,NX_cot_SLNhap,ps_hang270)</f>
        <v>0</v>
      </c>
      <c r="K277" s="271">
        <f>DSUM(A1_NHAP_XUAT,NX_cot_SLXuat,ps_hang270)</f>
        <v>0</v>
      </c>
      <c r="L277" s="251"/>
    </row>
    <row r="278" spans="2:12">
      <c r="B278" s="274">
        <v>271</v>
      </c>
      <c r="C278" s="97"/>
      <c r="D278" s="302"/>
      <c r="E278" s="97"/>
      <c r="F278" s="303"/>
      <c r="G278" s="304"/>
      <c r="H278" s="290"/>
      <c r="I278" s="270">
        <f>DSUM(A1_NHAP_XUAT,NX_cot_SLNhap,td_hang271)-DSUM(A1_NHAP_XUAT,NX_cot_SLXuat,td_hang271)+F278</f>
        <v>0</v>
      </c>
      <c r="J278" s="271">
        <f>DSUM(A1_NHAP_XUAT,NX_cot_SLNhap,ps_hang271)</f>
        <v>0</v>
      </c>
      <c r="K278" s="271">
        <f>DSUM(A1_NHAP_XUAT,NX_cot_SLXuat,ps_hang271)</f>
        <v>0</v>
      </c>
      <c r="L278" s="251"/>
    </row>
    <row r="279" spans="2:12">
      <c r="B279" s="274">
        <v>272</v>
      </c>
      <c r="C279" s="97"/>
      <c r="D279" s="302"/>
      <c r="E279" s="97"/>
      <c r="F279" s="303"/>
      <c r="G279" s="304"/>
      <c r="H279" s="290"/>
      <c r="I279" s="270">
        <f>DSUM(A1_NHAP_XUAT,NX_cot_SLNhap,td_hang272)-DSUM(A1_NHAP_XUAT,NX_cot_SLXuat,td_hang272)+F279</f>
        <v>0</v>
      </c>
      <c r="J279" s="271">
        <f>DSUM(A1_NHAP_XUAT,NX_cot_SLNhap,ps_hang272)</f>
        <v>0</v>
      </c>
      <c r="K279" s="271">
        <f>DSUM(A1_NHAP_XUAT,NX_cot_SLXuat,ps_hang272)</f>
        <v>0</v>
      </c>
      <c r="L279" s="251"/>
    </row>
    <row r="280" spans="2:12">
      <c r="B280" s="274">
        <v>273</v>
      </c>
      <c r="C280" s="97"/>
      <c r="D280" s="302"/>
      <c r="E280" s="97"/>
      <c r="F280" s="303"/>
      <c r="G280" s="304"/>
      <c r="H280" s="290"/>
      <c r="I280" s="270">
        <f>DSUM(A1_NHAP_XUAT,NX_cot_SLNhap,td_hang273)-DSUM(A1_NHAP_XUAT,NX_cot_SLXuat,td_hang273)+F280</f>
        <v>0</v>
      </c>
      <c r="J280" s="271">
        <f>DSUM(A1_NHAP_XUAT,NX_cot_SLNhap,ps_hang273)</f>
        <v>0</v>
      </c>
      <c r="K280" s="271">
        <f>DSUM(A1_NHAP_XUAT,NX_cot_SLXuat,ps_hang273)</f>
        <v>0</v>
      </c>
      <c r="L280" s="251"/>
    </row>
    <row r="281" spans="2:12">
      <c r="B281" s="274">
        <v>274</v>
      </c>
      <c r="C281" s="97"/>
      <c r="D281" s="302"/>
      <c r="E281" s="97"/>
      <c r="F281" s="303"/>
      <c r="G281" s="304"/>
      <c r="H281" s="290"/>
      <c r="I281" s="270">
        <f>DSUM(A1_NHAP_XUAT,NX_cot_SLNhap,td_hang274)-DSUM(A1_NHAP_XUAT,NX_cot_SLXuat,td_hang274)+F281</f>
        <v>0</v>
      </c>
      <c r="J281" s="271">
        <f>DSUM(A1_NHAP_XUAT,NX_cot_SLNhap,ps_hang274)</f>
        <v>0</v>
      </c>
      <c r="K281" s="271">
        <f>DSUM(A1_NHAP_XUAT,NX_cot_SLXuat,ps_hang274)</f>
        <v>0</v>
      </c>
      <c r="L281" s="251"/>
    </row>
    <row r="282" spans="2:12">
      <c r="B282" s="274">
        <v>275</v>
      </c>
      <c r="C282" s="97"/>
      <c r="D282" s="302"/>
      <c r="E282" s="97"/>
      <c r="F282" s="303"/>
      <c r="G282" s="304"/>
      <c r="H282" s="290"/>
      <c r="I282" s="270">
        <f>DSUM(A1_NHAP_XUAT,NX_cot_SLNhap,td_hang275)-DSUM(A1_NHAP_XUAT,NX_cot_SLXuat,td_hang275)+F282</f>
        <v>0</v>
      </c>
      <c r="J282" s="271">
        <f>DSUM(A1_NHAP_XUAT,NX_cot_SLNhap,ps_hang275)</f>
        <v>0</v>
      </c>
      <c r="K282" s="271">
        <f>DSUM(A1_NHAP_XUAT,NX_cot_SLXuat,ps_hang275)</f>
        <v>0</v>
      </c>
      <c r="L282" s="251"/>
    </row>
    <row r="283" spans="2:12">
      <c r="B283" s="274">
        <v>276</v>
      </c>
      <c r="C283" s="97"/>
      <c r="D283" s="302"/>
      <c r="E283" s="97"/>
      <c r="F283" s="303"/>
      <c r="G283" s="304"/>
      <c r="H283" s="290"/>
      <c r="I283" s="270">
        <f>DSUM(A1_NHAP_XUAT,NX_cot_SLNhap,td_hang276)-DSUM(A1_NHAP_XUAT,NX_cot_SLXuat,td_hang276)+F283</f>
        <v>0</v>
      </c>
      <c r="J283" s="271">
        <f>DSUM(A1_NHAP_XUAT,NX_cot_SLNhap,ps_hang276)</f>
        <v>0</v>
      </c>
      <c r="K283" s="271">
        <f>DSUM(A1_NHAP_XUAT,NX_cot_SLXuat,ps_hang276)</f>
        <v>0</v>
      </c>
      <c r="L283" s="251"/>
    </row>
    <row r="284" spans="2:12">
      <c r="B284" s="274">
        <v>277</v>
      </c>
      <c r="C284" s="97"/>
      <c r="D284" s="302"/>
      <c r="E284" s="97"/>
      <c r="F284" s="303"/>
      <c r="G284" s="304"/>
      <c r="H284" s="290"/>
      <c r="I284" s="270">
        <f>DSUM(A1_NHAP_XUAT,NX_cot_SLNhap,td_hang277)-DSUM(A1_NHAP_XUAT,NX_cot_SLXuat,td_hang277)+F284</f>
        <v>0</v>
      </c>
      <c r="J284" s="271">
        <f>DSUM(A1_NHAP_XUAT,NX_cot_SLNhap,ps_hang277)</f>
        <v>0</v>
      </c>
      <c r="K284" s="271">
        <f>DSUM(A1_NHAP_XUAT,NX_cot_SLXuat,ps_hang277)</f>
        <v>0</v>
      </c>
      <c r="L284" s="251"/>
    </row>
    <row r="285" spans="2:12">
      <c r="B285" s="274">
        <v>278</v>
      </c>
      <c r="C285" s="97"/>
      <c r="D285" s="302"/>
      <c r="E285" s="97"/>
      <c r="F285" s="303"/>
      <c r="G285" s="304"/>
      <c r="H285" s="290"/>
      <c r="I285" s="270">
        <f>DSUM(A1_NHAP_XUAT,NX_cot_SLNhap,td_hang278)-DSUM(A1_NHAP_XUAT,NX_cot_SLXuat,td_hang278)+F285</f>
        <v>0</v>
      </c>
      <c r="J285" s="271">
        <f>DSUM(A1_NHAP_XUAT,NX_cot_SLNhap,ps_hang278)</f>
        <v>0</v>
      </c>
      <c r="K285" s="271">
        <f>DSUM(A1_NHAP_XUAT,NX_cot_SLXuat,ps_hang278)</f>
        <v>0</v>
      </c>
      <c r="L285" s="251"/>
    </row>
    <row r="286" spans="2:12">
      <c r="B286" s="274">
        <v>279</v>
      </c>
      <c r="C286" s="97"/>
      <c r="D286" s="302"/>
      <c r="E286" s="97"/>
      <c r="F286" s="303"/>
      <c r="G286" s="304"/>
      <c r="H286" s="290"/>
      <c r="I286" s="270">
        <f>DSUM(A1_NHAP_XUAT,NX_cot_SLNhap,td_hang279)-DSUM(A1_NHAP_XUAT,NX_cot_SLXuat,td_hang279)+F286</f>
        <v>0</v>
      </c>
      <c r="J286" s="271">
        <f>DSUM(A1_NHAP_XUAT,NX_cot_SLNhap,ps_hang279)</f>
        <v>0</v>
      </c>
      <c r="K286" s="271">
        <f>DSUM(A1_NHAP_XUAT,NX_cot_SLXuat,ps_hang279)</f>
        <v>0</v>
      </c>
      <c r="L286" s="251"/>
    </row>
    <row r="287" spans="2:12">
      <c r="B287" s="274">
        <v>280</v>
      </c>
      <c r="C287" s="97"/>
      <c r="D287" s="302"/>
      <c r="E287" s="97"/>
      <c r="F287" s="303"/>
      <c r="G287" s="304"/>
      <c r="H287" s="290"/>
      <c r="I287" s="270">
        <f>DSUM(A1_NHAP_XUAT,NX_cot_SLNhap,td_hang280)-DSUM(A1_NHAP_XUAT,NX_cot_SLXuat,td_hang280)+F287</f>
        <v>0</v>
      </c>
      <c r="J287" s="271">
        <f>DSUM(A1_NHAP_XUAT,NX_cot_SLNhap,ps_hang280)</f>
        <v>0</v>
      </c>
      <c r="K287" s="271">
        <f>DSUM(A1_NHAP_XUAT,NX_cot_SLXuat,ps_hang280)</f>
        <v>0</v>
      </c>
      <c r="L287" s="251"/>
    </row>
    <row r="288" spans="2:12">
      <c r="B288" s="274">
        <v>281</v>
      </c>
      <c r="C288" s="97"/>
      <c r="D288" s="302"/>
      <c r="E288" s="97"/>
      <c r="F288" s="303"/>
      <c r="G288" s="304"/>
      <c r="H288" s="290"/>
      <c r="I288" s="270">
        <f>DSUM(A1_NHAP_XUAT,NX_cot_SLNhap,td_hang281)-DSUM(A1_NHAP_XUAT,NX_cot_SLXuat,td_hang281)+F288</f>
        <v>0</v>
      </c>
      <c r="J288" s="271">
        <f>DSUM(A1_NHAP_XUAT,NX_cot_SLNhap,ps_hang281)</f>
        <v>0</v>
      </c>
      <c r="K288" s="271">
        <f>DSUM(A1_NHAP_XUAT,NX_cot_SLXuat,ps_hang281)</f>
        <v>0</v>
      </c>
      <c r="L288" s="251"/>
    </row>
    <row r="289" spans="2:12">
      <c r="B289" s="274">
        <v>282</v>
      </c>
      <c r="C289" s="97"/>
      <c r="D289" s="302"/>
      <c r="E289" s="97"/>
      <c r="F289" s="303"/>
      <c r="G289" s="304"/>
      <c r="H289" s="290"/>
      <c r="I289" s="270">
        <f>DSUM(A1_NHAP_XUAT,NX_cot_SLNhap,td_hang282)-DSUM(A1_NHAP_XUAT,NX_cot_SLXuat,td_hang282)+F289</f>
        <v>0</v>
      </c>
      <c r="J289" s="271">
        <f>DSUM(A1_NHAP_XUAT,NX_cot_SLNhap,ps_hang282)</f>
        <v>0</v>
      </c>
      <c r="K289" s="271">
        <f>DSUM(A1_NHAP_XUAT,NX_cot_SLXuat,ps_hang282)</f>
        <v>0</v>
      </c>
      <c r="L289" s="251"/>
    </row>
    <row r="290" spans="2:12">
      <c r="B290" s="274">
        <v>283</v>
      </c>
      <c r="C290" s="97"/>
      <c r="D290" s="302"/>
      <c r="E290" s="97"/>
      <c r="F290" s="303"/>
      <c r="G290" s="304"/>
      <c r="H290" s="290"/>
      <c r="I290" s="270">
        <f>DSUM(A1_NHAP_XUAT,NX_cot_SLNhap,td_hang283)-DSUM(A1_NHAP_XUAT,NX_cot_SLXuat,td_hang283)+F290</f>
        <v>0</v>
      </c>
      <c r="J290" s="271">
        <f>DSUM(A1_NHAP_XUAT,NX_cot_SLNhap,ps_hang283)</f>
        <v>0</v>
      </c>
      <c r="K290" s="271">
        <f>DSUM(A1_NHAP_XUAT,NX_cot_SLXuat,ps_hang283)</f>
        <v>0</v>
      </c>
      <c r="L290" s="251"/>
    </row>
    <row r="291" spans="2:12">
      <c r="B291" s="274">
        <v>284</v>
      </c>
      <c r="C291" s="97"/>
      <c r="D291" s="302"/>
      <c r="E291" s="97"/>
      <c r="F291" s="303"/>
      <c r="G291" s="304"/>
      <c r="H291" s="290"/>
      <c r="I291" s="270">
        <f>DSUM(A1_NHAP_XUAT,NX_cot_SLNhap,td_hang284)-DSUM(A1_NHAP_XUAT,NX_cot_SLXuat,td_hang284)+F291</f>
        <v>0</v>
      </c>
      <c r="J291" s="271">
        <f>DSUM(A1_NHAP_XUAT,NX_cot_SLNhap,ps_hang284)</f>
        <v>0</v>
      </c>
      <c r="K291" s="271">
        <f>DSUM(A1_NHAP_XUAT,NX_cot_SLXuat,ps_hang284)</f>
        <v>0</v>
      </c>
      <c r="L291" s="251"/>
    </row>
    <row r="292" spans="2:12">
      <c r="B292" s="274">
        <v>285</v>
      </c>
      <c r="C292" s="97"/>
      <c r="D292" s="302"/>
      <c r="E292" s="97"/>
      <c r="F292" s="303"/>
      <c r="G292" s="304"/>
      <c r="H292" s="290"/>
      <c r="I292" s="270">
        <f>DSUM(A1_NHAP_XUAT,NX_cot_SLNhap,td_hang285)-DSUM(A1_NHAP_XUAT,NX_cot_SLXuat,td_hang285)+F292</f>
        <v>0</v>
      </c>
      <c r="J292" s="271">
        <f>DSUM(A1_NHAP_XUAT,NX_cot_SLNhap,ps_hang285)</f>
        <v>0</v>
      </c>
      <c r="K292" s="271">
        <f>DSUM(A1_NHAP_XUAT,NX_cot_SLXuat,ps_hang285)</f>
        <v>0</v>
      </c>
      <c r="L292" s="251"/>
    </row>
    <row r="293" spans="2:12">
      <c r="B293" s="274">
        <v>286</v>
      </c>
      <c r="C293" s="97"/>
      <c r="D293" s="302"/>
      <c r="E293" s="97"/>
      <c r="F293" s="303"/>
      <c r="G293" s="304"/>
      <c r="H293" s="290"/>
      <c r="I293" s="270">
        <f>DSUM(A1_NHAP_XUAT,NX_cot_SLNhap,td_hang286)-DSUM(A1_NHAP_XUAT,NX_cot_SLXuat,td_hang286)+F293</f>
        <v>0</v>
      </c>
      <c r="J293" s="271">
        <f>DSUM(A1_NHAP_XUAT,NX_cot_SLNhap,ps_hang286)</f>
        <v>0</v>
      </c>
      <c r="K293" s="271">
        <f>DSUM(A1_NHAP_XUAT,NX_cot_SLXuat,ps_hang286)</f>
        <v>0</v>
      </c>
      <c r="L293" s="251"/>
    </row>
    <row r="294" spans="2:12">
      <c r="B294" s="274">
        <v>287</v>
      </c>
      <c r="C294" s="97"/>
      <c r="D294" s="302"/>
      <c r="E294" s="97"/>
      <c r="F294" s="303"/>
      <c r="G294" s="304"/>
      <c r="H294" s="290"/>
      <c r="I294" s="270">
        <f>DSUM(A1_NHAP_XUAT,NX_cot_SLNhap,td_hang287)-DSUM(A1_NHAP_XUAT,NX_cot_SLXuat,td_hang287)+F294</f>
        <v>0</v>
      </c>
      <c r="J294" s="271">
        <f>DSUM(A1_NHAP_XUAT,NX_cot_SLNhap,ps_hang287)</f>
        <v>0</v>
      </c>
      <c r="K294" s="271">
        <f>DSUM(A1_NHAP_XUAT,NX_cot_SLXuat,ps_hang287)</f>
        <v>0</v>
      </c>
      <c r="L294" s="251"/>
    </row>
    <row r="295" spans="2:12">
      <c r="B295" s="274">
        <v>288</v>
      </c>
      <c r="C295" s="97"/>
      <c r="D295" s="302"/>
      <c r="E295" s="97"/>
      <c r="F295" s="303"/>
      <c r="G295" s="304"/>
      <c r="H295" s="290"/>
      <c r="I295" s="270">
        <f>DSUM(A1_NHAP_XUAT,NX_cot_SLNhap,td_hang288)-DSUM(A1_NHAP_XUAT,NX_cot_SLXuat,td_hang288)+F295</f>
        <v>0</v>
      </c>
      <c r="J295" s="271">
        <f>DSUM(A1_NHAP_XUAT,NX_cot_SLNhap,ps_hang288)</f>
        <v>0</v>
      </c>
      <c r="K295" s="271">
        <f>DSUM(A1_NHAP_XUAT,NX_cot_SLXuat,ps_hang288)</f>
        <v>0</v>
      </c>
      <c r="L295" s="251"/>
    </row>
    <row r="296" spans="2:12">
      <c r="B296" s="274">
        <v>289</v>
      </c>
      <c r="C296" s="97"/>
      <c r="D296" s="302"/>
      <c r="E296" s="97"/>
      <c r="F296" s="303"/>
      <c r="G296" s="304"/>
      <c r="H296" s="290"/>
      <c r="I296" s="270">
        <f>DSUM(A1_NHAP_XUAT,NX_cot_SLNhap,td_hang289)-DSUM(A1_NHAP_XUAT,NX_cot_SLXuat,td_hang289)+F296</f>
        <v>0</v>
      </c>
      <c r="J296" s="271">
        <f>DSUM(A1_NHAP_XUAT,NX_cot_SLNhap,ps_hang289)</f>
        <v>0</v>
      </c>
      <c r="K296" s="271">
        <f>DSUM(A1_NHAP_XUAT,NX_cot_SLXuat,ps_hang289)</f>
        <v>0</v>
      </c>
      <c r="L296" s="251"/>
    </row>
    <row r="297" spans="2:12">
      <c r="B297" s="274">
        <v>290</v>
      </c>
      <c r="C297" s="97"/>
      <c r="D297" s="302"/>
      <c r="E297" s="97"/>
      <c r="F297" s="303"/>
      <c r="G297" s="304"/>
      <c r="H297" s="290"/>
      <c r="I297" s="270">
        <f>DSUM(A1_NHAP_XUAT,NX_cot_SLNhap,td_hang290)-DSUM(A1_NHAP_XUAT,NX_cot_SLXuat,td_hang290)+F297</f>
        <v>0</v>
      </c>
      <c r="J297" s="271">
        <f>DSUM(A1_NHAP_XUAT,NX_cot_SLNhap,ps_hang290)</f>
        <v>0</v>
      </c>
      <c r="K297" s="271">
        <f>DSUM(A1_NHAP_XUAT,NX_cot_SLXuat,ps_hang290)</f>
        <v>0</v>
      </c>
      <c r="L297" s="251"/>
    </row>
    <row r="298" spans="2:12">
      <c r="B298" s="274">
        <v>291</v>
      </c>
      <c r="C298" s="97"/>
      <c r="D298" s="302"/>
      <c r="E298" s="97"/>
      <c r="F298" s="303"/>
      <c r="G298" s="304"/>
      <c r="H298" s="290"/>
      <c r="I298" s="270">
        <f>DSUM(A1_NHAP_XUAT,NX_cot_SLNhap,td_hang291)-DSUM(A1_NHAP_XUAT,NX_cot_SLXuat,td_hang291)+F298</f>
        <v>0</v>
      </c>
      <c r="J298" s="271">
        <f>DSUM(A1_NHAP_XUAT,NX_cot_SLNhap,ps_hang291)</f>
        <v>0</v>
      </c>
      <c r="K298" s="271">
        <f>DSUM(A1_NHAP_XUAT,NX_cot_SLXuat,ps_hang291)</f>
        <v>0</v>
      </c>
      <c r="L298" s="251"/>
    </row>
    <row r="299" spans="2:12">
      <c r="B299" s="274">
        <v>292</v>
      </c>
      <c r="C299" s="97"/>
      <c r="D299" s="302"/>
      <c r="E299" s="97"/>
      <c r="F299" s="303"/>
      <c r="G299" s="304"/>
      <c r="H299" s="290"/>
      <c r="I299" s="270">
        <f>DSUM(A1_NHAP_XUAT,NX_cot_SLNhap,td_hang292)-DSUM(A1_NHAP_XUAT,NX_cot_SLXuat,td_hang292)+F299</f>
        <v>0</v>
      </c>
      <c r="J299" s="271">
        <f>DSUM(A1_NHAP_XUAT,NX_cot_SLNhap,ps_hang292)</f>
        <v>0</v>
      </c>
      <c r="K299" s="271">
        <f>DSUM(A1_NHAP_XUAT,NX_cot_SLXuat,ps_hang292)</f>
        <v>0</v>
      </c>
      <c r="L299" s="251"/>
    </row>
    <row r="300" spans="2:12">
      <c r="B300" s="274">
        <v>293</v>
      </c>
      <c r="C300" s="97"/>
      <c r="D300" s="302"/>
      <c r="E300" s="97"/>
      <c r="F300" s="303"/>
      <c r="G300" s="304"/>
      <c r="H300" s="290"/>
      <c r="I300" s="270">
        <f>DSUM(A1_NHAP_XUAT,NX_cot_SLNhap,td_hang293)-DSUM(A1_NHAP_XUAT,NX_cot_SLXuat,td_hang293)+F300</f>
        <v>0</v>
      </c>
      <c r="J300" s="271">
        <f>DSUM(A1_NHAP_XUAT,NX_cot_SLNhap,ps_hang293)</f>
        <v>0</v>
      </c>
      <c r="K300" s="271">
        <f>DSUM(A1_NHAP_XUAT,NX_cot_SLXuat,ps_hang293)</f>
        <v>0</v>
      </c>
      <c r="L300" s="251"/>
    </row>
    <row r="301" spans="2:12">
      <c r="B301" s="274">
        <v>294</v>
      </c>
      <c r="C301" s="97"/>
      <c r="D301" s="302"/>
      <c r="E301" s="97"/>
      <c r="F301" s="303"/>
      <c r="G301" s="304"/>
      <c r="H301" s="290"/>
      <c r="I301" s="270">
        <f>DSUM(A1_NHAP_XUAT,NX_cot_SLNhap,td_hang294)-DSUM(A1_NHAP_XUAT,NX_cot_SLXuat,td_hang294)+F301</f>
        <v>0</v>
      </c>
      <c r="J301" s="271">
        <f>DSUM(A1_NHAP_XUAT,NX_cot_SLNhap,ps_hang294)</f>
        <v>0</v>
      </c>
      <c r="K301" s="271">
        <f>DSUM(A1_NHAP_XUAT,NX_cot_SLXuat,ps_hang294)</f>
        <v>0</v>
      </c>
      <c r="L301" s="251"/>
    </row>
    <row r="302" spans="2:12">
      <c r="B302" s="274">
        <v>295</v>
      </c>
      <c r="C302" s="97"/>
      <c r="D302" s="302"/>
      <c r="E302" s="97"/>
      <c r="F302" s="303"/>
      <c r="G302" s="304"/>
      <c r="H302" s="290"/>
      <c r="I302" s="270">
        <f>DSUM(A1_NHAP_XUAT,NX_cot_SLNhap,td_hang295)-DSUM(A1_NHAP_XUAT,NX_cot_SLXuat,td_hang295)+F302</f>
        <v>0</v>
      </c>
      <c r="J302" s="271">
        <f>DSUM(A1_NHAP_XUAT,NX_cot_SLNhap,ps_hang295)</f>
        <v>0</v>
      </c>
      <c r="K302" s="271">
        <f>DSUM(A1_NHAP_XUAT,NX_cot_SLXuat,ps_hang295)</f>
        <v>0</v>
      </c>
      <c r="L302" s="251"/>
    </row>
    <row r="303" spans="2:12">
      <c r="B303" s="274">
        <v>296</v>
      </c>
      <c r="C303" s="97"/>
      <c r="D303" s="302"/>
      <c r="E303" s="97"/>
      <c r="F303" s="303"/>
      <c r="G303" s="304"/>
      <c r="H303" s="290"/>
      <c r="I303" s="270">
        <f>DSUM(A1_NHAP_XUAT,NX_cot_SLNhap,td_hang296)-DSUM(A1_NHAP_XUAT,NX_cot_SLXuat,td_hang296)+F303</f>
        <v>0</v>
      </c>
      <c r="J303" s="271">
        <f>DSUM(A1_NHAP_XUAT,NX_cot_SLNhap,ps_hang296)</f>
        <v>0</v>
      </c>
      <c r="K303" s="271">
        <f>DSUM(A1_NHAP_XUAT,NX_cot_SLXuat,ps_hang296)</f>
        <v>0</v>
      </c>
      <c r="L303" s="251"/>
    </row>
    <row r="304" spans="2:12">
      <c r="B304" s="274">
        <v>297</v>
      </c>
      <c r="C304" s="97"/>
      <c r="D304" s="302"/>
      <c r="E304" s="97"/>
      <c r="F304" s="303"/>
      <c r="G304" s="304"/>
      <c r="H304" s="290"/>
      <c r="I304" s="270">
        <f>DSUM(A1_NHAP_XUAT,NX_cot_SLNhap,td_hang297)-DSUM(A1_NHAP_XUAT,NX_cot_SLXuat,td_hang297)+F304</f>
        <v>0</v>
      </c>
      <c r="J304" s="271">
        <f>DSUM(A1_NHAP_XUAT,NX_cot_SLNhap,ps_hang297)</f>
        <v>0</v>
      </c>
      <c r="K304" s="271">
        <f>DSUM(A1_NHAP_XUAT,NX_cot_SLXuat,ps_hang297)</f>
        <v>0</v>
      </c>
      <c r="L304" s="251"/>
    </row>
    <row r="305" spans="2:12">
      <c r="B305" s="274">
        <v>298</v>
      </c>
      <c r="C305" s="97"/>
      <c r="D305" s="302"/>
      <c r="E305" s="97"/>
      <c r="F305" s="303"/>
      <c r="G305" s="304"/>
      <c r="H305" s="290"/>
      <c r="I305" s="270">
        <f>DSUM(A1_NHAP_XUAT,NX_cot_SLNhap,td_hang298)-DSUM(A1_NHAP_XUAT,NX_cot_SLXuat,td_hang298)+F305</f>
        <v>0</v>
      </c>
      <c r="J305" s="271">
        <f>DSUM(A1_NHAP_XUAT,NX_cot_SLNhap,ps_hang298)</f>
        <v>0</v>
      </c>
      <c r="K305" s="271">
        <f>DSUM(A1_NHAP_XUAT,NX_cot_SLXuat,ps_hang298)</f>
        <v>0</v>
      </c>
      <c r="L305" s="251"/>
    </row>
    <row r="306" spans="2:12">
      <c r="B306" s="274">
        <v>299</v>
      </c>
      <c r="C306" s="97"/>
      <c r="D306" s="302"/>
      <c r="E306" s="97"/>
      <c r="F306" s="303"/>
      <c r="G306" s="304"/>
      <c r="H306" s="290"/>
      <c r="I306" s="270">
        <f>DSUM(A1_NHAP_XUAT,NX_cot_SLNhap,td_hang299)-DSUM(A1_NHAP_XUAT,NX_cot_SLXuat,td_hang299)+F306</f>
        <v>0</v>
      </c>
      <c r="J306" s="271">
        <f>DSUM(A1_NHAP_XUAT,NX_cot_SLNhap,ps_hang299)</f>
        <v>0</v>
      </c>
      <c r="K306" s="271">
        <f>DSUM(A1_NHAP_XUAT,NX_cot_SLXuat,ps_hang299)</f>
        <v>0</v>
      </c>
      <c r="L306" s="251"/>
    </row>
    <row r="307" spans="2:12">
      <c r="B307" s="274">
        <v>300</v>
      </c>
      <c r="C307" s="97"/>
      <c r="D307" s="302"/>
      <c r="E307" s="97"/>
      <c r="F307" s="303"/>
      <c r="G307" s="304"/>
      <c r="H307" s="290"/>
      <c r="I307" s="270">
        <f>DSUM(A1_NHAP_XUAT,NX_cot_SLNhap,td_hang300)-DSUM(A1_NHAP_XUAT,NX_cot_SLXuat,td_hang300)+F307</f>
        <v>0</v>
      </c>
      <c r="J307" s="271">
        <f>DSUM(A1_NHAP_XUAT,NX_cot_SLNhap,ps_hang300)</f>
        <v>0</v>
      </c>
      <c r="K307" s="271">
        <f>DSUM(A1_NHAP_XUAT,NX_cot_SLXuat,ps_hang300)</f>
        <v>0</v>
      </c>
      <c r="L307" s="251"/>
    </row>
    <row r="308" spans="2:12">
      <c r="B308" s="274">
        <v>301</v>
      </c>
      <c r="C308" s="97"/>
      <c r="D308" s="302"/>
      <c r="E308" s="97"/>
      <c r="F308" s="303"/>
      <c r="G308" s="304"/>
      <c r="H308" s="290"/>
      <c r="I308" s="270">
        <f>DSUM(A1_NHAP_XUAT,NX_cot_SLNhap,td_hang301)-DSUM(A1_NHAP_XUAT,NX_cot_SLXuat,td_hang301)+F308</f>
        <v>0</v>
      </c>
      <c r="J308" s="271">
        <f>DSUM(A1_NHAP_XUAT,NX_cot_SLNhap,ps_hang301)</f>
        <v>0</v>
      </c>
      <c r="K308" s="271">
        <f>DSUM(A1_NHAP_XUAT,NX_cot_SLXuat,ps_hang301)</f>
        <v>0</v>
      </c>
      <c r="L308" s="251"/>
    </row>
    <row r="309" spans="2:12">
      <c r="B309" s="274">
        <v>302</v>
      </c>
      <c r="C309" s="97"/>
      <c r="D309" s="302"/>
      <c r="E309" s="97"/>
      <c r="F309" s="303"/>
      <c r="G309" s="304"/>
      <c r="H309" s="290"/>
      <c r="I309" s="270">
        <f>DSUM(A1_NHAP_XUAT,NX_cot_SLNhap,td_hang302)-DSUM(A1_NHAP_XUAT,NX_cot_SLXuat,td_hang302)+F309</f>
        <v>0</v>
      </c>
      <c r="J309" s="271">
        <f>DSUM(A1_NHAP_XUAT,NX_cot_SLNhap,ps_hang302)</f>
        <v>0</v>
      </c>
      <c r="K309" s="271">
        <f>DSUM(A1_NHAP_XUAT,NX_cot_SLXuat,ps_hang302)</f>
        <v>0</v>
      </c>
      <c r="L309" s="251"/>
    </row>
    <row r="310" spans="2:12">
      <c r="B310" s="274">
        <v>303</v>
      </c>
      <c r="C310" s="97"/>
      <c r="D310" s="302"/>
      <c r="E310" s="97"/>
      <c r="F310" s="303"/>
      <c r="G310" s="304"/>
      <c r="H310" s="290"/>
      <c r="I310" s="270">
        <f>DSUM(A1_NHAP_XUAT,NX_cot_SLNhap,td_hang303)-DSUM(A1_NHAP_XUAT,NX_cot_SLXuat,td_hang303)+F310</f>
        <v>0</v>
      </c>
      <c r="J310" s="271">
        <f>DSUM(A1_NHAP_XUAT,NX_cot_SLNhap,ps_hang303)</f>
        <v>0</v>
      </c>
      <c r="K310" s="271">
        <f>DSUM(A1_NHAP_XUAT,NX_cot_SLXuat,ps_hang303)</f>
        <v>0</v>
      </c>
      <c r="L310" s="251"/>
    </row>
    <row r="311" spans="2:12">
      <c r="B311" s="274">
        <v>304</v>
      </c>
      <c r="C311" s="97"/>
      <c r="D311" s="302"/>
      <c r="E311" s="97"/>
      <c r="F311" s="303"/>
      <c r="G311" s="304"/>
      <c r="H311" s="290"/>
      <c r="I311" s="270">
        <f>DSUM(A1_NHAP_XUAT,NX_cot_SLNhap,td_hang304)-DSUM(A1_NHAP_XUAT,NX_cot_SLXuat,td_hang304)+F311</f>
        <v>0</v>
      </c>
      <c r="J311" s="271">
        <f>DSUM(A1_NHAP_XUAT,NX_cot_SLNhap,ps_hang304)</f>
        <v>0</v>
      </c>
      <c r="K311" s="271">
        <f>DSUM(A1_NHAP_XUAT,NX_cot_SLXuat,ps_hang304)</f>
        <v>0</v>
      </c>
      <c r="L311" s="251"/>
    </row>
    <row r="312" spans="2:12">
      <c r="B312" s="274">
        <v>305</v>
      </c>
      <c r="C312" s="97"/>
      <c r="D312" s="302"/>
      <c r="E312" s="97"/>
      <c r="F312" s="303"/>
      <c r="G312" s="304"/>
      <c r="H312" s="290"/>
      <c r="I312" s="270">
        <f>DSUM(A1_NHAP_XUAT,NX_cot_SLNhap,td_hang305)-DSUM(A1_NHAP_XUAT,NX_cot_SLXuat,td_hang305)+F312</f>
        <v>0</v>
      </c>
      <c r="J312" s="271">
        <f>DSUM(A1_NHAP_XUAT,NX_cot_SLNhap,ps_hang305)</f>
        <v>0</v>
      </c>
      <c r="K312" s="271">
        <f>DSUM(A1_NHAP_XUAT,NX_cot_SLXuat,ps_hang305)</f>
        <v>0</v>
      </c>
      <c r="L312" s="251"/>
    </row>
    <row r="313" spans="2:12">
      <c r="B313" s="274">
        <v>306</v>
      </c>
      <c r="C313" s="97"/>
      <c r="D313" s="302"/>
      <c r="E313" s="97"/>
      <c r="F313" s="303"/>
      <c r="G313" s="304"/>
      <c r="H313" s="290"/>
      <c r="I313" s="270">
        <f>DSUM(A1_NHAP_XUAT,NX_cot_SLNhap,td_hang306)-DSUM(A1_NHAP_XUAT,NX_cot_SLXuat,td_hang306)+F313</f>
        <v>0</v>
      </c>
      <c r="J313" s="271">
        <f>DSUM(A1_NHAP_XUAT,NX_cot_SLNhap,ps_hang306)</f>
        <v>0</v>
      </c>
      <c r="K313" s="271">
        <f>DSUM(A1_NHAP_XUAT,NX_cot_SLXuat,ps_hang306)</f>
        <v>0</v>
      </c>
      <c r="L313" s="251"/>
    </row>
    <row r="314" spans="2:12">
      <c r="B314" s="274">
        <v>307</v>
      </c>
      <c r="C314" s="97"/>
      <c r="D314" s="302"/>
      <c r="E314" s="97"/>
      <c r="F314" s="303"/>
      <c r="G314" s="304"/>
      <c r="H314" s="290"/>
      <c r="I314" s="270">
        <f>DSUM(A1_NHAP_XUAT,NX_cot_SLNhap,td_hang307)-DSUM(A1_NHAP_XUAT,NX_cot_SLXuat,td_hang307)+F314</f>
        <v>0</v>
      </c>
      <c r="J314" s="271">
        <f>DSUM(A1_NHAP_XUAT,NX_cot_SLNhap,ps_hang307)</f>
        <v>0</v>
      </c>
      <c r="K314" s="271">
        <f>DSUM(A1_NHAP_XUAT,NX_cot_SLXuat,ps_hang307)</f>
        <v>0</v>
      </c>
      <c r="L314" s="251"/>
    </row>
    <row r="315" spans="2:12">
      <c r="B315" s="274">
        <v>308</v>
      </c>
      <c r="C315" s="97"/>
      <c r="D315" s="302"/>
      <c r="E315" s="97"/>
      <c r="F315" s="303"/>
      <c r="G315" s="304"/>
      <c r="H315" s="290"/>
      <c r="I315" s="270">
        <f>DSUM(A1_NHAP_XUAT,NX_cot_SLNhap,td_hang308)-DSUM(A1_NHAP_XUAT,NX_cot_SLXuat,td_hang308)+F315</f>
        <v>0</v>
      </c>
      <c r="J315" s="271">
        <f>DSUM(A1_NHAP_XUAT,NX_cot_SLNhap,ps_hang308)</f>
        <v>0</v>
      </c>
      <c r="K315" s="271">
        <f>DSUM(A1_NHAP_XUAT,NX_cot_SLXuat,ps_hang308)</f>
        <v>0</v>
      </c>
      <c r="L315" s="251"/>
    </row>
    <row r="316" spans="2:12">
      <c r="B316" s="274">
        <v>309</v>
      </c>
      <c r="C316" s="97"/>
      <c r="D316" s="302"/>
      <c r="E316" s="97"/>
      <c r="F316" s="303"/>
      <c r="G316" s="304"/>
      <c r="H316" s="290"/>
      <c r="I316" s="270">
        <f>DSUM(A1_NHAP_XUAT,NX_cot_SLNhap,td_hang309)-DSUM(A1_NHAP_XUAT,NX_cot_SLXuat,td_hang309)+F316</f>
        <v>0</v>
      </c>
      <c r="J316" s="271">
        <f>DSUM(A1_NHAP_XUAT,NX_cot_SLNhap,ps_hang309)</f>
        <v>0</v>
      </c>
      <c r="K316" s="271">
        <f>DSUM(A1_NHAP_XUAT,NX_cot_SLXuat,ps_hang309)</f>
        <v>0</v>
      </c>
      <c r="L316" s="251"/>
    </row>
    <row r="317" spans="2:12">
      <c r="B317" s="274">
        <v>310</v>
      </c>
      <c r="C317" s="97"/>
      <c r="D317" s="302"/>
      <c r="E317" s="97"/>
      <c r="F317" s="303"/>
      <c r="G317" s="304"/>
      <c r="H317" s="290"/>
      <c r="I317" s="270">
        <f>DSUM(A1_NHAP_XUAT,NX_cot_SLNhap,td_hang310)-DSUM(A1_NHAP_XUAT,NX_cot_SLXuat,td_hang310)+F317</f>
        <v>0</v>
      </c>
      <c r="J317" s="271">
        <f>DSUM(A1_NHAP_XUAT,NX_cot_SLNhap,ps_hang310)</f>
        <v>0</v>
      </c>
      <c r="K317" s="271">
        <f>DSUM(A1_NHAP_XUAT,NX_cot_SLXuat,ps_hang310)</f>
        <v>0</v>
      </c>
      <c r="L317" s="251"/>
    </row>
    <row r="318" spans="2:12">
      <c r="B318" s="274">
        <v>311</v>
      </c>
      <c r="C318" s="97"/>
      <c r="D318" s="302"/>
      <c r="E318" s="97"/>
      <c r="F318" s="303"/>
      <c r="G318" s="304"/>
      <c r="H318" s="290"/>
      <c r="I318" s="270">
        <f>DSUM(A1_NHAP_XUAT,NX_cot_SLNhap,td_hang311)-DSUM(A1_NHAP_XUAT,NX_cot_SLXuat,td_hang311)+F318</f>
        <v>0</v>
      </c>
      <c r="J318" s="271">
        <f>DSUM(A1_NHAP_XUAT,NX_cot_SLNhap,ps_hang311)</f>
        <v>0</v>
      </c>
      <c r="K318" s="271">
        <f>DSUM(A1_NHAP_XUAT,NX_cot_SLXuat,ps_hang311)</f>
        <v>0</v>
      </c>
      <c r="L318" s="251"/>
    </row>
    <row r="319" spans="2:12">
      <c r="B319" s="274">
        <v>312</v>
      </c>
      <c r="C319" s="97"/>
      <c r="D319" s="302"/>
      <c r="E319" s="97"/>
      <c r="F319" s="303"/>
      <c r="G319" s="304"/>
      <c r="H319" s="290"/>
      <c r="I319" s="270">
        <f>DSUM(A1_NHAP_XUAT,NX_cot_SLNhap,td_hang312)-DSUM(A1_NHAP_XUAT,NX_cot_SLXuat,td_hang312)+F319</f>
        <v>0</v>
      </c>
      <c r="J319" s="271">
        <f>DSUM(A1_NHAP_XUAT,NX_cot_SLNhap,ps_hang312)</f>
        <v>0</v>
      </c>
      <c r="K319" s="271">
        <f>DSUM(A1_NHAP_XUAT,NX_cot_SLXuat,ps_hang312)</f>
        <v>0</v>
      </c>
      <c r="L319" s="251"/>
    </row>
    <row r="320" spans="2:12">
      <c r="B320" s="274">
        <v>313</v>
      </c>
      <c r="C320" s="97"/>
      <c r="D320" s="302"/>
      <c r="E320" s="97"/>
      <c r="F320" s="303"/>
      <c r="G320" s="304"/>
      <c r="H320" s="290"/>
      <c r="I320" s="270">
        <f>DSUM(A1_NHAP_XUAT,NX_cot_SLNhap,td_hang313)-DSUM(A1_NHAP_XUAT,NX_cot_SLXuat,td_hang313)+F320</f>
        <v>0</v>
      </c>
      <c r="J320" s="271">
        <f>DSUM(A1_NHAP_XUAT,NX_cot_SLNhap,ps_hang313)</f>
        <v>0</v>
      </c>
      <c r="K320" s="271">
        <f>DSUM(A1_NHAP_XUAT,NX_cot_SLXuat,ps_hang313)</f>
        <v>0</v>
      </c>
      <c r="L320" s="251"/>
    </row>
    <row r="321" spans="2:12">
      <c r="B321" s="274">
        <v>314</v>
      </c>
      <c r="C321" s="97"/>
      <c r="D321" s="302"/>
      <c r="E321" s="97"/>
      <c r="F321" s="303"/>
      <c r="G321" s="304"/>
      <c r="H321" s="290"/>
      <c r="I321" s="270">
        <f>DSUM(A1_NHAP_XUAT,NX_cot_SLNhap,td_hang314)-DSUM(A1_NHAP_XUAT,NX_cot_SLXuat,td_hang314)+F321</f>
        <v>0</v>
      </c>
      <c r="J321" s="271">
        <f>DSUM(A1_NHAP_XUAT,NX_cot_SLNhap,ps_hang314)</f>
        <v>0</v>
      </c>
      <c r="K321" s="271">
        <f>DSUM(A1_NHAP_XUAT,NX_cot_SLXuat,ps_hang314)</f>
        <v>0</v>
      </c>
      <c r="L321" s="251"/>
    </row>
    <row r="322" spans="2:12">
      <c r="B322" s="274">
        <v>315</v>
      </c>
      <c r="C322" s="97"/>
      <c r="D322" s="302"/>
      <c r="E322" s="97"/>
      <c r="F322" s="303"/>
      <c r="G322" s="304"/>
      <c r="H322" s="290"/>
      <c r="I322" s="270">
        <f>DSUM(A1_NHAP_XUAT,NX_cot_SLNhap,td_hang315)-DSUM(A1_NHAP_XUAT,NX_cot_SLXuat,td_hang315)+F322</f>
        <v>0</v>
      </c>
      <c r="J322" s="271">
        <f>DSUM(A1_NHAP_XUAT,NX_cot_SLNhap,ps_hang315)</f>
        <v>0</v>
      </c>
      <c r="K322" s="271">
        <f>DSUM(A1_NHAP_XUAT,NX_cot_SLXuat,ps_hang315)</f>
        <v>0</v>
      </c>
      <c r="L322" s="251"/>
    </row>
    <row r="323" spans="2:12">
      <c r="B323" s="274">
        <v>316</v>
      </c>
      <c r="C323" s="97"/>
      <c r="D323" s="302"/>
      <c r="E323" s="97"/>
      <c r="F323" s="303"/>
      <c r="G323" s="304"/>
      <c r="H323" s="290"/>
      <c r="I323" s="270">
        <f>DSUM(A1_NHAP_XUAT,NX_cot_SLNhap,td_hang316)-DSUM(A1_NHAP_XUAT,NX_cot_SLXuat,td_hang316)+F323</f>
        <v>0</v>
      </c>
      <c r="J323" s="271">
        <f>DSUM(A1_NHAP_XUAT,NX_cot_SLNhap,ps_hang316)</f>
        <v>0</v>
      </c>
      <c r="K323" s="271">
        <f>DSUM(A1_NHAP_XUAT,NX_cot_SLXuat,ps_hang316)</f>
        <v>0</v>
      </c>
      <c r="L323" s="251"/>
    </row>
    <row r="324" spans="2:12">
      <c r="B324" s="274">
        <v>317</v>
      </c>
      <c r="C324" s="97"/>
      <c r="D324" s="302"/>
      <c r="E324" s="97"/>
      <c r="F324" s="303"/>
      <c r="G324" s="304"/>
      <c r="H324" s="290"/>
      <c r="I324" s="270">
        <f>DSUM(A1_NHAP_XUAT,NX_cot_SLNhap,td_hang317)-DSUM(A1_NHAP_XUAT,NX_cot_SLXuat,td_hang317)+F324</f>
        <v>0</v>
      </c>
      <c r="J324" s="271">
        <f>DSUM(A1_NHAP_XUAT,NX_cot_SLNhap,ps_hang317)</f>
        <v>0</v>
      </c>
      <c r="K324" s="271">
        <f>DSUM(A1_NHAP_XUAT,NX_cot_SLXuat,ps_hang317)</f>
        <v>0</v>
      </c>
      <c r="L324" s="251"/>
    </row>
    <row r="325" spans="2:12">
      <c r="B325" s="274">
        <v>318</v>
      </c>
      <c r="C325" s="97"/>
      <c r="D325" s="302"/>
      <c r="E325" s="97"/>
      <c r="F325" s="303"/>
      <c r="G325" s="304"/>
      <c r="H325" s="290"/>
      <c r="I325" s="270">
        <f>DSUM(A1_NHAP_XUAT,NX_cot_SLNhap,td_hang318)-DSUM(A1_NHAP_XUAT,NX_cot_SLXuat,td_hang318)+F325</f>
        <v>0</v>
      </c>
      <c r="J325" s="271">
        <f>DSUM(A1_NHAP_XUAT,NX_cot_SLNhap,ps_hang318)</f>
        <v>0</v>
      </c>
      <c r="K325" s="271">
        <f>DSUM(A1_NHAP_XUAT,NX_cot_SLXuat,ps_hang318)</f>
        <v>0</v>
      </c>
      <c r="L325" s="251"/>
    </row>
    <row r="326" spans="2:12">
      <c r="B326" s="274">
        <v>319</v>
      </c>
      <c r="C326" s="97"/>
      <c r="D326" s="302"/>
      <c r="E326" s="97"/>
      <c r="F326" s="303"/>
      <c r="G326" s="304"/>
      <c r="H326" s="290"/>
      <c r="I326" s="270">
        <f>DSUM(A1_NHAP_XUAT,NX_cot_SLNhap,td_hang319)-DSUM(A1_NHAP_XUAT,NX_cot_SLXuat,td_hang319)+F326</f>
        <v>0</v>
      </c>
      <c r="J326" s="271">
        <f>DSUM(A1_NHAP_XUAT,NX_cot_SLNhap,ps_hang319)</f>
        <v>0</v>
      </c>
      <c r="K326" s="271">
        <f>DSUM(A1_NHAP_XUAT,NX_cot_SLXuat,ps_hang319)</f>
        <v>0</v>
      </c>
      <c r="L326" s="251"/>
    </row>
    <row r="327" spans="2:12">
      <c r="B327" s="274">
        <v>320</v>
      </c>
      <c r="C327" s="97"/>
      <c r="D327" s="302"/>
      <c r="E327" s="97"/>
      <c r="F327" s="303"/>
      <c r="G327" s="304"/>
      <c r="H327" s="290"/>
      <c r="I327" s="270">
        <f>DSUM(A1_NHAP_XUAT,NX_cot_SLNhap,td_hang320)-DSUM(A1_NHAP_XUAT,NX_cot_SLXuat,td_hang320)+F327</f>
        <v>0</v>
      </c>
      <c r="J327" s="271">
        <f>DSUM(A1_NHAP_XUAT,NX_cot_SLNhap,ps_hang320)</f>
        <v>0</v>
      </c>
      <c r="K327" s="271">
        <f>DSUM(A1_NHAP_XUAT,NX_cot_SLXuat,ps_hang320)</f>
        <v>0</v>
      </c>
      <c r="L327" s="251"/>
    </row>
    <row r="328" spans="2:12">
      <c r="B328" s="274">
        <v>321</v>
      </c>
      <c r="C328" s="97"/>
      <c r="D328" s="302"/>
      <c r="E328" s="97"/>
      <c r="F328" s="303"/>
      <c r="G328" s="304"/>
      <c r="H328" s="290"/>
      <c r="I328" s="270">
        <f>DSUM(A1_NHAP_XUAT,NX_cot_SLNhap,td_hang321)-DSUM(A1_NHAP_XUAT,NX_cot_SLXuat,td_hang321)+F328</f>
        <v>0</v>
      </c>
      <c r="J328" s="271">
        <f>DSUM(A1_NHAP_XUAT,NX_cot_SLNhap,ps_hang321)</f>
        <v>0</v>
      </c>
      <c r="K328" s="271">
        <f>DSUM(A1_NHAP_XUAT,NX_cot_SLXuat,ps_hang321)</f>
        <v>0</v>
      </c>
      <c r="L328" s="251"/>
    </row>
    <row r="329" spans="2:12">
      <c r="B329" s="274">
        <v>322</v>
      </c>
      <c r="C329" s="97"/>
      <c r="D329" s="302"/>
      <c r="E329" s="97"/>
      <c r="F329" s="303"/>
      <c r="G329" s="304"/>
      <c r="H329" s="290"/>
      <c r="I329" s="270">
        <f>DSUM(A1_NHAP_XUAT,NX_cot_SLNhap,td_hang322)-DSUM(A1_NHAP_XUAT,NX_cot_SLXuat,td_hang322)+F329</f>
        <v>0</v>
      </c>
      <c r="J329" s="271">
        <f>DSUM(A1_NHAP_XUAT,NX_cot_SLNhap,ps_hang322)</f>
        <v>0</v>
      </c>
      <c r="K329" s="271">
        <f>DSUM(A1_NHAP_XUAT,NX_cot_SLXuat,ps_hang322)</f>
        <v>0</v>
      </c>
      <c r="L329" s="251"/>
    </row>
    <row r="330" spans="2:12">
      <c r="B330" s="274">
        <v>323</v>
      </c>
      <c r="C330" s="97"/>
      <c r="D330" s="302"/>
      <c r="E330" s="97"/>
      <c r="F330" s="303"/>
      <c r="G330" s="304"/>
      <c r="H330" s="290"/>
      <c r="I330" s="270">
        <f>DSUM(A1_NHAP_XUAT,NX_cot_SLNhap,td_hang323)-DSUM(A1_NHAP_XUAT,NX_cot_SLXuat,td_hang323)+F330</f>
        <v>0</v>
      </c>
      <c r="J330" s="271">
        <f>DSUM(A1_NHAP_XUAT,NX_cot_SLNhap,ps_hang323)</f>
        <v>0</v>
      </c>
      <c r="K330" s="271">
        <f>DSUM(A1_NHAP_XUAT,NX_cot_SLXuat,ps_hang323)</f>
        <v>0</v>
      </c>
      <c r="L330" s="251"/>
    </row>
    <row r="331" spans="2:12">
      <c r="B331" s="274">
        <v>324</v>
      </c>
      <c r="C331" s="97"/>
      <c r="D331" s="302"/>
      <c r="E331" s="97"/>
      <c r="F331" s="303"/>
      <c r="G331" s="304"/>
      <c r="H331" s="290"/>
      <c r="I331" s="270">
        <f>DSUM(A1_NHAP_XUAT,NX_cot_SLNhap,td_hang324)-DSUM(A1_NHAP_XUAT,NX_cot_SLXuat,td_hang324)+F331</f>
        <v>0</v>
      </c>
      <c r="J331" s="271">
        <f>DSUM(A1_NHAP_XUAT,NX_cot_SLNhap,ps_hang324)</f>
        <v>0</v>
      </c>
      <c r="K331" s="271">
        <f>DSUM(A1_NHAP_XUAT,NX_cot_SLXuat,ps_hang324)</f>
        <v>0</v>
      </c>
      <c r="L331" s="251"/>
    </row>
    <row r="332" spans="2:12">
      <c r="B332" s="274">
        <v>325</v>
      </c>
      <c r="C332" s="97"/>
      <c r="D332" s="302"/>
      <c r="E332" s="97"/>
      <c r="F332" s="303"/>
      <c r="G332" s="304"/>
      <c r="H332" s="290"/>
      <c r="I332" s="270">
        <f>DSUM(A1_NHAP_XUAT,NX_cot_SLNhap,td_hang325)-DSUM(A1_NHAP_XUAT,NX_cot_SLXuat,td_hang325)+F332</f>
        <v>0</v>
      </c>
      <c r="J332" s="271">
        <f>DSUM(A1_NHAP_XUAT,NX_cot_SLNhap,ps_hang325)</f>
        <v>0</v>
      </c>
      <c r="K332" s="271">
        <f>DSUM(A1_NHAP_XUAT,NX_cot_SLXuat,ps_hang325)</f>
        <v>0</v>
      </c>
      <c r="L332" s="251"/>
    </row>
    <row r="333" spans="2:12">
      <c r="B333" s="274">
        <v>326</v>
      </c>
      <c r="C333" s="97"/>
      <c r="D333" s="302"/>
      <c r="E333" s="97"/>
      <c r="F333" s="303"/>
      <c r="G333" s="304"/>
      <c r="H333" s="290"/>
      <c r="I333" s="270">
        <f>DSUM(A1_NHAP_XUAT,NX_cot_SLNhap,td_hang326)-DSUM(A1_NHAP_XUAT,NX_cot_SLXuat,td_hang326)+F333</f>
        <v>0</v>
      </c>
      <c r="J333" s="271">
        <f>DSUM(A1_NHAP_XUAT,NX_cot_SLNhap,ps_hang326)</f>
        <v>0</v>
      </c>
      <c r="K333" s="271">
        <f>DSUM(A1_NHAP_XUAT,NX_cot_SLXuat,ps_hang326)</f>
        <v>0</v>
      </c>
      <c r="L333" s="251"/>
    </row>
    <row r="334" spans="2:12">
      <c r="B334" s="274">
        <v>327</v>
      </c>
      <c r="C334" s="97"/>
      <c r="D334" s="302"/>
      <c r="E334" s="97"/>
      <c r="F334" s="303"/>
      <c r="G334" s="304"/>
      <c r="H334" s="290"/>
      <c r="I334" s="270">
        <f>DSUM(A1_NHAP_XUAT,NX_cot_SLNhap,td_hang327)-DSUM(A1_NHAP_XUAT,NX_cot_SLXuat,td_hang327)+F334</f>
        <v>0</v>
      </c>
      <c r="J334" s="271">
        <f>DSUM(A1_NHAP_XUAT,NX_cot_SLNhap,ps_hang327)</f>
        <v>0</v>
      </c>
      <c r="K334" s="271">
        <f>DSUM(A1_NHAP_XUAT,NX_cot_SLXuat,ps_hang327)</f>
        <v>0</v>
      </c>
      <c r="L334" s="251"/>
    </row>
    <row r="335" spans="2:12">
      <c r="B335" s="274">
        <v>328</v>
      </c>
      <c r="C335" s="97"/>
      <c r="D335" s="302"/>
      <c r="E335" s="97"/>
      <c r="F335" s="303"/>
      <c r="G335" s="304"/>
      <c r="H335" s="290"/>
      <c r="I335" s="270">
        <f>DSUM(A1_NHAP_XUAT,NX_cot_SLNhap,td_hang328)-DSUM(A1_NHAP_XUAT,NX_cot_SLXuat,td_hang328)+F335</f>
        <v>0</v>
      </c>
      <c r="J335" s="271">
        <f>DSUM(A1_NHAP_XUAT,NX_cot_SLNhap,ps_hang328)</f>
        <v>0</v>
      </c>
      <c r="K335" s="271">
        <f>DSUM(A1_NHAP_XUAT,NX_cot_SLXuat,ps_hang328)</f>
        <v>0</v>
      </c>
      <c r="L335" s="251"/>
    </row>
    <row r="336" spans="2:12">
      <c r="B336" s="274">
        <v>329</v>
      </c>
      <c r="C336" s="97"/>
      <c r="D336" s="302"/>
      <c r="E336" s="97"/>
      <c r="F336" s="303"/>
      <c r="G336" s="304"/>
      <c r="H336" s="290"/>
      <c r="I336" s="270">
        <f>DSUM(A1_NHAP_XUAT,NX_cot_SLNhap,td_hang329)-DSUM(A1_NHAP_XUAT,NX_cot_SLXuat,td_hang329)+F336</f>
        <v>0</v>
      </c>
      <c r="J336" s="271">
        <f>DSUM(A1_NHAP_XUAT,NX_cot_SLNhap,ps_hang329)</f>
        <v>0</v>
      </c>
      <c r="K336" s="271">
        <f>DSUM(A1_NHAP_XUAT,NX_cot_SLXuat,ps_hang329)</f>
        <v>0</v>
      </c>
      <c r="L336" s="251"/>
    </row>
    <row r="337" spans="2:12">
      <c r="B337" s="274">
        <v>330</v>
      </c>
      <c r="C337" s="97"/>
      <c r="D337" s="302"/>
      <c r="E337" s="97"/>
      <c r="F337" s="303"/>
      <c r="G337" s="304"/>
      <c r="H337" s="290"/>
      <c r="I337" s="270">
        <f>DSUM(A1_NHAP_XUAT,NX_cot_SLNhap,td_hang330)-DSUM(A1_NHAP_XUAT,NX_cot_SLXuat,td_hang330)+F337</f>
        <v>0</v>
      </c>
      <c r="J337" s="271">
        <f>DSUM(A1_NHAP_XUAT,NX_cot_SLNhap,ps_hang330)</f>
        <v>0</v>
      </c>
      <c r="K337" s="271">
        <f>DSUM(A1_NHAP_XUAT,NX_cot_SLXuat,ps_hang330)</f>
        <v>0</v>
      </c>
      <c r="L337" s="251"/>
    </row>
    <row r="338" spans="2:12">
      <c r="B338" s="274">
        <v>331</v>
      </c>
      <c r="C338" s="97"/>
      <c r="D338" s="302"/>
      <c r="E338" s="97"/>
      <c r="F338" s="303"/>
      <c r="G338" s="304"/>
      <c r="H338" s="290"/>
      <c r="I338" s="270">
        <f>DSUM(A1_NHAP_XUAT,NX_cot_SLNhap,td_hang331)-DSUM(A1_NHAP_XUAT,NX_cot_SLXuat,td_hang331)+F338</f>
        <v>0</v>
      </c>
      <c r="J338" s="271">
        <f>DSUM(A1_NHAP_XUAT,NX_cot_SLNhap,ps_hang331)</f>
        <v>0</v>
      </c>
      <c r="K338" s="271">
        <f>DSUM(A1_NHAP_XUAT,NX_cot_SLXuat,ps_hang331)</f>
        <v>0</v>
      </c>
      <c r="L338" s="251"/>
    </row>
    <row r="339" spans="2:12">
      <c r="B339" s="274">
        <v>332</v>
      </c>
      <c r="C339" s="97"/>
      <c r="D339" s="302"/>
      <c r="E339" s="97"/>
      <c r="F339" s="303"/>
      <c r="G339" s="304"/>
      <c r="H339" s="290"/>
      <c r="I339" s="270">
        <f>DSUM(A1_NHAP_XUAT,NX_cot_SLNhap,td_hang332)-DSUM(A1_NHAP_XUAT,NX_cot_SLXuat,td_hang332)+F339</f>
        <v>0</v>
      </c>
      <c r="J339" s="271">
        <f>DSUM(A1_NHAP_XUAT,NX_cot_SLNhap,ps_hang332)</f>
        <v>0</v>
      </c>
      <c r="K339" s="271">
        <f>DSUM(A1_NHAP_XUAT,NX_cot_SLXuat,ps_hang332)</f>
        <v>0</v>
      </c>
      <c r="L339" s="251"/>
    </row>
    <row r="340" spans="2:12">
      <c r="B340" s="274">
        <v>333</v>
      </c>
      <c r="C340" s="97"/>
      <c r="D340" s="302"/>
      <c r="E340" s="97"/>
      <c r="F340" s="303"/>
      <c r="G340" s="304"/>
      <c r="H340" s="290"/>
      <c r="I340" s="270">
        <f>DSUM(A1_NHAP_XUAT,NX_cot_SLNhap,td_hang333)-DSUM(A1_NHAP_XUAT,NX_cot_SLXuat,td_hang333)+F340</f>
        <v>0</v>
      </c>
      <c r="J340" s="271">
        <f>DSUM(A1_NHAP_XUAT,NX_cot_SLNhap,ps_hang333)</f>
        <v>0</v>
      </c>
      <c r="K340" s="271">
        <f>DSUM(A1_NHAP_XUAT,NX_cot_SLXuat,ps_hang333)</f>
        <v>0</v>
      </c>
      <c r="L340" s="251"/>
    </row>
    <row r="341" spans="2:12">
      <c r="B341" s="274">
        <v>334</v>
      </c>
      <c r="C341" s="97"/>
      <c r="D341" s="302"/>
      <c r="E341" s="97"/>
      <c r="F341" s="303"/>
      <c r="G341" s="304"/>
      <c r="H341" s="290"/>
      <c r="I341" s="270">
        <f>DSUM(A1_NHAP_XUAT,NX_cot_SLNhap,td_hang334)-DSUM(A1_NHAP_XUAT,NX_cot_SLXuat,td_hang334)+F341</f>
        <v>0</v>
      </c>
      <c r="J341" s="271">
        <f>DSUM(A1_NHAP_XUAT,NX_cot_SLNhap,ps_hang334)</f>
        <v>0</v>
      </c>
      <c r="K341" s="271">
        <f>DSUM(A1_NHAP_XUAT,NX_cot_SLXuat,ps_hang334)</f>
        <v>0</v>
      </c>
      <c r="L341" s="251"/>
    </row>
    <row r="342" spans="2:12">
      <c r="B342" s="274">
        <v>335</v>
      </c>
      <c r="C342" s="97"/>
      <c r="D342" s="302"/>
      <c r="E342" s="97"/>
      <c r="F342" s="303"/>
      <c r="G342" s="304"/>
      <c r="H342" s="290"/>
      <c r="I342" s="270">
        <f>DSUM(A1_NHAP_XUAT,NX_cot_SLNhap,td_hang335)-DSUM(A1_NHAP_XUAT,NX_cot_SLXuat,td_hang335)+F342</f>
        <v>0</v>
      </c>
      <c r="J342" s="271">
        <f>DSUM(A1_NHAP_XUAT,NX_cot_SLNhap,ps_hang335)</f>
        <v>0</v>
      </c>
      <c r="K342" s="271">
        <f>DSUM(A1_NHAP_XUAT,NX_cot_SLXuat,ps_hang335)</f>
        <v>0</v>
      </c>
      <c r="L342" s="251"/>
    </row>
    <row r="343" spans="2:12">
      <c r="B343" s="274">
        <v>336</v>
      </c>
      <c r="C343" s="97"/>
      <c r="D343" s="302"/>
      <c r="E343" s="97"/>
      <c r="F343" s="303"/>
      <c r="G343" s="304"/>
      <c r="H343" s="290"/>
      <c r="I343" s="270">
        <f>DSUM(A1_NHAP_XUAT,NX_cot_SLNhap,td_hang336)-DSUM(A1_NHAP_XUAT,NX_cot_SLXuat,td_hang336)+F343</f>
        <v>0</v>
      </c>
      <c r="J343" s="271">
        <f>DSUM(A1_NHAP_XUAT,NX_cot_SLNhap,ps_hang336)</f>
        <v>0</v>
      </c>
      <c r="K343" s="271">
        <f>DSUM(A1_NHAP_XUAT,NX_cot_SLXuat,ps_hang336)</f>
        <v>0</v>
      </c>
      <c r="L343" s="251"/>
    </row>
    <row r="344" spans="2:12">
      <c r="B344" s="274">
        <v>337</v>
      </c>
      <c r="C344" s="97"/>
      <c r="D344" s="302"/>
      <c r="E344" s="97"/>
      <c r="F344" s="303"/>
      <c r="G344" s="304"/>
      <c r="H344" s="290"/>
      <c r="I344" s="270">
        <f>DSUM(A1_NHAP_XUAT,NX_cot_SLNhap,td_hang337)-DSUM(A1_NHAP_XUAT,NX_cot_SLXuat,td_hang337)+F344</f>
        <v>0</v>
      </c>
      <c r="J344" s="271">
        <f>DSUM(A1_NHAP_XUAT,NX_cot_SLNhap,ps_hang337)</f>
        <v>0</v>
      </c>
      <c r="K344" s="271">
        <f>DSUM(A1_NHAP_XUAT,NX_cot_SLXuat,ps_hang337)</f>
        <v>0</v>
      </c>
      <c r="L344" s="251"/>
    </row>
    <row r="345" spans="2:12">
      <c r="B345" s="274">
        <v>338</v>
      </c>
      <c r="C345" s="97"/>
      <c r="D345" s="302"/>
      <c r="E345" s="97"/>
      <c r="F345" s="303"/>
      <c r="G345" s="304"/>
      <c r="H345" s="290"/>
      <c r="I345" s="270">
        <f>DSUM(A1_NHAP_XUAT,NX_cot_SLNhap,td_hang338)-DSUM(A1_NHAP_XUAT,NX_cot_SLXuat,td_hang338)+F345</f>
        <v>0</v>
      </c>
      <c r="J345" s="271">
        <f>DSUM(A1_NHAP_XUAT,NX_cot_SLNhap,ps_hang338)</f>
        <v>0</v>
      </c>
      <c r="K345" s="271">
        <f>DSUM(A1_NHAP_XUAT,NX_cot_SLXuat,ps_hang338)</f>
        <v>0</v>
      </c>
      <c r="L345" s="251"/>
    </row>
    <row r="346" spans="2:12">
      <c r="B346" s="274">
        <v>339</v>
      </c>
      <c r="C346" s="97"/>
      <c r="D346" s="302"/>
      <c r="E346" s="97"/>
      <c r="F346" s="303"/>
      <c r="G346" s="304"/>
      <c r="H346" s="290"/>
      <c r="I346" s="270">
        <f>DSUM(A1_NHAP_XUAT,NX_cot_SLNhap,td_hang339)-DSUM(A1_NHAP_XUAT,NX_cot_SLXuat,td_hang339)+F346</f>
        <v>0</v>
      </c>
      <c r="J346" s="271">
        <f>DSUM(A1_NHAP_XUAT,NX_cot_SLNhap,ps_hang339)</f>
        <v>0</v>
      </c>
      <c r="K346" s="271">
        <f>DSUM(A1_NHAP_XUAT,NX_cot_SLXuat,ps_hang339)</f>
        <v>0</v>
      </c>
      <c r="L346" s="251"/>
    </row>
    <row r="347" spans="2:12">
      <c r="B347" s="274">
        <v>340</v>
      </c>
      <c r="C347" s="97"/>
      <c r="D347" s="302"/>
      <c r="E347" s="97"/>
      <c r="F347" s="303"/>
      <c r="G347" s="304"/>
      <c r="H347" s="290"/>
      <c r="I347" s="270">
        <f>DSUM(A1_NHAP_XUAT,NX_cot_SLNhap,td_hang340)-DSUM(A1_NHAP_XUAT,NX_cot_SLXuat,td_hang340)+F347</f>
        <v>0</v>
      </c>
      <c r="J347" s="271">
        <f>DSUM(A1_NHAP_XUAT,NX_cot_SLNhap,ps_hang340)</f>
        <v>0</v>
      </c>
      <c r="K347" s="271">
        <f>DSUM(A1_NHAP_XUAT,NX_cot_SLXuat,ps_hang340)</f>
        <v>0</v>
      </c>
      <c r="L347" s="251"/>
    </row>
    <row r="348" spans="2:12">
      <c r="B348" s="274">
        <v>341</v>
      </c>
      <c r="C348" s="97"/>
      <c r="D348" s="302"/>
      <c r="E348" s="97"/>
      <c r="F348" s="303"/>
      <c r="G348" s="304"/>
      <c r="H348" s="290"/>
      <c r="I348" s="270">
        <f>DSUM(A1_NHAP_XUAT,NX_cot_SLNhap,td_hang341)-DSUM(A1_NHAP_XUAT,NX_cot_SLXuat,td_hang341)+F348</f>
        <v>0</v>
      </c>
      <c r="J348" s="271">
        <f>DSUM(A1_NHAP_XUAT,NX_cot_SLNhap,ps_hang341)</f>
        <v>0</v>
      </c>
      <c r="K348" s="271">
        <f>DSUM(A1_NHAP_XUAT,NX_cot_SLXuat,ps_hang341)</f>
        <v>0</v>
      </c>
      <c r="L348" s="251"/>
    </row>
    <row r="349" spans="2:12">
      <c r="B349" s="274">
        <v>342</v>
      </c>
      <c r="C349" s="97"/>
      <c r="D349" s="302"/>
      <c r="E349" s="97"/>
      <c r="F349" s="303"/>
      <c r="G349" s="304"/>
      <c r="H349" s="290"/>
      <c r="I349" s="270">
        <f>DSUM(A1_NHAP_XUAT,NX_cot_SLNhap,td_hang342)-DSUM(A1_NHAP_XUAT,NX_cot_SLXuat,td_hang342)+F349</f>
        <v>0</v>
      </c>
      <c r="J349" s="271">
        <f>DSUM(A1_NHAP_XUAT,NX_cot_SLNhap,ps_hang342)</f>
        <v>0</v>
      </c>
      <c r="K349" s="271">
        <f>DSUM(A1_NHAP_XUAT,NX_cot_SLXuat,ps_hang342)</f>
        <v>0</v>
      </c>
      <c r="L349" s="251"/>
    </row>
    <row r="350" spans="2:12">
      <c r="B350" s="274">
        <v>343</v>
      </c>
      <c r="C350" s="97"/>
      <c r="D350" s="302"/>
      <c r="E350" s="97"/>
      <c r="F350" s="303"/>
      <c r="G350" s="304"/>
      <c r="H350" s="290"/>
      <c r="I350" s="270">
        <f>DSUM(A1_NHAP_XUAT,NX_cot_SLNhap,td_hang343)-DSUM(A1_NHAP_XUAT,NX_cot_SLXuat,td_hang343)+F350</f>
        <v>0</v>
      </c>
      <c r="J350" s="271">
        <f>DSUM(A1_NHAP_XUAT,NX_cot_SLNhap,ps_hang343)</f>
        <v>0</v>
      </c>
      <c r="K350" s="271">
        <f>DSUM(A1_NHAP_XUAT,NX_cot_SLXuat,ps_hang343)</f>
        <v>0</v>
      </c>
      <c r="L350" s="251"/>
    </row>
    <row r="351" spans="2:12">
      <c r="B351" s="274">
        <v>344</v>
      </c>
      <c r="C351" s="97"/>
      <c r="D351" s="302"/>
      <c r="E351" s="97"/>
      <c r="F351" s="303"/>
      <c r="G351" s="304"/>
      <c r="H351" s="290"/>
      <c r="I351" s="270">
        <f>DSUM(A1_NHAP_XUAT,NX_cot_SLNhap,td_hang344)-DSUM(A1_NHAP_XUAT,NX_cot_SLXuat,td_hang344)+F351</f>
        <v>0</v>
      </c>
      <c r="J351" s="271">
        <f>DSUM(A1_NHAP_XUAT,NX_cot_SLNhap,ps_hang344)</f>
        <v>0</v>
      </c>
      <c r="K351" s="271">
        <f>DSUM(A1_NHAP_XUAT,NX_cot_SLXuat,ps_hang344)</f>
        <v>0</v>
      </c>
      <c r="L351" s="251"/>
    </row>
    <row r="352" spans="2:12">
      <c r="B352" s="274">
        <v>345</v>
      </c>
      <c r="C352" s="97"/>
      <c r="D352" s="302"/>
      <c r="E352" s="97"/>
      <c r="F352" s="303"/>
      <c r="G352" s="304"/>
      <c r="H352" s="290"/>
      <c r="I352" s="270">
        <f>DSUM(A1_NHAP_XUAT,NX_cot_SLNhap,td_hang345)-DSUM(A1_NHAP_XUAT,NX_cot_SLXuat,td_hang345)+F352</f>
        <v>0</v>
      </c>
      <c r="J352" s="271">
        <f>DSUM(A1_NHAP_XUAT,NX_cot_SLNhap,ps_hang345)</f>
        <v>0</v>
      </c>
      <c r="K352" s="271">
        <f>DSUM(A1_NHAP_XUAT,NX_cot_SLXuat,ps_hang345)</f>
        <v>0</v>
      </c>
      <c r="L352" s="251"/>
    </row>
    <row r="353" spans="2:12">
      <c r="B353" s="274">
        <v>346</v>
      </c>
      <c r="C353" s="97"/>
      <c r="D353" s="302"/>
      <c r="E353" s="97"/>
      <c r="F353" s="303"/>
      <c r="G353" s="304"/>
      <c r="H353" s="290"/>
      <c r="I353" s="270">
        <f>DSUM(A1_NHAP_XUAT,NX_cot_SLNhap,td_hang346)-DSUM(A1_NHAP_XUAT,NX_cot_SLXuat,td_hang346)+F353</f>
        <v>0</v>
      </c>
      <c r="J353" s="271">
        <f>DSUM(A1_NHAP_XUAT,NX_cot_SLNhap,ps_hang346)</f>
        <v>0</v>
      </c>
      <c r="K353" s="271">
        <f>DSUM(A1_NHAP_XUAT,NX_cot_SLXuat,ps_hang346)</f>
        <v>0</v>
      </c>
      <c r="L353" s="251"/>
    </row>
    <row r="354" spans="2:12">
      <c r="B354" s="274">
        <v>347</v>
      </c>
      <c r="C354" s="97"/>
      <c r="D354" s="302"/>
      <c r="E354" s="97"/>
      <c r="F354" s="303"/>
      <c r="G354" s="304"/>
      <c r="H354" s="290"/>
      <c r="I354" s="270">
        <f>DSUM(A1_NHAP_XUAT,NX_cot_SLNhap,td_hang347)-DSUM(A1_NHAP_XUAT,NX_cot_SLXuat,td_hang347)+F354</f>
        <v>0</v>
      </c>
      <c r="J354" s="271">
        <f>DSUM(A1_NHAP_XUAT,NX_cot_SLNhap,ps_hang347)</f>
        <v>0</v>
      </c>
      <c r="K354" s="271">
        <f>DSUM(A1_NHAP_XUAT,NX_cot_SLXuat,ps_hang347)</f>
        <v>0</v>
      </c>
      <c r="L354" s="251"/>
    </row>
    <row r="355" spans="2:12">
      <c r="B355" s="274">
        <v>348</v>
      </c>
      <c r="C355" s="97"/>
      <c r="D355" s="302"/>
      <c r="E355" s="97"/>
      <c r="F355" s="303"/>
      <c r="G355" s="304"/>
      <c r="H355" s="290"/>
      <c r="I355" s="270">
        <f>DSUM(A1_NHAP_XUAT,NX_cot_SLNhap,td_hang348)-DSUM(A1_NHAP_XUAT,NX_cot_SLXuat,td_hang348)+F355</f>
        <v>0</v>
      </c>
      <c r="J355" s="271">
        <f>DSUM(A1_NHAP_XUAT,NX_cot_SLNhap,ps_hang348)</f>
        <v>0</v>
      </c>
      <c r="K355" s="271">
        <f>DSUM(A1_NHAP_XUAT,NX_cot_SLXuat,ps_hang348)</f>
        <v>0</v>
      </c>
      <c r="L355" s="251"/>
    </row>
    <row r="356" spans="2:12">
      <c r="B356" s="274">
        <v>349</v>
      </c>
      <c r="C356" s="97"/>
      <c r="D356" s="302"/>
      <c r="E356" s="97"/>
      <c r="F356" s="303"/>
      <c r="G356" s="304"/>
      <c r="H356" s="290"/>
      <c r="I356" s="270">
        <f>DSUM(A1_NHAP_XUAT,NX_cot_SLNhap,td_hang349)-DSUM(A1_NHAP_XUAT,NX_cot_SLXuat,td_hang349)+F356</f>
        <v>0</v>
      </c>
      <c r="J356" s="271">
        <f>DSUM(A1_NHAP_XUAT,NX_cot_SLNhap,ps_hang349)</f>
        <v>0</v>
      </c>
      <c r="K356" s="271">
        <f>DSUM(A1_NHAP_XUAT,NX_cot_SLXuat,ps_hang349)</f>
        <v>0</v>
      </c>
      <c r="L356" s="251"/>
    </row>
    <row r="357" spans="2:12">
      <c r="B357" s="274">
        <v>350</v>
      </c>
      <c r="C357" s="97"/>
      <c r="D357" s="302"/>
      <c r="E357" s="97"/>
      <c r="F357" s="303"/>
      <c r="G357" s="304"/>
      <c r="H357" s="290"/>
      <c r="I357" s="270">
        <f>DSUM(A1_NHAP_XUAT,NX_cot_SLNhap,td_hang350)-DSUM(A1_NHAP_XUAT,NX_cot_SLXuat,td_hang350)+F357</f>
        <v>0</v>
      </c>
      <c r="J357" s="271">
        <f>DSUM(A1_NHAP_XUAT,NX_cot_SLNhap,ps_hang350)</f>
        <v>0</v>
      </c>
      <c r="K357" s="271">
        <f>DSUM(A1_NHAP_XUAT,NX_cot_SLXuat,ps_hang350)</f>
        <v>0</v>
      </c>
      <c r="L357" s="251"/>
    </row>
    <row r="358" spans="2:12">
      <c r="B358" s="274">
        <v>351</v>
      </c>
      <c r="C358" s="97"/>
      <c r="D358" s="302"/>
      <c r="E358" s="97"/>
      <c r="F358" s="303"/>
      <c r="G358" s="304"/>
      <c r="H358" s="290"/>
      <c r="I358" s="270">
        <f>DSUM(A1_NHAP_XUAT,NX_cot_SLNhap,td_hang351)-DSUM(A1_NHAP_XUAT,NX_cot_SLXuat,td_hang351)+F358</f>
        <v>0</v>
      </c>
      <c r="J358" s="271">
        <f>DSUM(A1_NHAP_XUAT,NX_cot_SLNhap,ps_hang351)</f>
        <v>0</v>
      </c>
      <c r="K358" s="271">
        <f>DSUM(A1_NHAP_XUAT,NX_cot_SLXuat,ps_hang351)</f>
        <v>0</v>
      </c>
      <c r="L358" s="251"/>
    </row>
    <row r="359" spans="2:12">
      <c r="B359" s="274">
        <v>352</v>
      </c>
      <c r="C359" s="97"/>
      <c r="D359" s="302"/>
      <c r="E359" s="97"/>
      <c r="F359" s="303"/>
      <c r="G359" s="304"/>
      <c r="H359" s="290"/>
      <c r="I359" s="270">
        <f>DSUM(A1_NHAP_XUAT,NX_cot_SLNhap,td_hang352)-DSUM(A1_NHAP_XUAT,NX_cot_SLXuat,td_hang352)+F359</f>
        <v>0</v>
      </c>
      <c r="J359" s="271">
        <f>DSUM(A1_NHAP_XUAT,NX_cot_SLNhap,ps_hang352)</f>
        <v>0</v>
      </c>
      <c r="K359" s="271">
        <f>DSUM(A1_NHAP_XUAT,NX_cot_SLXuat,ps_hang352)</f>
        <v>0</v>
      </c>
      <c r="L359" s="251"/>
    </row>
    <row r="360" spans="2:12">
      <c r="B360" s="274">
        <v>353</v>
      </c>
      <c r="C360" s="97"/>
      <c r="D360" s="302"/>
      <c r="E360" s="97"/>
      <c r="F360" s="303"/>
      <c r="G360" s="304"/>
      <c r="H360" s="290"/>
      <c r="I360" s="270">
        <f>DSUM(A1_NHAP_XUAT,NX_cot_SLNhap,td_hang353)-DSUM(A1_NHAP_XUAT,NX_cot_SLXuat,td_hang353)+F360</f>
        <v>0</v>
      </c>
      <c r="J360" s="271">
        <f>DSUM(A1_NHAP_XUAT,NX_cot_SLNhap,ps_hang353)</f>
        <v>0</v>
      </c>
      <c r="K360" s="271">
        <f>DSUM(A1_NHAP_XUAT,NX_cot_SLXuat,ps_hang353)</f>
        <v>0</v>
      </c>
      <c r="L360" s="251"/>
    </row>
    <row r="361" spans="2:12">
      <c r="B361" s="274">
        <v>354</v>
      </c>
      <c r="C361" s="97"/>
      <c r="D361" s="302"/>
      <c r="E361" s="97"/>
      <c r="F361" s="303"/>
      <c r="G361" s="304"/>
      <c r="H361" s="290"/>
      <c r="I361" s="270">
        <f>DSUM(A1_NHAP_XUAT,NX_cot_SLNhap,td_hang354)-DSUM(A1_NHAP_XUAT,NX_cot_SLXuat,td_hang354)+F361</f>
        <v>0</v>
      </c>
      <c r="J361" s="271">
        <f>DSUM(A1_NHAP_XUAT,NX_cot_SLNhap,ps_hang354)</f>
        <v>0</v>
      </c>
      <c r="K361" s="271">
        <f>DSUM(A1_NHAP_XUAT,NX_cot_SLXuat,ps_hang354)</f>
        <v>0</v>
      </c>
      <c r="L361" s="251"/>
    </row>
    <row r="362" spans="2:12">
      <c r="B362" s="274">
        <v>355</v>
      </c>
      <c r="C362" s="97"/>
      <c r="D362" s="302"/>
      <c r="E362" s="97"/>
      <c r="F362" s="303"/>
      <c r="G362" s="304"/>
      <c r="H362" s="290"/>
      <c r="I362" s="270">
        <f>DSUM(A1_NHAP_XUAT,NX_cot_SLNhap,td_hang355)-DSUM(A1_NHAP_XUAT,NX_cot_SLXuat,td_hang355)+F362</f>
        <v>0</v>
      </c>
      <c r="J362" s="271">
        <f>DSUM(A1_NHAP_XUAT,NX_cot_SLNhap,ps_hang355)</f>
        <v>0</v>
      </c>
      <c r="K362" s="271">
        <f>DSUM(A1_NHAP_XUAT,NX_cot_SLXuat,ps_hang355)</f>
        <v>0</v>
      </c>
      <c r="L362" s="251"/>
    </row>
    <row r="363" spans="2:12">
      <c r="B363" s="274">
        <v>356</v>
      </c>
      <c r="C363" s="97"/>
      <c r="D363" s="302"/>
      <c r="E363" s="97"/>
      <c r="F363" s="303"/>
      <c r="G363" s="304"/>
      <c r="H363" s="290"/>
      <c r="I363" s="270">
        <f>DSUM(A1_NHAP_XUAT,NX_cot_SLNhap,td_hang356)-DSUM(A1_NHAP_XUAT,NX_cot_SLXuat,td_hang356)+F363</f>
        <v>0</v>
      </c>
      <c r="J363" s="271">
        <f>DSUM(A1_NHAP_XUAT,NX_cot_SLNhap,ps_hang356)</f>
        <v>0</v>
      </c>
      <c r="K363" s="271">
        <f>DSUM(A1_NHAP_XUAT,NX_cot_SLXuat,ps_hang356)</f>
        <v>0</v>
      </c>
      <c r="L363" s="251"/>
    </row>
    <row r="364" spans="2:12">
      <c r="B364" s="274">
        <v>357</v>
      </c>
      <c r="C364" s="97"/>
      <c r="D364" s="302"/>
      <c r="E364" s="97"/>
      <c r="F364" s="303"/>
      <c r="G364" s="304"/>
      <c r="H364" s="290"/>
      <c r="I364" s="270">
        <f>DSUM(A1_NHAP_XUAT,NX_cot_SLNhap,td_hang357)-DSUM(A1_NHAP_XUAT,NX_cot_SLXuat,td_hang357)+F364</f>
        <v>0</v>
      </c>
      <c r="J364" s="271">
        <f>DSUM(A1_NHAP_XUAT,NX_cot_SLNhap,ps_hang357)</f>
        <v>0</v>
      </c>
      <c r="K364" s="271">
        <f>DSUM(A1_NHAP_XUAT,NX_cot_SLXuat,ps_hang357)</f>
        <v>0</v>
      </c>
      <c r="L364" s="251"/>
    </row>
    <row r="365" spans="2:12">
      <c r="B365" s="274">
        <v>358</v>
      </c>
      <c r="C365" s="97"/>
      <c r="D365" s="302"/>
      <c r="E365" s="97"/>
      <c r="F365" s="303"/>
      <c r="G365" s="304"/>
      <c r="H365" s="290"/>
      <c r="I365" s="270">
        <f>DSUM(A1_NHAP_XUAT,NX_cot_SLNhap,td_hang358)-DSUM(A1_NHAP_XUAT,NX_cot_SLXuat,td_hang358)+F365</f>
        <v>0</v>
      </c>
      <c r="J365" s="271">
        <f>DSUM(A1_NHAP_XUAT,NX_cot_SLNhap,ps_hang358)</f>
        <v>0</v>
      </c>
      <c r="K365" s="271">
        <f>DSUM(A1_NHAP_XUAT,NX_cot_SLXuat,ps_hang358)</f>
        <v>0</v>
      </c>
      <c r="L365" s="251"/>
    </row>
    <row r="366" spans="2:12">
      <c r="B366" s="274">
        <v>359</v>
      </c>
      <c r="C366" s="97"/>
      <c r="D366" s="302"/>
      <c r="E366" s="97"/>
      <c r="F366" s="303"/>
      <c r="G366" s="304"/>
      <c r="H366" s="290"/>
      <c r="I366" s="270">
        <f>DSUM(A1_NHAP_XUAT,NX_cot_SLNhap,td_hang359)-DSUM(A1_NHAP_XUAT,NX_cot_SLXuat,td_hang359)+F366</f>
        <v>0</v>
      </c>
      <c r="J366" s="271">
        <f>DSUM(A1_NHAP_XUAT,NX_cot_SLNhap,ps_hang359)</f>
        <v>0</v>
      </c>
      <c r="K366" s="271">
        <f>DSUM(A1_NHAP_XUAT,NX_cot_SLXuat,ps_hang359)</f>
        <v>0</v>
      </c>
      <c r="L366" s="251"/>
    </row>
    <row r="367" spans="2:12">
      <c r="B367" s="274">
        <v>360</v>
      </c>
      <c r="C367" s="97"/>
      <c r="D367" s="302"/>
      <c r="E367" s="97"/>
      <c r="F367" s="303"/>
      <c r="G367" s="304"/>
      <c r="H367" s="290"/>
      <c r="I367" s="270">
        <f>DSUM(A1_NHAP_XUAT,NX_cot_SLNhap,td_hang360)-DSUM(A1_NHAP_XUAT,NX_cot_SLXuat,td_hang360)+F367</f>
        <v>0</v>
      </c>
      <c r="J367" s="271">
        <f>DSUM(A1_NHAP_XUAT,NX_cot_SLNhap,ps_hang360)</f>
        <v>0</v>
      </c>
      <c r="K367" s="271">
        <f>DSUM(A1_NHAP_XUAT,NX_cot_SLXuat,ps_hang360)</f>
        <v>0</v>
      </c>
      <c r="L367" s="251"/>
    </row>
    <row r="368" spans="2:12">
      <c r="B368" s="274">
        <v>361</v>
      </c>
      <c r="C368" s="97"/>
      <c r="D368" s="302"/>
      <c r="E368" s="97"/>
      <c r="F368" s="303"/>
      <c r="G368" s="304"/>
      <c r="H368" s="290"/>
      <c r="I368" s="270">
        <f>DSUM(A1_NHAP_XUAT,NX_cot_SLNhap,td_hang361)-DSUM(A1_NHAP_XUAT,NX_cot_SLXuat,td_hang361)+F368</f>
        <v>0</v>
      </c>
      <c r="J368" s="271">
        <f>DSUM(A1_NHAP_XUAT,NX_cot_SLNhap,ps_hang361)</f>
        <v>0</v>
      </c>
      <c r="K368" s="271">
        <f>DSUM(A1_NHAP_XUAT,NX_cot_SLXuat,ps_hang361)</f>
        <v>0</v>
      </c>
      <c r="L368" s="251"/>
    </row>
    <row r="369" spans="2:12">
      <c r="B369" s="274">
        <v>362</v>
      </c>
      <c r="C369" s="97"/>
      <c r="D369" s="302"/>
      <c r="E369" s="97"/>
      <c r="F369" s="303"/>
      <c r="G369" s="304"/>
      <c r="H369" s="290"/>
      <c r="I369" s="270">
        <f>DSUM(A1_NHAP_XUAT,NX_cot_SLNhap,td_hang362)-DSUM(A1_NHAP_XUAT,NX_cot_SLXuat,td_hang362)+F369</f>
        <v>0</v>
      </c>
      <c r="J369" s="271">
        <f>DSUM(A1_NHAP_XUAT,NX_cot_SLNhap,ps_hang362)</f>
        <v>0</v>
      </c>
      <c r="K369" s="271">
        <f>DSUM(A1_NHAP_XUAT,NX_cot_SLXuat,ps_hang362)</f>
        <v>0</v>
      </c>
      <c r="L369" s="251"/>
    </row>
    <row r="370" spans="2:12">
      <c r="B370" s="274">
        <v>363</v>
      </c>
      <c r="C370" s="97"/>
      <c r="D370" s="302"/>
      <c r="E370" s="97"/>
      <c r="F370" s="303"/>
      <c r="G370" s="304"/>
      <c r="H370" s="290"/>
      <c r="I370" s="270">
        <f>DSUM(A1_NHAP_XUAT,NX_cot_SLNhap,td_hang363)-DSUM(A1_NHAP_XUAT,NX_cot_SLXuat,td_hang363)+F370</f>
        <v>0</v>
      </c>
      <c r="J370" s="271">
        <f>DSUM(A1_NHAP_XUAT,NX_cot_SLNhap,ps_hang363)</f>
        <v>0</v>
      </c>
      <c r="K370" s="271">
        <f>DSUM(A1_NHAP_XUAT,NX_cot_SLXuat,ps_hang363)</f>
        <v>0</v>
      </c>
      <c r="L370" s="251"/>
    </row>
    <row r="371" spans="2:12">
      <c r="B371" s="274">
        <v>364</v>
      </c>
      <c r="C371" s="97"/>
      <c r="D371" s="302"/>
      <c r="E371" s="97"/>
      <c r="F371" s="303"/>
      <c r="G371" s="304"/>
      <c r="H371" s="290"/>
      <c r="I371" s="270">
        <f>DSUM(A1_NHAP_XUAT,NX_cot_SLNhap,td_hang364)-DSUM(A1_NHAP_XUAT,NX_cot_SLXuat,td_hang364)+F371</f>
        <v>0</v>
      </c>
      <c r="J371" s="271">
        <f>DSUM(A1_NHAP_XUAT,NX_cot_SLNhap,ps_hang364)</f>
        <v>0</v>
      </c>
      <c r="K371" s="271">
        <f>DSUM(A1_NHAP_XUAT,NX_cot_SLXuat,ps_hang364)</f>
        <v>0</v>
      </c>
      <c r="L371" s="251"/>
    </row>
    <row r="372" spans="2:12">
      <c r="B372" s="274">
        <v>365</v>
      </c>
      <c r="C372" s="97"/>
      <c r="D372" s="302"/>
      <c r="E372" s="97"/>
      <c r="F372" s="303"/>
      <c r="G372" s="304"/>
      <c r="H372" s="290"/>
      <c r="I372" s="270">
        <f>DSUM(A1_NHAP_XUAT,NX_cot_SLNhap,td_hang365)-DSUM(A1_NHAP_XUAT,NX_cot_SLXuat,td_hang365)+F372</f>
        <v>0</v>
      </c>
      <c r="J372" s="271">
        <f>DSUM(A1_NHAP_XUAT,NX_cot_SLNhap,ps_hang365)</f>
        <v>0</v>
      </c>
      <c r="K372" s="271">
        <f>DSUM(A1_NHAP_XUAT,NX_cot_SLXuat,ps_hang365)</f>
        <v>0</v>
      </c>
      <c r="L372" s="251"/>
    </row>
    <row r="373" spans="2:12">
      <c r="B373" s="274">
        <v>366</v>
      </c>
      <c r="C373" s="97"/>
      <c r="D373" s="302"/>
      <c r="E373" s="97"/>
      <c r="F373" s="303"/>
      <c r="G373" s="304"/>
      <c r="H373" s="290"/>
      <c r="I373" s="270">
        <f>DSUM(A1_NHAP_XUAT,NX_cot_SLNhap,td_hang366)-DSUM(A1_NHAP_XUAT,NX_cot_SLXuat,td_hang366)+F373</f>
        <v>0</v>
      </c>
      <c r="J373" s="271">
        <f>DSUM(A1_NHAP_XUAT,NX_cot_SLNhap,ps_hang366)</f>
        <v>0</v>
      </c>
      <c r="K373" s="271">
        <f>DSUM(A1_NHAP_XUAT,NX_cot_SLXuat,ps_hang366)</f>
        <v>0</v>
      </c>
      <c r="L373" s="251"/>
    </row>
    <row r="374" spans="2:12">
      <c r="B374" s="274">
        <v>367</v>
      </c>
      <c r="C374" s="97"/>
      <c r="D374" s="302"/>
      <c r="E374" s="97"/>
      <c r="F374" s="303"/>
      <c r="G374" s="304"/>
      <c r="H374" s="290"/>
      <c r="I374" s="270">
        <f>DSUM(A1_NHAP_XUAT,NX_cot_SLNhap,td_hang367)-DSUM(A1_NHAP_XUAT,NX_cot_SLXuat,td_hang367)+F374</f>
        <v>0</v>
      </c>
      <c r="J374" s="271">
        <f>DSUM(A1_NHAP_XUAT,NX_cot_SLNhap,ps_hang367)</f>
        <v>0</v>
      </c>
      <c r="K374" s="271">
        <f>DSUM(A1_NHAP_XUAT,NX_cot_SLXuat,ps_hang367)</f>
        <v>0</v>
      </c>
      <c r="L374" s="251"/>
    </row>
    <row r="375" spans="2:12">
      <c r="B375" s="274">
        <v>368</v>
      </c>
      <c r="C375" s="97"/>
      <c r="D375" s="302"/>
      <c r="E375" s="97"/>
      <c r="F375" s="303"/>
      <c r="G375" s="304"/>
      <c r="H375" s="290"/>
      <c r="I375" s="270">
        <f>DSUM(A1_NHAP_XUAT,NX_cot_SLNhap,td_hang368)-DSUM(A1_NHAP_XUAT,NX_cot_SLXuat,td_hang368)+F375</f>
        <v>0</v>
      </c>
      <c r="J375" s="271">
        <f>DSUM(A1_NHAP_XUAT,NX_cot_SLNhap,ps_hang368)</f>
        <v>0</v>
      </c>
      <c r="K375" s="271">
        <f>DSUM(A1_NHAP_XUAT,NX_cot_SLXuat,ps_hang368)</f>
        <v>0</v>
      </c>
      <c r="L375" s="251"/>
    </row>
    <row r="376" spans="2:12">
      <c r="B376" s="274">
        <v>369</v>
      </c>
      <c r="C376" s="97"/>
      <c r="D376" s="302"/>
      <c r="E376" s="97"/>
      <c r="F376" s="303"/>
      <c r="G376" s="304"/>
      <c r="H376" s="290"/>
      <c r="I376" s="270">
        <f>DSUM(A1_NHAP_XUAT,NX_cot_SLNhap,td_hang369)-DSUM(A1_NHAP_XUAT,NX_cot_SLXuat,td_hang369)+F376</f>
        <v>0</v>
      </c>
      <c r="J376" s="271">
        <f>DSUM(A1_NHAP_XUAT,NX_cot_SLNhap,ps_hang369)</f>
        <v>0</v>
      </c>
      <c r="K376" s="271">
        <f>DSUM(A1_NHAP_XUAT,NX_cot_SLXuat,ps_hang369)</f>
        <v>0</v>
      </c>
      <c r="L376" s="251"/>
    </row>
    <row r="377" spans="2:12">
      <c r="B377" s="274">
        <v>370</v>
      </c>
      <c r="C377" s="97"/>
      <c r="D377" s="302"/>
      <c r="E377" s="97"/>
      <c r="F377" s="303"/>
      <c r="G377" s="304"/>
      <c r="H377" s="290"/>
      <c r="I377" s="270">
        <f>DSUM(A1_NHAP_XUAT,NX_cot_SLNhap,td_hang370)-DSUM(A1_NHAP_XUAT,NX_cot_SLXuat,td_hang370)+F377</f>
        <v>0</v>
      </c>
      <c r="J377" s="271">
        <f>DSUM(A1_NHAP_XUAT,NX_cot_SLNhap,ps_hang370)</f>
        <v>0</v>
      </c>
      <c r="K377" s="271">
        <f>DSUM(A1_NHAP_XUAT,NX_cot_SLXuat,ps_hang370)</f>
        <v>0</v>
      </c>
      <c r="L377" s="251"/>
    </row>
    <row r="378" spans="2:12">
      <c r="B378" s="274">
        <v>371</v>
      </c>
      <c r="C378" s="97"/>
      <c r="D378" s="302"/>
      <c r="E378" s="97"/>
      <c r="F378" s="303"/>
      <c r="G378" s="304"/>
      <c r="H378" s="290"/>
      <c r="I378" s="270">
        <f>DSUM(A1_NHAP_XUAT,NX_cot_SLNhap,td_hang371)-DSUM(A1_NHAP_XUAT,NX_cot_SLXuat,td_hang371)+F378</f>
        <v>0</v>
      </c>
      <c r="J378" s="271">
        <f>DSUM(A1_NHAP_XUAT,NX_cot_SLNhap,ps_hang371)</f>
        <v>0</v>
      </c>
      <c r="K378" s="271">
        <f>DSUM(A1_NHAP_XUAT,NX_cot_SLXuat,ps_hang371)</f>
        <v>0</v>
      </c>
      <c r="L378" s="251"/>
    </row>
    <row r="379" spans="2:12">
      <c r="B379" s="274">
        <v>372</v>
      </c>
      <c r="C379" s="97"/>
      <c r="D379" s="302"/>
      <c r="E379" s="97"/>
      <c r="F379" s="303"/>
      <c r="G379" s="304"/>
      <c r="H379" s="290"/>
      <c r="I379" s="270">
        <f>DSUM(A1_NHAP_XUAT,NX_cot_SLNhap,td_hang372)-DSUM(A1_NHAP_XUAT,NX_cot_SLXuat,td_hang372)+F379</f>
        <v>0</v>
      </c>
      <c r="J379" s="271">
        <f>DSUM(A1_NHAP_XUAT,NX_cot_SLNhap,ps_hang372)</f>
        <v>0</v>
      </c>
      <c r="K379" s="271">
        <f>DSUM(A1_NHAP_XUAT,NX_cot_SLXuat,ps_hang372)</f>
        <v>0</v>
      </c>
      <c r="L379" s="251"/>
    </row>
    <row r="380" spans="2:12">
      <c r="B380" s="274">
        <v>373</v>
      </c>
      <c r="C380" s="97"/>
      <c r="D380" s="302"/>
      <c r="E380" s="97"/>
      <c r="F380" s="303"/>
      <c r="G380" s="304"/>
      <c r="H380" s="290"/>
      <c r="I380" s="270">
        <f>DSUM(A1_NHAP_XUAT,NX_cot_SLNhap,td_hang373)-DSUM(A1_NHAP_XUAT,NX_cot_SLXuat,td_hang373)+F380</f>
        <v>0</v>
      </c>
      <c r="J380" s="271">
        <f>DSUM(A1_NHAP_XUAT,NX_cot_SLNhap,ps_hang373)</f>
        <v>0</v>
      </c>
      <c r="K380" s="271">
        <f>DSUM(A1_NHAP_XUAT,NX_cot_SLXuat,ps_hang373)</f>
        <v>0</v>
      </c>
      <c r="L380" s="251"/>
    </row>
    <row r="381" spans="2:12">
      <c r="B381" s="274">
        <v>374</v>
      </c>
      <c r="C381" s="97"/>
      <c r="D381" s="302"/>
      <c r="E381" s="97"/>
      <c r="F381" s="303"/>
      <c r="G381" s="304"/>
      <c r="H381" s="290"/>
      <c r="I381" s="270">
        <f>DSUM(A1_NHAP_XUAT,NX_cot_SLNhap,td_hang374)-DSUM(A1_NHAP_XUAT,NX_cot_SLXuat,td_hang374)+F381</f>
        <v>0</v>
      </c>
      <c r="J381" s="271">
        <f>DSUM(A1_NHAP_XUAT,NX_cot_SLNhap,ps_hang374)</f>
        <v>0</v>
      </c>
      <c r="K381" s="271">
        <f>DSUM(A1_NHAP_XUAT,NX_cot_SLXuat,ps_hang374)</f>
        <v>0</v>
      </c>
      <c r="L381" s="251"/>
    </row>
    <row r="382" spans="2:12">
      <c r="B382" s="274">
        <v>375</v>
      </c>
      <c r="C382" s="97"/>
      <c r="D382" s="302"/>
      <c r="E382" s="97"/>
      <c r="F382" s="303"/>
      <c r="G382" s="304"/>
      <c r="H382" s="290"/>
      <c r="I382" s="270">
        <f>DSUM(A1_NHAP_XUAT,NX_cot_SLNhap,td_hang375)-DSUM(A1_NHAP_XUAT,NX_cot_SLXuat,td_hang375)+F382</f>
        <v>0</v>
      </c>
      <c r="J382" s="271">
        <f>DSUM(A1_NHAP_XUAT,NX_cot_SLNhap,ps_hang375)</f>
        <v>0</v>
      </c>
      <c r="K382" s="271">
        <f>DSUM(A1_NHAP_XUAT,NX_cot_SLXuat,ps_hang375)</f>
        <v>0</v>
      </c>
      <c r="L382" s="251"/>
    </row>
    <row r="383" spans="2:12">
      <c r="B383" s="274">
        <v>376</v>
      </c>
      <c r="C383" s="97"/>
      <c r="D383" s="302"/>
      <c r="E383" s="97"/>
      <c r="F383" s="303"/>
      <c r="G383" s="304"/>
      <c r="H383" s="290"/>
      <c r="I383" s="270">
        <f>DSUM(A1_NHAP_XUAT,NX_cot_SLNhap,td_hang376)-DSUM(A1_NHAP_XUAT,NX_cot_SLXuat,td_hang376)+F383</f>
        <v>0</v>
      </c>
      <c r="J383" s="271">
        <f>DSUM(A1_NHAP_XUAT,NX_cot_SLNhap,ps_hang376)</f>
        <v>0</v>
      </c>
      <c r="K383" s="271">
        <f>DSUM(A1_NHAP_XUAT,NX_cot_SLXuat,ps_hang376)</f>
        <v>0</v>
      </c>
      <c r="L383" s="251"/>
    </row>
    <row r="384" spans="2:12">
      <c r="B384" s="274">
        <v>377</v>
      </c>
      <c r="C384" s="97"/>
      <c r="D384" s="302"/>
      <c r="E384" s="97"/>
      <c r="F384" s="303"/>
      <c r="G384" s="304"/>
      <c r="H384" s="290"/>
      <c r="I384" s="270">
        <f>DSUM(A1_NHAP_XUAT,NX_cot_SLNhap,td_hang377)-DSUM(A1_NHAP_XUAT,NX_cot_SLXuat,td_hang377)+F384</f>
        <v>0</v>
      </c>
      <c r="J384" s="271">
        <f>DSUM(A1_NHAP_XUAT,NX_cot_SLNhap,ps_hang377)</f>
        <v>0</v>
      </c>
      <c r="K384" s="271">
        <f>DSUM(A1_NHAP_XUAT,NX_cot_SLXuat,ps_hang377)</f>
        <v>0</v>
      </c>
      <c r="L384" s="251"/>
    </row>
    <row r="385" spans="2:12">
      <c r="B385" s="274">
        <v>378</v>
      </c>
      <c r="C385" s="97"/>
      <c r="D385" s="302"/>
      <c r="E385" s="97"/>
      <c r="F385" s="303"/>
      <c r="G385" s="304"/>
      <c r="H385" s="290"/>
      <c r="I385" s="270">
        <f>DSUM(A1_NHAP_XUAT,NX_cot_SLNhap,td_hang378)-DSUM(A1_NHAP_XUAT,NX_cot_SLXuat,td_hang378)+F385</f>
        <v>0</v>
      </c>
      <c r="J385" s="271">
        <f>DSUM(A1_NHAP_XUAT,NX_cot_SLNhap,ps_hang378)</f>
        <v>0</v>
      </c>
      <c r="K385" s="271">
        <f>DSUM(A1_NHAP_XUAT,NX_cot_SLXuat,ps_hang378)</f>
        <v>0</v>
      </c>
      <c r="L385" s="251"/>
    </row>
    <row r="386" spans="2:12">
      <c r="B386" s="274">
        <v>379</v>
      </c>
      <c r="C386" s="97"/>
      <c r="D386" s="302"/>
      <c r="E386" s="97"/>
      <c r="F386" s="303"/>
      <c r="G386" s="304"/>
      <c r="H386" s="290"/>
      <c r="I386" s="270">
        <f>DSUM(A1_NHAP_XUAT,NX_cot_SLNhap,td_hang379)-DSUM(A1_NHAP_XUAT,NX_cot_SLXuat,td_hang379)+F386</f>
        <v>0</v>
      </c>
      <c r="J386" s="271">
        <f>DSUM(A1_NHAP_XUAT,NX_cot_SLNhap,ps_hang379)</f>
        <v>0</v>
      </c>
      <c r="K386" s="271">
        <f>DSUM(A1_NHAP_XUAT,NX_cot_SLXuat,ps_hang379)</f>
        <v>0</v>
      </c>
      <c r="L386" s="251"/>
    </row>
    <row r="387" spans="2:12">
      <c r="B387" s="274">
        <v>380</v>
      </c>
      <c r="C387" s="97"/>
      <c r="D387" s="302"/>
      <c r="E387" s="97"/>
      <c r="F387" s="303"/>
      <c r="G387" s="304"/>
      <c r="H387" s="290"/>
      <c r="I387" s="270">
        <f>DSUM(A1_NHAP_XUAT,NX_cot_SLNhap,td_hang380)-DSUM(A1_NHAP_XUAT,NX_cot_SLXuat,td_hang380)+F387</f>
        <v>0</v>
      </c>
      <c r="J387" s="271">
        <f>DSUM(A1_NHAP_XUAT,NX_cot_SLNhap,ps_hang380)</f>
        <v>0</v>
      </c>
      <c r="K387" s="271">
        <f>DSUM(A1_NHAP_XUAT,NX_cot_SLXuat,ps_hang380)</f>
        <v>0</v>
      </c>
      <c r="L387" s="251"/>
    </row>
    <row r="388" spans="2:12">
      <c r="B388" s="274">
        <v>381</v>
      </c>
      <c r="C388" s="97"/>
      <c r="D388" s="302"/>
      <c r="E388" s="97"/>
      <c r="F388" s="303"/>
      <c r="G388" s="304"/>
      <c r="H388" s="290"/>
      <c r="I388" s="270">
        <f>DSUM(A1_NHAP_XUAT,NX_cot_SLNhap,td_hang381)-DSUM(A1_NHAP_XUAT,NX_cot_SLXuat,td_hang381)+F388</f>
        <v>0</v>
      </c>
      <c r="J388" s="271">
        <f>DSUM(A1_NHAP_XUAT,NX_cot_SLNhap,ps_hang381)</f>
        <v>0</v>
      </c>
      <c r="K388" s="271">
        <f>DSUM(A1_NHAP_XUAT,NX_cot_SLXuat,ps_hang381)</f>
        <v>0</v>
      </c>
      <c r="L388" s="251"/>
    </row>
    <row r="389" spans="2:12">
      <c r="B389" s="274">
        <v>382</v>
      </c>
      <c r="C389" s="97"/>
      <c r="D389" s="302"/>
      <c r="E389" s="97"/>
      <c r="F389" s="303"/>
      <c r="G389" s="304"/>
      <c r="H389" s="290"/>
      <c r="I389" s="270">
        <f>DSUM(A1_NHAP_XUAT,NX_cot_SLNhap,td_hang382)-DSUM(A1_NHAP_XUAT,NX_cot_SLXuat,td_hang382)+F389</f>
        <v>0</v>
      </c>
      <c r="J389" s="271">
        <f>DSUM(A1_NHAP_XUAT,NX_cot_SLNhap,ps_hang382)</f>
        <v>0</v>
      </c>
      <c r="K389" s="271">
        <f>DSUM(A1_NHAP_XUAT,NX_cot_SLXuat,ps_hang382)</f>
        <v>0</v>
      </c>
      <c r="L389" s="251"/>
    </row>
    <row r="390" spans="2:12">
      <c r="B390" s="274">
        <v>383</v>
      </c>
      <c r="C390" s="97"/>
      <c r="D390" s="302"/>
      <c r="E390" s="97"/>
      <c r="F390" s="303"/>
      <c r="G390" s="304"/>
      <c r="H390" s="290"/>
      <c r="I390" s="270">
        <f>DSUM(A1_NHAP_XUAT,NX_cot_SLNhap,td_hang383)-DSUM(A1_NHAP_XUAT,NX_cot_SLXuat,td_hang383)+F390</f>
        <v>0</v>
      </c>
      <c r="J390" s="271">
        <f>DSUM(A1_NHAP_XUAT,NX_cot_SLNhap,ps_hang383)</f>
        <v>0</v>
      </c>
      <c r="K390" s="271">
        <f>DSUM(A1_NHAP_XUAT,NX_cot_SLXuat,ps_hang383)</f>
        <v>0</v>
      </c>
      <c r="L390" s="251"/>
    </row>
    <row r="391" spans="2:12">
      <c r="B391" s="274">
        <v>384</v>
      </c>
      <c r="C391" s="97"/>
      <c r="D391" s="302"/>
      <c r="E391" s="97"/>
      <c r="F391" s="303"/>
      <c r="G391" s="304"/>
      <c r="H391" s="290"/>
      <c r="I391" s="270">
        <f>DSUM(A1_NHAP_XUAT,NX_cot_SLNhap,td_hang384)-DSUM(A1_NHAP_XUAT,NX_cot_SLXuat,td_hang384)+F391</f>
        <v>0</v>
      </c>
      <c r="J391" s="271">
        <f>DSUM(A1_NHAP_XUAT,NX_cot_SLNhap,ps_hang384)</f>
        <v>0</v>
      </c>
      <c r="K391" s="271">
        <f>DSUM(A1_NHAP_XUAT,NX_cot_SLXuat,ps_hang384)</f>
        <v>0</v>
      </c>
      <c r="L391" s="251"/>
    </row>
    <row r="392" spans="2:12">
      <c r="B392" s="274">
        <v>385</v>
      </c>
      <c r="C392" s="97"/>
      <c r="D392" s="302"/>
      <c r="E392" s="97"/>
      <c r="F392" s="303"/>
      <c r="G392" s="304"/>
      <c r="H392" s="290"/>
      <c r="I392" s="270">
        <f>DSUM(A1_NHAP_XUAT,NX_cot_SLNhap,td_hang385)-DSUM(A1_NHAP_XUAT,NX_cot_SLXuat,td_hang385)+F392</f>
        <v>0</v>
      </c>
      <c r="J392" s="271">
        <f>DSUM(A1_NHAP_XUAT,NX_cot_SLNhap,ps_hang385)</f>
        <v>0</v>
      </c>
      <c r="K392" s="271">
        <f>DSUM(A1_NHAP_XUAT,NX_cot_SLXuat,ps_hang385)</f>
        <v>0</v>
      </c>
      <c r="L392" s="251"/>
    </row>
    <row r="393" spans="2:12">
      <c r="B393" s="274">
        <v>386</v>
      </c>
      <c r="C393" s="97"/>
      <c r="D393" s="302"/>
      <c r="E393" s="97"/>
      <c r="F393" s="303"/>
      <c r="G393" s="304"/>
      <c r="H393" s="290"/>
      <c r="I393" s="270">
        <f>DSUM(A1_NHAP_XUAT,NX_cot_SLNhap,td_hang386)-DSUM(A1_NHAP_XUAT,NX_cot_SLXuat,td_hang386)+F393</f>
        <v>0</v>
      </c>
      <c r="J393" s="271">
        <f>DSUM(A1_NHAP_XUAT,NX_cot_SLNhap,ps_hang386)</f>
        <v>0</v>
      </c>
      <c r="K393" s="271">
        <f>DSUM(A1_NHAP_XUAT,NX_cot_SLXuat,ps_hang386)</f>
        <v>0</v>
      </c>
      <c r="L393" s="251"/>
    </row>
    <row r="394" spans="2:12">
      <c r="B394" s="274">
        <v>387</v>
      </c>
      <c r="C394" s="97"/>
      <c r="D394" s="302"/>
      <c r="E394" s="97"/>
      <c r="F394" s="303"/>
      <c r="G394" s="304"/>
      <c r="H394" s="290"/>
      <c r="I394" s="270">
        <f>DSUM(A1_NHAP_XUAT,NX_cot_SLNhap,td_hang387)-DSUM(A1_NHAP_XUAT,NX_cot_SLXuat,td_hang387)+F394</f>
        <v>0</v>
      </c>
      <c r="J394" s="271">
        <f>DSUM(A1_NHAP_XUAT,NX_cot_SLNhap,ps_hang387)</f>
        <v>0</v>
      </c>
      <c r="K394" s="271">
        <f>DSUM(A1_NHAP_XUAT,NX_cot_SLXuat,ps_hang387)</f>
        <v>0</v>
      </c>
      <c r="L394" s="251"/>
    </row>
    <row r="395" spans="2:12">
      <c r="B395" s="274">
        <v>388</v>
      </c>
      <c r="C395" s="97"/>
      <c r="D395" s="302"/>
      <c r="E395" s="97"/>
      <c r="F395" s="303"/>
      <c r="G395" s="304"/>
      <c r="H395" s="290"/>
      <c r="I395" s="270">
        <f>DSUM(A1_NHAP_XUAT,NX_cot_SLNhap,td_hang388)-DSUM(A1_NHAP_XUAT,NX_cot_SLXuat,td_hang388)+F395</f>
        <v>0</v>
      </c>
      <c r="J395" s="271">
        <f>DSUM(A1_NHAP_XUAT,NX_cot_SLNhap,ps_hang388)</f>
        <v>0</v>
      </c>
      <c r="K395" s="271">
        <f>DSUM(A1_NHAP_XUAT,NX_cot_SLXuat,ps_hang388)</f>
        <v>0</v>
      </c>
      <c r="L395" s="251"/>
    </row>
    <row r="396" spans="2:12">
      <c r="B396" s="274">
        <v>389</v>
      </c>
      <c r="C396" s="97"/>
      <c r="D396" s="302"/>
      <c r="E396" s="97"/>
      <c r="F396" s="303"/>
      <c r="G396" s="304"/>
      <c r="H396" s="290"/>
      <c r="I396" s="270">
        <f>DSUM(A1_NHAP_XUAT,NX_cot_SLNhap,td_hang389)-DSUM(A1_NHAP_XUAT,NX_cot_SLXuat,td_hang389)+F396</f>
        <v>0</v>
      </c>
      <c r="J396" s="271">
        <f>DSUM(A1_NHAP_XUAT,NX_cot_SLNhap,ps_hang389)</f>
        <v>0</v>
      </c>
      <c r="K396" s="271">
        <f>DSUM(A1_NHAP_XUAT,NX_cot_SLXuat,ps_hang389)</f>
        <v>0</v>
      </c>
      <c r="L396" s="251"/>
    </row>
    <row r="397" spans="2:12">
      <c r="B397" s="274">
        <v>390</v>
      </c>
      <c r="C397" s="97"/>
      <c r="D397" s="302"/>
      <c r="E397" s="97"/>
      <c r="F397" s="303"/>
      <c r="G397" s="304"/>
      <c r="H397" s="290"/>
      <c r="I397" s="270">
        <f>DSUM(A1_NHAP_XUAT,NX_cot_SLNhap,td_hang390)-DSUM(A1_NHAP_XUAT,NX_cot_SLXuat,td_hang390)+F397</f>
        <v>0</v>
      </c>
      <c r="J397" s="271">
        <f>DSUM(A1_NHAP_XUAT,NX_cot_SLNhap,ps_hang390)</f>
        <v>0</v>
      </c>
      <c r="K397" s="271">
        <f>DSUM(A1_NHAP_XUAT,NX_cot_SLXuat,ps_hang390)</f>
        <v>0</v>
      </c>
      <c r="L397" s="251"/>
    </row>
    <row r="398" spans="2:12">
      <c r="B398" s="274">
        <v>391</v>
      </c>
      <c r="C398" s="97"/>
      <c r="D398" s="302"/>
      <c r="E398" s="97"/>
      <c r="F398" s="303"/>
      <c r="G398" s="304"/>
      <c r="H398" s="290"/>
      <c r="I398" s="270">
        <f>DSUM(A1_NHAP_XUAT,NX_cot_SLNhap,td_hang391)-DSUM(A1_NHAP_XUAT,NX_cot_SLXuat,td_hang391)+F398</f>
        <v>0</v>
      </c>
      <c r="J398" s="271">
        <f>DSUM(A1_NHAP_XUAT,NX_cot_SLNhap,ps_hang391)</f>
        <v>0</v>
      </c>
      <c r="K398" s="271">
        <f>DSUM(A1_NHAP_XUAT,NX_cot_SLXuat,ps_hang391)</f>
        <v>0</v>
      </c>
      <c r="L398" s="251"/>
    </row>
    <row r="399" spans="2:12">
      <c r="B399" s="274">
        <v>392</v>
      </c>
      <c r="C399" s="97"/>
      <c r="D399" s="302"/>
      <c r="E399" s="97"/>
      <c r="F399" s="303"/>
      <c r="G399" s="304"/>
      <c r="H399" s="290"/>
      <c r="I399" s="270">
        <f>DSUM(A1_NHAP_XUAT,NX_cot_SLNhap,td_hang392)-DSUM(A1_NHAP_XUAT,NX_cot_SLXuat,td_hang392)+F399</f>
        <v>0</v>
      </c>
      <c r="J399" s="271">
        <f>DSUM(A1_NHAP_XUAT,NX_cot_SLNhap,ps_hang392)</f>
        <v>0</v>
      </c>
      <c r="K399" s="271">
        <f>DSUM(A1_NHAP_XUAT,NX_cot_SLXuat,ps_hang392)</f>
        <v>0</v>
      </c>
      <c r="L399" s="251"/>
    </row>
    <row r="400" spans="2:12">
      <c r="B400" s="274">
        <v>393</v>
      </c>
      <c r="C400" s="97"/>
      <c r="D400" s="302"/>
      <c r="E400" s="97"/>
      <c r="F400" s="303"/>
      <c r="G400" s="304"/>
      <c r="H400" s="290"/>
      <c r="I400" s="270">
        <f>DSUM(A1_NHAP_XUAT,NX_cot_SLNhap,td_hang393)-DSUM(A1_NHAP_XUAT,NX_cot_SLXuat,td_hang393)+F400</f>
        <v>0</v>
      </c>
      <c r="J400" s="271">
        <f>DSUM(A1_NHAP_XUAT,NX_cot_SLNhap,ps_hang393)</f>
        <v>0</v>
      </c>
      <c r="K400" s="271">
        <f>DSUM(A1_NHAP_XUAT,NX_cot_SLXuat,ps_hang393)</f>
        <v>0</v>
      </c>
      <c r="L400" s="251"/>
    </row>
    <row r="401" spans="2:12">
      <c r="B401" s="274">
        <v>394</v>
      </c>
      <c r="C401" s="97"/>
      <c r="D401" s="302"/>
      <c r="E401" s="97"/>
      <c r="F401" s="303"/>
      <c r="G401" s="304"/>
      <c r="H401" s="290"/>
      <c r="I401" s="270">
        <f>DSUM(A1_NHAP_XUAT,NX_cot_SLNhap,td_hang394)-DSUM(A1_NHAP_XUAT,NX_cot_SLXuat,td_hang394)+F401</f>
        <v>0</v>
      </c>
      <c r="J401" s="271">
        <f>DSUM(A1_NHAP_XUAT,NX_cot_SLNhap,ps_hang394)</f>
        <v>0</v>
      </c>
      <c r="K401" s="271">
        <f>DSUM(A1_NHAP_XUAT,NX_cot_SLXuat,ps_hang394)</f>
        <v>0</v>
      </c>
      <c r="L401" s="251"/>
    </row>
    <row r="402" spans="2:12">
      <c r="B402" s="274">
        <v>395</v>
      </c>
      <c r="C402" s="97"/>
      <c r="D402" s="302"/>
      <c r="E402" s="97"/>
      <c r="F402" s="303"/>
      <c r="G402" s="304"/>
      <c r="H402" s="290"/>
      <c r="I402" s="270">
        <f>DSUM(A1_NHAP_XUAT,NX_cot_SLNhap,td_hang395)-DSUM(A1_NHAP_XUAT,NX_cot_SLXuat,td_hang395)+F402</f>
        <v>0</v>
      </c>
      <c r="J402" s="271">
        <f>DSUM(A1_NHAP_XUAT,NX_cot_SLNhap,ps_hang395)</f>
        <v>0</v>
      </c>
      <c r="K402" s="271">
        <f>DSUM(A1_NHAP_XUAT,NX_cot_SLXuat,ps_hang395)</f>
        <v>0</v>
      </c>
      <c r="L402" s="251"/>
    </row>
    <row r="403" spans="2:12">
      <c r="B403" s="274">
        <v>396</v>
      </c>
      <c r="C403" s="97"/>
      <c r="D403" s="302"/>
      <c r="E403" s="97"/>
      <c r="F403" s="303"/>
      <c r="G403" s="304"/>
      <c r="H403" s="290"/>
      <c r="I403" s="270">
        <f>DSUM(A1_NHAP_XUAT,NX_cot_SLNhap,td_hang396)-DSUM(A1_NHAP_XUAT,NX_cot_SLXuat,td_hang396)+F403</f>
        <v>0</v>
      </c>
      <c r="J403" s="271">
        <f>DSUM(A1_NHAP_XUAT,NX_cot_SLNhap,ps_hang396)</f>
        <v>0</v>
      </c>
      <c r="K403" s="271">
        <f>DSUM(A1_NHAP_XUAT,NX_cot_SLXuat,ps_hang396)</f>
        <v>0</v>
      </c>
      <c r="L403" s="251"/>
    </row>
    <row r="404" spans="2:12">
      <c r="B404" s="274">
        <v>397</v>
      </c>
      <c r="C404" s="97"/>
      <c r="D404" s="302"/>
      <c r="E404" s="97"/>
      <c r="F404" s="303"/>
      <c r="G404" s="304"/>
      <c r="H404" s="290"/>
      <c r="I404" s="270">
        <f>DSUM(A1_NHAP_XUAT,NX_cot_SLNhap,td_hang397)-DSUM(A1_NHAP_XUAT,NX_cot_SLXuat,td_hang397)+F404</f>
        <v>0</v>
      </c>
      <c r="J404" s="271">
        <f>DSUM(A1_NHAP_XUAT,NX_cot_SLNhap,ps_hang397)</f>
        <v>0</v>
      </c>
      <c r="K404" s="271">
        <f>DSUM(A1_NHAP_XUAT,NX_cot_SLXuat,ps_hang397)</f>
        <v>0</v>
      </c>
      <c r="L404" s="251"/>
    </row>
    <row r="405" spans="2:12">
      <c r="B405" s="274">
        <v>398</v>
      </c>
      <c r="C405" s="97"/>
      <c r="D405" s="302"/>
      <c r="E405" s="97"/>
      <c r="F405" s="303"/>
      <c r="G405" s="304"/>
      <c r="H405" s="290"/>
      <c r="I405" s="270">
        <f>DSUM(A1_NHAP_XUAT,NX_cot_SLNhap,td_hang398)-DSUM(A1_NHAP_XUAT,NX_cot_SLXuat,td_hang398)+F405</f>
        <v>0</v>
      </c>
      <c r="J405" s="271">
        <f>DSUM(A1_NHAP_XUAT,NX_cot_SLNhap,ps_hang398)</f>
        <v>0</v>
      </c>
      <c r="K405" s="271">
        <f>DSUM(A1_NHAP_XUAT,NX_cot_SLXuat,ps_hang398)</f>
        <v>0</v>
      </c>
      <c r="L405" s="251"/>
    </row>
    <row r="406" spans="2:12">
      <c r="B406" s="274">
        <v>399</v>
      </c>
      <c r="C406" s="97"/>
      <c r="D406" s="302"/>
      <c r="E406" s="97"/>
      <c r="F406" s="303"/>
      <c r="G406" s="304"/>
      <c r="H406" s="290"/>
      <c r="I406" s="270">
        <f>DSUM(A1_NHAP_XUAT,NX_cot_SLNhap,td_hang399)-DSUM(A1_NHAP_XUAT,NX_cot_SLXuat,td_hang399)+F406</f>
        <v>0</v>
      </c>
      <c r="J406" s="271">
        <f>DSUM(A1_NHAP_XUAT,NX_cot_SLNhap,ps_hang399)</f>
        <v>0</v>
      </c>
      <c r="K406" s="271">
        <f>DSUM(A1_NHAP_XUAT,NX_cot_SLXuat,ps_hang399)</f>
        <v>0</v>
      </c>
      <c r="L406" s="251"/>
    </row>
    <row r="407" spans="2:12">
      <c r="B407" s="274">
        <v>400</v>
      </c>
      <c r="C407" s="97"/>
      <c r="D407" s="302"/>
      <c r="E407" s="97"/>
      <c r="F407" s="303"/>
      <c r="G407" s="304"/>
      <c r="H407" s="290"/>
      <c r="I407" s="270">
        <f>DSUM(A1_NHAP_XUAT,NX_cot_SLNhap,td_hang400)-DSUM(A1_NHAP_XUAT,NX_cot_SLXuat,td_hang400)+F407</f>
        <v>0</v>
      </c>
      <c r="J407" s="271">
        <f>DSUM(A1_NHAP_XUAT,NX_cot_SLNhap,ps_hang400)</f>
        <v>0</v>
      </c>
      <c r="K407" s="271">
        <f>DSUM(A1_NHAP_XUAT,NX_cot_SLXuat,ps_hang400)</f>
        <v>0</v>
      </c>
      <c r="L407" s="251"/>
    </row>
    <row r="408" spans="2:12">
      <c r="B408" s="274">
        <v>401</v>
      </c>
      <c r="C408" s="97"/>
      <c r="D408" s="302"/>
      <c r="E408" s="97"/>
      <c r="F408" s="303"/>
      <c r="G408" s="304"/>
      <c r="H408" s="290"/>
      <c r="I408" s="270">
        <f>DSUM(A1_NHAP_XUAT,NX_cot_SLNhap,td_hang401)-DSUM(A1_NHAP_XUAT,NX_cot_SLXuat,td_hang401)+F408</f>
        <v>0</v>
      </c>
      <c r="J408" s="271">
        <f>DSUM(A1_NHAP_XUAT,NX_cot_SLNhap,ps_hang401)</f>
        <v>0</v>
      </c>
      <c r="K408" s="271">
        <f>DSUM(A1_NHAP_XUAT,NX_cot_SLXuat,ps_hang401)</f>
        <v>0</v>
      </c>
      <c r="L408" s="251"/>
    </row>
    <row r="409" spans="2:12">
      <c r="B409" s="274">
        <v>402</v>
      </c>
      <c r="C409" s="97"/>
      <c r="D409" s="302"/>
      <c r="E409" s="97"/>
      <c r="F409" s="303"/>
      <c r="G409" s="304"/>
      <c r="H409" s="290"/>
      <c r="I409" s="270">
        <f>DSUM(A1_NHAP_XUAT,NX_cot_SLNhap,td_hang402)-DSUM(A1_NHAP_XUAT,NX_cot_SLXuat,td_hang402)+F409</f>
        <v>0</v>
      </c>
      <c r="J409" s="271">
        <f>DSUM(A1_NHAP_XUAT,NX_cot_SLNhap,ps_hang402)</f>
        <v>0</v>
      </c>
      <c r="K409" s="271">
        <f>DSUM(A1_NHAP_XUAT,NX_cot_SLXuat,ps_hang402)</f>
        <v>0</v>
      </c>
      <c r="L409" s="251"/>
    </row>
    <row r="410" spans="2:12">
      <c r="B410" s="274">
        <v>403</v>
      </c>
      <c r="C410" s="97"/>
      <c r="D410" s="302"/>
      <c r="E410" s="97"/>
      <c r="F410" s="303"/>
      <c r="G410" s="304"/>
      <c r="H410" s="290"/>
      <c r="I410" s="270">
        <f>DSUM(A1_NHAP_XUAT,NX_cot_SLNhap,td_hang403)-DSUM(A1_NHAP_XUAT,NX_cot_SLXuat,td_hang403)+F410</f>
        <v>0</v>
      </c>
      <c r="J410" s="271">
        <f>DSUM(A1_NHAP_XUAT,NX_cot_SLNhap,ps_hang403)</f>
        <v>0</v>
      </c>
      <c r="K410" s="271">
        <f>DSUM(A1_NHAP_XUAT,NX_cot_SLXuat,ps_hang403)</f>
        <v>0</v>
      </c>
      <c r="L410" s="251"/>
    </row>
    <row r="411" spans="2:12">
      <c r="B411" s="274">
        <v>404</v>
      </c>
      <c r="C411" s="97"/>
      <c r="D411" s="302"/>
      <c r="E411" s="97"/>
      <c r="F411" s="303"/>
      <c r="G411" s="304"/>
      <c r="H411" s="290"/>
      <c r="I411" s="270">
        <f>DSUM(A1_NHAP_XUAT,NX_cot_SLNhap,td_hang404)-DSUM(A1_NHAP_XUAT,NX_cot_SLXuat,td_hang404)+F411</f>
        <v>0</v>
      </c>
      <c r="J411" s="271">
        <f>DSUM(A1_NHAP_XUAT,NX_cot_SLNhap,ps_hang404)</f>
        <v>0</v>
      </c>
      <c r="K411" s="271">
        <f>DSUM(A1_NHAP_XUAT,NX_cot_SLXuat,ps_hang404)</f>
        <v>0</v>
      </c>
      <c r="L411" s="251"/>
    </row>
    <row r="412" spans="2:12">
      <c r="B412" s="274">
        <v>405</v>
      </c>
      <c r="C412" s="97"/>
      <c r="D412" s="302"/>
      <c r="E412" s="97"/>
      <c r="F412" s="303"/>
      <c r="G412" s="304"/>
      <c r="H412" s="290"/>
      <c r="I412" s="270">
        <f>DSUM(A1_NHAP_XUAT,NX_cot_SLNhap,td_hang405)-DSUM(A1_NHAP_XUAT,NX_cot_SLXuat,td_hang405)+F412</f>
        <v>0</v>
      </c>
      <c r="J412" s="271">
        <f>DSUM(A1_NHAP_XUAT,NX_cot_SLNhap,ps_hang405)</f>
        <v>0</v>
      </c>
      <c r="K412" s="271">
        <f>DSUM(A1_NHAP_XUAT,NX_cot_SLXuat,ps_hang405)</f>
        <v>0</v>
      </c>
      <c r="L412" s="251"/>
    </row>
    <row r="413" spans="2:12">
      <c r="B413" s="274">
        <v>406</v>
      </c>
      <c r="C413" s="97"/>
      <c r="D413" s="302"/>
      <c r="E413" s="97"/>
      <c r="F413" s="303"/>
      <c r="G413" s="304"/>
      <c r="H413" s="290"/>
      <c r="I413" s="270">
        <f>DSUM(A1_NHAP_XUAT,NX_cot_SLNhap,td_hang406)-DSUM(A1_NHAP_XUAT,NX_cot_SLXuat,td_hang406)+F413</f>
        <v>0</v>
      </c>
      <c r="J413" s="271">
        <f>DSUM(A1_NHAP_XUAT,NX_cot_SLNhap,ps_hang406)</f>
        <v>0</v>
      </c>
      <c r="K413" s="271">
        <f>DSUM(A1_NHAP_XUAT,NX_cot_SLXuat,ps_hang406)</f>
        <v>0</v>
      </c>
      <c r="L413" s="251"/>
    </row>
    <row r="414" spans="2:12">
      <c r="B414" s="274">
        <v>407</v>
      </c>
      <c r="C414" s="97"/>
      <c r="D414" s="302"/>
      <c r="E414" s="97"/>
      <c r="F414" s="303"/>
      <c r="G414" s="304"/>
      <c r="H414" s="290"/>
      <c r="I414" s="270">
        <f>DSUM(A1_NHAP_XUAT,NX_cot_SLNhap,td_hang407)-DSUM(A1_NHAP_XUAT,NX_cot_SLXuat,td_hang407)+F414</f>
        <v>0</v>
      </c>
      <c r="J414" s="271">
        <f>DSUM(A1_NHAP_XUAT,NX_cot_SLNhap,ps_hang407)</f>
        <v>0</v>
      </c>
      <c r="K414" s="271">
        <f>DSUM(A1_NHAP_XUAT,NX_cot_SLXuat,ps_hang407)</f>
        <v>0</v>
      </c>
      <c r="L414" s="251"/>
    </row>
    <row r="415" spans="2:12">
      <c r="B415" s="274">
        <v>408</v>
      </c>
      <c r="C415" s="97"/>
      <c r="D415" s="302"/>
      <c r="E415" s="97"/>
      <c r="F415" s="303"/>
      <c r="G415" s="304"/>
      <c r="H415" s="290"/>
      <c r="I415" s="270">
        <f>DSUM(A1_NHAP_XUAT,NX_cot_SLNhap,td_hang408)-DSUM(A1_NHAP_XUAT,NX_cot_SLXuat,td_hang408)+F415</f>
        <v>0</v>
      </c>
      <c r="J415" s="271">
        <f>DSUM(A1_NHAP_XUAT,NX_cot_SLNhap,ps_hang408)</f>
        <v>0</v>
      </c>
      <c r="K415" s="271">
        <f>DSUM(A1_NHAP_XUAT,NX_cot_SLXuat,ps_hang408)</f>
        <v>0</v>
      </c>
      <c r="L415" s="251"/>
    </row>
    <row r="416" spans="2:12">
      <c r="B416" s="274">
        <v>409</v>
      </c>
      <c r="C416" s="97"/>
      <c r="D416" s="302"/>
      <c r="E416" s="97"/>
      <c r="F416" s="303"/>
      <c r="G416" s="304"/>
      <c r="H416" s="290"/>
      <c r="I416" s="270">
        <f>DSUM(A1_NHAP_XUAT,NX_cot_SLNhap,td_hang409)-DSUM(A1_NHAP_XUAT,NX_cot_SLXuat,td_hang409)+F416</f>
        <v>0</v>
      </c>
      <c r="J416" s="271">
        <f>DSUM(A1_NHAP_XUAT,NX_cot_SLNhap,ps_hang409)</f>
        <v>0</v>
      </c>
      <c r="K416" s="271">
        <f>DSUM(A1_NHAP_XUAT,NX_cot_SLXuat,ps_hang409)</f>
        <v>0</v>
      </c>
      <c r="L416" s="251"/>
    </row>
    <row r="417" spans="2:12">
      <c r="B417" s="274">
        <v>410</v>
      </c>
      <c r="C417" s="97"/>
      <c r="D417" s="302"/>
      <c r="E417" s="97"/>
      <c r="F417" s="303"/>
      <c r="G417" s="304"/>
      <c r="H417" s="290"/>
      <c r="I417" s="270">
        <f>DSUM(A1_NHAP_XUAT,NX_cot_SLNhap,td_hang410)-DSUM(A1_NHAP_XUAT,NX_cot_SLXuat,td_hang410)+F417</f>
        <v>0</v>
      </c>
      <c r="J417" s="271">
        <f>DSUM(A1_NHAP_XUAT,NX_cot_SLNhap,ps_hang410)</f>
        <v>0</v>
      </c>
      <c r="K417" s="271">
        <f>DSUM(A1_NHAP_XUAT,NX_cot_SLXuat,ps_hang410)</f>
        <v>0</v>
      </c>
      <c r="L417" s="251"/>
    </row>
    <row r="418" spans="2:12">
      <c r="B418" s="274">
        <v>411</v>
      </c>
      <c r="C418" s="97"/>
      <c r="D418" s="302"/>
      <c r="E418" s="97"/>
      <c r="F418" s="303"/>
      <c r="G418" s="304"/>
      <c r="H418" s="290"/>
      <c r="I418" s="270">
        <f>DSUM(A1_NHAP_XUAT,NX_cot_SLNhap,td_hang411)-DSUM(A1_NHAP_XUAT,NX_cot_SLXuat,td_hang411)+F418</f>
        <v>0</v>
      </c>
      <c r="J418" s="271">
        <f>DSUM(A1_NHAP_XUAT,NX_cot_SLNhap,ps_hang411)</f>
        <v>0</v>
      </c>
      <c r="K418" s="271">
        <f>DSUM(A1_NHAP_XUAT,NX_cot_SLXuat,ps_hang411)</f>
        <v>0</v>
      </c>
      <c r="L418" s="251"/>
    </row>
    <row r="419" spans="2:12">
      <c r="B419" s="274">
        <v>412</v>
      </c>
      <c r="C419" s="97"/>
      <c r="D419" s="302"/>
      <c r="E419" s="97"/>
      <c r="F419" s="303"/>
      <c r="G419" s="304"/>
      <c r="H419" s="290"/>
      <c r="I419" s="270">
        <f>DSUM(A1_NHAP_XUAT,NX_cot_SLNhap,td_hang412)-DSUM(A1_NHAP_XUAT,NX_cot_SLXuat,td_hang412)+F419</f>
        <v>0</v>
      </c>
      <c r="J419" s="271">
        <f>DSUM(A1_NHAP_XUAT,NX_cot_SLNhap,ps_hang412)</f>
        <v>0</v>
      </c>
      <c r="K419" s="271">
        <f>DSUM(A1_NHAP_XUAT,NX_cot_SLXuat,ps_hang412)</f>
        <v>0</v>
      </c>
      <c r="L419" s="251"/>
    </row>
    <row r="420" spans="2:12">
      <c r="B420" s="274">
        <v>413</v>
      </c>
      <c r="C420" s="97"/>
      <c r="D420" s="302"/>
      <c r="E420" s="97"/>
      <c r="F420" s="303"/>
      <c r="G420" s="304"/>
      <c r="H420" s="290"/>
      <c r="I420" s="270">
        <f>DSUM(A1_NHAP_XUAT,NX_cot_SLNhap,td_hang413)-DSUM(A1_NHAP_XUAT,NX_cot_SLXuat,td_hang413)+F420</f>
        <v>0</v>
      </c>
      <c r="J420" s="271">
        <f>DSUM(A1_NHAP_XUAT,NX_cot_SLNhap,ps_hang413)</f>
        <v>0</v>
      </c>
      <c r="K420" s="271">
        <f>DSUM(A1_NHAP_XUAT,NX_cot_SLXuat,ps_hang413)</f>
        <v>0</v>
      </c>
      <c r="L420" s="251"/>
    </row>
    <row r="421" spans="2:12">
      <c r="B421" s="274">
        <v>414</v>
      </c>
      <c r="C421" s="97"/>
      <c r="D421" s="302"/>
      <c r="E421" s="97"/>
      <c r="F421" s="303"/>
      <c r="G421" s="304"/>
      <c r="H421" s="290"/>
      <c r="I421" s="270">
        <f>DSUM(A1_NHAP_XUAT,NX_cot_SLNhap,td_hang414)-DSUM(A1_NHAP_XUAT,NX_cot_SLXuat,td_hang414)+F421</f>
        <v>0</v>
      </c>
      <c r="J421" s="271">
        <f>DSUM(A1_NHAP_XUAT,NX_cot_SLNhap,ps_hang414)</f>
        <v>0</v>
      </c>
      <c r="K421" s="271">
        <f>DSUM(A1_NHAP_XUAT,NX_cot_SLXuat,ps_hang414)</f>
        <v>0</v>
      </c>
      <c r="L421" s="251"/>
    </row>
    <row r="422" spans="2:12">
      <c r="B422" s="274">
        <v>415</v>
      </c>
      <c r="C422" s="97"/>
      <c r="D422" s="302"/>
      <c r="E422" s="97"/>
      <c r="F422" s="303"/>
      <c r="G422" s="304"/>
      <c r="H422" s="290"/>
      <c r="I422" s="270">
        <f>DSUM(A1_NHAP_XUAT,NX_cot_SLNhap,td_hang415)-DSUM(A1_NHAP_XUAT,NX_cot_SLXuat,td_hang415)+F422</f>
        <v>0</v>
      </c>
      <c r="J422" s="271">
        <f>DSUM(A1_NHAP_XUAT,NX_cot_SLNhap,ps_hang415)</f>
        <v>0</v>
      </c>
      <c r="K422" s="271">
        <f>DSUM(A1_NHAP_XUAT,NX_cot_SLXuat,ps_hang415)</f>
        <v>0</v>
      </c>
      <c r="L422" s="251"/>
    </row>
    <row r="423" spans="2:12">
      <c r="B423" s="274">
        <v>416</v>
      </c>
      <c r="C423" s="97"/>
      <c r="D423" s="302"/>
      <c r="E423" s="97"/>
      <c r="F423" s="303"/>
      <c r="G423" s="304"/>
      <c r="H423" s="290"/>
      <c r="I423" s="270">
        <f>DSUM(A1_NHAP_XUAT,NX_cot_SLNhap,td_hang416)-DSUM(A1_NHAP_XUAT,NX_cot_SLXuat,td_hang416)+F423</f>
        <v>0</v>
      </c>
      <c r="J423" s="271">
        <f>DSUM(A1_NHAP_XUAT,NX_cot_SLNhap,ps_hang416)</f>
        <v>0</v>
      </c>
      <c r="K423" s="271">
        <f>DSUM(A1_NHAP_XUAT,NX_cot_SLXuat,ps_hang416)</f>
        <v>0</v>
      </c>
      <c r="L423" s="251"/>
    </row>
    <row r="424" spans="2:12">
      <c r="B424" s="274">
        <v>417</v>
      </c>
      <c r="C424" s="97"/>
      <c r="D424" s="302"/>
      <c r="E424" s="97"/>
      <c r="F424" s="303"/>
      <c r="G424" s="304"/>
      <c r="H424" s="290"/>
      <c r="I424" s="270">
        <f>DSUM(A1_NHAP_XUAT,NX_cot_SLNhap,td_hang417)-DSUM(A1_NHAP_XUAT,NX_cot_SLXuat,td_hang417)+F424</f>
        <v>0</v>
      </c>
      <c r="J424" s="271">
        <f>DSUM(A1_NHAP_XUAT,NX_cot_SLNhap,ps_hang417)</f>
        <v>0</v>
      </c>
      <c r="K424" s="271">
        <f>DSUM(A1_NHAP_XUAT,NX_cot_SLXuat,ps_hang417)</f>
        <v>0</v>
      </c>
      <c r="L424" s="251"/>
    </row>
    <row r="425" spans="2:12">
      <c r="B425" s="274">
        <v>418</v>
      </c>
      <c r="C425" s="97"/>
      <c r="D425" s="302"/>
      <c r="E425" s="97"/>
      <c r="F425" s="303"/>
      <c r="G425" s="304"/>
      <c r="H425" s="290"/>
      <c r="I425" s="270">
        <f>DSUM(A1_NHAP_XUAT,NX_cot_SLNhap,td_hang418)-DSUM(A1_NHAP_XUAT,NX_cot_SLXuat,td_hang418)+F425</f>
        <v>0</v>
      </c>
      <c r="J425" s="271">
        <f>DSUM(A1_NHAP_XUAT,NX_cot_SLNhap,ps_hang418)</f>
        <v>0</v>
      </c>
      <c r="K425" s="271">
        <f>DSUM(A1_NHAP_XUAT,NX_cot_SLXuat,ps_hang418)</f>
        <v>0</v>
      </c>
      <c r="L425" s="251"/>
    </row>
    <row r="426" spans="2:12">
      <c r="B426" s="274">
        <v>419</v>
      </c>
      <c r="C426" s="97"/>
      <c r="D426" s="302"/>
      <c r="E426" s="97"/>
      <c r="F426" s="303"/>
      <c r="G426" s="304"/>
      <c r="H426" s="290"/>
      <c r="I426" s="270">
        <f>DSUM(A1_NHAP_XUAT,NX_cot_SLNhap,td_hang419)-DSUM(A1_NHAP_XUAT,NX_cot_SLXuat,td_hang419)+F426</f>
        <v>0</v>
      </c>
      <c r="J426" s="271">
        <f>DSUM(A1_NHAP_XUAT,NX_cot_SLNhap,ps_hang419)</f>
        <v>0</v>
      </c>
      <c r="K426" s="271">
        <f>DSUM(A1_NHAP_XUAT,NX_cot_SLXuat,ps_hang419)</f>
        <v>0</v>
      </c>
      <c r="L426" s="251"/>
    </row>
    <row r="427" spans="2:12">
      <c r="B427" s="274">
        <v>420</v>
      </c>
      <c r="C427" s="97"/>
      <c r="D427" s="302"/>
      <c r="E427" s="97"/>
      <c r="F427" s="303"/>
      <c r="G427" s="304"/>
      <c r="H427" s="290"/>
      <c r="I427" s="270">
        <f>DSUM(A1_NHAP_XUAT,NX_cot_SLNhap,td_hang420)-DSUM(A1_NHAP_XUAT,NX_cot_SLXuat,td_hang420)+F427</f>
        <v>0</v>
      </c>
      <c r="J427" s="271">
        <f>DSUM(A1_NHAP_XUAT,NX_cot_SLNhap,ps_hang420)</f>
        <v>0</v>
      </c>
      <c r="K427" s="271">
        <f>DSUM(A1_NHAP_XUAT,NX_cot_SLXuat,ps_hang420)</f>
        <v>0</v>
      </c>
      <c r="L427" s="251"/>
    </row>
    <row r="428" spans="2:12">
      <c r="B428" s="274">
        <v>421</v>
      </c>
      <c r="C428" s="97"/>
      <c r="D428" s="302"/>
      <c r="E428" s="97"/>
      <c r="F428" s="303"/>
      <c r="G428" s="304"/>
      <c r="H428" s="290"/>
      <c r="I428" s="270">
        <f>DSUM(A1_NHAP_XUAT,NX_cot_SLNhap,td_hang421)-DSUM(A1_NHAP_XUAT,NX_cot_SLXuat,td_hang421)+F428</f>
        <v>0</v>
      </c>
      <c r="J428" s="271">
        <f>DSUM(A1_NHAP_XUAT,NX_cot_SLNhap,ps_hang421)</f>
        <v>0</v>
      </c>
      <c r="K428" s="271">
        <f>DSUM(A1_NHAP_XUAT,NX_cot_SLXuat,ps_hang421)</f>
        <v>0</v>
      </c>
      <c r="L428" s="251"/>
    </row>
    <row r="429" spans="2:12">
      <c r="B429" s="274">
        <v>422</v>
      </c>
      <c r="C429" s="97"/>
      <c r="D429" s="302"/>
      <c r="E429" s="97"/>
      <c r="F429" s="303"/>
      <c r="G429" s="304"/>
      <c r="H429" s="290"/>
      <c r="I429" s="270">
        <f>DSUM(A1_NHAP_XUAT,NX_cot_SLNhap,td_hang422)-DSUM(A1_NHAP_XUAT,NX_cot_SLXuat,td_hang422)+F429</f>
        <v>0</v>
      </c>
      <c r="J429" s="271">
        <f>DSUM(A1_NHAP_XUAT,NX_cot_SLNhap,ps_hang422)</f>
        <v>0</v>
      </c>
      <c r="K429" s="271">
        <f>DSUM(A1_NHAP_XUAT,NX_cot_SLXuat,ps_hang422)</f>
        <v>0</v>
      </c>
      <c r="L429" s="251"/>
    </row>
    <row r="430" spans="2:12">
      <c r="B430" s="274">
        <v>423</v>
      </c>
      <c r="C430" s="97"/>
      <c r="D430" s="302"/>
      <c r="E430" s="97"/>
      <c r="F430" s="303"/>
      <c r="G430" s="304"/>
      <c r="H430" s="290"/>
      <c r="I430" s="270">
        <f>DSUM(A1_NHAP_XUAT,NX_cot_SLNhap,td_hang423)-DSUM(A1_NHAP_XUAT,NX_cot_SLXuat,td_hang423)+F430</f>
        <v>0</v>
      </c>
      <c r="J430" s="271">
        <f>DSUM(A1_NHAP_XUAT,NX_cot_SLNhap,ps_hang423)</f>
        <v>0</v>
      </c>
      <c r="K430" s="271">
        <f>DSUM(A1_NHAP_XUAT,NX_cot_SLXuat,ps_hang423)</f>
        <v>0</v>
      </c>
      <c r="L430" s="251"/>
    </row>
    <row r="431" spans="2:12">
      <c r="B431" s="274">
        <v>424</v>
      </c>
      <c r="C431" s="97"/>
      <c r="D431" s="302"/>
      <c r="E431" s="97"/>
      <c r="F431" s="303"/>
      <c r="G431" s="304"/>
      <c r="H431" s="290"/>
      <c r="I431" s="270">
        <f>DSUM(A1_NHAP_XUAT,NX_cot_SLNhap,td_hang424)-DSUM(A1_NHAP_XUAT,NX_cot_SLXuat,td_hang424)+F431</f>
        <v>0</v>
      </c>
      <c r="J431" s="271">
        <f>DSUM(A1_NHAP_XUAT,NX_cot_SLNhap,ps_hang424)</f>
        <v>0</v>
      </c>
      <c r="K431" s="271">
        <f>DSUM(A1_NHAP_XUAT,NX_cot_SLXuat,ps_hang424)</f>
        <v>0</v>
      </c>
      <c r="L431" s="251"/>
    </row>
    <row r="432" spans="2:12">
      <c r="B432" s="274">
        <v>425</v>
      </c>
      <c r="C432" s="97"/>
      <c r="D432" s="302"/>
      <c r="E432" s="97"/>
      <c r="F432" s="303"/>
      <c r="G432" s="304"/>
      <c r="H432" s="290"/>
      <c r="I432" s="270">
        <f>DSUM(A1_NHAP_XUAT,NX_cot_SLNhap,td_hang425)-DSUM(A1_NHAP_XUAT,NX_cot_SLXuat,td_hang425)+F432</f>
        <v>0</v>
      </c>
      <c r="J432" s="271">
        <f>DSUM(A1_NHAP_XUAT,NX_cot_SLNhap,ps_hang425)</f>
        <v>0</v>
      </c>
      <c r="K432" s="271">
        <f>DSUM(A1_NHAP_XUAT,NX_cot_SLXuat,ps_hang425)</f>
        <v>0</v>
      </c>
      <c r="L432" s="251"/>
    </row>
    <row r="433" spans="2:12">
      <c r="B433" s="274">
        <v>426</v>
      </c>
      <c r="C433" s="97"/>
      <c r="D433" s="302"/>
      <c r="E433" s="97"/>
      <c r="F433" s="303"/>
      <c r="G433" s="304"/>
      <c r="H433" s="290"/>
      <c r="I433" s="270">
        <f>DSUM(A1_NHAP_XUAT,NX_cot_SLNhap,td_hang426)-DSUM(A1_NHAP_XUAT,NX_cot_SLXuat,td_hang426)+F433</f>
        <v>0</v>
      </c>
      <c r="J433" s="271">
        <f>DSUM(A1_NHAP_XUAT,NX_cot_SLNhap,ps_hang426)</f>
        <v>0</v>
      </c>
      <c r="K433" s="271">
        <f>DSUM(A1_NHAP_XUAT,NX_cot_SLXuat,ps_hang426)</f>
        <v>0</v>
      </c>
      <c r="L433" s="251"/>
    </row>
    <row r="434" spans="2:12">
      <c r="B434" s="274">
        <v>427</v>
      </c>
      <c r="C434" s="97"/>
      <c r="D434" s="302"/>
      <c r="E434" s="97"/>
      <c r="F434" s="303"/>
      <c r="G434" s="304"/>
      <c r="H434" s="290"/>
      <c r="I434" s="270">
        <f>DSUM(A1_NHAP_XUAT,NX_cot_SLNhap,td_hang427)-DSUM(A1_NHAP_XUAT,NX_cot_SLXuat,td_hang427)+F434</f>
        <v>0</v>
      </c>
      <c r="J434" s="271">
        <f>DSUM(A1_NHAP_XUAT,NX_cot_SLNhap,ps_hang427)</f>
        <v>0</v>
      </c>
      <c r="K434" s="271">
        <f>DSUM(A1_NHAP_XUAT,NX_cot_SLXuat,ps_hang427)</f>
        <v>0</v>
      </c>
      <c r="L434" s="251"/>
    </row>
    <row r="435" spans="2:12">
      <c r="B435" s="274">
        <v>428</v>
      </c>
      <c r="C435" s="97"/>
      <c r="D435" s="302"/>
      <c r="E435" s="97"/>
      <c r="F435" s="303"/>
      <c r="G435" s="304"/>
      <c r="H435" s="290"/>
      <c r="I435" s="270">
        <f>DSUM(A1_NHAP_XUAT,NX_cot_SLNhap,td_hang428)-DSUM(A1_NHAP_XUAT,NX_cot_SLXuat,td_hang428)+F435</f>
        <v>0</v>
      </c>
      <c r="J435" s="271">
        <f>DSUM(A1_NHAP_XUAT,NX_cot_SLNhap,ps_hang428)</f>
        <v>0</v>
      </c>
      <c r="K435" s="271">
        <f>DSUM(A1_NHAP_XUAT,NX_cot_SLXuat,ps_hang428)</f>
        <v>0</v>
      </c>
      <c r="L435" s="251"/>
    </row>
    <row r="436" spans="2:12">
      <c r="B436" s="274">
        <v>429</v>
      </c>
      <c r="C436" s="97"/>
      <c r="D436" s="302"/>
      <c r="E436" s="97"/>
      <c r="F436" s="303"/>
      <c r="G436" s="304"/>
      <c r="H436" s="290"/>
      <c r="I436" s="270">
        <f>DSUM(A1_NHAP_XUAT,NX_cot_SLNhap,td_hang429)-DSUM(A1_NHAP_XUAT,NX_cot_SLXuat,td_hang429)+F436</f>
        <v>0</v>
      </c>
      <c r="J436" s="271">
        <f>DSUM(A1_NHAP_XUAT,NX_cot_SLNhap,ps_hang429)</f>
        <v>0</v>
      </c>
      <c r="K436" s="271">
        <f>DSUM(A1_NHAP_XUAT,NX_cot_SLXuat,ps_hang429)</f>
        <v>0</v>
      </c>
      <c r="L436" s="251"/>
    </row>
    <row r="437" spans="2:12">
      <c r="B437" s="274">
        <v>430</v>
      </c>
      <c r="C437" s="97"/>
      <c r="D437" s="302"/>
      <c r="E437" s="97"/>
      <c r="F437" s="303"/>
      <c r="G437" s="304"/>
      <c r="H437" s="290"/>
      <c r="I437" s="270">
        <f>DSUM(A1_NHAP_XUAT,NX_cot_SLNhap,td_hang430)-DSUM(A1_NHAP_XUAT,NX_cot_SLXuat,td_hang430)+F437</f>
        <v>0</v>
      </c>
      <c r="J437" s="271">
        <f>DSUM(A1_NHAP_XUAT,NX_cot_SLNhap,ps_hang430)</f>
        <v>0</v>
      </c>
      <c r="K437" s="271">
        <f>DSUM(A1_NHAP_XUAT,NX_cot_SLXuat,ps_hang430)</f>
        <v>0</v>
      </c>
      <c r="L437" s="251"/>
    </row>
    <row r="438" spans="2:12">
      <c r="B438" s="274">
        <v>431</v>
      </c>
      <c r="C438" s="97"/>
      <c r="D438" s="302"/>
      <c r="E438" s="97"/>
      <c r="F438" s="303"/>
      <c r="G438" s="304"/>
      <c r="H438" s="290"/>
      <c r="I438" s="270">
        <f>DSUM(A1_NHAP_XUAT,NX_cot_SLNhap,td_hang431)-DSUM(A1_NHAP_XUAT,NX_cot_SLXuat,td_hang431)+F438</f>
        <v>0</v>
      </c>
      <c r="J438" s="271">
        <f>DSUM(A1_NHAP_XUAT,NX_cot_SLNhap,ps_hang431)</f>
        <v>0</v>
      </c>
      <c r="K438" s="271">
        <f>DSUM(A1_NHAP_XUAT,NX_cot_SLXuat,ps_hang431)</f>
        <v>0</v>
      </c>
      <c r="L438" s="251"/>
    </row>
    <row r="439" spans="2:12">
      <c r="B439" s="274">
        <v>432</v>
      </c>
      <c r="C439" s="97"/>
      <c r="D439" s="302"/>
      <c r="E439" s="97"/>
      <c r="F439" s="303"/>
      <c r="G439" s="304"/>
      <c r="H439" s="290"/>
      <c r="I439" s="270">
        <f>DSUM(A1_NHAP_XUAT,NX_cot_SLNhap,td_hang432)-DSUM(A1_NHAP_XUAT,NX_cot_SLXuat,td_hang432)+F439</f>
        <v>0</v>
      </c>
      <c r="J439" s="271">
        <f>DSUM(A1_NHAP_XUAT,NX_cot_SLNhap,ps_hang432)</f>
        <v>0</v>
      </c>
      <c r="K439" s="271">
        <f>DSUM(A1_NHAP_XUAT,NX_cot_SLXuat,ps_hang432)</f>
        <v>0</v>
      </c>
      <c r="L439" s="251"/>
    </row>
    <row r="440" spans="2:12">
      <c r="B440" s="274">
        <v>433</v>
      </c>
      <c r="C440" s="97"/>
      <c r="D440" s="302"/>
      <c r="E440" s="97"/>
      <c r="F440" s="303"/>
      <c r="G440" s="304"/>
      <c r="H440" s="290"/>
      <c r="I440" s="270">
        <f>DSUM(A1_NHAP_XUAT,NX_cot_SLNhap,td_hang433)-DSUM(A1_NHAP_XUAT,NX_cot_SLXuat,td_hang433)+F440</f>
        <v>0</v>
      </c>
      <c r="J440" s="271">
        <f>DSUM(A1_NHAP_XUAT,NX_cot_SLNhap,ps_hang433)</f>
        <v>0</v>
      </c>
      <c r="K440" s="271">
        <f>DSUM(A1_NHAP_XUAT,NX_cot_SLXuat,ps_hang433)</f>
        <v>0</v>
      </c>
      <c r="L440" s="251"/>
    </row>
    <row r="441" spans="2:12">
      <c r="B441" s="274">
        <v>434</v>
      </c>
      <c r="C441" s="97"/>
      <c r="D441" s="302"/>
      <c r="E441" s="97"/>
      <c r="F441" s="303"/>
      <c r="G441" s="304"/>
      <c r="H441" s="290"/>
      <c r="I441" s="270">
        <f>DSUM(A1_NHAP_XUAT,NX_cot_SLNhap,td_hang434)-DSUM(A1_NHAP_XUAT,NX_cot_SLXuat,td_hang434)+F441</f>
        <v>0</v>
      </c>
      <c r="J441" s="271">
        <f>DSUM(A1_NHAP_XUAT,NX_cot_SLNhap,ps_hang434)</f>
        <v>0</v>
      </c>
      <c r="K441" s="271">
        <f>DSUM(A1_NHAP_XUAT,NX_cot_SLXuat,ps_hang434)</f>
        <v>0</v>
      </c>
      <c r="L441" s="251"/>
    </row>
    <row r="442" spans="2:12">
      <c r="B442" s="274">
        <v>435</v>
      </c>
      <c r="C442" s="97"/>
      <c r="D442" s="302"/>
      <c r="E442" s="97"/>
      <c r="F442" s="303"/>
      <c r="G442" s="304"/>
      <c r="H442" s="290"/>
      <c r="I442" s="270">
        <f>DSUM(A1_NHAP_XUAT,NX_cot_SLNhap,td_hang435)-DSUM(A1_NHAP_XUAT,NX_cot_SLXuat,td_hang435)+F442</f>
        <v>0</v>
      </c>
      <c r="J442" s="271">
        <f>DSUM(A1_NHAP_XUAT,NX_cot_SLNhap,ps_hang435)</f>
        <v>0</v>
      </c>
      <c r="K442" s="271">
        <f>DSUM(A1_NHAP_XUAT,NX_cot_SLXuat,ps_hang435)</f>
        <v>0</v>
      </c>
      <c r="L442" s="251"/>
    </row>
    <row r="443" spans="2:12">
      <c r="B443" s="274">
        <v>436</v>
      </c>
      <c r="C443" s="97"/>
      <c r="D443" s="302"/>
      <c r="E443" s="97"/>
      <c r="F443" s="303"/>
      <c r="G443" s="304"/>
      <c r="H443" s="290"/>
      <c r="I443" s="270">
        <f>DSUM(A1_NHAP_XUAT,NX_cot_SLNhap,td_hang436)-DSUM(A1_NHAP_XUAT,NX_cot_SLXuat,td_hang436)+F443</f>
        <v>0</v>
      </c>
      <c r="J443" s="271">
        <f>DSUM(A1_NHAP_XUAT,NX_cot_SLNhap,ps_hang436)</f>
        <v>0</v>
      </c>
      <c r="K443" s="271">
        <f>DSUM(A1_NHAP_XUAT,NX_cot_SLXuat,ps_hang436)</f>
        <v>0</v>
      </c>
      <c r="L443" s="251"/>
    </row>
    <row r="444" spans="2:12">
      <c r="B444" s="274">
        <v>437</v>
      </c>
      <c r="C444" s="97"/>
      <c r="D444" s="302"/>
      <c r="E444" s="97"/>
      <c r="F444" s="303"/>
      <c r="G444" s="304"/>
      <c r="H444" s="290"/>
      <c r="I444" s="270">
        <f>DSUM(A1_NHAP_XUAT,NX_cot_SLNhap,td_hang437)-DSUM(A1_NHAP_XUAT,NX_cot_SLXuat,td_hang437)+F444</f>
        <v>0</v>
      </c>
      <c r="J444" s="271">
        <f>DSUM(A1_NHAP_XUAT,NX_cot_SLNhap,ps_hang437)</f>
        <v>0</v>
      </c>
      <c r="K444" s="271">
        <f>DSUM(A1_NHAP_XUAT,NX_cot_SLXuat,ps_hang437)</f>
        <v>0</v>
      </c>
      <c r="L444" s="251"/>
    </row>
    <row r="445" spans="2:12">
      <c r="B445" s="274">
        <v>438</v>
      </c>
      <c r="C445" s="97"/>
      <c r="D445" s="302"/>
      <c r="E445" s="97"/>
      <c r="F445" s="303"/>
      <c r="G445" s="304"/>
      <c r="H445" s="290"/>
      <c r="I445" s="270">
        <f>DSUM(A1_NHAP_XUAT,NX_cot_SLNhap,td_hang438)-DSUM(A1_NHAP_XUAT,NX_cot_SLXuat,td_hang438)+F445</f>
        <v>0</v>
      </c>
      <c r="J445" s="271">
        <f>DSUM(A1_NHAP_XUAT,NX_cot_SLNhap,ps_hang438)</f>
        <v>0</v>
      </c>
      <c r="K445" s="271">
        <f>DSUM(A1_NHAP_XUAT,NX_cot_SLXuat,ps_hang438)</f>
        <v>0</v>
      </c>
      <c r="L445" s="251"/>
    </row>
    <row r="446" spans="2:12">
      <c r="B446" s="274">
        <v>439</v>
      </c>
      <c r="C446" s="97"/>
      <c r="D446" s="302"/>
      <c r="E446" s="97"/>
      <c r="F446" s="303"/>
      <c r="G446" s="304"/>
      <c r="H446" s="290"/>
      <c r="I446" s="270">
        <f>DSUM(A1_NHAP_XUAT,NX_cot_SLNhap,td_hang439)-DSUM(A1_NHAP_XUAT,NX_cot_SLXuat,td_hang439)+F446</f>
        <v>0</v>
      </c>
      <c r="J446" s="271">
        <f>DSUM(A1_NHAP_XUAT,NX_cot_SLNhap,ps_hang439)</f>
        <v>0</v>
      </c>
      <c r="K446" s="271">
        <f>DSUM(A1_NHAP_XUAT,NX_cot_SLXuat,ps_hang439)</f>
        <v>0</v>
      </c>
      <c r="L446" s="251"/>
    </row>
    <row r="447" spans="2:12">
      <c r="B447" s="274">
        <v>440</v>
      </c>
      <c r="C447" s="97"/>
      <c r="D447" s="302"/>
      <c r="E447" s="97"/>
      <c r="F447" s="303"/>
      <c r="G447" s="304"/>
      <c r="H447" s="290"/>
      <c r="I447" s="270">
        <f>DSUM(A1_NHAP_XUAT,NX_cot_SLNhap,td_hang440)-DSUM(A1_NHAP_XUAT,NX_cot_SLXuat,td_hang440)+F447</f>
        <v>0</v>
      </c>
      <c r="J447" s="271">
        <f>DSUM(A1_NHAP_XUAT,NX_cot_SLNhap,ps_hang440)</f>
        <v>0</v>
      </c>
      <c r="K447" s="271">
        <f>DSUM(A1_NHAP_XUAT,NX_cot_SLXuat,ps_hang440)</f>
        <v>0</v>
      </c>
      <c r="L447" s="251"/>
    </row>
    <row r="448" spans="2:12">
      <c r="B448" s="274">
        <v>441</v>
      </c>
      <c r="C448" s="97"/>
      <c r="D448" s="302"/>
      <c r="E448" s="97"/>
      <c r="F448" s="303"/>
      <c r="G448" s="304"/>
      <c r="H448" s="290"/>
      <c r="I448" s="270">
        <f>DSUM(A1_NHAP_XUAT,NX_cot_SLNhap,td_hang441)-DSUM(A1_NHAP_XUAT,NX_cot_SLXuat,td_hang441)+F448</f>
        <v>0</v>
      </c>
      <c r="J448" s="271">
        <f>DSUM(A1_NHAP_XUAT,NX_cot_SLNhap,ps_hang441)</f>
        <v>0</v>
      </c>
      <c r="K448" s="271">
        <f>DSUM(A1_NHAP_XUAT,NX_cot_SLXuat,ps_hang441)</f>
        <v>0</v>
      </c>
      <c r="L448" s="251"/>
    </row>
    <row r="449" spans="2:12">
      <c r="B449" s="274">
        <v>442</v>
      </c>
      <c r="C449" s="97"/>
      <c r="D449" s="302"/>
      <c r="E449" s="97"/>
      <c r="F449" s="303"/>
      <c r="G449" s="304"/>
      <c r="H449" s="290"/>
      <c r="I449" s="270">
        <f>DSUM(A1_NHAP_XUAT,NX_cot_SLNhap,td_hang442)-DSUM(A1_NHAP_XUAT,NX_cot_SLXuat,td_hang442)+F449</f>
        <v>0</v>
      </c>
      <c r="J449" s="271">
        <f>DSUM(A1_NHAP_XUAT,NX_cot_SLNhap,ps_hang442)</f>
        <v>0</v>
      </c>
      <c r="K449" s="271">
        <f>DSUM(A1_NHAP_XUAT,NX_cot_SLXuat,ps_hang442)</f>
        <v>0</v>
      </c>
      <c r="L449" s="251"/>
    </row>
    <row r="450" spans="2:12">
      <c r="B450" s="274">
        <v>443</v>
      </c>
      <c r="C450" s="97"/>
      <c r="D450" s="302"/>
      <c r="E450" s="97"/>
      <c r="F450" s="303"/>
      <c r="G450" s="304"/>
      <c r="H450" s="290"/>
      <c r="I450" s="270">
        <f>DSUM(A1_NHAP_XUAT,NX_cot_SLNhap,td_hang443)-DSUM(A1_NHAP_XUAT,NX_cot_SLXuat,td_hang443)+F450</f>
        <v>0</v>
      </c>
      <c r="J450" s="271">
        <f>DSUM(A1_NHAP_XUAT,NX_cot_SLNhap,ps_hang443)</f>
        <v>0</v>
      </c>
      <c r="K450" s="271">
        <f>DSUM(A1_NHAP_XUAT,NX_cot_SLXuat,ps_hang443)</f>
        <v>0</v>
      </c>
      <c r="L450" s="251"/>
    </row>
    <row r="451" spans="2:12">
      <c r="B451" s="274">
        <v>444</v>
      </c>
      <c r="C451" s="97"/>
      <c r="D451" s="302"/>
      <c r="E451" s="97"/>
      <c r="F451" s="303"/>
      <c r="G451" s="304"/>
      <c r="H451" s="290"/>
      <c r="I451" s="270">
        <f>DSUM(A1_NHAP_XUAT,NX_cot_SLNhap,td_hang444)-DSUM(A1_NHAP_XUAT,NX_cot_SLXuat,td_hang444)+F451</f>
        <v>0</v>
      </c>
      <c r="J451" s="271">
        <f>DSUM(A1_NHAP_XUAT,NX_cot_SLNhap,ps_hang444)</f>
        <v>0</v>
      </c>
      <c r="K451" s="271">
        <f>DSUM(A1_NHAP_XUAT,NX_cot_SLXuat,ps_hang444)</f>
        <v>0</v>
      </c>
      <c r="L451" s="251"/>
    </row>
    <row r="452" spans="2:12">
      <c r="B452" s="274">
        <v>445</v>
      </c>
      <c r="C452" s="97"/>
      <c r="D452" s="302"/>
      <c r="E452" s="97"/>
      <c r="F452" s="303"/>
      <c r="G452" s="304"/>
      <c r="H452" s="290"/>
      <c r="I452" s="270">
        <f>DSUM(A1_NHAP_XUAT,NX_cot_SLNhap,td_hang445)-DSUM(A1_NHAP_XUAT,NX_cot_SLXuat,td_hang445)+F452</f>
        <v>0</v>
      </c>
      <c r="J452" s="271">
        <f>DSUM(A1_NHAP_XUAT,NX_cot_SLNhap,ps_hang445)</f>
        <v>0</v>
      </c>
      <c r="K452" s="271">
        <f>DSUM(A1_NHAP_XUAT,NX_cot_SLXuat,ps_hang445)</f>
        <v>0</v>
      </c>
      <c r="L452" s="251"/>
    </row>
    <row r="453" spans="2:12">
      <c r="B453" s="274">
        <v>446</v>
      </c>
      <c r="C453" s="97"/>
      <c r="D453" s="302"/>
      <c r="E453" s="97"/>
      <c r="F453" s="303"/>
      <c r="G453" s="304"/>
      <c r="H453" s="290"/>
      <c r="I453" s="270">
        <f>DSUM(A1_NHAP_XUAT,NX_cot_SLNhap,td_hang446)-DSUM(A1_NHAP_XUAT,NX_cot_SLXuat,td_hang446)+F453</f>
        <v>0</v>
      </c>
      <c r="J453" s="271">
        <f>DSUM(A1_NHAP_XUAT,NX_cot_SLNhap,ps_hang446)</f>
        <v>0</v>
      </c>
      <c r="K453" s="271">
        <f>DSUM(A1_NHAP_XUAT,NX_cot_SLXuat,ps_hang446)</f>
        <v>0</v>
      </c>
      <c r="L453" s="251"/>
    </row>
    <row r="454" spans="2:12">
      <c r="B454" s="274">
        <v>447</v>
      </c>
      <c r="C454" s="97"/>
      <c r="D454" s="302"/>
      <c r="E454" s="97"/>
      <c r="F454" s="303"/>
      <c r="G454" s="304"/>
      <c r="H454" s="290"/>
      <c r="I454" s="270">
        <f>DSUM(A1_NHAP_XUAT,NX_cot_SLNhap,td_hang447)-DSUM(A1_NHAP_XUAT,NX_cot_SLXuat,td_hang447)+F454</f>
        <v>0</v>
      </c>
      <c r="J454" s="271">
        <f>DSUM(A1_NHAP_XUAT,NX_cot_SLNhap,ps_hang447)</f>
        <v>0</v>
      </c>
      <c r="K454" s="271">
        <f>DSUM(A1_NHAP_XUAT,NX_cot_SLXuat,ps_hang447)</f>
        <v>0</v>
      </c>
      <c r="L454" s="251"/>
    </row>
    <row r="455" spans="2:12">
      <c r="B455" s="274">
        <v>448</v>
      </c>
      <c r="C455" s="97"/>
      <c r="D455" s="302"/>
      <c r="E455" s="97"/>
      <c r="F455" s="303"/>
      <c r="G455" s="304"/>
      <c r="H455" s="290"/>
      <c r="I455" s="270">
        <f>DSUM(A1_NHAP_XUAT,NX_cot_SLNhap,td_hang448)-DSUM(A1_NHAP_XUAT,NX_cot_SLXuat,td_hang448)+F455</f>
        <v>0</v>
      </c>
      <c r="J455" s="271">
        <f>DSUM(A1_NHAP_XUAT,NX_cot_SLNhap,ps_hang448)</f>
        <v>0</v>
      </c>
      <c r="K455" s="271">
        <f>DSUM(A1_NHAP_XUAT,NX_cot_SLXuat,ps_hang448)</f>
        <v>0</v>
      </c>
      <c r="L455" s="251"/>
    </row>
    <row r="456" spans="2:12">
      <c r="B456" s="274">
        <v>449</v>
      </c>
      <c r="C456" s="97"/>
      <c r="D456" s="302"/>
      <c r="E456" s="97"/>
      <c r="F456" s="303"/>
      <c r="G456" s="304"/>
      <c r="H456" s="290"/>
      <c r="I456" s="270">
        <f>DSUM(A1_NHAP_XUAT,NX_cot_SLNhap,td_hang449)-DSUM(A1_NHAP_XUAT,NX_cot_SLXuat,td_hang449)+F456</f>
        <v>0</v>
      </c>
      <c r="J456" s="271">
        <f>DSUM(A1_NHAP_XUAT,NX_cot_SLNhap,ps_hang449)</f>
        <v>0</v>
      </c>
      <c r="K456" s="271">
        <f>DSUM(A1_NHAP_XUAT,NX_cot_SLXuat,ps_hang449)</f>
        <v>0</v>
      </c>
      <c r="L456" s="251"/>
    </row>
    <row r="457" spans="2:12">
      <c r="B457" s="274">
        <v>450</v>
      </c>
      <c r="C457" s="97"/>
      <c r="D457" s="302"/>
      <c r="E457" s="97"/>
      <c r="F457" s="303"/>
      <c r="G457" s="304"/>
      <c r="H457" s="290"/>
      <c r="I457" s="270">
        <f>DSUM(A1_NHAP_XUAT,NX_cot_SLNhap,td_hang450)-DSUM(A1_NHAP_XUAT,NX_cot_SLXuat,td_hang450)+F457</f>
        <v>0</v>
      </c>
      <c r="J457" s="271">
        <f>DSUM(A1_NHAP_XUAT,NX_cot_SLNhap,ps_hang450)</f>
        <v>0</v>
      </c>
      <c r="K457" s="271">
        <f>DSUM(A1_NHAP_XUAT,NX_cot_SLXuat,ps_hang450)</f>
        <v>0</v>
      </c>
      <c r="L457" s="251"/>
    </row>
    <row r="458" spans="2:12">
      <c r="B458" s="274">
        <v>451</v>
      </c>
      <c r="C458" s="97"/>
      <c r="D458" s="302"/>
      <c r="E458" s="97"/>
      <c r="F458" s="303"/>
      <c r="G458" s="304"/>
      <c r="H458" s="290"/>
      <c r="I458" s="270">
        <f>DSUM(A1_NHAP_XUAT,NX_cot_SLNhap,td_hang451)-DSUM(A1_NHAP_XUAT,NX_cot_SLXuat,td_hang451)+F458</f>
        <v>0</v>
      </c>
      <c r="J458" s="271">
        <f>DSUM(A1_NHAP_XUAT,NX_cot_SLNhap,ps_hang451)</f>
        <v>0</v>
      </c>
      <c r="K458" s="271">
        <f>DSUM(A1_NHAP_XUAT,NX_cot_SLXuat,ps_hang451)</f>
        <v>0</v>
      </c>
      <c r="L458" s="251"/>
    </row>
    <row r="459" spans="2:12">
      <c r="B459" s="274">
        <v>452</v>
      </c>
      <c r="C459" s="97"/>
      <c r="D459" s="302"/>
      <c r="E459" s="97"/>
      <c r="F459" s="303"/>
      <c r="G459" s="304"/>
      <c r="H459" s="290"/>
      <c r="I459" s="270">
        <f>DSUM(A1_NHAP_XUAT,NX_cot_SLNhap,td_hang452)-DSUM(A1_NHAP_XUAT,NX_cot_SLXuat,td_hang452)+F459</f>
        <v>0</v>
      </c>
      <c r="J459" s="271">
        <f>DSUM(A1_NHAP_XUAT,NX_cot_SLNhap,ps_hang452)</f>
        <v>0</v>
      </c>
      <c r="K459" s="271">
        <f>DSUM(A1_NHAP_XUAT,NX_cot_SLXuat,ps_hang452)</f>
        <v>0</v>
      </c>
      <c r="L459" s="251"/>
    </row>
    <row r="460" spans="2:12">
      <c r="B460" s="274">
        <v>453</v>
      </c>
      <c r="C460" s="97"/>
      <c r="D460" s="302"/>
      <c r="E460" s="97"/>
      <c r="F460" s="303"/>
      <c r="G460" s="304"/>
      <c r="H460" s="290"/>
      <c r="I460" s="270">
        <f>DSUM(A1_NHAP_XUAT,NX_cot_SLNhap,td_hang453)-DSUM(A1_NHAP_XUAT,NX_cot_SLXuat,td_hang453)+F460</f>
        <v>0</v>
      </c>
      <c r="J460" s="271">
        <f>DSUM(A1_NHAP_XUAT,NX_cot_SLNhap,ps_hang453)</f>
        <v>0</v>
      </c>
      <c r="K460" s="271">
        <f>DSUM(A1_NHAP_XUAT,NX_cot_SLXuat,ps_hang453)</f>
        <v>0</v>
      </c>
      <c r="L460" s="251"/>
    </row>
    <row r="461" spans="2:12">
      <c r="B461" s="274">
        <v>454</v>
      </c>
      <c r="C461" s="97"/>
      <c r="D461" s="302"/>
      <c r="E461" s="97"/>
      <c r="F461" s="303"/>
      <c r="G461" s="304"/>
      <c r="H461" s="290"/>
      <c r="I461" s="270">
        <f>DSUM(A1_NHAP_XUAT,NX_cot_SLNhap,td_hang454)-DSUM(A1_NHAP_XUAT,NX_cot_SLXuat,td_hang454)+F461</f>
        <v>0</v>
      </c>
      <c r="J461" s="271">
        <f>DSUM(A1_NHAP_XUAT,NX_cot_SLNhap,ps_hang454)</f>
        <v>0</v>
      </c>
      <c r="K461" s="271">
        <f>DSUM(A1_NHAP_XUAT,NX_cot_SLXuat,ps_hang454)</f>
        <v>0</v>
      </c>
      <c r="L461" s="251"/>
    </row>
    <row r="462" spans="2:12">
      <c r="B462" s="274">
        <v>455</v>
      </c>
      <c r="C462" s="97"/>
      <c r="D462" s="302"/>
      <c r="E462" s="97"/>
      <c r="F462" s="303"/>
      <c r="G462" s="304"/>
      <c r="H462" s="290"/>
      <c r="I462" s="270">
        <f>DSUM(A1_NHAP_XUAT,NX_cot_SLNhap,td_hang455)-DSUM(A1_NHAP_XUAT,NX_cot_SLXuat,td_hang455)+F462</f>
        <v>0</v>
      </c>
      <c r="J462" s="271">
        <f>DSUM(A1_NHAP_XUAT,NX_cot_SLNhap,ps_hang455)</f>
        <v>0</v>
      </c>
      <c r="K462" s="271">
        <f>DSUM(A1_NHAP_XUAT,NX_cot_SLXuat,ps_hang455)</f>
        <v>0</v>
      </c>
      <c r="L462" s="251"/>
    </row>
    <row r="463" spans="2:12">
      <c r="B463" s="274">
        <v>456</v>
      </c>
      <c r="C463" s="97"/>
      <c r="D463" s="302"/>
      <c r="E463" s="97"/>
      <c r="F463" s="303"/>
      <c r="G463" s="304"/>
      <c r="H463" s="290"/>
      <c r="I463" s="270">
        <f>DSUM(A1_NHAP_XUAT,NX_cot_SLNhap,td_hang456)-DSUM(A1_NHAP_XUAT,NX_cot_SLXuat,td_hang456)+F463</f>
        <v>0</v>
      </c>
      <c r="J463" s="271">
        <f>DSUM(A1_NHAP_XUAT,NX_cot_SLNhap,ps_hang456)</f>
        <v>0</v>
      </c>
      <c r="K463" s="271">
        <f>DSUM(A1_NHAP_XUAT,NX_cot_SLXuat,ps_hang456)</f>
        <v>0</v>
      </c>
      <c r="L463" s="251"/>
    </row>
    <row r="464" spans="2:12">
      <c r="B464" s="274">
        <v>457</v>
      </c>
      <c r="C464" s="97"/>
      <c r="D464" s="302"/>
      <c r="E464" s="97"/>
      <c r="F464" s="303"/>
      <c r="G464" s="304"/>
      <c r="H464" s="290"/>
      <c r="I464" s="270">
        <f>DSUM(A1_NHAP_XUAT,NX_cot_SLNhap,td_hang457)-DSUM(A1_NHAP_XUAT,NX_cot_SLXuat,td_hang457)+F464</f>
        <v>0</v>
      </c>
      <c r="J464" s="271">
        <f>DSUM(A1_NHAP_XUAT,NX_cot_SLNhap,ps_hang457)</f>
        <v>0</v>
      </c>
      <c r="K464" s="271">
        <f>DSUM(A1_NHAP_XUAT,NX_cot_SLXuat,ps_hang457)</f>
        <v>0</v>
      </c>
      <c r="L464" s="251"/>
    </row>
    <row r="465" spans="2:12">
      <c r="B465" s="274">
        <v>458</v>
      </c>
      <c r="C465" s="97"/>
      <c r="D465" s="302"/>
      <c r="E465" s="97"/>
      <c r="F465" s="303"/>
      <c r="G465" s="304"/>
      <c r="H465" s="290"/>
      <c r="I465" s="270">
        <f>DSUM(A1_NHAP_XUAT,NX_cot_SLNhap,td_hang458)-DSUM(A1_NHAP_XUAT,NX_cot_SLXuat,td_hang458)+F465</f>
        <v>0</v>
      </c>
      <c r="J465" s="271">
        <f>DSUM(A1_NHAP_XUAT,NX_cot_SLNhap,ps_hang458)</f>
        <v>0</v>
      </c>
      <c r="K465" s="271">
        <f>DSUM(A1_NHAP_XUAT,NX_cot_SLXuat,ps_hang458)</f>
        <v>0</v>
      </c>
      <c r="L465" s="251"/>
    </row>
    <row r="466" spans="2:12">
      <c r="B466" s="274">
        <v>459</v>
      </c>
      <c r="C466" s="97"/>
      <c r="D466" s="302"/>
      <c r="E466" s="97"/>
      <c r="F466" s="303"/>
      <c r="G466" s="304"/>
      <c r="H466" s="290"/>
      <c r="I466" s="270">
        <f>DSUM(A1_NHAP_XUAT,NX_cot_SLNhap,td_hang459)-DSUM(A1_NHAP_XUAT,NX_cot_SLXuat,td_hang459)+F466</f>
        <v>0</v>
      </c>
      <c r="J466" s="271">
        <f>DSUM(A1_NHAP_XUAT,NX_cot_SLNhap,ps_hang459)</f>
        <v>0</v>
      </c>
      <c r="K466" s="271">
        <f>DSUM(A1_NHAP_XUAT,NX_cot_SLXuat,ps_hang459)</f>
        <v>0</v>
      </c>
      <c r="L466" s="251"/>
    </row>
    <row r="467" spans="2:12">
      <c r="B467" s="274">
        <v>460</v>
      </c>
      <c r="C467" s="97"/>
      <c r="D467" s="302"/>
      <c r="E467" s="97"/>
      <c r="F467" s="303"/>
      <c r="G467" s="304"/>
      <c r="H467" s="290"/>
      <c r="I467" s="270">
        <f>DSUM(A1_NHAP_XUAT,NX_cot_SLNhap,td_hang460)-DSUM(A1_NHAP_XUAT,NX_cot_SLXuat,td_hang460)+F467</f>
        <v>0</v>
      </c>
      <c r="J467" s="271">
        <f>DSUM(A1_NHAP_XUAT,NX_cot_SLNhap,ps_hang460)</f>
        <v>0</v>
      </c>
      <c r="K467" s="271">
        <f>DSUM(A1_NHAP_XUAT,NX_cot_SLXuat,ps_hang460)</f>
        <v>0</v>
      </c>
      <c r="L467" s="251"/>
    </row>
    <row r="468" spans="2:12">
      <c r="B468" s="274">
        <v>461</v>
      </c>
      <c r="C468" s="97"/>
      <c r="D468" s="302"/>
      <c r="E468" s="97"/>
      <c r="F468" s="303"/>
      <c r="G468" s="304"/>
      <c r="H468" s="290"/>
      <c r="I468" s="270">
        <f>DSUM(A1_NHAP_XUAT,NX_cot_SLNhap,td_hang461)-DSUM(A1_NHAP_XUAT,NX_cot_SLXuat,td_hang461)+F468</f>
        <v>0</v>
      </c>
      <c r="J468" s="271">
        <f>DSUM(A1_NHAP_XUAT,NX_cot_SLNhap,ps_hang461)</f>
        <v>0</v>
      </c>
      <c r="K468" s="271">
        <f>DSUM(A1_NHAP_XUAT,NX_cot_SLXuat,ps_hang461)</f>
        <v>0</v>
      </c>
      <c r="L468" s="251"/>
    </row>
    <row r="469" spans="2:12">
      <c r="B469" s="274">
        <v>462</v>
      </c>
      <c r="C469" s="97"/>
      <c r="D469" s="302"/>
      <c r="E469" s="97"/>
      <c r="F469" s="303"/>
      <c r="G469" s="304"/>
      <c r="H469" s="290"/>
      <c r="I469" s="270">
        <f>DSUM(A1_NHAP_XUAT,NX_cot_SLNhap,td_hang462)-DSUM(A1_NHAP_XUAT,NX_cot_SLXuat,td_hang462)+F469</f>
        <v>0</v>
      </c>
      <c r="J469" s="271">
        <f>DSUM(A1_NHAP_XUAT,NX_cot_SLNhap,ps_hang462)</f>
        <v>0</v>
      </c>
      <c r="K469" s="271">
        <f>DSUM(A1_NHAP_XUAT,NX_cot_SLXuat,ps_hang462)</f>
        <v>0</v>
      </c>
      <c r="L469" s="251"/>
    </row>
    <row r="470" spans="2:12">
      <c r="B470" s="274">
        <v>463</v>
      </c>
      <c r="C470" s="97"/>
      <c r="D470" s="302"/>
      <c r="E470" s="97"/>
      <c r="F470" s="303"/>
      <c r="G470" s="304"/>
      <c r="H470" s="290"/>
      <c r="I470" s="270">
        <f>DSUM(A1_NHAP_XUAT,NX_cot_SLNhap,td_hang463)-DSUM(A1_NHAP_XUAT,NX_cot_SLXuat,td_hang463)+F470</f>
        <v>0</v>
      </c>
      <c r="J470" s="271">
        <f>DSUM(A1_NHAP_XUAT,NX_cot_SLNhap,ps_hang463)</f>
        <v>0</v>
      </c>
      <c r="K470" s="271">
        <f>DSUM(A1_NHAP_XUAT,NX_cot_SLXuat,ps_hang463)</f>
        <v>0</v>
      </c>
      <c r="L470" s="251"/>
    </row>
    <row r="471" spans="2:12">
      <c r="B471" s="274">
        <v>464</v>
      </c>
      <c r="C471" s="97"/>
      <c r="D471" s="302"/>
      <c r="E471" s="97"/>
      <c r="F471" s="303"/>
      <c r="G471" s="304"/>
      <c r="H471" s="290"/>
      <c r="I471" s="270">
        <f>DSUM(A1_NHAP_XUAT,NX_cot_SLNhap,td_hang464)-DSUM(A1_NHAP_XUAT,NX_cot_SLXuat,td_hang464)+F471</f>
        <v>0</v>
      </c>
      <c r="J471" s="271">
        <f>DSUM(A1_NHAP_XUAT,NX_cot_SLNhap,ps_hang464)</f>
        <v>0</v>
      </c>
      <c r="K471" s="271">
        <f>DSUM(A1_NHAP_XUAT,NX_cot_SLXuat,ps_hang464)</f>
        <v>0</v>
      </c>
      <c r="L471" s="251"/>
    </row>
    <row r="472" spans="2:12">
      <c r="B472" s="274">
        <v>465</v>
      </c>
      <c r="C472" s="97"/>
      <c r="D472" s="302"/>
      <c r="E472" s="97"/>
      <c r="F472" s="303"/>
      <c r="G472" s="304"/>
      <c r="H472" s="290"/>
      <c r="I472" s="270">
        <f>DSUM(A1_NHAP_XUAT,NX_cot_SLNhap,td_hang465)-DSUM(A1_NHAP_XUAT,NX_cot_SLXuat,td_hang465)+F472</f>
        <v>0</v>
      </c>
      <c r="J472" s="271">
        <f>DSUM(A1_NHAP_XUAT,NX_cot_SLNhap,ps_hang465)</f>
        <v>0</v>
      </c>
      <c r="K472" s="271">
        <f>DSUM(A1_NHAP_XUAT,NX_cot_SLXuat,ps_hang465)</f>
        <v>0</v>
      </c>
      <c r="L472" s="251"/>
    </row>
    <row r="473" spans="2:12">
      <c r="B473" s="274">
        <v>466</v>
      </c>
      <c r="C473" s="97"/>
      <c r="D473" s="302"/>
      <c r="E473" s="97"/>
      <c r="F473" s="303"/>
      <c r="G473" s="304"/>
      <c r="H473" s="290"/>
      <c r="I473" s="270">
        <f>DSUM(A1_NHAP_XUAT,NX_cot_SLNhap,td_hang466)-DSUM(A1_NHAP_XUAT,NX_cot_SLXuat,td_hang466)+F473</f>
        <v>0</v>
      </c>
      <c r="J473" s="271">
        <f>DSUM(A1_NHAP_XUAT,NX_cot_SLNhap,ps_hang466)</f>
        <v>0</v>
      </c>
      <c r="K473" s="271">
        <f>DSUM(A1_NHAP_XUAT,NX_cot_SLXuat,ps_hang466)</f>
        <v>0</v>
      </c>
      <c r="L473" s="251"/>
    </row>
    <row r="474" spans="2:12">
      <c r="B474" s="274">
        <v>467</v>
      </c>
      <c r="C474" s="97"/>
      <c r="D474" s="302"/>
      <c r="E474" s="97"/>
      <c r="F474" s="303"/>
      <c r="G474" s="304"/>
      <c r="H474" s="290"/>
      <c r="I474" s="270">
        <f>DSUM(A1_NHAP_XUAT,NX_cot_SLNhap,td_hang467)-DSUM(A1_NHAP_XUAT,NX_cot_SLXuat,td_hang467)+F474</f>
        <v>0</v>
      </c>
      <c r="J474" s="271">
        <f>DSUM(A1_NHAP_XUAT,NX_cot_SLNhap,ps_hang467)</f>
        <v>0</v>
      </c>
      <c r="K474" s="271">
        <f>DSUM(A1_NHAP_XUAT,NX_cot_SLXuat,ps_hang467)</f>
        <v>0</v>
      </c>
      <c r="L474" s="251"/>
    </row>
    <row r="475" spans="2:12">
      <c r="B475" s="274">
        <v>468</v>
      </c>
      <c r="C475" s="97"/>
      <c r="D475" s="302"/>
      <c r="E475" s="97"/>
      <c r="F475" s="303"/>
      <c r="G475" s="304"/>
      <c r="H475" s="290"/>
      <c r="I475" s="270">
        <f>DSUM(A1_NHAP_XUAT,NX_cot_SLNhap,td_hang468)-DSUM(A1_NHAP_XUAT,NX_cot_SLXuat,td_hang468)+F475</f>
        <v>0</v>
      </c>
      <c r="J475" s="271">
        <f>DSUM(A1_NHAP_XUAT,NX_cot_SLNhap,ps_hang468)</f>
        <v>0</v>
      </c>
      <c r="K475" s="271">
        <f>DSUM(A1_NHAP_XUAT,NX_cot_SLXuat,ps_hang468)</f>
        <v>0</v>
      </c>
      <c r="L475" s="251"/>
    </row>
    <row r="476" spans="2:12">
      <c r="B476" s="274">
        <v>469</v>
      </c>
      <c r="C476" s="97"/>
      <c r="D476" s="302"/>
      <c r="E476" s="97"/>
      <c r="F476" s="303"/>
      <c r="G476" s="304"/>
      <c r="H476" s="290"/>
      <c r="I476" s="270">
        <f>DSUM(A1_NHAP_XUAT,NX_cot_SLNhap,td_hang469)-DSUM(A1_NHAP_XUAT,NX_cot_SLXuat,td_hang469)+F476</f>
        <v>0</v>
      </c>
      <c r="J476" s="271">
        <f>DSUM(A1_NHAP_XUAT,NX_cot_SLNhap,ps_hang469)</f>
        <v>0</v>
      </c>
      <c r="K476" s="271">
        <f>DSUM(A1_NHAP_XUAT,NX_cot_SLXuat,ps_hang469)</f>
        <v>0</v>
      </c>
      <c r="L476" s="251"/>
    </row>
    <row r="477" spans="2:12">
      <c r="B477" s="274">
        <v>470</v>
      </c>
      <c r="C477" s="97"/>
      <c r="D477" s="302"/>
      <c r="E477" s="97"/>
      <c r="F477" s="303"/>
      <c r="G477" s="304"/>
      <c r="H477" s="290"/>
      <c r="I477" s="270">
        <f>DSUM(A1_NHAP_XUAT,NX_cot_SLNhap,td_hang470)-DSUM(A1_NHAP_XUAT,NX_cot_SLXuat,td_hang470)+F477</f>
        <v>0</v>
      </c>
      <c r="J477" s="271">
        <f>DSUM(A1_NHAP_XUAT,NX_cot_SLNhap,ps_hang470)</f>
        <v>0</v>
      </c>
      <c r="K477" s="271">
        <f>DSUM(A1_NHAP_XUAT,NX_cot_SLXuat,ps_hang470)</f>
        <v>0</v>
      </c>
      <c r="L477" s="251"/>
    </row>
    <row r="478" spans="2:12">
      <c r="B478" s="274">
        <v>471</v>
      </c>
      <c r="C478" s="97"/>
      <c r="D478" s="302"/>
      <c r="E478" s="97"/>
      <c r="F478" s="303"/>
      <c r="G478" s="304"/>
      <c r="H478" s="290"/>
      <c r="I478" s="270">
        <f>DSUM(A1_NHAP_XUAT,NX_cot_SLNhap,td_hang471)-DSUM(A1_NHAP_XUAT,NX_cot_SLXuat,td_hang471)+F478</f>
        <v>0</v>
      </c>
      <c r="J478" s="271">
        <f>DSUM(A1_NHAP_XUAT,NX_cot_SLNhap,ps_hang471)</f>
        <v>0</v>
      </c>
      <c r="K478" s="271">
        <f>DSUM(A1_NHAP_XUAT,NX_cot_SLXuat,ps_hang471)</f>
        <v>0</v>
      </c>
      <c r="L478" s="251"/>
    </row>
    <row r="479" spans="2:12">
      <c r="B479" s="274">
        <v>472</v>
      </c>
      <c r="C479" s="97"/>
      <c r="D479" s="302"/>
      <c r="E479" s="97"/>
      <c r="F479" s="303"/>
      <c r="G479" s="304"/>
      <c r="H479" s="290"/>
      <c r="I479" s="270">
        <f>DSUM(A1_NHAP_XUAT,NX_cot_SLNhap,td_hang472)-DSUM(A1_NHAP_XUAT,NX_cot_SLXuat,td_hang472)+F479</f>
        <v>0</v>
      </c>
      <c r="J479" s="271">
        <f>DSUM(A1_NHAP_XUAT,NX_cot_SLNhap,ps_hang472)</f>
        <v>0</v>
      </c>
      <c r="K479" s="271">
        <f>DSUM(A1_NHAP_XUAT,NX_cot_SLXuat,ps_hang472)</f>
        <v>0</v>
      </c>
      <c r="L479" s="251"/>
    </row>
    <row r="480" spans="2:12">
      <c r="B480" s="274">
        <v>473</v>
      </c>
      <c r="C480" s="97"/>
      <c r="D480" s="302"/>
      <c r="E480" s="97"/>
      <c r="F480" s="303"/>
      <c r="G480" s="304"/>
      <c r="H480" s="290"/>
      <c r="I480" s="270">
        <f>DSUM(A1_NHAP_XUAT,NX_cot_SLNhap,td_hang473)-DSUM(A1_NHAP_XUAT,NX_cot_SLXuat,td_hang473)+F480</f>
        <v>0</v>
      </c>
      <c r="J480" s="271">
        <f>DSUM(A1_NHAP_XUAT,NX_cot_SLNhap,ps_hang473)</f>
        <v>0</v>
      </c>
      <c r="K480" s="271">
        <f>DSUM(A1_NHAP_XUAT,NX_cot_SLXuat,ps_hang473)</f>
        <v>0</v>
      </c>
      <c r="L480" s="251"/>
    </row>
    <row r="481" spans="2:12">
      <c r="B481" s="274">
        <v>474</v>
      </c>
      <c r="C481" s="97"/>
      <c r="D481" s="302"/>
      <c r="E481" s="97"/>
      <c r="F481" s="303"/>
      <c r="G481" s="304"/>
      <c r="H481" s="290"/>
      <c r="I481" s="270">
        <f>DSUM(A1_NHAP_XUAT,NX_cot_SLNhap,td_hang474)-DSUM(A1_NHAP_XUAT,NX_cot_SLXuat,td_hang474)+F481</f>
        <v>0</v>
      </c>
      <c r="J481" s="271">
        <f>DSUM(A1_NHAP_XUAT,NX_cot_SLNhap,ps_hang474)</f>
        <v>0</v>
      </c>
      <c r="K481" s="271">
        <f>DSUM(A1_NHAP_XUAT,NX_cot_SLXuat,ps_hang474)</f>
        <v>0</v>
      </c>
      <c r="L481" s="251"/>
    </row>
    <row r="482" spans="2:12">
      <c r="B482" s="274">
        <v>475</v>
      </c>
      <c r="C482" s="97"/>
      <c r="D482" s="302"/>
      <c r="E482" s="97"/>
      <c r="F482" s="303"/>
      <c r="G482" s="304"/>
      <c r="H482" s="290"/>
      <c r="I482" s="270">
        <f>DSUM(A1_NHAP_XUAT,NX_cot_SLNhap,td_hang475)-DSUM(A1_NHAP_XUAT,NX_cot_SLXuat,td_hang475)+F482</f>
        <v>0</v>
      </c>
      <c r="J482" s="271">
        <f>DSUM(A1_NHAP_XUAT,NX_cot_SLNhap,ps_hang475)</f>
        <v>0</v>
      </c>
      <c r="K482" s="271">
        <f>DSUM(A1_NHAP_XUAT,NX_cot_SLXuat,ps_hang475)</f>
        <v>0</v>
      </c>
      <c r="L482" s="251"/>
    </row>
    <row r="483" spans="2:12">
      <c r="B483" s="274">
        <v>476</v>
      </c>
      <c r="C483" s="97"/>
      <c r="D483" s="302"/>
      <c r="E483" s="97"/>
      <c r="F483" s="303"/>
      <c r="G483" s="304"/>
      <c r="H483" s="290"/>
      <c r="I483" s="270">
        <f>DSUM(A1_NHAP_XUAT,NX_cot_SLNhap,td_hang476)-DSUM(A1_NHAP_XUAT,NX_cot_SLXuat,td_hang476)+F483</f>
        <v>0</v>
      </c>
      <c r="J483" s="271">
        <f>DSUM(A1_NHAP_XUAT,NX_cot_SLNhap,ps_hang476)</f>
        <v>0</v>
      </c>
      <c r="K483" s="271">
        <f>DSUM(A1_NHAP_XUAT,NX_cot_SLXuat,ps_hang476)</f>
        <v>0</v>
      </c>
      <c r="L483" s="251"/>
    </row>
    <row r="484" spans="2:12">
      <c r="B484" s="274">
        <v>477</v>
      </c>
      <c r="C484" s="97"/>
      <c r="D484" s="302"/>
      <c r="E484" s="97"/>
      <c r="F484" s="303"/>
      <c r="G484" s="304"/>
      <c r="H484" s="290"/>
      <c r="I484" s="270">
        <f>DSUM(A1_NHAP_XUAT,NX_cot_SLNhap,td_hang477)-DSUM(A1_NHAP_XUAT,NX_cot_SLXuat,td_hang477)+F484</f>
        <v>0</v>
      </c>
      <c r="J484" s="271">
        <f>DSUM(A1_NHAP_XUAT,NX_cot_SLNhap,ps_hang477)</f>
        <v>0</v>
      </c>
      <c r="K484" s="271">
        <f>DSUM(A1_NHAP_XUAT,NX_cot_SLXuat,ps_hang477)</f>
        <v>0</v>
      </c>
      <c r="L484" s="251"/>
    </row>
    <row r="485" spans="2:12">
      <c r="B485" s="274">
        <v>478</v>
      </c>
      <c r="C485" s="97"/>
      <c r="D485" s="302"/>
      <c r="E485" s="97"/>
      <c r="F485" s="303"/>
      <c r="G485" s="304"/>
      <c r="H485" s="290"/>
      <c r="I485" s="270">
        <f>DSUM(A1_NHAP_XUAT,NX_cot_SLNhap,td_hang478)-DSUM(A1_NHAP_XUAT,NX_cot_SLXuat,td_hang478)+F485</f>
        <v>0</v>
      </c>
      <c r="J485" s="271">
        <f>DSUM(A1_NHAP_XUAT,NX_cot_SLNhap,ps_hang478)</f>
        <v>0</v>
      </c>
      <c r="K485" s="271">
        <f>DSUM(A1_NHAP_XUAT,NX_cot_SLXuat,ps_hang478)</f>
        <v>0</v>
      </c>
      <c r="L485" s="251"/>
    </row>
    <row r="486" spans="2:12">
      <c r="B486" s="274">
        <v>479</v>
      </c>
      <c r="C486" s="97"/>
      <c r="D486" s="302"/>
      <c r="E486" s="97"/>
      <c r="F486" s="303"/>
      <c r="G486" s="304"/>
      <c r="H486" s="290"/>
      <c r="I486" s="270">
        <f>DSUM(A1_NHAP_XUAT,NX_cot_SLNhap,td_hang479)-DSUM(A1_NHAP_XUAT,NX_cot_SLXuat,td_hang479)+F486</f>
        <v>0</v>
      </c>
      <c r="J486" s="271">
        <f>DSUM(A1_NHAP_XUAT,NX_cot_SLNhap,ps_hang479)</f>
        <v>0</v>
      </c>
      <c r="K486" s="271">
        <f>DSUM(A1_NHAP_XUAT,NX_cot_SLXuat,ps_hang479)</f>
        <v>0</v>
      </c>
      <c r="L486" s="251"/>
    </row>
    <row r="487" spans="2:12">
      <c r="B487" s="274">
        <v>480</v>
      </c>
      <c r="C487" s="97"/>
      <c r="D487" s="302"/>
      <c r="E487" s="97"/>
      <c r="F487" s="303"/>
      <c r="G487" s="304"/>
      <c r="H487" s="290"/>
      <c r="I487" s="270">
        <f>DSUM(A1_NHAP_XUAT,NX_cot_SLNhap,td_hang480)-DSUM(A1_NHAP_XUAT,NX_cot_SLXuat,td_hang480)+F487</f>
        <v>0</v>
      </c>
      <c r="J487" s="271">
        <f>DSUM(A1_NHAP_XUAT,NX_cot_SLNhap,ps_hang480)</f>
        <v>0</v>
      </c>
      <c r="K487" s="271">
        <f>DSUM(A1_NHAP_XUAT,NX_cot_SLXuat,ps_hang480)</f>
        <v>0</v>
      </c>
      <c r="L487" s="251"/>
    </row>
    <row r="488" spans="2:12">
      <c r="B488" s="274">
        <v>481</v>
      </c>
      <c r="C488" s="97"/>
      <c r="D488" s="302"/>
      <c r="E488" s="97"/>
      <c r="F488" s="303"/>
      <c r="G488" s="304"/>
      <c r="H488" s="290"/>
      <c r="I488" s="270">
        <f>DSUM(A1_NHAP_XUAT,NX_cot_SLNhap,td_hang481)-DSUM(A1_NHAP_XUAT,NX_cot_SLXuat,td_hang481)+F488</f>
        <v>0</v>
      </c>
      <c r="J488" s="271">
        <f>DSUM(A1_NHAP_XUAT,NX_cot_SLNhap,ps_hang481)</f>
        <v>0</v>
      </c>
      <c r="K488" s="271">
        <f>DSUM(A1_NHAP_XUAT,NX_cot_SLXuat,ps_hang481)</f>
        <v>0</v>
      </c>
      <c r="L488" s="251"/>
    </row>
    <row r="489" spans="2:12">
      <c r="B489" s="274">
        <v>482</v>
      </c>
      <c r="C489" s="97"/>
      <c r="D489" s="302"/>
      <c r="E489" s="97"/>
      <c r="F489" s="303"/>
      <c r="G489" s="304"/>
      <c r="H489" s="290"/>
      <c r="I489" s="270">
        <f>DSUM(A1_NHAP_XUAT,NX_cot_SLNhap,td_hang482)-DSUM(A1_NHAP_XUAT,NX_cot_SLXuat,td_hang482)+F489</f>
        <v>0</v>
      </c>
      <c r="J489" s="271">
        <f>DSUM(A1_NHAP_XUAT,NX_cot_SLNhap,ps_hang482)</f>
        <v>0</v>
      </c>
      <c r="K489" s="271">
        <f>DSUM(A1_NHAP_XUAT,NX_cot_SLXuat,ps_hang482)</f>
        <v>0</v>
      </c>
      <c r="L489" s="251"/>
    </row>
    <row r="490" spans="2:12">
      <c r="B490" s="274">
        <v>483</v>
      </c>
      <c r="C490" s="97"/>
      <c r="D490" s="302"/>
      <c r="E490" s="97"/>
      <c r="F490" s="303"/>
      <c r="G490" s="304"/>
      <c r="H490" s="290"/>
      <c r="I490" s="270">
        <f>DSUM(A1_NHAP_XUAT,NX_cot_SLNhap,td_hang483)-DSUM(A1_NHAP_XUAT,NX_cot_SLXuat,td_hang483)+F490</f>
        <v>0</v>
      </c>
      <c r="J490" s="271">
        <f>DSUM(A1_NHAP_XUAT,NX_cot_SLNhap,ps_hang483)</f>
        <v>0</v>
      </c>
      <c r="K490" s="271">
        <f>DSUM(A1_NHAP_XUAT,NX_cot_SLXuat,ps_hang483)</f>
        <v>0</v>
      </c>
      <c r="L490" s="251"/>
    </row>
    <row r="491" spans="2:12">
      <c r="B491" s="274">
        <v>484</v>
      </c>
      <c r="C491" s="97"/>
      <c r="D491" s="302"/>
      <c r="E491" s="97"/>
      <c r="F491" s="303"/>
      <c r="G491" s="304"/>
      <c r="H491" s="290"/>
      <c r="I491" s="270">
        <f>DSUM(A1_NHAP_XUAT,NX_cot_SLNhap,td_hang484)-DSUM(A1_NHAP_XUAT,NX_cot_SLXuat,td_hang484)+F491</f>
        <v>0</v>
      </c>
      <c r="J491" s="271">
        <f>DSUM(A1_NHAP_XUAT,NX_cot_SLNhap,ps_hang484)</f>
        <v>0</v>
      </c>
      <c r="K491" s="271">
        <f>DSUM(A1_NHAP_XUAT,NX_cot_SLXuat,ps_hang484)</f>
        <v>0</v>
      </c>
      <c r="L491" s="251"/>
    </row>
    <row r="492" spans="2:12">
      <c r="B492" s="274">
        <v>485</v>
      </c>
      <c r="C492" s="97"/>
      <c r="D492" s="302"/>
      <c r="E492" s="97"/>
      <c r="F492" s="303"/>
      <c r="G492" s="304"/>
      <c r="H492" s="290"/>
      <c r="I492" s="270">
        <f>DSUM(A1_NHAP_XUAT,NX_cot_SLNhap,td_hang485)-DSUM(A1_NHAP_XUAT,NX_cot_SLXuat,td_hang485)+F492</f>
        <v>0</v>
      </c>
      <c r="J492" s="271">
        <f>DSUM(A1_NHAP_XUAT,NX_cot_SLNhap,ps_hang485)</f>
        <v>0</v>
      </c>
      <c r="K492" s="271">
        <f>DSUM(A1_NHAP_XUAT,NX_cot_SLXuat,ps_hang485)</f>
        <v>0</v>
      </c>
      <c r="L492" s="251"/>
    </row>
    <row r="493" spans="2:12">
      <c r="B493" s="274">
        <v>486</v>
      </c>
      <c r="C493" s="97"/>
      <c r="D493" s="302"/>
      <c r="E493" s="97"/>
      <c r="F493" s="303"/>
      <c r="G493" s="304"/>
      <c r="H493" s="290"/>
      <c r="I493" s="270">
        <f>DSUM(A1_NHAP_XUAT,NX_cot_SLNhap,td_hang486)-DSUM(A1_NHAP_XUAT,NX_cot_SLXuat,td_hang486)+F493</f>
        <v>0</v>
      </c>
      <c r="J493" s="271">
        <f>DSUM(A1_NHAP_XUAT,NX_cot_SLNhap,ps_hang486)</f>
        <v>0</v>
      </c>
      <c r="K493" s="271">
        <f>DSUM(A1_NHAP_XUAT,NX_cot_SLXuat,ps_hang486)</f>
        <v>0</v>
      </c>
      <c r="L493" s="251"/>
    </row>
    <row r="494" spans="2:12">
      <c r="B494" s="274">
        <v>487</v>
      </c>
      <c r="C494" s="97"/>
      <c r="D494" s="302"/>
      <c r="E494" s="97"/>
      <c r="F494" s="303"/>
      <c r="G494" s="304"/>
      <c r="H494" s="290"/>
      <c r="I494" s="270">
        <f>DSUM(A1_NHAP_XUAT,NX_cot_SLNhap,td_hang487)-DSUM(A1_NHAP_XUAT,NX_cot_SLXuat,td_hang487)+F494</f>
        <v>0</v>
      </c>
      <c r="J494" s="271">
        <f>DSUM(A1_NHAP_XUAT,NX_cot_SLNhap,ps_hang487)</f>
        <v>0</v>
      </c>
      <c r="K494" s="271">
        <f>DSUM(A1_NHAP_XUAT,NX_cot_SLXuat,ps_hang487)</f>
        <v>0</v>
      </c>
      <c r="L494" s="251"/>
    </row>
    <row r="495" spans="2:12">
      <c r="B495" s="274">
        <v>488</v>
      </c>
      <c r="C495" s="97"/>
      <c r="D495" s="302"/>
      <c r="E495" s="97"/>
      <c r="F495" s="303"/>
      <c r="G495" s="304"/>
      <c r="H495" s="290"/>
      <c r="I495" s="270">
        <f>DSUM(A1_NHAP_XUAT,NX_cot_SLNhap,td_hang488)-DSUM(A1_NHAP_XUAT,NX_cot_SLXuat,td_hang488)+F495</f>
        <v>0</v>
      </c>
      <c r="J495" s="271">
        <f>DSUM(A1_NHAP_XUAT,NX_cot_SLNhap,ps_hang488)</f>
        <v>0</v>
      </c>
      <c r="K495" s="271">
        <f>DSUM(A1_NHAP_XUAT,NX_cot_SLXuat,ps_hang488)</f>
        <v>0</v>
      </c>
      <c r="L495" s="251"/>
    </row>
    <row r="496" spans="2:12">
      <c r="B496" s="274">
        <v>489</v>
      </c>
      <c r="C496" s="97"/>
      <c r="D496" s="302"/>
      <c r="E496" s="97"/>
      <c r="F496" s="303"/>
      <c r="G496" s="304"/>
      <c r="H496" s="290"/>
      <c r="I496" s="270">
        <f>DSUM(A1_NHAP_XUAT,NX_cot_SLNhap,td_hang489)-DSUM(A1_NHAP_XUAT,NX_cot_SLXuat,td_hang489)+F496</f>
        <v>0</v>
      </c>
      <c r="J496" s="271">
        <f>DSUM(A1_NHAP_XUAT,NX_cot_SLNhap,ps_hang489)</f>
        <v>0</v>
      </c>
      <c r="K496" s="271">
        <f>DSUM(A1_NHAP_XUAT,NX_cot_SLXuat,ps_hang489)</f>
        <v>0</v>
      </c>
      <c r="L496" s="251"/>
    </row>
    <row r="497" spans="2:12">
      <c r="B497" s="274">
        <v>490</v>
      </c>
      <c r="C497" s="97"/>
      <c r="D497" s="302"/>
      <c r="E497" s="97"/>
      <c r="F497" s="303"/>
      <c r="G497" s="304"/>
      <c r="H497" s="290"/>
      <c r="I497" s="270">
        <f>DSUM(A1_NHAP_XUAT,NX_cot_SLNhap,td_hang490)-DSUM(A1_NHAP_XUAT,NX_cot_SLXuat,td_hang490)+F497</f>
        <v>0</v>
      </c>
      <c r="J497" s="271">
        <f>DSUM(A1_NHAP_XUAT,NX_cot_SLNhap,ps_hang490)</f>
        <v>0</v>
      </c>
      <c r="K497" s="271">
        <f>DSUM(A1_NHAP_XUAT,NX_cot_SLXuat,ps_hang490)</f>
        <v>0</v>
      </c>
      <c r="L497" s="251"/>
    </row>
    <row r="498" spans="2:12">
      <c r="B498" s="274">
        <v>491</v>
      </c>
      <c r="C498" s="97"/>
      <c r="D498" s="302"/>
      <c r="E498" s="97"/>
      <c r="F498" s="303"/>
      <c r="G498" s="304"/>
      <c r="H498" s="290"/>
      <c r="I498" s="270">
        <f>DSUM(A1_NHAP_XUAT,NX_cot_SLNhap,td_hang491)-DSUM(A1_NHAP_XUAT,NX_cot_SLXuat,td_hang491)+F498</f>
        <v>0</v>
      </c>
      <c r="J498" s="271">
        <f>DSUM(A1_NHAP_XUAT,NX_cot_SLNhap,ps_hang491)</f>
        <v>0</v>
      </c>
      <c r="K498" s="271">
        <f>DSUM(A1_NHAP_XUAT,NX_cot_SLXuat,ps_hang491)</f>
        <v>0</v>
      </c>
      <c r="L498" s="251"/>
    </row>
    <row r="499" spans="2:12">
      <c r="B499" s="274">
        <v>492</v>
      </c>
      <c r="C499" s="97"/>
      <c r="D499" s="302"/>
      <c r="E499" s="97"/>
      <c r="F499" s="303"/>
      <c r="G499" s="304"/>
      <c r="H499" s="290"/>
      <c r="I499" s="270">
        <f>DSUM(A1_NHAP_XUAT,NX_cot_SLNhap,td_hang492)-DSUM(A1_NHAP_XUAT,NX_cot_SLXuat,td_hang492)+F499</f>
        <v>0</v>
      </c>
      <c r="J499" s="271">
        <f>DSUM(A1_NHAP_XUAT,NX_cot_SLNhap,ps_hang492)</f>
        <v>0</v>
      </c>
      <c r="K499" s="271">
        <f>DSUM(A1_NHAP_XUAT,NX_cot_SLXuat,ps_hang492)</f>
        <v>0</v>
      </c>
      <c r="L499" s="251"/>
    </row>
    <row r="500" spans="2:12">
      <c r="B500" s="274">
        <v>493</v>
      </c>
      <c r="C500" s="97"/>
      <c r="D500" s="302"/>
      <c r="E500" s="97"/>
      <c r="F500" s="303"/>
      <c r="G500" s="304"/>
      <c r="H500" s="290"/>
      <c r="I500" s="270">
        <f>DSUM(A1_NHAP_XUAT,NX_cot_SLNhap,td_hang493)-DSUM(A1_NHAP_XUAT,NX_cot_SLXuat,td_hang493)+F500</f>
        <v>0</v>
      </c>
      <c r="J500" s="271">
        <f>DSUM(A1_NHAP_XUAT,NX_cot_SLNhap,ps_hang493)</f>
        <v>0</v>
      </c>
      <c r="K500" s="271">
        <f>DSUM(A1_NHAP_XUAT,NX_cot_SLXuat,ps_hang493)</f>
        <v>0</v>
      </c>
      <c r="L500" s="251"/>
    </row>
    <row r="501" spans="2:12">
      <c r="B501" s="274">
        <v>494</v>
      </c>
      <c r="C501" s="97"/>
      <c r="D501" s="302"/>
      <c r="E501" s="97"/>
      <c r="F501" s="303"/>
      <c r="G501" s="304"/>
      <c r="H501" s="290"/>
      <c r="I501" s="270">
        <f>DSUM(A1_NHAP_XUAT,NX_cot_SLNhap,td_hang494)-DSUM(A1_NHAP_XUAT,NX_cot_SLXuat,td_hang494)+F501</f>
        <v>0</v>
      </c>
      <c r="J501" s="271">
        <f>DSUM(A1_NHAP_XUAT,NX_cot_SLNhap,ps_hang494)</f>
        <v>0</v>
      </c>
      <c r="K501" s="271">
        <f>DSUM(A1_NHAP_XUAT,NX_cot_SLXuat,ps_hang494)</f>
        <v>0</v>
      </c>
      <c r="L501" s="251"/>
    </row>
    <row r="502" spans="2:12">
      <c r="B502" s="274">
        <v>495</v>
      </c>
      <c r="C502" s="97"/>
      <c r="D502" s="302"/>
      <c r="E502" s="97"/>
      <c r="F502" s="303"/>
      <c r="G502" s="304"/>
      <c r="H502" s="290"/>
      <c r="I502" s="270">
        <f>DSUM(A1_NHAP_XUAT,NX_cot_SLNhap,td_hang495)-DSUM(A1_NHAP_XUAT,NX_cot_SLXuat,td_hang495)+F502</f>
        <v>0</v>
      </c>
      <c r="J502" s="271">
        <f>DSUM(A1_NHAP_XUAT,NX_cot_SLNhap,ps_hang495)</f>
        <v>0</v>
      </c>
      <c r="K502" s="271">
        <f>DSUM(A1_NHAP_XUAT,NX_cot_SLXuat,ps_hang495)</f>
        <v>0</v>
      </c>
      <c r="L502" s="251"/>
    </row>
    <row r="503" spans="2:12">
      <c r="B503" s="274">
        <v>496</v>
      </c>
      <c r="C503" s="97"/>
      <c r="D503" s="302"/>
      <c r="E503" s="97"/>
      <c r="F503" s="303"/>
      <c r="G503" s="304"/>
      <c r="H503" s="290"/>
      <c r="I503" s="270">
        <f>DSUM(A1_NHAP_XUAT,NX_cot_SLNhap,td_hang496)-DSUM(A1_NHAP_XUAT,NX_cot_SLXuat,td_hang496)+F503</f>
        <v>0</v>
      </c>
      <c r="J503" s="271">
        <f>DSUM(A1_NHAP_XUAT,NX_cot_SLNhap,ps_hang496)</f>
        <v>0</v>
      </c>
      <c r="K503" s="271">
        <f>DSUM(A1_NHAP_XUAT,NX_cot_SLXuat,ps_hang496)</f>
        <v>0</v>
      </c>
      <c r="L503" s="251"/>
    </row>
    <row r="504" spans="2:12">
      <c r="B504" s="274">
        <v>497</v>
      </c>
      <c r="C504" s="97"/>
      <c r="D504" s="302"/>
      <c r="E504" s="97"/>
      <c r="F504" s="303"/>
      <c r="G504" s="304"/>
      <c r="H504" s="290"/>
      <c r="I504" s="270">
        <f>DSUM(A1_NHAP_XUAT,NX_cot_SLNhap,td_hang497)-DSUM(A1_NHAP_XUAT,NX_cot_SLXuat,td_hang497)+F504</f>
        <v>0</v>
      </c>
      <c r="J504" s="271">
        <f>DSUM(A1_NHAP_XUAT,NX_cot_SLNhap,ps_hang497)</f>
        <v>0</v>
      </c>
      <c r="K504" s="271">
        <f>DSUM(A1_NHAP_XUAT,NX_cot_SLXuat,ps_hang497)</f>
        <v>0</v>
      </c>
      <c r="L504" s="251"/>
    </row>
    <row r="505" spans="2:12">
      <c r="B505" s="274">
        <v>498</v>
      </c>
      <c r="C505" s="97"/>
      <c r="D505" s="302"/>
      <c r="E505" s="97"/>
      <c r="F505" s="303"/>
      <c r="G505" s="304"/>
      <c r="H505" s="290"/>
      <c r="I505" s="270">
        <f>DSUM(A1_NHAP_XUAT,NX_cot_SLNhap,td_hang498)-DSUM(A1_NHAP_XUAT,NX_cot_SLXuat,td_hang498)+F505</f>
        <v>0</v>
      </c>
      <c r="J505" s="271">
        <f>DSUM(A1_NHAP_XUAT,NX_cot_SLNhap,ps_hang498)</f>
        <v>0</v>
      </c>
      <c r="K505" s="271">
        <f>DSUM(A1_NHAP_XUAT,NX_cot_SLXuat,ps_hang498)</f>
        <v>0</v>
      </c>
      <c r="L505" s="251"/>
    </row>
    <row r="506" spans="2:12">
      <c r="B506" s="274">
        <v>499</v>
      </c>
      <c r="C506" s="97"/>
      <c r="D506" s="302"/>
      <c r="E506" s="97"/>
      <c r="F506" s="303"/>
      <c r="G506" s="304"/>
      <c r="H506" s="290"/>
      <c r="I506" s="270">
        <f>DSUM(A1_NHAP_XUAT,NX_cot_SLNhap,td_hang499)-DSUM(A1_NHAP_XUAT,NX_cot_SLXuat,td_hang499)+F506</f>
        <v>0</v>
      </c>
      <c r="J506" s="271">
        <f>DSUM(A1_NHAP_XUAT,NX_cot_SLNhap,ps_hang499)</f>
        <v>0</v>
      </c>
      <c r="K506" s="271">
        <f>DSUM(A1_NHAP_XUAT,NX_cot_SLXuat,ps_hang499)</f>
        <v>0</v>
      </c>
      <c r="L506" s="251"/>
    </row>
    <row r="507" spans="2:12">
      <c r="B507" s="305">
        <v>500</v>
      </c>
      <c r="C507" s="306"/>
      <c r="D507" s="307"/>
      <c r="E507" s="306"/>
      <c r="F507" s="308"/>
      <c r="G507" s="309"/>
      <c r="H507" s="310"/>
      <c r="I507" s="270">
        <f>DSUM(A1_NHAP_XUAT,NX_cot_SLNhap,td_hang500)-DSUM(A1_NHAP_XUAT,NX_cot_SLXuat,td_hang500)+F507</f>
        <v>0</v>
      </c>
      <c r="J507" s="271">
        <f>DSUM(A1_NHAP_XUAT,NX_cot_SLNhap,ps_hang500)</f>
        <v>0</v>
      </c>
      <c r="K507" s="271">
        <f>DSUM(A1_NHAP_XUAT,NX_cot_SLXuat,ps_hang500)</f>
        <v>0</v>
      </c>
      <c r="L507" s="251"/>
    </row>
    <row r="508" spans="2:12" ht="17.25" customHeight="1">
      <c r="B508" s="277"/>
      <c r="C508" s="278"/>
      <c r="D508" s="279" t="s">
        <v>33</v>
      </c>
      <c r="E508" s="280"/>
      <c r="F508" s="281"/>
      <c r="G508" s="281"/>
      <c r="H508" s="281"/>
      <c r="I508" s="282"/>
      <c r="J508" s="282"/>
      <c r="K508" s="282"/>
      <c r="L508" s="251"/>
    </row>
    <row r="509" spans="2:12">
      <c r="B509" s="283"/>
      <c r="C509" s="251"/>
      <c r="D509" s="251"/>
      <c r="E509" s="157"/>
      <c r="F509" s="284"/>
      <c r="G509" s="284"/>
      <c r="H509" s="284"/>
      <c r="I509" s="285"/>
      <c r="J509" s="285"/>
      <c r="K509" s="285"/>
      <c r="L509" s="251"/>
    </row>
    <row r="510" spans="2:12">
      <c r="B510" s="283"/>
      <c r="C510" s="251"/>
      <c r="D510" s="251"/>
      <c r="E510" s="157"/>
      <c r="F510" s="284"/>
      <c r="G510" s="284"/>
      <c r="H510" s="284"/>
      <c r="I510" s="285"/>
      <c r="J510" s="285"/>
      <c r="K510" s="285"/>
      <c r="L510" s="251"/>
    </row>
    <row r="511" spans="2:12" hidden="1"/>
    <row r="512" spans="2: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sheetData>
  <sheetProtection sheet="1" objects="1" scenarios="1" autoFilter="0"/>
  <autoFilter ref="B7:H7"/>
  <mergeCells count="3">
    <mergeCell ref="B1:C2"/>
    <mergeCell ref="B4:H4"/>
    <mergeCell ref="D1:H2"/>
  </mergeCells>
  <hyperlinks>
    <hyperlink ref="B1:C2" location="MENU!A1" display="MENU"/>
  </hyperlinks>
  <printOptions horizontalCentered="1"/>
  <pageMargins left="0.31496062992125984" right="0.31496062992125984" top="0.55118110236220474" bottom="0.35433070866141736"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dimension ref="B1:M3237"/>
  <sheetViews>
    <sheetView zoomScale="90" zoomScaleNormal="90" workbookViewId="0">
      <selection activeCell="E21" sqref="E21:G22"/>
    </sheetView>
  </sheetViews>
  <sheetFormatPr defaultRowHeight="12.75" zeroHeight="1"/>
  <cols>
    <col min="1" max="1" width="2.140625" customWidth="1"/>
    <col min="2" max="2" width="15.140625" customWidth="1"/>
    <col min="3" max="7" width="12" customWidth="1"/>
    <col min="8" max="8" width="5.5703125" customWidth="1"/>
    <col min="9" max="9" width="11.7109375" customWidth="1"/>
    <col min="10" max="10" width="5.140625" style="1" customWidth="1"/>
  </cols>
  <sheetData>
    <row r="1" spans="2:13">
      <c r="I1" s="1"/>
    </row>
    <row r="2" spans="2:13">
      <c r="B2" t="s">
        <v>25</v>
      </c>
      <c r="C2" s="2">
        <f>MENU!$G$7</f>
        <v>41640</v>
      </c>
      <c r="I2" s="1"/>
    </row>
    <row r="3" spans="2:13">
      <c r="B3" t="s">
        <v>26</v>
      </c>
      <c r="C3" s="2">
        <f>TongHop!$J$1</f>
        <v>41640</v>
      </c>
      <c r="D3" t="s">
        <v>27</v>
      </c>
      <c r="E3" s="2">
        <f>TongHop!$J$2</f>
        <v>42004</v>
      </c>
      <c r="I3" s="1"/>
      <c r="J3" s="2"/>
      <c r="K3" s="1"/>
      <c r="L3" s="2"/>
    </row>
    <row r="4" spans="2:13">
      <c r="I4" s="1"/>
    </row>
    <row r="5" spans="2:13">
      <c r="C5" s="3" t="s">
        <v>28</v>
      </c>
      <c r="D5" s="3" t="s">
        <v>28</v>
      </c>
      <c r="E5" s="4" t="s">
        <v>228</v>
      </c>
      <c r="F5" s="3" t="s">
        <v>28</v>
      </c>
      <c r="G5" s="3" t="s">
        <v>28</v>
      </c>
      <c r="I5" s="3" t="s">
        <v>28</v>
      </c>
      <c r="J5" s="3" t="s">
        <v>28</v>
      </c>
      <c r="K5" s="4" t="s">
        <v>163</v>
      </c>
      <c r="L5" s="3"/>
      <c r="M5" s="3"/>
    </row>
    <row r="6" spans="2:13">
      <c r="B6">
        <v>1</v>
      </c>
      <c r="C6" t="str">
        <f>"&gt;="&amp;$C$3</f>
        <v>&gt;=41640</v>
      </c>
      <c r="D6" t="str">
        <f>"&lt;="&amp;$E$3</f>
        <v>&lt;=42004</v>
      </c>
      <c r="E6" t="str">
        <f>DMHH!$C$8</f>
        <v>BCDR</v>
      </c>
      <c r="F6" t="str">
        <f>"&gt;="&amp;$C$2</f>
        <v>&gt;=41640</v>
      </c>
      <c r="G6" t="str">
        <f>"&lt;"&amp;$C$3</f>
        <v>&lt;41640</v>
      </c>
      <c r="I6" s="1" t="str">
        <f>"&gt;="&amp;$C$3</f>
        <v>&gt;=41640</v>
      </c>
      <c r="J6" s="1" t="str">
        <f>"&lt;="&amp;$E$3</f>
        <v>&lt;=42004</v>
      </c>
      <c r="K6" s="1" t="str">
        <f>'Check Phong'!$J$6</f>
        <v>E101</v>
      </c>
      <c r="L6" s="1"/>
      <c r="M6" s="1"/>
    </row>
    <row r="7" spans="2:13">
      <c r="B7" s="1"/>
      <c r="C7" s="3" t="s">
        <v>28</v>
      </c>
      <c r="D7" s="3" t="s">
        <v>28</v>
      </c>
      <c r="E7" s="4" t="s">
        <v>228</v>
      </c>
      <c r="F7" s="3" t="s">
        <v>28</v>
      </c>
      <c r="G7" s="3" t="s">
        <v>28</v>
      </c>
      <c r="I7" s="3" t="s">
        <v>28</v>
      </c>
      <c r="J7" s="3" t="s">
        <v>28</v>
      </c>
      <c r="K7" s="4" t="s">
        <v>163</v>
      </c>
    </row>
    <row r="8" spans="2:13">
      <c r="B8" s="1">
        <v>2</v>
      </c>
      <c r="C8" s="1" t="str">
        <f>"&gt;="&amp;$C$3</f>
        <v>&gt;=41640</v>
      </c>
      <c r="D8" s="1" t="str">
        <f>"&lt;="&amp;$E$3</f>
        <v>&lt;=42004</v>
      </c>
      <c r="E8" s="1" t="str">
        <f>DMHH!$C$9</f>
        <v>BCS</v>
      </c>
      <c r="F8" s="1" t="str">
        <f>"&gt;="&amp;$C$2</f>
        <v>&gt;=41640</v>
      </c>
      <c r="G8" s="1" t="str">
        <f>"&lt;"&amp;$C$3</f>
        <v>&lt;41640</v>
      </c>
      <c r="I8" s="1" t="str">
        <f t="shared" ref="I8" si="0">"&gt;="&amp;$C$3</f>
        <v>&gt;=41640</v>
      </c>
      <c r="J8" s="1" t="str">
        <f t="shared" ref="J8" si="1">"&lt;="&amp;$E$3</f>
        <v>&lt;=42004</v>
      </c>
      <c r="K8" s="1" t="str">
        <f>'Check Phong'!$J$7</f>
        <v>E102</v>
      </c>
    </row>
    <row r="9" spans="2:13">
      <c r="B9" s="1"/>
      <c r="C9" s="3" t="s">
        <v>28</v>
      </c>
      <c r="D9" s="3" t="s">
        <v>28</v>
      </c>
      <c r="E9" s="4" t="s">
        <v>228</v>
      </c>
      <c r="F9" s="3" t="s">
        <v>28</v>
      </c>
      <c r="G9" s="3" t="s">
        <v>28</v>
      </c>
      <c r="I9" s="3" t="s">
        <v>28</v>
      </c>
      <c r="J9" s="3" t="s">
        <v>28</v>
      </c>
      <c r="K9" s="4" t="s">
        <v>163</v>
      </c>
    </row>
    <row r="10" spans="2:13">
      <c r="B10" s="1">
        <v>3</v>
      </c>
      <c r="C10" s="1" t="str">
        <f>"&gt;="&amp;$C$3</f>
        <v>&gt;=41640</v>
      </c>
      <c r="D10" s="1" t="str">
        <f>"&lt;="&amp;$E$3</f>
        <v>&lt;=42004</v>
      </c>
      <c r="E10" s="1" t="str">
        <f>DMHH!$C$10</f>
        <v>BIA</v>
      </c>
      <c r="F10" s="1" t="str">
        <f>"&gt;="&amp;$C$2</f>
        <v>&gt;=41640</v>
      </c>
      <c r="G10" s="1" t="str">
        <f>"&lt;"&amp;$C$3</f>
        <v>&lt;41640</v>
      </c>
      <c r="I10" s="1" t="str">
        <f t="shared" ref="I10" si="2">"&gt;="&amp;$C$3</f>
        <v>&gt;=41640</v>
      </c>
      <c r="J10" s="1" t="str">
        <f t="shared" ref="J10" si="3">"&lt;="&amp;$E$3</f>
        <v>&lt;=42004</v>
      </c>
      <c r="K10" s="1" t="str">
        <f>'Check Phong'!$J$8</f>
        <v>E103</v>
      </c>
    </row>
    <row r="11" spans="2:13">
      <c r="B11" s="1"/>
      <c r="C11" s="3" t="s">
        <v>28</v>
      </c>
      <c r="D11" s="3" t="s">
        <v>28</v>
      </c>
      <c r="E11" s="4" t="s">
        <v>228</v>
      </c>
      <c r="F11" s="3" t="s">
        <v>28</v>
      </c>
      <c r="G11" s="3" t="s">
        <v>28</v>
      </c>
      <c r="I11" s="3" t="s">
        <v>28</v>
      </c>
      <c r="J11" s="3" t="s">
        <v>28</v>
      </c>
      <c r="K11" s="4" t="s">
        <v>163</v>
      </c>
    </row>
    <row r="12" spans="2:13">
      <c r="B12" s="1">
        <v>4</v>
      </c>
      <c r="C12" s="1" t="str">
        <f>"&gt;="&amp;$C$3</f>
        <v>&gt;=41640</v>
      </c>
      <c r="D12" s="1" t="str">
        <f>"&lt;="&amp;$E$3</f>
        <v>&lt;=42004</v>
      </c>
      <c r="E12" s="1" t="str">
        <f>DMHH!$C$11</f>
        <v>KR</v>
      </c>
      <c r="F12" s="1" t="str">
        <f>"&gt;="&amp;$C$2</f>
        <v>&gt;=41640</v>
      </c>
      <c r="G12" s="1" t="str">
        <f>"&lt;"&amp;$C$3</f>
        <v>&lt;41640</v>
      </c>
      <c r="I12" s="1" t="str">
        <f t="shared" ref="I12" si="4">"&gt;="&amp;$C$3</f>
        <v>&gt;=41640</v>
      </c>
      <c r="J12" s="1" t="str">
        <f t="shared" ref="J12" si="5">"&lt;="&amp;$E$3</f>
        <v>&lt;=42004</v>
      </c>
      <c r="K12" s="1" t="str">
        <f>'Check Phong'!$J$9</f>
        <v>E201</v>
      </c>
    </row>
    <row r="13" spans="2:13">
      <c r="B13" s="1"/>
      <c r="C13" s="3" t="s">
        <v>28</v>
      </c>
      <c r="D13" s="3" t="s">
        <v>28</v>
      </c>
      <c r="E13" s="4" t="s">
        <v>228</v>
      </c>
      <c r="F13" s="3" t="s">
        <v>28</v>
      </c>
      <c r="G13" s="3" t="s">
        <v>28</v>
      </c>
      <c r="I13" s="3" t="s">
        <v>28</v>
      </c>
      <c r="J13" s="3" t="s">
        <v>28</v>
      </c>
      <c r="K13" s="4" t="s">
        <v>163</v>
      </c>
    </row>
    <row r="14" spans="2:13">
      <c r="B14" s="1">
        <v>5</v>
      </c>
      <c r="C14" s="1" t="str">
        <f>"&gt;="&amp;$C$3</f>
        <v>&gt;=41640</v>
      </c>
      <c r="D14" s="1" t="str">
        <f>"&lt;="&amp;$E$3</f>
        <v>&lt;=42004</v>
      </c>
      <c r="E14" s="1" t="str">
        <f>DMHH!$C$12</f>
        <v>NS</v>
      </c>
      <c r="F14" s="1" t="str">
        <f>"&gt;="&amp;$C$2</f>
        <v>&gt;=41640</v>
      </c>
      <c r="G14" s="1" t="str">
        <f>"&lt;"&amp;$C$3</f>
        <v>&lt;41640</v>
      </c>
      <c r="I14" s="1" t="str">
        <f t="shared" ref="I14" si="6">"&gt;="&amp;$C$3</f>
        <v>&gt;=41640</v>
      </c>
      <c r="J14" s="1" t="str">
        <f t="shared" ref="J14" si="7">"&lt;="&amp;$E$3</f>
        <v>&lt;=42004</v>
      </c>
      <c r="K14" s="1" t="str">
        <f>'Check Phong'!$J$10</f>
        <v>E202</v>
      </c>
    </row>
    <row r="15" spans="2:13">
      <c r="B15" s="1"/>
      <c r="C15" s="3" t="s">
        <v>28</v>
      </c>
      <c r="D15" s="3" t="s">
        <v>28</v>
      </c>
      <c r="E15" s="4" t="s">
        <v>228</v>
      </c>
      <c r="F15" s="3" t="s">
        <v>28</v>
      </c>
      <c r="G15" s="3" t="s">
        <v>28</v>
      </c>
      <c r="I15" s="3" t="s">
        <v>28</v>
      </c>
      <c r="J15" s="3" t="s">
        <v>28</v>
      </c>
      <c r="K15" s="4" t="s">
        <v>163</v>
      </c>
    </row>
    <row r="16" spans="2:13">
      <c r="B16" s="1">
        <v>6</v>
      </c>
      <c r="C16" s="1" t="str">
        <f>"&gt;="&amp;$C$3</f>
        <v>&gt;=41640</v>
      </c>
      <c r="D16" s="1" t="str">
        <f>"&lt;="&amp;$E$3</f>
        <v>&lt;=42004</v>
      </c>
      <c r="E16" s="1" t="str">
        <f>DMHH!$C$13</f>
        <v>NT</v>
      </c>
      <c r="F16" s="1" t="str">
        <f>"&gt;="&amp;$C$2</f>
        <v>&gt;=41640</v>
      </c>
      <c r="G16" s="1" t="str">
        <f>"&lt;"&amp;$C$3</f>
        <v>&lt;41640</v>
      </c>
      <c r="I16" s="1" t="str">
        <f t="shared" ref="I16" si="8">"&gt;="&amp;$C$3</f>
        <v>&gt;=41640</v>
      </c>
      <c r="J16" s="1" t="str">
        <f t="shared" ref="J16" si="9">"&lt;="&amp;$E$3</f>
        <v>&lt;=42004</v>
      </c>
      <c r="K16" s="1" t="str">
        <f>'Check Phong'!$J$11</f>
        <v>E203</v>
      </c>
    </row>
    <row r="17" spans="2:11">
      <c r="B17" s="1"/>
      <c r="C17" s="3" t="s">
        <v>28</v>
      </c>
      <c r="D17" s="3" t="s">
        <v>28</v>
      </c>
      <c r="E17" s="4" t="s">
        <v>228</v>
      </c>
      <c r="F17" s="3" t="s">
        <v>28</v>
      </c>
      <c r="G17" s="3" t="s">
        <v>28</v>
      </c>
      <c r="I17" s="3" t="s">
        <v>28</v>
      </c>
      <c r="J17" s="3" t="s">
        <v>28</v>
      </c>
      <c r="K17" s="4" t="s">
        <v>163</v>
      </c>
    </row>
    <row r="18" spans="2:11">
      <c r="B18" s="1">
        <v>7</v>
      </c>
      <c r="C18" s="1" t="str">
        <f>"&gt;="&amp;$C$3</f>
        <v>&gt;=41640</v>
      </c>
      <c r="D18" s="1" t="str">
        <f>"&lt;="&amp;$E$3</f>
        <v>&lt;=42004</v>
      </c>
      <c r="E18" s="1" t="str">
        <f>DMHH!$C$14</f>
        <v>NX</v>
      </c>
      <c r="F18" s="1" t="str">
        <f>"&gt;="&amp;$C$2</f>
        <v>&gt;=41640</v>
      </c>
      <c r="G18" s="1" t="str">
        <f>"&lt;"&amp;$C$3</f>
        <v>&lt;41640</v>
      </c>
      <c r="I18" s="1" t="str">
        <f t="shared" ref="I18" si="10">"&gt;="&amp;$C$3</f>
        <v>&gt;=41640</v>
      </c>
      <c r="J18" s="1" t="str">
        <f t="shared" ref="J18" si="11">"&lt;="&amp;$E$3</f>
        <v>&lt;=42004</v>
      </c>
      <c r="K18" s="1" t="str">
        <f>'Check Phong'!$J$12</f>
        <v>E301</v>
      </c>
    </row>
    <row r="19" spans="2:11">
      <c r="B19" s="1"/>
      <c r="C19" s="3" t="s">
        <v>28</v>
      </c>
      <c r="D19" s="3" t="s">
        <v>28</v>
      </c>
      <c r="E19" s="4" t="s">
        <v>228</v>
      </c>
      <c r="F19" s="3" t="s">
        <v>28</v>
      </c>
      <c r="G19" s="3" t="s">
        <v>28</v>
      </c>
      <c r="I19" s="3" t="s">
        <v>28</v>
      </c>
      <c r="J19" s="3" t="s">
        <v>28</v>
      </c>
      <c r="K19" s="4" t="s">
        <v>163</v>
      </c>
    </row>
    <row r="20" spans="2:11">
      <c r="B20" s="1">
        <v>8</v>
      </c>
      <c r="C20" s="1" t="str">
        <f>"&gt;="&amp;$C$3</f>
        <v>&gt;=41640</v>
      </c>
      <c r="D20" s="1" t="str">
        <f>"&lt;="&amp;$E$3</f>
        <v>&lt;=42004</v>
      </c>
      <c r="E20" s="1" t="str">
        <f>DMHH!$C$15</f>
        <v>TA</v>
      </c>
      <c r="F20" s="1" t="str">
        <f>"&gt;="&amp;$C$2</f>
        <v>&gt;=41640</v>
      </c>
      <c r="G20" s="1" t="str">
        <f>"&lt;"&amp;$C$3</f>
        <v>&lt;41640</v>
      </c>
      <c r="I20" s="1" t="str">
        <f t="shared" ref="I20" si="12">"&gt;="&amp;$C$3</f>
        <v>&gt;=41640</v>
      </c>
      <c r="J20" s="1" t="str">
        <f t="shared" ref="J20" si="13">"&lt;="&amp;$E$3</f>
        <v>&lt;=42004</v>
      </c>
      <c r="K20" s="1" t="str">
        <f>'Check Phong'!$J$13</f>
        <v>E302</v>
      </c>
    </row>
    <row r="21" spans="2:11">
      <c r="B21" s="1"/>
      <c r="C21" s="3" t="s">
        <v>28</v>
      </c>
      <c r="D21" s="3" t="s">
        <v>28</v>
      </c>
      <c r="E21" s="4" t="s">
        <v>228</v>
      </c>
      <c r="F21" s="3" t="s">
        <v>28</v>
      </c>
      <c r="G21" s="3" t="s">
        <v>28</v>
      </c>
      <c r="I21" s="3" t="s">
        <v>28</v>
      </c>
      <c r="J21" s="3" t="s">
        <v>28</v>
      </c>
      <c r="K21" s="4" t="s">
        <v>163</v>
      </c>
    </row>
    <row r="22" spans="2:11">
      <c r="B22" s="1">
        <v>9</v>
      </c>
      <c r="C22" s="1" t="str">
        <f>"&gt;="&amp;$C$3</f>
        <v>&gt;=41640</v>
      </c>
      <c r="D22" s="1" t="str">
        <f>"&lt;="&amp;$E$3</f>
        <v>&lt;=42004</v>
      </c>
      <c r="E22" s="1">
        <f>DMHH!$C$16</f>
        <v>0</v>
      </c>
      <c r="F22" s="1" t="str">
        <f>"&gt;="&amp;$C$2</f>
        <v>&gt;=41640</v>
      </c>
      <c r="G22" s="1" t="str">
        <f>"&lt;"&amp;$C$3</f>
        <v>&lt;41640</v>
      </c>
      <c r="I22" s="1" t="str">
        <f t="shared" ref="I22" si="14">"&gt;="&amp;$C$3</f>
        <v>&gt;=41640</v>
      </c>
      <c r="J22" s="1" t="str">
        <f t="shared" ref="J22" si="15">"&lt;="&amp;$E$3</f>
        <v>&lt;=42004</v>
      </c>
      <c r="K22" s="1" t="str">
        <f>'Check Phong'!$J$14</f>
        <v>E303</v>
      </c>
    </row>
    <row r="23" spans="2:11">
      <c r="B23" s="1"/>
      <c r="C23" s="3" t="s">
        <v>28</v>
      </c>
      <c r="D23" s="3" t="s">
        <v>28</v>
      </c>
      <c r="E23" s="4" t="s">
        <v>228</v>
      </c>
      <c r="F23" s="3" t="s">
        <v>28</v>
      </c>
      <c r="G23" s="3" t="s">
        <v>28</v>
      </c>
      <c r="I23" s="3" t="s">
        <v>28</v>
      </c>
      <c r="J23" s="3" t="s">
        <v>28</v>
      </c>
      <c r="K23" s="4" t="s">
        <v>163</v>
      </c>
    </row>
    <row r="24" spans="2:11">
      <c r="B24" s="1">
        <v>10</v>
      </c>
      <c r="C24" s="1" t="str">
        <f>"&gt;="&amp;$C$3</f>
        <v>&gt;=41640</v>
      </c>
      <c r="D24" s="1" t="str">
        <f>"&lt;="&amp;$E$3</f>
        <v>&lt;=42004</v>
      </c>
      <c r="E24" s="1">
        <f>DMHH!$C$17</f>
        <v>0</v>
      </c>
      <c r="F24" s="1" t="str">
        <f>"&gt;="&amp;$C$2</f>
        <v>&gt;=41640</v>
      </c>
      <c r="G24" s="1" t="str">
        <f>"&lt;"&amp;$C$3</f>
        <v>&lt;41640</v>
      </c>
      <c r="I24" s="1" t="str">
        <f t="shared" ref="I24" si="16">"&gt;="&amp;$C$3</f>
        <v>&gt;=41640</v>
      </c>
      <c r="J24" s="1" t="str">
        <f t="shared" ref="J24" si="17">"&lt;="&amp;$E$3</f>
        <v>&lt;=42004</v>
      </c>
      <c r="K24" s="1" t="str">
        <f>'Check Phong'!$J$15</f>
        <v>E401</v>
      </c>
    </row>
    <row r="25" spans="2:11">
      <c r="B25" s="1"/>
      <c r="C25" s="3" t="s">
        <v>28</v>
      </c>
      <c r="D25" s="3" t="s">
        <v>28</v>
      </c>
      <c r="E25" s="4" t="s">
        <v>228</v>
      </c>
      <c r="F25" s="3" t="s">
        <v>28</v>
      </c>
      <c r="G25" s="3" t="s">
        <v>28</v>
      </c>
      <c r="I25" s="3" t="s">
        <v>28</v>
      </c>
      <c r="J25" s="3" t="s">
        <v>28</v>
      </c>
      <c r="K25" s="4" t="s">
        <v>163</v>
      </c>
    </row>
    <row r="26" spans="2:11">
      <c r="B26" s="1">
        <v>11</v>
      </c>
      <c r="C26" s="1" t="str">
        <f>"&gt;="&amp;$C$3</f>
        <v>&gt;=41640</v>
      </c>
      <c r="D26" s="1" t="str">
        <f>"&lt;="&amp;$E$3</f>
        <v>&lt;=42004</v>
      </c>
      <c r="E26" s="1">
        <f>DMHH!$C$18</f>
        <v>0</v>
      </c>
      <c r="F26" s="1" t="str">
        <f>"&gt;="&amp;$C$2</f>
        <v>&gt;=41640</v>
      </c>
      <c r="G26" s="1" t="str">
        <f>"&lt;"&amp;$C$3</f>
        <v>&lt;41640</v>
      </c>
      <c r="I26" s="1" t="str">
        <f t="shared" ref="I26" si="18">"&gt;="&amp;$C$3</f>
        <v>&gt;=41640</v>
      </c>
      <c r="J26" s="1" t="str">
        <f t="shared" ref="J26" si="19">"&lt;="&amp;$E$3</f>
        <v>&lt;=42004</v>
      </c>
      <c r="K26" s="1" t="str">
        <f>'Check Phong'!$J$16</f>
        <v>E402</v>
      </c>
    </row>
    <row r="27" spans="2:11">
      <c r="B27" s="1"/>
      <c r="C27" s="3" t="s">
        <v>28</v>
      </c>
      <c r="D27" s="3" t="s">
        <v>28</v>
      </c>
      <c r="E27" s="4" t="s">
        <v>228</v>
      </c>
      <c r="F27" s="3" t="s">
        <v>28</v>
      </c>
      <c r="G27" s="3" t="s">
        <v>28</v>
      </c>
      <c r="I27" s="3" t="s">
        <v>28</v>
      </c>
      <c r="J27" s="3" t="s">
        <v>28</v>
      </c>
      <c r="K27" s="4" t="s">
        <v>163</v>
      </c>
    </row>
    <row r="28" spans="2:11">
      <c r="B28" s="1">
        <v>12</v>
      </c>
      <c r="C28" s="1" t="str">
        <f>"&gt;="&amp;$C$3</f>
        <v>&gt;=41640</v>
      </c>
      <c r="D28" s="1" t="str">
        <f>"&lt;="&amp;$E$3</f>
        <v>&lt;=42004</v>
      </c>
      <c r="E28" s="1">
        <f>DMHH!$C$19</f>
        <v>0</v>
      </c>
      <c r="F28" s="1" t="str">
        <f>"&gt;="&amp;$C$2</f>
        <v>&gt;=41640</v>
      </c>
      <c r="G28" s="1" t="str">
        <f>"&lt;"&amp;$C$3</f>
        <v>&lt;41640</v>
      </c>
      <c r="I28" s="1" t="str">
        <f t="shared" ref="I28" si="20">"&gt;="&amp;$C$3</f>
        <v>&gt;=41640</v>
      </c>
      <c r="J28" s="1" t="str">
        <f t="shared" ref="J28" si="21">"&lt;="&amp;$E$3</f>
        <v>&lt;=42004</v>
      </c>
      <c r="K28" s="1" t="str">
        <f>'Check Phong'!$J$17</f>
        <v>E403</v>
      </c>
    </row>
    <row r="29" spans="2:11">
      <c r="B29" s="1"/>
      <c r="C29" s="3" t="s">
        <v>28</v>
      </c>
      <c r="D29" s="3" t="s">
        <v>28</v>
      </c>
      <c r="E29" s="4" t="s">
        <v>228</v>
      </c>
      <c r="F29" s="3" t="s">
        <v>28</v>
      </c>
      <c r="G29" s="3" t="s">
        <v>28</v>
      </c>
      <c r="I29" s="3" t="s">
        <v>28</v>
      </c>
      <c r="J29" s="3" t="s">
        <v>28</v>
      </c>
      <c r="K29" s="4" t="s">
        <v>163</v>
      </c>
    </row>
    <row r="30" spans="2:11">
      <c r="B30" s="1">
        <v>13</v>
      </c>
      <c r="C30" s="1" t="str">
        <f>"&gt;="&amp;$C$3</f>
        <v>&gt;=41640</v>
      </c>
      <c r="D30" s="1" t="str">
        <f>"&lt;="&amp;$E$3</f>
        <v>&lt;=42004</v>
      </c>
      <c r="E30" s="1">
        <f>DMHH!$C$20</f>
        <v>0</v>
      </c>
      <c r="F30" s="1" t="str">
        <f>"&gt;="&amp;$C$2</f>
        <v>&gt;=41640</v>
      </c>
      <c r="G30" s="1" t="str">
        <f>"&lt;"&amp;$C$3</f>
        <v>&lt;41640</v>
      </c>
      <c r="I30" s="1" t="str">
        <f t="shared" ref="I30" si="22">"&gt;="&amp;$C$3</f>
        <v>&gt;=41640</v>
      </c>
      <c r="J30" s="1" t="str">
        <f t="shared" ref="J30" si="23">"&lt;="&amp;$E$3</f>
        <v>&lt;=42004</v>
      </c>
      <c r="K30" s="1" t="str">
        <f>'Check Phong'!$J$18</f>
        <v>E501</v>
      </c>
    </row>
    <row r="31" spans="2:11">
      <c r="B31" s="1"/>
      <c r="C31" s="3" t="s">
        <v>28</v>
      </c>
      <c r="D31" s="3" t="s">
        <v>28</v>
      </c>
      <c r="E31" s="4" t="s">
        <v>228</v>
      </c>
      <c r="F31" s="3" t="s">
        <v>28</v>
      </c>
      <c r="G31" s="3" t="s">
        <v>28</v>
      </c>
      <c r="I31" s="3" t="s">
        <v>28</v>
      </c>
      <c r="J31" s="3" t="s">
        <v>28</v>
      </c>
      <c r="K31" s="4" t="s">
        <v>163</v>
      </c>
    </row>
    <row r="32" spans="2:11">
      <c r="B32" s="1">
        <v>14</v>
      </c>
      <c r="C32" s="1" t="str">
        <f>"&gt;="&amp;$C$3</f>
        <v>&gt;=41640</v>
      </c>
      <c r="D32" s="1" t="str">
        <f>"&lt;="&amp;$E$3</f>
        <v>&lt;=42004</v>
      </c>
      <c r="E32" s="1">
        <f>DMHH!$C$21</f>
        <v>0</v>
      </c>
      <c r="F32" s="1" t="str">
        <f>"&gt;="&amp;$C$2</f>
        <v>&gt;=41640</v>
      </c>
      <c r="G32" s="1" t="str">
        <f>"&lt;"&amp;$C$3</f>
        <v>&lt;41640</v>
      </c>
      <c r="I32" s="1" t="str">
        <f t="shared" ref="I32" si="24">"&gt;="&amp;$C$3</f>
        <v>&gt;=41640</v>
      </c>
      <c r="J32" s="1" t="str">
        <f t="shared" ref="J32" si="25">"&lt;="&amp;$E$3</f>
        <v>&lt;=42004</v>
      </c>
      <c r="K32" s="1" t="str">
        <f>'Check Phong'!$J$19</f>
        <v>E502</v>
      </c>
    </row>
    <row r="33" spans="2:11">
      <c r="B33" s="1"/>
      <c r="C33" s="3" t="s">
        <v>28</v>
      </c>
      <c r="D33" s="3" t="s">
        <v>28</v>
      </c>
      <c r="E33" s="4" t="s">
        <v>228</v>
      </c>
      <c r="F33" s="3" t="s">
        <v>28</v>
      </c>
      <c r="G33" s="3" t="s">
        <v>28</v>
      </c>
      <c r="I33" s="3" t="s">
        <v>28</v>
      </c>
      <c r="J33" s="3" t="s">
        <v>28</v>
      </c>
      <c r="K33" s="4" t="s">
        <v>163</v>
      </c>
    </row>
    <row r="34" spans="2:11">
      <c r="B34" s="1">
        <v>15</v>
      </c>
      <c r="C34" s="1" t="str">
        <f t="shared" ref="C34:C96" si="26">"&gt;="&amp;$C$3</f>
        <v>&gt;=41640</v>
      </c>
      <c r="D34" s="1" t="str">
        <f t="shared" ref="D34:D96" si="27">"&lt;="&amp;$E$3</f>
        <v>&lt;=42004</v>
      </c>
      <c r="E34" s="1">
        <f>DMHH!$C$22</f>
        <v>0</v>
      </c>
      <c r="F34" s="1" t="str">
        <f t="shared" ref="F34:F96" si="28">"&gt;="&amp;$C$2</f>
        <v>&gt;=41640</v>
      </c>
      <c r="G34" s="1" t="str">
        <f t="shared" ref="G34:G96" si="29">"&lt;"&amp;$C$3</f>
        <v>&lt;41640</v>
      </c>
      <c r="I34" s="1" t="str">
        <f t="shared" ref="I34" si="30">"&gt;="&amp;$C$3</f>
        <v>&gt;=41640</v>
      </c>
      <c r="J34" s="1" t="str">
        <f t="shared" ref="J34" si="31">"&lt;="&amp;$E$3</f>
        <v>&lt;=42004</v>
      </c>
      <c r="K34" s="1" t="str">
        <f>'Check Phong'!$J$20</f>
        <v>E503</v>
      </c>
    </row>
    <row r="35" spans="2:11">
      <c r="B35" s="1"/>
      <c r="C35" s="3" t="s">
        <v>28</v>
      </c>
      <c r="D35" s="3" t="s">
        <v>28</v>
      </c>
      <c r="E35" s="4" t="s">
        <v>228</v>
      </c>
      <c r="F35" s="3" t="s">
        <v>28</v>
      </c>
      <c r="G35" s="3" t="s">
        <v>28</v>
      </c>
      <c r="I35" s="3"/>
      <c r="J35" s="3"/>
    </row>
    <row r="36" spans="2:11">
      <c r="B36" s="1">
        <v>16</v>
      </c>
      <c r="C36" s="1" t="str">
        <f t="shared" si="26"/>
        <v>&gt;=41640</v>
      </c>
      <c r="D36" s="1" t="str">
        <f t="shared" si="27"/>
        <v>&lt;=42004</v>
      </c>
      <c r="E36" s="1">
        <f>DMHH!$C$23</f>
        <v>0</v>
      </c>
      <c r="F36" s="1" t="str">
        <f t="shared" si="28"/>
        <v>&gt;=41640</v>
      </c>
      <c r="G36" s="1" t="str">
        <f t="shared" si="29"/>
        <v>&lt;41640</v>
      </c>
      <c r="I36" s="1"/>
    </row>
    <row r="37" spans="2:11">
      <c r="B37" s="1"/>
      <c r="C37" s="3" t="s">
        <v>28</v>
      </c>
      <c r="D37" s="3" t="s">
        <v>28</v>
      </c>
      <c r="E37" s="4" t="s">
        <v>228</v>
      </c>
      <c r="F37" s="3" t="s">
        <v>28</v>
      </c>
      <c r="G37" s="3" t="s">
        <v>28</v>
      </c>
      <c r="I37" s="3"/>
      <c r="J37" s="3"/>
    </row>
    <row r="38" spans="2:11">
      <c r="B38" s="1">
        <v>17</v>
      </c>
      <c r="C38" s="1" t="str">
        <f t="shared" si="26"/>
        <v>&gt;=41640</v>
      </c>
      <c r="D38" s="1" t="str">
        <f t="shared" si="27"/>
        <v>&lt;=42004</v>
      </c>
      <c r="E38" s="1">
        <f>DMHH!$C$24</f>
        <v>0</v>
      </c>
      <c r="F38" s="1" t="str">
        <f t="shared" si="28"/>
        <v>&gt;=41640</v>
      </c>
      <c r="G38" s="1" t="str">
        <f t="shared" si="29"/>
        <v>&lt;41640</v>
      </c>
      <c r="I38" s="1"/>
    </row>
    <row r="39" spans="2:11">
      <c r="B39" s="1"/>
      <c r="C39" s="3" t="s">
        <v>28</v>
      </c>
      <c r="D39" s="3" t="s">
        <v>28</v>
      </c>
      <c r="E39" s="4" t="s">
        <v>228</v>
      </c>
      <c r="F39" s="3" t="s">
        <v>28</v>
      </c>
      <c r="G39" s="3" t="s">
        <v>28</v>
      </c>
      <c r="I39" s="3"/>
      <c r="J39" s="3"/>
    </row>
    <row r="40" spans="2:11">
      <c r="B40" s="1">
        <v>18</v>
      </c>
      <c r="C40" s="1" t="str">
        <f t="shared" si="26"/>
        <v>&gt;=41640</v>
      </c>
      <c r="D40" s="1" t="str">
        <f t="shared" si="27"/>
        <v>&lt;=42004</v>
      </c>
      <c r="E40" s="1">
        <f>DMHH!$C$25</f>
        <v>0</v>
      </c>
      <c r="F40" s="1" t="str">
        <f t="shared" si="28"/>
        <v>&gt;=41640</v>
      </c>
      <c r="G40" s="1" t="str">
        <f t="shared" si="29"/>
        <v>&lt;41640</v>
      </c>
      <c r="I40" s="1"/>
    </row>
    <row r="41" spans="2:11">
      <c r="B41" s="1"/>
      <c r="C41" s="3" t="s">
        <v>28</v>
      </c>
      <c r="D41" s="3" t="s">
        <v>28</v>
      </c>
      <c r="E41" s="4" t="s">
        <v>228</v>
      </c>
      <c r="F41" s="3" t="s">
        <v>28</v>
      </c>
      <c r="G41" s="3" t="s">
        <v>28</v>
      </c>
      <c r="I41" s="3"/>
      <c r="J41" s="3"/>
    </row>
    <row r="42" spans="2:11">
      <c r="B42" s="1">
        <v>19</v>
      </c>
      <c r="C42" s="1" t="str">
        <f t="shared" si="26"/>
        <v>&gt;=41640</v>
      </c>
      <c r="D42" s="1" t="str">
        <f t="shared" si="27"/>
        <v>&lt;=42004</v>
      </c>
      <c r="E42" s="1">
        <f>DMHH!$C$26</f>
        <v>0</v>
      </c>
      <c r="F42" s="1" t="str">
        <f t="shared" si="28"/>
        <v>&gt;=41640</v>
      </c>
      <c r="G42" s="1" t="str">
        <f t="shared" si="29"/>
        <v>&lt;41640</v>
      </c>
      <c r="I42" s="1"/>
    </row>
    <row r="43" spans="2:11">
      <c r="B43" s="1"/>
      <c r="C43" s="3" t="s">
        <v>28</v>
      </c>
      <c r="D43" s="3" t="s">
        <v>28</v>
      </c>
      <c r="E43" s="4" t="s">
        <v>228</v>
      </c>
      <c r="F43" s="3" t="s">
        <v>28</v>
      </c>
      <c r="G43" s="3" t="s">
        <v>28</v>
      </c>
      <c r="I43" s="3"/>
      <c r="J43" s="3"/>
    </row>
    <row r="44" spans="2:11">
      <c r="B44" s="1">
        <v>20</v>
      </c>
      <c r="C44" s="1" t="str">
        <f t="shared" si="26"/>
        <v>&gt;=41640</v>
      </c>
      <c r="D44" s="1" t="str">
        <f t="shared" si="27"/>
        <v>&lt;=42004</v>
      </c>
      <c r="E44" s="1">
        <f>DMHH!$C$27</f>
        <v>0</v>
      </c>
      <c r="F44" s="1" t="str">
        <f t="shared" si="28"/>
        <v>&gt;=41640</v>
      </c>
      <c r="G44" s="1" t="str">
        <f t="shared" si="29"/>
        <v>&lt;41640</v>
      </c>
      <c r="I44" s="1"/>
    </row>
    <row r="45" spans="2:11">
      <c r="B45" s="1"/>
      <c r="C45" s="3" t="s">
        <v>28</v>
      </c>
      <c r="D45" s="3" t="s">
        <v>28</v>
      </c>
      <c r="E45" s="4" t="s">
        <v>228</v>
      </c>
      <c r="F45" s="3" t="s">
        <v>28</v>
      </c>
      <c r="G45" s="3" t="s">
        <v>28</v>
      </c>
      <c r="I45" s="3"/>
      <c r="J45" s="3"/>
    </row>
    <row r="46" spans="2:11">
      <c r="B46" s="1">
        <v>21</v>
      </c>
      <c r="C46" s="1" t="str">
        <f t="shared" si="26"/>
        <v>&gt;=41640</v>
      </c>
      <c r="D46" s="1" t="str">
        <f t="shared" si="27"/>
        <v>&lt;=42004</v>
      </c>
      <c r="E46" s="1">
        <f>DMHH!$C$28</f>
        <v>0</v>
      </c>
      <c r="F46" s="1" t="str">
        <f t="shared" si="28"/>
        <v>&gt;=41640</v>
      </c>
      <c r="G46" s="1" t="str">
        <f t="shared" si="29"/>
        <v>&lt;41640</v>
      </c>
      <c r="I46" s="1"/>
    </row>
    <row r="47" spans="2:11">
      <c r="B47" s="1"/>
      <c r="C47" s="3" t="s">
        <v>28</v>
      </c>
      <c r="D47" s="3" t="s">
        <v>28</v>
      </c>
      <c r="E47" s="4" t="s">
        <v>228</v>
      </c>
      <c r="F47" s="3" t="s">
        <v>28</v>
      </c>
      <c r="G47" s="3" t="s">
        <v>28</v>
      </c>
      <c r="I47" s="3"/>
      <c r="J47" s="3"/>
    </row>
    <row r="48" spans="2:11">
      <c r="B48" s="1">
        <v>22</v>
      </c>
      <c r="C48" s="1" t="str">
        <f t="shared" si="26"/>
        <v>&gt;=41640</v>
      </c>
      <c r="D48" s="1" t="str">
        <f t="shared" si="27"/>
        <v>&lt;=42004</v>
      </c>
      <c r="E48" s="1">
        <f>DMHH!$C$29</f>
        <v>0</v>
      </c>
      <c r="F48" s="1" t="str">
        <f t="shared" si="28"/>
        <v>&gt;=41640</v>
      </c>
      <c r="G48" s="1" t="str">
        <f t="shared" si="29"/>
        <v>&lt;41640</v>
      </c>
      <c r="I48" s="1"/>
    </row>
    <row r="49" spans="2:10">
      <c r="B49" s="1"/>
      <c r="C49" s="3" t="s">
        <v>28</v>
      </c>
      <c r="D49" s="3" t="s">
        <v>28</v>
      </c>
      <c r="E49" s="4" t="s">
        <v>228</v>
      </c>
      <c r="F49" s="3" t="s">
        <v>28</v>
      </c>
      <c r="G49" s="3" t="s">
        <v>28</v>
      </c>
      <c r="I49" s="3"/>
      <c r="J49" s="3"/>
    </row>
    <row r="50" spans="2:10">
      <c r="B50" s="1">
        <v>23</v>
      </c>
      <c r="C50" s="1" t="str">
        <f t="shared" si="26"/>
        <v>&gt;=41640</v>
      </c>
      <c r="D50" s="1" t="str">
        <f t="shared" si="27"/>
        <v>&lt;=42004</v>
      </c>
      <c r="E50" s="1">
        <f>DMHH!$C$30</f>
        <v>0</v>
      </c>
      <c r="F50" s="1" t="str">
        <f t="shared" si="28"/>
        <v>&gt;=41640</v>
      </c>
      <c r="G50" s="1" t="str">
        <f t="shared" si="29"/>
        <v>&lt;41640</v>
      </c>
      <c r="I50" s="1"/>
    </row>
    <row r="51" spans="2:10">
      <c r="B51" s="1"/>
      <c r="C51" s="3" t="s">
        <v>28</v>
      </c>
      <c r="D51" s="3" t="s">
        <v>28</v>
      </c>
      <c r="E51" s="4" t="s">
        <v>228</v>
      </c>
      <c r="F51" s="3" t="s">
        <v>28</v>
      </c>
      <c r="G51" s="3" t="s">
        <v>28</v>
      </c>
      <c r="I51" s="3"/>
      <c r="J51" s="3"/>
    </row>
    <row r="52" spans="2:10">
      <c r="B52" s="1">
        <v>24</v>
      </c>
      <c r="C52" s="1" t="str">
        <f t="shared" si="26"/>
        <v>&gt;=41640</v>
      </c>
      <c r="D52" s="1" t="str">
        <f t="shared" si="27"/>
        <v>&lt;=42004</v>
      </c>
      <c r="E52" s="1">
        <f>DMHH!$C$31</f>
        <v>0</v>
      </c>
      <c r="F52" s="1" t="str">
        <f t="shared" si="28"/>
        <v>&gt;=41640</v>
      </c>
      <c r="G52" s="1" t="str">
        <f t="shared" si="29"/>
        <v>&lt;41640</v>
      </c>
      <c r="I52" s="1"/>
    </row>
    <row r="53" spans="2:10">
      <c r="B53" s="1"/>
      <c r="C53" s="3" t="s">
        <v>28</v>
      </c>
      <c r="D53" s="3" t="s">
        <v>28</v>
      </c>
      <c r="E53" s="4" t="s">
        <v>228</v>
      </c>
      <c r="F53" s="3" t="s">
        <v>28</v>
      </c>
      <c r="G53" s="3" t="s">
        <v>28</v>
      </c>
      <c r="I53" s="3"/>
      <c r="J53" s="3"/>
    </row>
    <row r="54" spans="2:10">
      <c r="B54" s="1">
        <v>25</v>
      </c>
      <c r="C54" s="1" t="str">
        <f t="shared" si="26"/>
        <v>&gt;=41640</v>
      </c>
      <c r="D54" s="1" t="str">
        <f t="shared" si="27"/>
        <v>&lt;=42004</v>
      </c>
      <c r="E54" s="1">
        <f>DMHH!$C$32</f>
        <v>0</v>
      </c>
      <c r="F54" s="1" t="str">
        <f t="shared" si="28"/>
        <v>&gt;=41640</v>
      </c>
      <c r="G54" s="1" t="str">
        <f t="shared" si="29"/>
        <v>&lt;41640</v>
      </c>
      <c r="I54" s="1"/>
    </row>
    <row r="55" spans="2:10">
      <c r="B55" s="1"/>
      <c r="C55" s="3" t="s">
        <v>28</v>
      </c>
      <c r="D55" s="3" t="s">
        <v>28</v>
      </c>
      <c r="E55" s="4" t="s">
        <v>228</v>
      </c>
      <c r="F55" s="3" t="s">
        <v>28</v>
      </c>
      <c r="G55" s="3" t="s">
        <v>28</v>
      </c>
      <c r="I55" s="3"/>
      <c r="J55" s="3"/>
    </row>
    <row r="56" spans="2:10">
      <c r="B56" s="1">
        <v>26</v>
      </c>
      <c r="C56" s="1" t="str">
        <f t="shared" si="26"/>
        <v>&gt;=41640</v>
      </c>
      <c r="D56" s="1" t="str">
        <f t="shared" si="27"/>
        <v>&lt;=42004</v>
      </c>
      <c r="E56" s="1">
        <f>DMHH!$C$33</f>
        <v>0</v>
      </c>
      <c r="F56" s="1" t="str">
        <f t="shared" si="28"/>
        <v>&gt;=41640</v>
      </c>
      <c r="G56" s="1" t="str">
        <f t="shared" si="29"/>
        <v>&lt;41640</v>
      </c>
      <c r="I56" s="1"/>
    </row>
    <row r="57" spans="2:10">
      <c r="B57" s="1"/>
      <c r="C57" s="3" t="s">
        <v>28</v>
      </c>
      <c r="D57" s="3" t="s">
        <v>28</v>
      </c>
      <c r="E57" s="4" t="s">
        <v>228</v>
      </c>
      <c r="F57" s="3" t="s">
        <v>28</v>
      </c>
      <c r="G57" s="3" t="s">
        <v>28</v>
      </c>
      <c r="I57" s="3"/>
      <c r="J57" s="3"/>
    </row>
    <row r="58" spans="2:10">
      <c r="B58" s="1">
        <v>27</v>
      </c>
      <c r="C58" s="1" t="str">
        <f t="shared" si="26"/>
        <v>&gt;=41640</v>
      </c>
      <c r="D58" s="1" t="str">
        <f t="shared" si="27"/>
        <v>&lt;=42004</v>
      </c>
      <c r="E58" s="1">
        <f>DMHH!$C$34</f>
        <v>0</v>
      </c>
      <c r="F58" s="1" t="str">
        <f t="shared" si="28"/>
        <v>&gt;=41640</v>
      </c>
      <c r="G58" s="1" t="str">
        <f t="shared" si="29"/>
        <v>&lt;41640</v>
      </c>
      <c r="I58" s="1"/>
    </row>
    <row r="59" spans="2:10">
      <c r="B59" s="1"/>
      <c r="C59" s="3" t="s">
        <v>28</v>
      </c>
      <c r="D59" s="3" t="s">
        <v>28</v>
      </c>
      <c r="E59" s="4" t="s">
        <v>228</v>
      </c>
      <c r="F59" s="3" t="s">
        <v>28</v>
      </c>
      <c r="G59" s="3" t="s">
        <v>28</v>
      </c>
      <c r="I59" s="3"/>
      <c r="J59" s="3"/>
    </row>
    <row r="60" spans="2:10">
      <c r="B60" s="1">
        <v>28</v>
      </c>
      <c r="C60" s="1" t="str">
        <f t="shared" si="26"/>
        <v>&gt;=41640</v>
      </c>
      <c r="D60" s="1" t="str">
        <f t="shared" si="27"/>
        <v>&lt;=42004</v>
      </c>
      <c r="E60" s="1">
        <f>DMHH!$C$35</f>
        <v>0</v>
      </c>
      <c r="F60" s="1" t="str">
        <f t="shared" si="28"/>
        <v>&gt;=41640</v>
      </c>
      <c r="G60" s="1" t="str">
        <f t="shared" si="29"/>
        <v>&lt;41640</v>
      </c>
      <c r="I60" s="1"/>
    </row>
    <row r="61" spans="2:10">
      <c r="B61" s="1"/>
      <c r="C61" s="3" t="s">
        <v>28</v>
      </c>
      <c r="D61" s="3" t="s">
        <v>28</v>
      </c>
      <c r="E61" s="4" t="s">
        <v>228</v>
      </c>
      <c r="F61" s="3" t="s">
        <v>28</v>
      </c>
      <c r="G61" s="3" t="s">
        <v>28</v>
      </c>
      <c r="I61" s="3"/>
      <c r="J61" s="3"/>
    </row>
    <row r="62" spans="2:10">
      <c r="B62" s="1">
        <v>29</v>
      </c>
      <c r="C62" s="1" t="str">
        <f t="shared" si="26"/>
        <v>&gt;=41640</v>
      </c>
      <c r="D62" s="1" t="str">
        <f t="shared" si="27"/>
        <v>&lt;=42004</v>
      </c>
      <c r="E62" s="1">
        <f>DMHH!$C$36</f>
        <v>0</v>
      </c>
      <c r="F62" s="1" t="str">
        <f t="shared" si="28"/>
        <v>&gt;=41640</v>
      </c>
      <c r="G62" s="1" t="str">
        <f t="shared" si="29"/>
        <v>&lt;41640</v>
      </c>
      <c r="I62" s="1"/>
    </row>
    <row r="63" spans="2:10">
      <c r="B63" s="1"/>
      <c r="C63" s="3" t="s">
        <v>28</v>
      </c>
      <c r="D63" s="3" t="s">
        <v>28</v>
      </c>
      <c r="E63" s="4" t="s">
        <v>228</v>
      </c>
      <c r="F63" s="3" t="s">
        <v>28</v>
      </c>
      <c r="G63" s="3" t="s">
        <v>28</v>
      </c>
      <c r="I63" s="3"/>
      <c r="J63" s="3"/>
    </row>
    <row r="64" spans="2:10">
      <c r="B64" s="1">
        <v>30</v>
      </c>
      <c r="C64" s="1" t="str">
        <f t="shared" si="26"/>
        <v>&gt;=41640</v>
      </c>
      <c r="D64" s="1" t="str">
        <f t="shared" si="27"/>
        <v>&lt;=42004</v>
      </c>
      <c r="E64" s="1">
        <f>DMHH!$C$37</f>
        <v>0</v>
      </c>
      <c r="F64" s="1" t="str">
        <f t="shared" si="28"/>
        <v>&gt;=41640</v>
      </c>
      <c r="G64" s="1" t="str">
        <f t="shared" si="29"/>
        <v>&lt;41640</v>
      </c>
      <c r="I64" s="1"/>
    </row>
    <row r="65" spans="2:10">
      <c r="B65" s="1"/>
      <c r="C65" s="3" t="s">
        <v>28</v>
      </c>
      <c r="D65" s="3" t="s">
        <v>28</v>
      </c>
      <c r="E65" s="4" t="s">
        <v>228</v>
      </c>
      <c r="F65" s="3" t="s">
        <v>28</v>
      </c>
      <c r="G65" s="3" t="s">
        <v>28</v>
      </c>
      <c r="I65" s="3"/>
      <c r="J65" s="3"/>
    </row>
    <row r="66" spans="2:10">
      <c r="B66" s="1">
        <v>31</v>
      </c>
      <c r="C66" s="1" t="str">
        <f t="shared" si="26"/>
        <v>&gt;=41640</v>
      </c>
      <c r="D66" s="1" t="str">
        <f t="shared" si="27"/>
        <v>&lt;=42004</v>
      </c>
      <c r="E66" s="1">
        <f>DMHH!$C$38</f>
        <v>0</v>
      </c>
      <c r="F66" s="1" t="str">
        <f t="shared" si="28"/>
        <v>&gt;=41640</v>
      </c>
      <c r="G66" s="1" t="str">
        <f t="shared" si="29"/>
        <v>&lt;41640</v>
      </c>
      <c r="I66" s="1"/>
    </row>
    <row r="67" spans="2:10">
      <c r="B67" s="1"/>
      <c r="C67" s="3" t="s">
        <v>28</v>
      </c>
      <c r="D67" s="3" t="s">
        <v>28</v>
      </c>
      <c r="E67" s="4" t="s">
        <v>228</v>
      </c>
      <c r="F67" s="3" t="s">
        <v>28</v>
      </c>
      <c r="G67" s="3" t="s">
        <v>28</v>
      </c>
      <c r="I67" s="3"/>
      <c r="J67" s="3"/>
    </row>
    <row r="68" spans="2:10">
      <c r="B68" s="1">
        <v>32</v>
      </c>
      <c r="C68" s="1" t="str">
        <f t="shared" si="26"/>
        <v>&gt;=41640</v>
      </c>
      <c r="D68" s="1" t="str">
        <f t="shared" si="27"/>
        <v>&lt;=42004</v>
      </c>
      <c r="E68" s="1">
        <f>DMHH!$C$39</f>
        <v>0</v>
      </c>
      <c r="F68" s="1" t="str">
        <f t="shared" si="28"/>
        <v>&gt;=41640</v>
      </c>
      <c r="G68" s="1" t="str">
        <f t="shared" si="29"/>
        <v>&lt;41640</v>
      </c>
      <c r="I68" s="1"/>
    </row>
    <row r="69" spans="2:10">
      <c r="B69" s="1"/>
      <c r="C69" s="3" t="s">
        <v>28</v>
      </c>
      <c r="D69" s="3" t="s">
        <v>28</v>
      </c>
      <c r="E69" s="4" t="s">
        <v>228</v>
      </c>
      <c r="F69" s="3" t="s">
        <v>28</v>
      </c>
      <c r="G69" s="3" t="s">
        <v>28</v>
      </c>
      <c r="I69" s="3"/>
      <c r="J69" s="3"/>
    </row>
    <row r="70" spans="2:10">
      <c r="B70" s="1">
        <v>33</v>
      </c>
      <c r="C70" s="1" t="str">
        <f t="shared" si="26"/>
        <v>&gt;=41640</v>
      </c>
      <c r="D70" s="1" t="str">
        <f t="shared" si="27"/>
        <v>&lt;=42004</v>
      </c>
      <c r="E70" s="1">
        <f>DMHH!$C$40</f>
        <v>0</v>
      </c>
      <c r="F70" s="1" t="str">
        <f t="shared" si="28"/>
        <v>&gt;=41640</v>
      </c>
      <c r="G70" s="1" t="str">
        <f t="shared" si="29"/>
        <v>&lt;41640</v>
      </c>
      <c r="I70" s="1"/>
    </row>
    <row r="71" spans="2:10">
      <c r="B71" s="1"/>
      <c r="C71" s="3" t="s">
        <v>28</v>
      </c>
      <c r="D71" s="3" t="s">
        <v>28</v>
      </c>
      <c r="E71" s="4" t="s">
        <v>228</v>
      </c>
      <c r="F71" s="3" t="s">
        <v>28</v>
      </c>
      <c r="G71" s="3" t="s">
        <v>28</v>
      </c>
      <c r="I71" s="3"/>
      <c r="J71" s="3"/>
    </row>
    <row r="72" spans="2:10">
      <c r="B72" s="1">
        <v>34</v>
      </c>
      <c r="C72" s="1" t="str">
        <f t="shared" si="26"/>
        <v>&gt;=41640</v>
      </c>
      <c r="D72" s="1" t="str">
        <f t="shared" si="27"/>
        <v>&lt;=42004</v>
      </c>
      <c r="E72" s="1">
        <f>DMHH!$C$41</f>
        <v>0</v>
      </c>
      <c r="F72" s="1" t="str">
        <f t="shared" si="28"/>
        <v>&gt;=41640</v>
      </c>
      <c r="G72" s="1" t="str">
        <f t="shared" si="29"/>
        <v>&lt;41640</v>
      </c>
      <c r="I72" s="1"/>
    </row>
    <row r="73" spans="2:10">
      <c r="B73" s="1"/>
      <c r="C73" s="3" t="s">
        <v>28</v>
      </c>
      <c r="D73" s="3" t="s">
        <v>28</v>
      </c>
      <c r="E73" s="4" t="s">
        <v>228</v>
      </c>
      <c r="F73" s="3" t="s">
        <v>28</v>
      </c>
      <c r="G73" s="3" t="s">
        <v>28</v>
      </c>
      <c r="I73" s="3"/>
      <c r="J73" s="3"/>
    </row>
    <row r="74" spans="2:10">
      <c r="B74" s="1">
        <v>35</v>
      </c>
      <c r="C74" s="1" t="str">
        <f t="shared" si="26"/>
        <v>&gt;=41640</v>
      </c>
      <c r="D74" s="1" t="str">
        <f t="shared" si="27"/>
        <v>&lt;=42004</v>
      </c>
      <c r="E74" s="1">
        <f>DMHH!$C$42</f>
        <v>0</v>
      </c>
      <c r="F74" s="1" t="str">
        <f t="shared" si="28"/>
        <v>&gt;=41640</v>
      </c>
      <c r="G74" s="1" t="str">
        <f t="shared" si="29"/>
        <v>&lt;41640</v>
      </c>
      <c r="I74" s="1"/>
    </row>
    <row r="75" spans="2:10">
      <c r="B75" s="1"/>
      <c r="C75" s="3" t="s">
        <v>28</v>
      </c>
      <c r="D75" s="3" t="s">
        <v>28</v>
      </c>
      <c r="E75" s="4" t="s">
        <v>228</v>
      </c>
      <c r="F75" s="3" t="s">
        <v>28</v>
      </c>
      <c r="G75" s="3" t="s">
        <v>28</v>
      </c>
      <c r="I75" s="3"/>
      <c r="J75" s="3"/>
    </row>
    <row r="76" spans="2:10">
      <c r="B76" s="1">
        <v>36</v>
      </c>
      <c r="C76" s="1" t="str">
        <f t="shared" si="26"/>
        <v>&gt;=41640</v>
      </c>
      <c r="D76" s="1" t="str">
        <f t="shared" si="27"/>
        <v>&lt;=42004</v>
      </c>
      <c r="E76" s="1">
        <f>DMHH!$C$43</f>
        <v>0</v>
      </c>
      <c r="F76" s="1" t="str">
        <f t="shared" si="28"/>
        <v>&gt;=41640</v>
      </c>
      <c r="G76" s="1" t="str">
        <f t="shared" si="29"/>
        <v>&lt;41640</v>
      </c>
      <c r="I76" s="1"/>
    </row>
    <row r="77" spans="2:10">
      <c r="B77" s="1"/>
      <c r="C77" s="3" t="s">
        <v>28</v>
      </c>
      <c r="D77" s="3" t="s">
        <v>28</v>
      </c>
      <c r="E77" s="4" t="s">
        <v>228</v>
      </c>
      <c r="F77" s="3" t="s">
        <v>28</v>
      </c>
      <c r="G77" s="3" t="s">
        <v>28</v>
      </c>
      <c r="I77" s="3"/>
      <c r="J77" s="3"/>
    </row>
    <row r="78" spans="2:10">
      <c r="B78" s="1">
        <v>37</v>
      </c>
      <c r="C78" s="1" t="str">
        <f t="shared" si="26"/>
        <v>&gt;=41640</v>
      </c>
      <c r="D78" s="1" t="str">
        <f t="shared" si="27"/>
        <v>&lt;=42004</v>
      </c>
      <c r="E78" s="1">
        <f>DMHH!$C$44</f>
        <v>0</v>
      </c>
      <c r="F78" s="1" t="str">
        <f t="shared" si="28"/>
        <v>&gt;=41640</v>
      </c>
      <c r="G78" s="1" t="str">
        <f t="shared" si="29"/>
        <v>&lt;41640</v>
      </c>
      <c r="I78" s="1"/>
    </row>
    <row r="79" spans="2:10">
      <c r="B79" s="1"/>
      <c r="C79" s="3" t="s">
        <v>28</v>
      </c>
      <c r="D79" s="3" t="s">
        <v>28</v>
      </c>
      <c r="E79" s="4" t="s">
        <v>228</v>
      </c>
      <c r="F79" s="3" t="s">
        <v>28</v>
      </c>
      <c r="G79" s="3" t="s">
        <v>28</v>
      </c>
      <c r="I79" s="3"/>
      <c r="J79" s="3"/>
    </row>
    <row r="80" spans="2:10">
      <c r="B80" s="1">
        <v>38</v>
      </c>
      <c r="C80" s="1" t="str">
        <f t="shared" si="26"/>
        <v>&gt;=41640</v>
      </c>
      <c r="D80" s="1" t="str">
        <f t="shared" si="27"/>
        <v>&lt;=42004</v>
      </c>
      <c r="E80" s="1">
        <f>DMHH!$C$45</f>
        <v>0</v>
      </c>
      <c r="F80" s="1" t="str">
        <f t="shared" si="28"/>
        <v>&gt;=41640</v>
      </c>
      <c r="G80" s="1" t="str">
        <f t="shared" si="29"/>
        <v>&lt;41640</v>
      </c>
      <c r="I80" s="1"/>
    </row>
    <row r="81" spans="2:10">
      <c r="B81" s="1"/>
      <c r="C81" s="3" t="s">
        <v>28</v>
      </c>
      <c r="D81" s="3" t="s">
        <v>28</v>
      </c>
      <c r="E81" s="4" t="s">
        <v>228</v>
      </c>
      <c r="F81" s="3" t="s">
        <v>28</v>
      </c>
      <c r="G81" s="3" t="s">
        <v>28</v>
      </c>
      <c r="I81" s="3"/>
      <c r="J81" s="3"/>
    </row>
    <row r="82" spans="2:10">
      <c r="B82" s="1">
        <v>39</v>
      </c>
      <c r="C82" s="1" t="str">
        <f t="shared" si="26"/>
        <v>&gt;=41640</v>
      </c>
      <c r="D82" s="1" t="str">
        <f t="shared" si="27"/>
        <v>&lt;=42004</v>
      </c>
      <c r="E82" s="1">
        <f>DMHH!$C$46</f>
        <v>0</v>
      </c>
      <c r="F82" s="1" t="str">
        <f t="shared" si="28"/>
        <v>&gt;=41640</v>
      </c>
      <c r="G82" s="1" t="str">
        <f t="shared" si="29"/>
        <v>&lt;41640</v>
      </c>
      <c r="I82" s="1"/>
    </row>
    <row r="83" spans="2:10">
      <c r="B83" s="1"/>
      <c r="C83" s="3" t="s">
        <v>28</v>
      </c>
      <c r="D83" s="3" t="s">
        <v>28</v>
      </c>
      <c r="E83" s="4" t="s">
        <v>228</v>
      </c>
      <c r="F83" s="3" t="s">
        <v>28</v>
      </c>
      <c r="G83" s="3" t="s">
        <v>28</v>
      </c>
      <c r="I83" s="3"/>
      <c r="J83" s="3"/>
    </row>
    <row r="84" spans="2:10">
      <c r="B84" s="1">
        <v>40</v>
      </c>
      <c r="C84" s="1" t="str">
        <f t="shared" si="26"/>
        <v>&gt;=41640</v>
      </c>
      <c r="D84" s="1" t="str">
        <f t="shared" si="27"/>
        <v>&lt;=42004</v>
      </c>
      <c r="E84" s="1">
        <f>DMHH!$C$47</f>
        <v>0</v>
      </c>
      <c r="F84" s="1" t="str">
        <f t="shared" si="28"/>
        <v>&gt;=41640</v>
      </c>
      <c r="G84" s="1" t="str">
        <f t="shared" si="29"/>
        <v>&lt;41640</v>
      </c>
      <c r="I84" s="1"/>
    </row>
    <row r="85" spans="2:10">
      <c r="B85" s="1"/>
      <c r="C85" s="3" t="s">
        <v>28</v>
      </c>
      <c r="D85" s="3" t="s">
        <v>28</v>
      </c>
      <c r="E85" s="4" t="s">
        <v>228</v>
      </c>
      <c r="F85" s="3" t="s">
        <v>28</v>
      </c>
      <c r="G85" s="3" t="s">
        <v>28</v>
      </c>
      <c r="I85" s="3"/>
      <c r="J85" s="3"/>
    </row>
    <row r="86" spans="2:10">
      <c r="B86" s="1">
        <v>41</v>
      </c>
      <c r="C86" s="1" t="str">
        <f t="shared" si="26"/>
        <v>&gt;=41640</v>
      </c>
      <c r="D86" s="1" t="str">
        <f t="shared" si="27"/>
        <v>&lt;=42004</v>
      </c>
      <c r="E86" s="1">
        <f>DMHH!$C$48</f>
        <v>0</v>
      </c>
      <c r="F86" s="1" t="str">
        <f t="shared" si="28"/>
        <v>&gt;=41640</v>
      </c>
      <c r="G86" s="1" t="str">
        <f t="shared" si="29"/>
        <v>&lt;41640</v>
      </c>
      <c r="I86" s="1"/>
    </row>
    <row r="87" spans="2:10">
      <c r="B87" s="1"/>
      <c r="C87" s="3" t="s">
        <v>28</v>
      </c>
      <c r="D87" s="3" t="s">
        <v>28</v>
      </c>
      <c r="E87" s="4" t="s">
        <v>228</v>
      </c>
      <c r="F87" s="3" t="s">
        <v>28</v>
      </c>
      <c r="G87" s="3" t="s">
        <v>28</v>
      </c>
      <c r="I87" s="3"/>
      <c r="J87" s="3"/>
    </row>
    <row r="88" spans="2:10">
      <c r="B88" s="1">
        <v>42</v>
      </c>
      <c r="C88" s="1" t="str">
        <f t="shared" si="26"/>
        <v>&gt;=41640</v>
      </c>
      <c r="D88" s="1" t="str">
        <f t="shared" si="27"/>
        <v>&lt;=42004</v>
      </c>
      <c r="E88" s="1">
        <f>DMHH!$C$49</f>
        <v>0</v>
      </c>
      <c r="F88" s="1" t="str">
        <f t="shared" si="28"/>
        <v>&gt;=41640</v>
      </c>
      <c r="G88" s="1" t="str">
        <f t="shared" si="29"/>
        <v>&lt;41640</v>
      </c>
      <c r="I88" s="1"/>
    </row>
    <row r="89" spans="2:10">
      <c r="B89" s="1"/>
      <c r="C89" s="3" t="s">
        <v>28</v>
      </c>
      <c r="D89" s="3" t="s">
        <v>28</v>
      </c>
      <c r="E89" s="4" t="s">
        <v>228</v>
      </c>
      <c r="F89" s="3" t="s">
        <v>28</v>
      </c>
      <c r="G89" s="3" t="s">
        <v>28</v>
      </c>
      <c r="I89" s="3"/>
      <c r="J89" s="3"/>
    </row>
    <row r="90" spans="2:10">
      <c r="B90" s="1">
        <v>43</v>
      </c>
      <c r="C90" s="1" t="str">
        <f t="shared" si="26"/>
        <v>&gt;=41640</v>
      </c>
      <c r="D90" s="1" t="str">
        <f t="shared" si="27"/>
        <v>&lt;=42004</v>
      </c>
      <c r="E90" s="1">
        <f>DMHH!$C$50</f>
        <v>0</v>
      </c>
      <c r="F90" s="1" t="str">
        <f t="shared" si="28"/>
        <v>&gt;=41640</v>
      </c>
      <c r="G90" s="1" t="str">
        <f t="shared" si="29"/>
        <v>&lt;41640</v>
      </c>
      <c r="I90" s="1"/>
    </row>
    <row r="91" spans="2:10">
      <c r="B91" s="1"/>
      <c r="C91" s="3" t="s">
        <v>28</v>
      </c>
      <c r="D91" s="3" t="s">
        <v>28</v>
      </c>
      <c r="E91" s="4" t="s">
        <v>228</v>
      </c>
      <c r="F91" s="3" t="s">
        <v>28</v>
      </c>
      <c r="G91" s="3" t="s">
        <v>28</v>
      </c>
      <c r="I91" s="3"/>
      <c r="J91" s="3"/>
    </row>
    <row r="92" spans="2:10">
      <c r="B92" s="1">
        <v>44</v>
      </c>
      <c r="C92" s="1" t="str">
        <f t="shared" si="26"/>
        <v>&gt;=41640</v>
      </c>
      <c r="D92" s="1" t="str">
        <f t="shared" si="27"/>
        <v>&lt;=42004</v>
      </c>
      <c r="E92" s="1">
        <f>DMHH!$C$51</f>
        <v>0</v>
      </c>
      <c r="F92" s="1" t="str">
        <f t="shared" si="28"/>
        <v>&gt;=41640</v>
      </c>
      <c r="G92" s="1" t="str">
        <f t="shared" si="29"/>
        <v>&lt;41640</v>
      </c>
      <c r="I92" s="1"/>
    </row>
    <row r="93" spans="2:10">
      <c r="B93" s="1"/>
      <c r="C93" s="3" t="s">
        <v>28</v>
      </c>
      <c r="D93" s="3" t="s">
        <v>28</v>
      </c>
      <c r="E93" s="4" t="s">
        <v>228</v>
      </c>
      <c r="F93" s="3" t="s">
        <v>28</v>
      </c>
      <c r="G93" s="3" t="s">
        <v>28</v>
      </c>
      <c r="I93" s="3"/>
      <c r="J93" s="3"/>
    </row>
    <row r="94" spans="2:10">
      <c r="B94" s="1">
        <v>45</v>
      </c>
      <c r="C94" s="1" t="str">
        <f t="shared" si="26"/>
        <v>&gt;=41640</v>
      </c>
      <c r="D94" s="1" t="str">
        <f t="shared" si="27"/>
        <v>&lt;=42004</v>
      </c>
      <c r="E94" s="1">
        <f>DMHH!$C$52</f>
        <v>0</v>
      </c>
      <c r="F94" s="1" t="str">
        <f t="shared" si="28"/>
        <v>&gt;=41640</v>
      </c>
      <c r="G94" s="1" t="str">
        <f t="shared" si="29"/>
        <v>&lt;41640</v>
      </c>
      <c r="I94" s="1"/>
    </row>
    <row r="95" spans="2:10">
      <c r="B95" s="1"/>
      <c r="C95" s="3" t="s">
        <v>28</v>
      </c>
      <c r="D95" s="3" t="s">
        <v>28</v>
      </c>
      <c r="E95" s="4" t="s">
        <v>228</v>
      </c>
      <c r="F95" s="3" t="s">
        <v>28</v>
      </c>
      <c r="G95" s="3" t="s">
        <v>28</v>
      </c>
      <c r="I95" s="3"/>
      <c r="J95" s="3"/>
    </row>
    <row r="96" spans="2:10">
      <c r="B96" s="1">
        <v>46</v>
      </c>
      <c r="C96" s="1" t="str">
        <f t="shared" si="26"/>
        <v>&gt;=41640</v>
      </c>
      <c r="D96" s="1" t="str">
        <f t="shared" si="27"/>
        <v>&lt;=42004</v>
      </c>
      <c r="E96" s="1">
        <f>DMHH!$C$53</f>
        <v>0</v>
      </c>
      <c r="F96" s="1" t="str">
        <f t="shared" si="28"/>
        <v>&gt;=41640</v>
      </c>
      <c r="G96" s="1" t="str">
        <f t="shared" si="29"/>
        <v>&lt;41640</v>
      </c>
      <c r="I96" s="1"/>
    </row>
    <row r="97" spans="2:10">
      <c r="B97" s="1"/>
      <c r="C97" s="3" t="s">
        <v>28</v>
      </c>
      <c r="D97" s="3" t="s">
        <v>28</v>
      </c>
      <c r="E97" s="4" t="s">
        <v>228</v>
      </c>
      <c r="F97" s="3" t="s">
        <v>28</v>
      </c>
      <c r="G97" s="3" t="s">
        <v>28</v>
      </c>
      <c r="I97" s="3"/>
      <c r="J97" s="3"/>
    </row>
    <row r="98" spans="2:10">
      <c r="B98" s="1">
        <v>47</v>
      </c>
      <c r="C98" s="1" t="str">
        <f t="shared" ref="C98:C160" si="32">"&gt;="&amp;$C$3</f>
        <v>&gt;=41640</v>
      </c>
      <c r="D98" s="1" t="str">
        <f t="shared" ref="D98:D160" si="33">"&lt;="&amp;$E$3</f>
        <v>&lt;=42004</v>
      </c>
      <c r="E98" s="1">
        <f>DMHH!$C$54</f>
        <v>0</v>
      </c>
      <c r="F98" s="1" t="str">
        <f t="shared" ref="F98:F160" si="34">"&gt;="&amp;$C$2</f>
        <v>&gt;=41640</v>
      </c>
      <c r="G98" s="1" t="str">
        <f t="shared" ref="G98:G160" si="35">"&lt;"&amp;$C$3</f>
        <v>&lt;41640</v>
      </c>
      <c r="I98" s="1"/>
    </row>
    <row r="99" spans="2:10">
      <c r="B99" s="1"/>
      <c r="C99" s="3" t="s">
        <v>28</v>
      </c>
      <c r="D99" s="3" t="s">
        <v>28</v>
      </c>
      <c r="E99" s="4" t="s">
        <v>228</v>
      </c>
      <c r="F99" s="3" t="s">
        <v>28</v>
      </c>
      <c r="G99" s="3" t="s">
        <v>28</v>
      </c>
      <c r="I99" s="3"/>
      <c r="J99" s="3"/>
    </row>
    <row r="100" spans="2:10">
      <c r="B100" s="1">
        <v>48</v>
      </c>
      <c r="C100" s="1" t="str">
        <f t="shared" si="32"/>
        <v>&gt;=41640</v>
      </c>
      <c r="D100" s="1" t="str">
        <f t="shared" si="33"/>
        <v>&lt;=42004</v>
      </c>
      <c r="E100" s="1">
        <f>DMHH!$C$55</f>
        <v>0</v>
      </c>
      <c r="F100" s="1" t="str">
        <f t="shared" si="34"/>
        <v>&gt;=41640</v>
      </c>
      <c r="G100" s="1" t="str">
        <f t="shared" si="35"/>
        <v>&lt;41640</v>
      </c>
      <c r="I100" s="1"/>
    </row>
    <row r="101" spans="2:10">
      <c r="B101" s="1"/>
      <c r="C101" s="3" t="s">
        <v>28</v>
      </c>
      <c r="D101" s="3" t="s">
        <v>28</v>
      </c>
      <c r="E101" s="4" t="s">
        <v>228</v>
      </c>
      <c r="F101" s="3" t="s">
        <v>28</v>
      </c>
      <c r="G101" s="3" t="s">
        <v>28</v>
      </c>
      <c r="I101" s="3"/>
      <c r="J101" s="3"/>
    </row>
    <row r="102" spans="2:10">
      <c r="B102" s="1">
        <v>49</v>
      </c>
      <c r="C102" s="1" t="str">
        <f t="shared" si="32"/>
        <v>&gt;=41640</v>
      </c>
      <c r="D102" s="1" t="str">
        <f t="shared" si="33"/>
        <v>&lt;=42004</v>
      </c>
      <c r="E102" s="1">
        <f>DMHH!$C$56</f>
        <v>0</v>
      </c>
      <c r="F102" s="1" t="str">
        <f t="shared" si="34"/>
        <v>&gt;=41640</v>
      </c>
      <c r="G102" s="1" t="str">
        <f t="shared" si="35"/>
        <v>&lt;41640</v>
      </c>
      <c r="I102" s="1"/>
    </row>
    <row r="103" spans="2:10">
      <c r="B103" s="1"/>
      <c r="C103" s="3" t="s">
        <v>28</v>
      </c>
      <c r="D103" s="3" t="s">
        <v>28</v>
      </c>
      <c r="E103" s="4" t="s">
        <v>228</v>
      </c>
      <c r="F103" s="3" t="s">
        <v>28</v>
      </c>
      <c r="G103" s="3" t="s">
        <v>28</v>
      </c>
      <c r="I103" s="3"/>
      <c r="J103" s="3"/>
    </row>
    <row r="104" spans="2:10">
      <c r="B104" s="1">
        <v>50</v>
      </c>
      <c r="C104" s="1" t="str">
        <f t="shared" si="32"/>
        <v>&gt;=41640</v>
      </c>
      <c r="D104" s="1" t="str">
        <f t="shared" si="33"/>
        <v>&lt;=42004</v>
      </c>
      <c r="E104" s="1">
        <f>DMHH!$C$57</f>
        <v>0</v>
      </c>
      <c r="F104" s="1" t="str">
        <f t="shared" si="34"/>
        <v>&gt;=41640</v>
      </c>
      <c r="G104" s="1" t="str">
        <f t="shared" si="35"/>
        <v>&lt;41640</v>
      </c>
      <c r="I104" s="1"/>
    </row>
    <row r="105" spans="2:10">
      <c r="B105" s="1"/>
      <c r="C105" s="3" t="s">
        <v>28</v>
      </c>
      <c r="D105" s="3" t="s">
        <v>28</v>
      </c>
      <c r="E105" s="4" t="s">
        <v>228</v>
      </c>
      <c r="F105" s="3" t="s">
        <v>28</v>
      </c>
      <c r="G105" s="3" t="s">
        <v>28</v>
      </c>
      <c r="I105" s="3"/>
      <c r="J105" s="3"/>
    </row>
    <row r="106" spans="2:10">
      <c r="B106" s="1">
        <v>51</v>
      </c>
      <c r="C106" s="1" t="str">
        <f t="shared" si="32"/>
        <v>&gt;=41640</v>
      </c>
      <c r="D106" s="1" t="str">
        <f t="shared" si="33"/>
        <v>&lt;=42004</v>
      </c>
      <c r="E106" s="1">
        <f>DMHH!$C$58</f>
        <v>0</v>
      </c>
      <c r="F106" s="1" t="str">
        <f t="shared" si="34"/>
        <v>&gt;=41640</v>
      </c>
      <c r="G106" s="1" t="str">
        <f t="shared" si="35"/>
        <v>&lt;41640</v>
      </c>
      <c r="I106" s="1"/>
    </row>
    <row r="107" spans="2:10">
      <c r="B107" s="1"/>
      <c r="C107" s="3" t="s">
        <v>28</v>
      </c>
      <c r="D107" s="3" t="s">
        <v>28</v>
      </c>
      <c r="E107" s="4" t="s">
        <v>228</v>
      </c>
      <c r="F107" s="3" t="s">
        <v>28</v>
      </c>
      <c r="G107" s="3" t="s">
        <v>28</v>
      </c>
      <c r="I107" s="3"/>
      <c r="J107" s="3"/>
    </row>
    <row r="108" spans="2:10">
      <c r="B108" s="1">
        <v>52</v>
      </c>
      <c r="C108" s="1" t="str">
        <f t="shared" si="32"/>
        <v>&gt;=41640</v>
      </c>
      <c r="D108" s="1" t="str">
        <f t="shared" si="33"/>
        <v>&lt;=42004</v>
      </c>
      <c r="E108" s="1">
        <f>DMHH!$C$59</f>
        <v>0</v>
      </c>
      <c r="F108" s="1" t="str">
        <f t="shared" si="34"/>
        <v>&gt;=41640</v>
      </c>
      <c r="G108" s="1" t="str">
        <f t="shared" si="35"/>
        <v>&lt;41640</v>
      </c>
      <c r="I108" s="1"/>
    </row>
    <row r="109" spans="2:10">
      <c r="B109" s="1"/>
      <c r="C109" s="3" t="s">
        <v>28</v>
      </c>
      <c r="D109" s="3" t="s">
        <v>28</v>
      </c>
      <c r="E109" s="4" t="s">
        <v>228</v>
      </c>
      <c r="F109" s="3" t="s">
        <v>28</v>
      </c>
      <c r="G109" s="3" t="s">
        <v>28</v>
      </c>
      <c r="I109" s="3"/>
      <c r="J109" s="3"/>
    </row>
    <row r="110" spans="2:10">
      <c r="B110" s="1">
        <v>53</v>
      </c>
      <c r="C110" s="1" t="str">
        <f t="shared" si="32"/>
        <v>&gt;=41640</v>
      </c>
      <c r="D110" s="1" t="str">
        <f t="shared" si="33"/>
        <v>&lt;=42004</v>
      </c>
      <c r="E110" s="1">
        <f>DMHH!$C$60</f>
        <v>0</v>
      </c>
      <c r="F110" s="1" t="str">
        <f t="shared" si="34"/>
        <v>&gt;=41640</v>
      </c>
      <c r="G110" s="1" t="str">
        <f t="shared" si="35"/>
        <v>&lt;41640</v>
      </c>
      <c r="I110" s="1"/>
    </row>
    <row r="111" spans="2:10">
      <c r="B111" s="1"/>
      <c r="C111" s="3" t="s">
        <v>28</v>
      </c>
      <c r="D111" s="3" t="s">
        <v>28</v>
      </c>
      <c r="E111" s="4" t="s">
        <v>228</v>
      </c>
      <c r="F111" s="3" t="s">
        <v>28</v>
      </c>
      <c r="G111" s="3" t="s">
        <v>28</v>
      </c>
      <c r="I111" s="3"/>
      <c r="J111" s="3"/>
    </row>
    <row r="112" spans="2:10">
      <c r="B112" s="1">
        <v>54</v>
      </c>
      <c r="C112" s="1" t="str">
        <f t="shared" si="32"/>
        <v>&gt;=41640</v>
      </c>
      <c r="D112" s="1" t="str">
        <f t="shared" si="33"/>
        <v>&lt;=42004</v>
      </c>
      <c r="E112" s="1">
        <f>DMHH!$C$61</f>
        <v>0</v>
      </c>
      <c r="F112" s="1" t="str">
        <f t="shared" si="34"/>
        <v>&gt;=41640</v>
      </c>
      <c r="G112" s="1" t="str">
        <f t="shared" si="35"/>
        <v>&lt;41640</v>
      </c>
      <c r="I112" s="1"/>
    </row>
    <row r="113" spans="2:10">
      <c r="B113" s="1"/>
      <c r="C113" s="3" t="s">
        <v>28</v>
      </c>
      <c r="D113" s="3" t="s">
        <v>28</v>
      </c>
      <c r="E113" s="4" t="s">
        <v>228</v>
      </c>
      <c r="F113" s="3" t="s">
        <v>28</v>
      </c>
      <c r="G113" s="3" t="s">
        <v>28</v>
      </c>
      <c r="I113" s="3"/>
      <c r="J113" s="3"/>
    </row>
    <row r="114" spans="2:10">
      <c r="B114" s="1">
        <v>55</v>
      </c>
      <c r="C114" s="1" t="str">
        <f t="shared" si="32"/>
        <v>&gt;=41640</v>
      </c>
      <c r="D114" s="1" t="str">
        <f t="shared" si="33"/>
        <v>&lt;=42004</v>
      </c>
      <c r="E114" s="1">
        <f>DMHH!$C$62</f>
        <v>0</v>
      </c>
      <c r="F114" s="1" t="str">
        <f t="shared" si="34"/>
        <v>&gt;=41640</v>
      </c>
      <c r="G114" s="1" t="str">
        <f t="shared" si="35"/>
        <v>&lt;41640</v>
      </c>
      <c r="I114" s="1"/>
    </row>
    <row r="115" spans="2:10">
      <c r="B115" s="1"/>
      <c r="C115" s="3" t="s">
        <v>28</v>
      </c>
      <c r="D115" s="3" t="s">
        <v>28</v>
      </c>
      <c r="E115" s="4" t="s">
        <v>228</v>
      </c>
      <c r="F115" s="3" t="s">
        <v>28</v>
      </c>
      <c r="G115" s="3" t="s">
        <v>28</v>
      </c>
      <c r="I115" s="3"/>
      <c r="J115" s="3"/>
    </row>
    <row r="116" spans="2:10">
      <c r="B116" s="1">
        <v>56</v>
      </c>
      <c r="C116" s="1" t="str">
        <f t="shared" si="32"/>
        <v>&gt;=41640</v>
      </c>
      <c r="D116" s="1" t="str">
        <f t="shared" si="33"/>
        <v>&lt;=42004</v>
      </c>
      <c r="E116" s="1">
        <f>DMHH!$C$63</f>
        <v>0</v>
      </c>
      <c r="F116" s="1" t="str">
        <f t="shared" si="34"/>
        <v>&gt;=41640</v>
      </c>
      <c r="G116" s="1" t="str">
        <f t="shared" si="35"/>
        <v>&lt;41640</v>
      </c>
      <c r="I116" s="1"/>
    </row>
    <row r="117" spans="2:10">
      <c r="B117" s="1"/>
      <c r="C117" s="3" t="s">
        <v>28</v>
      </c>
      <c r="D117" s="3" t="s">
        <v>28</v>
      </c>
      <c r="E117" s="4" t="s">
        <v>228</v>
      </c>
      <c r="F117" s="3" t="s">
        <v>28</v>
      </c>
      <c r="G117" s="3" t="s">
        <v>28</v>
      </c>
      <c r="I117" s="3"/>
      <c r="J117" s="3"/>
    </row>
    <row r="118" spans="2:10">
      <c r="B118" s="1">
        <v>57</v>
      </c>
      <c r="C118" s="1" t="str">
        <f t="shared" si="32"/>
        <v>&gt;=41640</v>
      </c>
      <c r="D118" s="1" t="str">
        <f t="shared" si="33"/>
        <v>&lt;=42004</v>
      </c>
      <c r="E118" s="1">
        <f>DMHH!$C$64</f>
        <v>0</v>
      </c>
      <c r="F118" s="1" t="str">
        <f t="shared" si="34"/>
        <v>&gt;=41640</v>
      </c>
      <c r="G118" s="1" t="str">
        <f t="shared" si="35"/>
        <v>&lt;41640</v>
      </c>
      <c r="I118" s="1"/>
    </row>
    <row r="119" spans="2:10">
      <c r="B119" s="1"/>
      <c r="C119" s="3" t="s">
        <v>28</v>
      </c>
      <c r="D119" s="3" t="s">
        <v>28</v>
      </c>
      <c r="E119" s="4" t="s">
        <v>228</v>
      </c>
      <c r="F119" s="3" t="s">
        <v>28</v>
      </c>
      <c r="G119" s="3" t="s">
        <v>28</v>
      </c>
      <c r="I119" s="3"/>
      <c r="J119" s="3"/>
    </row>
    <row r="120" spans="2:10">
      <c r="B120" s="1">
        <v>58</v>
      </c>
      <c r="C120" s="1" t="str">
        <f t="shared" si="32"/>
        <v>&gt;=41640</v>
      </c>
      <c r="D120" s="1" t="str">
        <f t="shared" si="33"/>
        <v>&lt;=42004</v>
      </c>
      <c r="E120" s="1">
        <f>DMHH!$C$65</f>
        <v>0</v>
      </c>
      <c r="F120" s="1" t="str">
        <f t="shared" si="34"/>
        <v>&gt;=41640</v>
      </c>
      <c r="G120" s="1" t="str">
        <f t="shared" si="35"/>
        <v>&lt;41640</v>
      </c>
      <c r="I120" s="1"/>
    </row>
    <row r="121" spans="2:10">
      <c r="B121" s="1"/>
      <c r="C121" s="3" t="s">
        <v>28</v>
      </c>
      <c r="D121" s="3" t="s">
        <v>28</v>
      </c>
      <c r="E121" s="4" t="s">
        <v>228</v>
      </c>
      <c r="F121" s="3" t="s">
        <v>28</v>
      </c>
      <c r="G121" s="3" t="s">
        <v>28</v>
      </c>
      <c r="I121" s="3"/>
      <c r="J121" s="3"/>
    </row>
    <row r="122" spans="2:10">
      <c r="B122" s="1">
        <v>59</v>
      </c>
      <c r="C122" s="1" t="str">
        <f t="shared" si="32"/>
        <v>&gt;=41640</v>
      </c>
      <c r="D122" s="1" t="str">
        <f t="shared" si="33"/>
        <v>&lt;=42004</v>
      </c>
      <c r="E122" s="1">
        <f>DMHH!$C$66</f>
        <v>0</v>
      </c>
      <c r="F122" s="1" t="str">
        <f t="shared" si="34"/>
        <v>&gt;=41640</v>
      </c>
      <c r="G122" s="1" t="str">
        <f t="shared" si="35"/>
        <v>&lt;41640</v>
      </c>
      <c r="I122" s="1"/>
    </row>
    <row r="123" spans="2:10">
      <c r="B123" s="1"/>
      <c r="C123" s="3" t="s">
        <v>28</v>
      </c>
      <c r="D123" s="3" t="s">
        <v>28</v>
      </c>
      <c r="E123" s="4" t="s">
        <v>228</v>
      </c>
      <c r="F123" s="3" t="s">
        <v>28</v>
      </c>
      <c r="G123" s="3" t="s">
        <v>28</v>
      </c>
      <c r="I123" s="3"/>
      <c r="J123" s="3"/>
    </row>
    <row r="124" spans="2:10">
      <c r="B124" s="1">
        <v>60</v>
      </c>
      <c r="C124" s="1" t="str">
        <f t="shared" si="32"/>
        <v>&gt;=41640</v>
      </c>
      <c r="D124" s="1" t="str">
        <f t="shared" si="33"/>
        <v>&lt;=42004</v>
      </c>
      <c r="E124" s="1">
        <f>DMHH!$C$67</f>
        <v>0</v>
      </c>
      <c r="F124" s="1" t="str">
        <f t="shared" si="34"/>
        <v>&gt;=41640</v>
      </c>
      <c r="G124" s="1" t="str">
        <f t="shared" si="35"/>
        <v>&lt;41640</v>
      </c>
      <c r="I124" s="1"/>
    </row>
    <row r="125" spans="2:10">
      <c r="B125" s="1"/>
      <c r="C125" s="3" t="s">
        <v>28</v>
      </c>
      <c r="D125" s="3" t="s">
        <v>28</v>
      </c>
      <c r="E125" s="4" t="s">
        <v>228</v>
      </c>
      <c r="F125" s="3" t="s">
        <v>28</v>
      </c>
      <c r="G125" s="3" t="s">
        <v>28</v>
      </c>
      <c r="I125" s="3"/>
      <c r="J125" s="3"/>
    </row>
    <row r="126" spans="2:10">
      <c r="B126" s="1">
        <v>61</v>
      </c>
      <c r="C126" s="1" t="str">
        <f t="shared" si="32"/>
        <v>&gt;=41640</v>
      </c>
      <c r="D126" s="1" t="str">
        <f t="shared" si="33"/>
        <v>&lt;=42004</v>
      </c>
      <c r="E126" s="1">
        <f>DMHH!$C$68</f>
        <v>0</v>
      </c>
      <c r="F126" s="1" t="str">
        <f t="shared" si="34"/>
        <v>&gt;=41640</v>
      </c>
      <c r="G126" s="1" t="str">
        <f t="shared" si="35"/>
        <v>&lt;41640</v>
      </c>
      <c r="I126" s="1"/>
    </row>
    <row r="127" spans="2:10">
      <c r="B127" s="1"/>
      <c r="C127" s="3" t="s">
        <v>28</v>
      </c>
      <c r="D127" s="3" t="s">
        <v>28</v>
      </c>
      <c r="E127" s="4" t="s">
        <v>228</v>
      </c>
      <c r="F127" s="3" t="s">
        <v>28</v>
      </c>
      <c r="G127" s="3" t="s">
        <v>28</v>
      </c>
      <c r="I127" s="3"/>
      <c r="J127" s="3"/>
    </row>
    <row r="128" spans="2:10">
      <c r="B128" s="1">
        <v>62</v>
      </c>
      <c r="C128" s="1" t="str">
        <f t="shared" si="32"/>
        <v>&gt;=41640</v>
      </c>
      <c r="D128" s="1" t="str">
        <f t="shared" si="33"/>
        <v>&lt;=42004</v>
      </c>
      <c r="E128" s="1">
        <f>DMHH!$C$69</f>
        <v>0</v>
      </c>
      <c r="F128" s="1" t="str">
        <f t="shared" si="34"/>
        <v>&gt;=41640</v>
      </c>
      <c r="G128" s="1" t="str">
        <f t="shared" si="35"/>
        <v>&lt;41640</v>
      </c>
      <c r="I128" s="1"/>
    </row>
    <row r="129" spans="2:10">
      <c r="B129" s="1"/>
      <c r="C129" s="3" t="s">
        <v>28</v>
      </c>
      <c r="D129" s="3" t="s">
        <v>28</v>
      </c>
      <c r="E129" s="4" t="s">
        <v>228</v>
      </c>
      <c r="F129" s="3" t="s">
        <v>28</v>
      </c>
      <c r="G129" s="3" t="s">
        <v>28</v>
      </c>
      <c r="I129" s="3"/>
      <c r="J129" s="3"/>
    </row>
    <row r="130" spans="2:10">
      <c r="B130" s="1">
        <v>63</v>
      </c>
      <c r="C130" s="1" t="str">
        <f t="shared" si="32"/>
        <v>&gt;=41640</v>
      </c>
      <c r="D130" s="1" t="str">
        <f t="shared" si="33"/>
        <v>&lt;=42004</v>
      </c>
      <c r="E130" s="1">
        <f>DMHH!$C$70</f>
        <v>0</v>
      </c>
      <c r="F130" s="1" t="str">
        <f t="shared" si="34"/>
        <v>&gt;=41640</v>
      </c>
      <c r="G130" s="1" t="str">
        <f t="shared" si="35"/>
        <v>&lt;41640</v>
      </c>
      <c r="I130" s="1"/>
    </row>
    <row r="131" spans="2:10">
      <c r="B131" s="1"/>
      <c r="C131" s="3" t="s">
        <v>28</v>
      </c>
      <c r="D131" s="3" t="s">
        <v>28</v>
      </c>
      <c r="E131" s="4" t="s">
        <v>228</v>
      </c>
      <c r="F131" s="3" t="s">
        <v>28</v>
      </c>
      <c r="G131" s="3" t="s">
        <v>28</v>
      </c>
      <c r="I131" s="3"/>
      <c r="J131" s="3"/>
    </row>
    <row r="132" spans="2:10">
      <c r="B132" s="1">
        <v>64</v>
      </c>
      <c r="C132" s="1" t="str">
        <f t="shared" si="32"/>
        <v>&gt;=41640</v>
      </c>
      <c r="D132" s="1" t="str">
        <f t="shared" si="33"/>
        <v>&lt;=42004</v>
      </c>
      <c r="E132" s="1">
        <f>DMHH!$C$71</f>
        <v>0</v>
      </c>
      <c r="F132" s="1" t="str">
        <f t="shared" si="34"/>
        <v>&gt;=41640</v>
      </c>
      <c r="G132" s="1" t="str">
        <f t="shared" si="35"/>
        <v>&lt;41640</v>
      </c>
      <c r="I132" s="1"/>
    </row>
    <row r="133" spans="2:10">
      <c r="B133" s="1"/>
      <c r="C133" s="3" t="s">
        <v>28</v>
      </c>
      <c r="D133" s="3" t="s">
        <v>28</v>
      </c>
      <c r="E133" s="4" t="s">
        <v>228</v>
      </c>
      <c r="F133" s="3" t="s">
        <v>28</v>
      </c>
      <c r="G133" s="3" t="s">
        <v>28</v>
      </c>
      <c r="I133" s="3"/>
      <c r="J133" s="3"/>
    </row>
    <row r="134" spans="2:10">
      <c r="B134" s="1">
        <v>65</v>
      </c>
      <c r="C134" s="1" t="str">
        <f t="shared" si="32"/>
        <v>&gt;=41640</v>
      </c>
      <c r="D134" s="1" t="str">
        <f t="shared" si="33"/>
        <v>&lt;=42004</v>
      </c>
      <c r="E134" s="1">
        <f>DMHH!$C$72</f>
        <v>0</v>
      </c>
      <c r="F134" s="1" t="str">
        <f t="shared" si="34"/>
        <v>&gt;=41640</v>
      </c>
      <c r="G134" s="1" t="str">
        <f t="shared" si="35"/>
        <v>&lt;41640</v>
      </c>
      <c r="I134" s="1"/>
    </row>
    <row r="135" spans="2:10">
      <c r="B135" s="1"/>
      <c r="C135" s="3" t="s">
        <v>28</v>
      </c>
      <c r="D135" s="3" t="s">
        <v>28</v>
      </c>
      <c r="E135" s="4" t="s">
        <v>228</v>
      </c>
      <c r="F135" s="3" t="s">
        <v>28</v>
      </c>
      <c r="G135" s="3" t="s">
        <v>28</v>
      </c>
      <c r="I135" s="3"/>
      <c r="J135" s="3"/>
    </row>
    <row r="136" spans="2:10">
      <c r="B136" s="1">
        <v>66</v>
      </c>
      <c r="C136" s="1" t="str">
        <f t="shared" si="32"/>
        <v>&gt;=41640</v>
      </c>
      <c r="D136" s="1" t="str">
        <f t="shared" si="33"/>
        <v>&lt;=42004</v>
      </c>
      <c r="E136" s="1">
        <f>DMHH!$C$73</f>
        <v>0</v>
      </c>
      <c r="F136" s="1" t="str">
        <f t="shared" si="34"/>
        <v>&gt;=41640</v>
      </c>
      <c r="G136" s="1" t="str">
        <f t="shared" si="35"/>
        <v>&lt;41640</v>
      </c>
      <c r="I136" s="1"/>
    </row>
    <row r="137" spans="2:10">
      <c r="B137" s="1"/>
      <c r="C137" s="3" t="s">
        <v>28</v>
      </c>
      <c r="D137" s="3" t="s">
        <v>28</v>
      </c>
      <c r="E137" s="4" t="s">
        <v>228</v>
      </c>
      <c r="F137" s="3" t="s">
        <v>28</v>
      </c>
      <c r="G137" s="3" t="s">
        <v>28</v>
      </c>
      <c r="I137" s="3"/>
      <c r="J137" s="3"/>
    </row>
    <row r="138" spans="2:10">
      <c r="B138" s="1">
        <v>67</v>
      </c>
      <c r="C138" s="1" t="str">
        <f t="shared" si="32"/>
        <v>&gt;=41640</v>
      </c>
      <c r="D138" s="1" t="str">
        <f t="shared" si="33"/>
        <v>&lt;=42004</v>
      </c>
      <c r="E138" s="1">
        <f>DMHH!$C$74</f>
        <v>0</v>
      </c>
      <c r="F138" s="1" t="str">
        <f t="shared" si="34"/>
        <v>&gt;=41640</v>
      </c>
      <c r="G138" s="1" t="str">
        <f t="shared" si="35"/>
        <v>&lt;41640</v>
      </c>
      <c r="I138" s="1"/>
    </row>
    <row r="139" spans="2:10">
      <c r="B139" s="1"/>
      <c r="C139" s="3" t="s">
        <v>28</v>
      </c>
      <c r="D139" s="3" t="s">
        <v>28</v>
      </c>
      <c r="E139" s="4" t="s">
        <v>228</v>
      </c>
      <c r="F139" s="3" t="s">
        <v>28</v>
      </c>
      <c r="G139" s="3" t="s">
        <v>28</v>
      </c>
      <c r="I139" s="3"/>
      <c r="J139" s="3"/>
    </row>
    <row r="140" spans="2:10">
      <c r="B140" s="1">
        <v>68</v>
      </c>
      <c r="C140" s="1" t="str">
        <f t="shared" si="32"/>
        <v>&gt;=41640</v>
      </c>
      <c r="D140" s="1" t="str">
        <f t="shared" si="33"/>
        <v>&lt;=42004</v>
      </c>
      <c r="E140" s="1">
        <f>DMHH!$C$75</f>
        <v>0</v>
      </c>
      <c r="F140" s="1" t="str">
        <f t="shared" si="34"/>
        <v>&gt;=41640</v>
      </c>
      <c r="G140" s="1" t="str">
        <f t="shared" si="35"/>
        <v>&lt;41640</v>
      </c>
      <c r="I140" s="1"/>
    </row>
    <row r="141" spans="2:10">
      <c r="B141" s="1"/>
      <c r="C141" s="3" t="s">
        <v>28</v>
      </c>
      <c r="D141" s="3" t="s">
        <v>28</v>
      </c>
      <c r="E141" s="4" t="s">
        <v>228</v>
      </c>
      <c r="F141" s="3" t="s">
        <v>28</v>
      </c>
      <c r="G141" s="3" t="s">
        <v>28</v>
      </c>
      <c r="I141" s="3"/>
      <c r="J141" s="3"/>
    </row>
    <row r="142" spans="2:10">
      <c r="B142" s="1">
        <v>69</v>
      </c>
      <c r="C142" s="1" t="str">
        <f t="shared" si="32"/>
        <v>&gt;=41640</v>
      </c>
      <c r="D142" s="1" t="str">
        <f t="shared" si="33"/>
        <v>&lt;=42004</v>
      </c>
      <c r="E142" s="1">
        <f>DMHH!$C$76</f>
        <v>0</v>
      </c>
      <c r="F142" s="1" t="str">
        <f t="shared" si="34"/>
        <v>&gt;=41640</v>
      </c>
      <c r="G142" s="1" t="str">
        <f t="shared" si="35"/>
        <v>&lt;41640</v>
      </c>
      <c r="I142" s="1"/>
    </row>
    <row r="143" spans="2:10">
      <c r="B143" s="1"/>
      <c r="C143" s="3" t="s">
        <v>28</v>
      </c>
      <c r="D143" s="3" t="s">
        <v>28</v>
      </c>
      <c r="E143" s="4" t="s">
        <v>228</v>
      </c>
      <c r="F143" s="3" t="s">
        <v>28</v>
      </c>
      <c r="G143" s="3" t="s">
        <v>28</v>
      </c>
      <c r="I143" s="3"/>
      <c r="J143" s="3"/>
    </row>
    <row r="144" spans="2:10">
      <c r="B144" s="1">
        <v>70</v>
      </c>
      <c r="C144" s="1" t="str">
        <f t="shared" si="32"/>
        <v>&gt;=41640</v>
      </c>
      <c r="D144" s="1" t="str">
        <f t="shared" si="33"/>
        <v>&lt;=42004</v>
      </c>
      <c r="E144" s="1">
        <f>DMHH!$C$77</f>
        <v>0</v>
      </c>
      <c r="F144" s="1" t="str">
        <f t="shared" si="34"/>
        <v>&gt;=41640</v>
      </c>
      <c r="G144" s="1" t="str">
        <f t="shared" si="35"/>
        <v>&lt;41640</v>
      </c>
      <c r="I144" s="1"/>
    </row>
    <row r="145" spans="2:10">
      <c r="B145" s="1"/>
      <c r="C145" s="3" t="s">
        <v>28</v>
      </c>
      <c r="D145" s="3" t="s">
        <v>28</v>
      </c>
      <c r="E145" s="4" t="s">
        <v>228</v>
      </c>
      <c r="F145" s="3" t="s">
        <v>28</v>
      </c>
      <c r="G145" s="3" t="s">
        <v>28</v>
      </c>
      <c r="I145" s="3"/>
      <c r="J145" s="3"/>
    </row>
    <row r="146" spans="2:10">
      <c r="B146" s="1">
        <v>71</v>
      </c>
      <c r="C146" s="1" t="str">
        <f t="shared" si="32"/>
        <v>&gt;=41640</v>
      </c>
      <c r="D146" s="1" t="str">
        <f t="shared" si="33"/>
        <v>&lt;=42004</v>
      </c>
      <c r="E146" s="1">
        <f>DMHH!$C$78</f>
        <v>0</v>
      </c>
      <c r="F146" s="1" t="str">
        <f t="shared" si="34"/>
        <v>&gt;=41640</v>
      </c>
      <c r="G146" s="1" t="str">
        <f t="shared" si="35"/>
        <v>&lt;41640</v>
      </c>
      <c r="I146" s="1"/>
    </row>
    <row r="147" spans="2:10">
      <c r="B147" s="1"/>
      <c r="C147" s="3" t="s">
        <v>28</v>
      </c>
      <c r="D147" s="3" t="s">
        <v>28</v>
      </c>
      <c r="E147" s="4" t="s">
        <v>228</v>
      </c>
      <c r="F147" s="3" t="s">
        <v>28</v>
      </c>
      <c r="G147" s="3" t="s">
        <v>28</v>
      </c>
      <c r="I147" s="3"/>
      <c r="J147" s="3"/>
    </row>
    <row r="148" spans="2:10">
      <c r="B148" s="1">
        <v>72</v>
      </c>
      <c r="C148" s="1" t="str">
        <f t="shared" si="32"/>
        <v>&gt;=41640</v>
      </c>
      <c r="D148" s="1" t="str">
        <f t="shared" si="33"/>
        <v>&lt;=42004</v>
      </c>
      <c r="E148" s="1">
        <f>DMHH!$C$79</f>
        <v>0</v>
      </c>
      <c r="F148" s="1" t="str">
        <f t="shared" si="34"/>
        <v>&gt;=41640</v>
      </c>
      <c r="G148" s="1" t="str">
        <f t="shared" si="35"/>
        <v>&lt;41640</v>
      </c>
      <c r="I148" s="1"/>
    </row>
    <row r="149" spans="2:10">
      <c r="B149" s="1"/>
      <c r="C149" s="3" t="s">
        <v>28</v>
      </c>
      <c r="D149" s="3" t="s">
        <v>28</v>
      </c>
      <c r="E149" s="4" t="s">
        <v>228</v>
      </c>
      <c r="F149" s="3" t="s">
        <v>28</v>
      </c>
      <c r="G149" s="3" t="s">
        <v>28</v>
      </c>
      <c r="I149" s="3"/>
      <c r="J149" s="3"/>
    </row>
    <row r="150" spans="2:10">
      <c r="B150" s="1">
        <v>73</v>
      </c>
      <c r="C150" s="1" t="str">
        <f t="shared" si="32"/>
        <v>&gt;=41640</v>
      </c>
      <c r="D150" s="1" t="str">
        <f t="shared" si="33"/>
        <v>&lt;=42004</v>
      </c>
      <c r="E150" s="1">
        <f>DMHH!$C$80</f>
        <v>0</v>
      </c>
      <c r="F150" s="1" t="str">
        <f t="shared" si="34"/>
        <v>&gt;=41640</v>
      </c>
      <c r="G150" s="1" t="str">
        <f t="shared" si="35"/>
        <v>&lt;41640</v>
      </c>
      <c r="I150" s="1"/>
    </row>
    <row r="151" spans="2:10">
      <c r="B151" s="1"/>
      <c r="C151" s="3" t="s">
        <v>28</v>
      </c>
      <c r="D151" s="3" t="s">
        <v>28</v>
      </c>
      <c r="E151" s="4" t="s">
        <v>228</v>
      </c>
      <c r="F151" s="3" t="s">
        <v>28</v>
      </c>
      <c r="G151" s="3" t="s">
        <v>28</v>
      </c>
      <c r="I151" s="3"/>
      <c r="J151" s="3"/>
    </row>
    <row r="152" spans="2:10">
      <c r="B152" s="1">
        <v>74</v>
      </c>
      <c r="C152" s="1" t="str">
        <f t="shared" si="32"/>
        <v>&gt;=41640</v>
      </c>
      <c r="D152" s="1" t="str">
        <f t="shared" si="33"/>
        <v>&lt;=42004</v>
      </c>
      <c r="E152" s="1">
        <f>DMHH!$C$81</f>
        <v>0</v>
      </c>
      <c r="F152" s="1" t="str">
        <f t="shared" si="34"/>
        <v>&gt;=41640</v>
      </c>
      <c r="G152" s="1" t="str">
        <f t="shared" si="35"/>
        <v>&lt;41640</v>
      </c>
      <c r="I152" s="1"/>
    </row>
    <row r="153" spans="2:10">
      <c r="B153" s="1"/>
      <c r="C153" s="3" t="s">
        <v>28</v>
      </c>
      <c r="D153" s="3" t="s">
        <v>28</v>
      </c>
      <c r="E153" s="4" t="s">
        <v>228</v>
      </c>
      <c r="F153" s="3" t="s">
        <v>28</v>
      </c>
      <c r="G153" s="3" t="s">
        <v>28</v>
      </c>
      <c r="I153" s="3"/>
      <c r="J153" s="3"/>
    </row>
    <row r="154" spans="2:10">
      <c r="B154" s="1">
        <v>75</v>
      </c>
      <c r="C154" s="1" t="str">
        <f t="shared" si="32"/>
        <v>&gt;=41640</v>
      </c>
      <c r="D154" s="1" t="str">
        <f t="shared" si="33"/>
        <v>&lt;=42004</v>
      </c>
      <c r="E154" s="1">
        <f>DMHH!$C$82</f>
        <v>0</v>
      </c>
      <c r="F154" s="1" t="str">
        <f t="shared" si="34"/>
        <v>&gt;=41640</v>
      </c>
      <c r="G154" s="1" t="str">
        <f t="shared" si="35"/>
        <v>&lt;41640</v>
      </c>
      <c r="I154" s="1"/>
    </row>
    <row r="155" spans="2:10">
      <c r="B155" s="1"/>
      <c r="C155" s="3" t="s">
        <v>28</v>
      </c>
      <c r="D155" s="3" t="s">
        <v>28</v>
      </c>
      <c r="E155" s="4" t="s">
        <v>228</v>
      </c>
      <c r="F155" s="3" t="s">
        <v>28</v>
      </c>
      <c r="G155" s="3" t="s">
        <v>28</v>
      </c>
      <c r="I155" s="3"/>
      <c r="J155" s="3"/>
    </row>
    <row r="156" spans="2:10">
      <c r="B156" s="1">
        <v>76</v>
      </c>
      <c r="C156" s="1" t="str">
        <f t="shared" si="32"/>
        <v>&gt;=41640</v>
      </c>
      <c r="D156" s="1" t="str">
        <f t="shared" si="33"/>
        <v>&lt;=42004</v>
      </c>
      <c r="E156" s="1">
        <f>DMHH!$C$83</f>
        <v>0</v>
      </c>
      <c r="F156" s="1" t="str">
        <f t="shared" si="34"/>
        <v>&gt;=41640</v>
      </c>
      <c r="G156" s="1" t="str">
        <f t="shared" si="35"/>
        <v>&lt;41640</v>
      </c>
      <c r="I156" s="1"/>
    </row>
    <row r="157" spans="2:10">
      <c r="B157" s="1"/>
      <c r="C157" s="3" t="s">
        <v>28</v>
      </c>
      <c r="D157" s="3" t="s">
        <v>28</v>
      </c>
      <c r="E157" s="4" t="s">
        <v>228</v>
      </c>
      <c r="F157" s="3" t="s">
        <v>28</v>
      </c>
      <c r="G157" s="3" t="s">
        <v>28</v>
      </c>
      <c r="I157" s="3"/>
      <c r="J157" s="3"/>
    </row>
    <row r="158" spans="2:10">
      <c r="B158" s="1">
        <v>77</v>
      </c>
      <c r="C158" s="1" t="str">
        <f t="shared" si="32"/>
        <v>&gt;=41640</v>
      </c>
      <c r="D158" s="1" t="str">
        <f t="shared" si="33"/>
        <v>&lt;=42004</v>
      </c>
      <c r="E158" s="1">
        <f>DMHH!$C$84</f>
        <v>0</v>
      </c>
      <c r="F158" s="1" t="str">
        <f t="shared" si="34"/>
        <v>&gt;=41640</v>
      </c>
      <c r="G158" s="1" t="str">
        <f t="shared" si="35"/>
        <v>&lt;41640</v>
      </c>
      <c r="I158" s="1"/>
    </row>
    <row r="159" spans="2:10">
      <c r="B159" s="1"/>
      <c r="C159" s="3" t="s">
        <v>28</v>
      </c>
      <c r="D159" s="3" t="s">
        <v>28</v>
      </c>
      <c r="E159" s="4" t="s">
        <v>228</v>
      </c>
      <c r="F159" s="3" t="s">
        <v>28</v>
      </c>
      <c r="G159" s="3" t="s">
        <v>28</v>
      </c>
      <c r="I159" s="3"/>
      <c r="J159" s="3"/>
    </row>
    <row r="160" spans="2:10">
      <c r="B160" s="1">
        <v>78</v>
      </c>
      <c r="C160" s="1" t="str">
        <f t="shared" si="32"/>
        <v>&gt;=41640</v>
      </c>
      <c r="D160" s="1" t="str">
        <f t="shared" si="33"/>
        <v>&lt;=42004</v>
      </c>
      <c r="E160" s="1">
        <f>DMHH!$C$85</f>
        <v>0</v>
      </c>
      <c r="F160" s="1" t="str">
        <f t="shared" si="34"/>
        <v>&gt;=41640</v>
      </c>
      <c r="G160" s="1" t="str">
        <f t="shared" si="35"/>
        <v>&lt;41640</v>
      </c>
      <c r="I160" s="1"/>
    </row>
    <row r="161" spans="2:10">
      <c r="B161" s="1"/>
      <c r="C161" s="3" t="s">
        <v>28</v>
      </c>
      <c r="D161" s="3" t="s">
        <v>28</v>
      </c>
      <c r="E161" s="4" t="s">
        <v>228</v>
      </c>
      <c r="F161" s="3" t="s">
        <v>28</v>
      </c>
      <c r="G161" s="3" t="s">
        <v>28</v>
      </c>
      <c r="I161" s="3"/>
      <c r="J161" s="3"/>
    </row>
    <row r="162" spans="2:10">
      <c r="B162" s="1">
        <v>79</v>
      </c>
      <c r="C162" s="1" t="str">
        <f t="shared" ref="C162:C224" si="36">"&gt;="&amp;$C$3</f>
        <v>&gt;=41640</v>
      </c>
      <c r="D162" s="1" t="str">
        <f t="shared" ref="D162:D224" si="37">"&lt;="&amp;$E$3</f>
        <v>&lt;=42004</v>
      </c>
      <c r="E162" s="1">
        <f>DMHH!$C$86</f>
        <v>0</v>
      </c>
      <c r="F162" s="1" t="str">
        <f t="shared" ref="F162:F224" si="38">"&gt;="&amp;$C$2</f>
        <v>&gt;=41640</v>
      </c>
      <c r="G162" s="1" t="str">
        <f t="shared" ref="G162:G224" si="39">"&lt;"&amp;$C$3</f>
        <v>&lt;41640</v>
      </c>
      <c r="I162" s="1"/>
    </row>
    <row r="163" spans="2:10">
      <c r="B163" s="1"/>
      <c r="C163" s="3" t="s">
        <v>28</v>
      </c>
      <c r="D163" s="3" t="s">
        <v>28</v>
      </c>
      <c r="E163" s="4" t="s">
        <v>228</v>
      </c>
      <c r="F163" s="3" t="s">
        <v>28</v>
      </c>
      <c r="G163" s="3" t="s">
        <v>28</v>
      </c>
      <c r="I163" s="3"/>
      <c r="J163" s="3"/>
    </row>
    <row r="164" spans="2:10">
      <c r="B164" s="1">
        <v>80</v>
      </c>
      <c r="C164" s="1" t="str">
        <f t="shared" si="36"/>
        <v>&gt;=41640</v>
      </c>
      <c r="D164" s="1" t="str">
        <f t="shared" si="37"/>
        <v>&lt;=42004</v>
      </c>
      <c r="E164" s="1">
        <f>DMHH!$C$87</f>
        <v>0</v>
      </c>
      <c r="F164" s="1" t="str">
        <f t="shared" si="38"/>
        <v>&gt;=41640</v>
      </c>
      <c r="G164" s="1" t="str">
        <f t="shared" si="39"/>
        <v>&lt;41640</v>
      </c>
      <c r="I164" s="1"/>
    </row>
    <row r="165" spans="2:10">
      <c r="B165" s="1"/>
      <c r="C165" s="3" t="s">
        <v>28</v>
      </c>
      <c r="D165" s="3" t="s">
        <v>28</v>
      </c>
      <c r="E165" s="4" t="s">
        <v>228</v>
      </c>
      <c r="F165" s="3" t="s">
        <v>28</v>
      </c>
      <c r="G165" s="3" t="s">
        <v>28</v>
      </c>
      <c r="I165" s="3"/>
      <c r="J165" s="3"/>
    </row>
    <row r="166" spans="2:10">
      <c r="B166" s="1">
        <v>81</v>
      </c>
      <c r="C166" s="1" t="str">
        <f t="shared" si="36"/>
        <v>&gt;=41640</v>
      </c>
      <c r="D166" s="1" t="str">
        <f t="shared" si="37"/>
        <v>&lt;=42004</v>
      </c>
      <c r="E166" s="1">
        <f>DMHH!$C$88</f>
        <v>0</v>
      </c>
      <c r="F166" s="1" t="str">
        <f t="shared" si="38"/>
        <v>&gt;=41640</v>
      </c>
      <c r="G166" s="1" t="str">
        <f t="shared" si="39"/>
        <v>&lt;41640</v>
      </c>
      <c r="I166" s="1"/>
    </row>
    <row r="167" spans="2:10">
      <c r="B167" s="1"/>
      <c r="C167" s="3" t="s">
        <v>28</v>
      </c>
      <c r="D167" s="3" t="s">
        <v>28</v>
      </c>
      <c r="E167" s="4" t="s">
        <v>228</v>
      </c>
      <c r="F167" s="3" t="s">
        <v>28</v>
      </c>
      <c r="G167" s="3" t="s">
        <v>28</v>
      </c>
      <c r="I167" s="3"/>
      <c r="J167" s="3"/>
    </row>
    <row r="168" spans="2:10">
      <c r="B168" s="1">
        <v>82</v>
      </c>
      <c r="C168" s="1" t="str">
        <f t="shared" si="36"/>
        <v>&gt;=41640</v>
      </c>
      <c r="D168" s="1" t="str">
        <f t="shared" si="37"/>
        <v>&lt;=42004</v>
      </c>
      <c r="E168" s="1">
        <f>DMHH!$C$89</f>
        <v>0</v>
      </c>
      <c r="F168" s="1" t="str">
        <f t="shared" si="38"/>
        <v>&gt;=41640</v>
      </c>
      <c r="G168" s="1" t="str">
        <f t="shared" si="39"/>
        <v>&lt;41640</v>
      </c>
      <c r="I168" s="1"/>
    </row>
    <row r="169" spans="2:10">
      <c r="B169" s="1"/>
      <c r="C169" s="3" t="s">
        <v>28</v>
      </c>
      <c r="D169" s="3" t="s">
        <v>28</v>
      </c>
      <c r="E169" s="4" t="s">
        <v>228</v>
      </c>
      <c r="F169" s="3" t="s">
        <v>28</v>
      </c>
      <c r="G169" s="3" t="s">
        <v>28</v>
      </c>
      <c r="I169" s="3"/>
      <c r="J169" s="3"/>
    </row>
    <row r="170" spans="2:10">
      <c r="B170" s="1">
        <v>83</v>
      </c>
      <c r="C170" s="1" t="str">
        <f t="shared" si="36"/>
        <v>&gt;=41640</v>
      </c>
      <c r="D170" s="1" t="str">
        <f t="shared" si="37"/>
        <v>&lt;=42004</v>
      </c>
      <c r="E170" s="1">
        <f>DMHH!$C$90</f>
        <v>0</v>
      </c>
      <c r="F170" s="1" t="str">
        <f t="shared" si="38"/>
        <v>&gt;=41640</v>
      </c>
      <c r="G170" s="1" t="str">
        <f t="shared" si="39"/>
        <v>&lt;41640</v>
      </c>
      <c r="I170" s="1"/>
    </row>
    <row r="171" spans="2:10">
      <c r="B171" s="1"/>
      <c r="C171" s="3" t="s">
        <v>28</v>
      </c>
      <c r="D171" s="3" t="s">
        <v>28</v>
      </c>
      <c r="E171" s="4" t="s">
        <v>228</v>
      </c>
      <c r="F171" s="3" t="s">
        <v>28</v>
      </c>
      <c r="G171" s="3" t="s">
        <v>28</v>
      </c>
      <c r="I171" s="3"/>
      <c r="J171" s="3"/>
    </row>
    <row r="172" spans="2:10">
      <c r="B172" s="1">
        <v>84</v>
      </c>
      <c r="C172" s="1" t="str">
        <f t="shared" si="36"/>
        <v>&gt;=41640</v>
      </c>
      <c r="D172" s="1" t="str">
        <f t="shared" si="37"/>
        <v>&lt;=42004</v>
      </c>
      <c r="E172" s="1">
        <f>DMHH!$C$91</f>
        <v>0</v>
      </c>
      <c r="F172" s="1" t="str">
        <f t="shared" si="38"/>
        <v>&gt;=41640</v>
      </c>
      <c r="G172" s="1" t="str">
        <f t="shared" si="39"/>
        <v>&lt;41640</v>
      </c>
      <c r="I172" s="1"/>
    </row>
    <row r="173" spans="2:10">
      <c r="B173" s="1"/>
      <c r="C173" s="3" t="s">
        <v>28</v>
      </c>
      <c r="D173" s="3" t="s">
        <v>28</v>
      </c>
      <c r="E173" s="4" t="s">
        <v>228</v>
      </c>
      <c r="F173" s="3" t="s">
        <v>28</v>
      </c>
      <c r="G173" s="3" t="s">
        <v>28</v>
      </c>
      <c r="I173" s="3"/>
      <c r="J173" s="3"/>
    </row>
    <row r="174" spans="2:10">
      <c r="B174" s="1">
        <v>85</v>
      </c>
      <c r="C174" s="1" t="str">
        <f t="shared" si="36"/>
        <v>&gt;=41640</v>
      </c>
      <c r="D174" s="1" t="str">
        <f t="shared" si="37"/>
        <v>&lt;=42004</v>
      </c>
      <c r="E174" s="1">
        <f>DMHH!$C$92</f>
        <v>0</v>
      </c>
      <c r="F174" s="1" t="str">
        <f t="shared" si="38"/>
        <v>&gt;=41640</v>
      </c>
      <c r="G174" s="1" t="str">
        <f t="shared" si="39"/>
        <v>&lt;41640</v>
      </c>
      <c r="I174" s="1"/>
    </row>
    <row r="175" spans="2:10">
      <c r="B175" s="1"/>
      <c r="C175" s="3" t="s">
        <v>28</v>
      </c>
      <c r="D175" s="3" t="s">
        <v>28</v>
      </c>
      <c r="E175" s="4" t="s">
        <v>228</v>
      </c>
      <c r="F175" s="3" t="s">
        <v>28</v>
      </c>
      <c r="G175" s="3" t="s">
        <v>28</v>
      </c>
      <c r="I175" s="3"/>
      <c r="J175" s="3"/>
    </row>
    <row r="176" spans="2:10">
      <c r="B176" s="1">
        <v>86</v>
      </c>
      <c r="C176" s="1" t="str">
        <f t="shared" si="36"/>
        <v>&gt;=41640</v>
      </c>
      <c r="D176" s="1" t="str">
        <f t="shared" si="37"/>
        <v>&lt;=42004</v>
      </c>
      <c r="E176" s="1">
        <f>DMHH!$C$93</f>
        <v>0</v>
      </c>
      <c r="F176" s="1" t="str">
        <f t="shared" si="38"/>
        <v>&gt;=41640</v>
      </c>
      <c r="G176" s="1" t="str">
        <f t="shared" si="39"/>
        <v>&lt;41640</v>
      </c>
      <c r="I176" s="1"/>
    </row>
    <row r="177" spans="2:10">
      <c r="B177" s="1"/>
      <c r="C177" s="3" t="s">
        <v>28</v>
      </c>
      <c r="D177" s="3" t="s">
        <v>28</v>
      </c>
      <c r="E177" s="4" t="s">
        <v>228</v>
      </c>
      <c r="F177" s="3" t="s">
        <v>28</v>
      </c>
      <c r="G177" s="3" t="s">
        <v>28</v>
      </c>
      <c r="I177" s="3"/>
      <c r="J177" s="3"/>
    </row>
    <row r="178" spans="2:10">
      <c r="B178" s="1">
        <v>87</v>
      </c>
      <c r="C178" s="1" t="str">
        <f t="shared" si="36"/>
        <v>&gt;=41640</v>
      </c>
      <c r="D178" s="1" t="str">
        <f t="shared" si="37"/>
        <v>&lt;=42004</v>
      </c>
      <c r="E178" s="1">
        <f>DMHH!$C$94</f>
        <v>0</v>
      </c>
      <c r="F178" s="1" t="str">
        <f t="shared" si="38"/>
        <v>&gt;=41640</v>
      </c>
      <c r="G178" s="1" t="str">
        <f t="shared" si="39"/>
        <v>&lt;41640</v>
      </c>
      <c r="I178" s="1"/>
    </row>
    <row r="179" spans="2:10">
      <c r="B179" s="1"/>
      <c r="C179" s="3" t="s">
        <v>28</v>
      </c>
      <c r="D179" s="3" t="s">
        <v>28</v>
      </c>
      <c r="E179" s="4" t="s">
        <v>228</v>
      </c>
      <c r="F179" s="3" t="s">
        <v>28</v>
      </c>
      <c r="G179" s="3" t="s">
        <v>28</v>
      </c>
      <c r="I179" s="3"/>
      <c r="J179" s="3"/>
    </row>
    <row r="180" spans="2:10">
      <c r="B180" s="1">
        <v>88</v>
      </c>
      <c r="C180" s="1" t="str">
        <f t="shared" si="36"/>
        <v>&gt;=41640</v>
      </c>
      <c r="D180" s="1" t="str">
        <f t="shared" si="37"/>
        <v>&lt;=42004</v>
      </c>
      <c r="E180" s="1">
        <f>DMHH!$C$95</f>
        <v>0</v>
      </c>
      <c r="F180" s="1" t="str">
        <f t="shared" si="38"/>
        <v>&gt;=41640</v>
      </c>
      <c r="G180" s="1" t="str">
        <f t="shared" si="39"/>
        <v>&lt;41640</v>
      </c>
      <c r="I180" s="1"/>
    </row>
    <row r="181" spans="2:10">
      <c r="B181" s="1"/>
      <c r="C181" s="3" t="s">
        <v>28</v>
      </c>
      <c r="D181" s="3" t="s">
        <v>28</v>
      </c>
      <c r="E181" s="4" t="s">
        <v>228</v>
      </c>
      <c r="F181" s="3" t="s">
        <v>28</v>
      </c>
      <c r="G181" s="3" t="s">
        <v>28</v>
      </c>
      <c r="I181" s="3"/>
      <c r="J181" s="3"/>
    </row>
    <row r="182" spans="2:10">
      <c r="B182" s="1">
        <v>89</v>
      </c>
      <c r="C182" s="1" t="str">
        <f t="shared" si="36"/>
        <v>&gt;=41640</v>
      </c>
      <c r="D182" s="1" t="str">
        <f t="shared" si="37"/>
        <v>&lt;=42004</v>
      </c>
      <c r="E182" s="1">
        <f>DMHH!$C$96</f>
        <v>0</v>
      </c>
      <c r="F182" s="1" t="str">
        <f t="shared" si="38"/>
        <v>&gt;=41640</v>
      </c>
      <c r="G182" s="1" t="str">
        <f t="shared" si="39"/>
        <v>&lt;41640</v>
      </c>
      <c r="I182" s="1"/>
    </row>
    <row r="183" spans="2:10">
      <c r="B183" s="1"/>
      <c r="C183" s="3" t="s">
        <v>28</v>
      </c>
      <c r="D183" s="3" t="s">
        <v>28</v>
      </c>
      <c r="E183" s="4" t="s">
        <v>228</v>
      </c>
      <c r="F183" s="3" t="s">
        <v>28</v>
      </c>
      <c r="G183" s="3" t="s">
        <v>28</v>
      </c>
      <c r="I183" s="3"/>
      <c r="J183" s="3"/>
    </row>
    <row r="184" spans="2:10">
      <c r="B184" s="1">
        <v>90</v>
      </c>
      <c r="C184" s="1" t="str">
        <f t="shared" si="36"/>
        <v>&gt;=41640</v>
      </c>
      <c r="D184" s="1" t="str">
        <f t="shared" si="37"/>
        <v>&lt;=42004</v>
      </c>
      <c r="E184" s="1">
        <f>DMHH!$C$97</f>
        <v>0</v>
      </c>
      <c r="F184" s="1" t="str">
        <f t="shared" si="38"/>
        <v>&gt;=41640</v>
      </c>
      <c r="G184" s="1" t="str">
        <f t="shared" si="39"/>
        <v>&lt;41640</v>
      </c>
      <c r="I184" s="1"/>
    </row>
    <row r="185" spans="2:10">
      <c r="B185" s="1"/>
      <c r="C185" s="3" t="s">
        <v>28</v>
      </c>
      <c r="D185" s="3" t="s">
        <v>28</v>
      </c>
      <c r="E185" s="4" t="s">
        <v>228</v>
      </c>
      <c r="F185" s="3" t="s">
        <v>28</v>
      </c>
      <c r="G185" s="3" t="s">
        <v>28</v>
      </c>
      <c r="I185" s="3"/>
      <c r="J185" s="3"/>
    </row>
    <row r="186" spans="2:10">
      <c r="B186" s="1">
        <v>91</v>
      </c>
      <c r="C186" s="1" t="str">
        <f t="shared" si="36"/>
        <v>&gt;=41640</v>
      </c>
      <c r="D186" s="1" t="str">
        <f t="shared" si="37"/>
        <v>&lt;=42004</v>
      </c>
      <c r="E186" s="1">
        <f>DMHH!$C$98</f>
        <v>0</v>
      </c>
      <c r="F186" s="1" t="str">
        <f t="shared" si="38"/>
        <v>&gt;=41640</v>
      </c>
      <c r="G186" s="1" t="str">
        <f t="shared" si="39"/>
        <v>&lt;41640</v>
      </c>
      <c r="I186" s="1"/>
    </row>
    <row r="187" spans="2:10">
      <c r="B187" s="1"/>
      <c r="C187" s="3" t="s">
        <v>28</v>
      </c>
      <c r="D187" s="3" t="s">
        <v>28</v>
      </c>
      <c r="E187" s="4" t="s">
        <v>228</v>
      </c>
      <c r="F187" s="3" t="s">
        <v>28</v>
      </c>
      <c r="G187" s="3" t="s">
        <v>28</v>
      </c>
      <c r="I187" s="3"/>
      <c r="J187" s="3"/>
    </row>
    <row r="188" spans="2:10">
      <c r="B188" s="1">
        <v>92</v>
      </c>
      <c r="C188" s="1" t="str">
        <f t="shared" si="36"/>
        <v>&gt;=41640</v>
      </c>
      <c r="D188" s="1" t="str">
        <f t="shared" si="37"/>
        <v>&lt;=42004</v>
      </c>
      <c r="E188" s="1">
        <f>DMHH!$C$99</f>
        <v>0</v>
      </c>
      <c r="F188" s="1" t="str">
        <f t="shared" si="38"/>
        <v>&gt;=41640</v>
      </c>
      <c r="G188" s="1" t="str">
        <f t="shared" si="39"/>
        <v>&lt;41640</v>
      </c>
      <c r="I188" s="1"/>
    </row>
    <row r="189" spans="2:10">
      <c r="B189" s="1"/>
      <c r="C189" s="3" t="s">
        <v>28</v>
      </c>
      <c r="D189" s="3" t="s">
        <v>28</v>
      </c>
      <c r="E189" s="4" t="s">
        <v>228</v>
      </c>
      <c r="F189" s="3" t="s">
        <v>28</v>
      </c>
      <c r="G189" s="3" t="s">
        <v>28</v>
      </c>
      <c r="I189" s="3"/>
      <c r="J189" s="3"/>
    </row>
    <row r="190" spans="2:10">
      <c r="B190" s="1">
        <v>93</v>
      </c>
      <c r="C190" s="1" t="str">
        <f t="shared" si="36"/>
        <v>&gt;=41640</v>
      </c>
      <c r="D190" s="1" t="str">
        <f t="shared" si="37"/>
        <v>&lt;=42004</v>
      </c>
      <c r="E190" s="1">
        <f>DMHH!$C$100</f>
        <v>0</v>
      </c>
      <c r="F190" s="1" t="str">
        <f t="shared" si="38"/>
        <v>&gt;=41640</v>
      </c>
      <c r="G190" s="1" t="str">
        <f t="shared" si="39"/>
        <v>&lt;41640</v>
      </c>
      <c r="I190" s="1"/>
    </row>
    <row r="191" spans="2:10">
      <c r="B191" s="1"/>
      <c r="C191" s="3" t="s">
        <v>28</v>
      </c>
      <c r="D191" s="3" t="s">
        <v>28</v>
      </c>
      <c r="E191" s="4" t="s">
        <v>228</v>
      </c>
      <c r="F191" s="3" t="s">
        <v>28</v>
      </c>
      <c r="G191" s="3" t="s">
        <v>28</v>
      </c>
      <c r="I191" s="3"/>
      <c r="J191" s="3"/>
    </row>
    <row r="192" spans="2:10">
      <c r="B192" s="1">
        <v>94</v>
      </c>
      <c r="C192" s="1" t="str">
        <f t="shared" si="36"/>
        <v>&gt;=41640</v>
      </c>
      <c r="D192" s="1" t="str">
        <f t="shared" si="37"/>
        <v>&lt;=42004</v>
      </c>
      <c r="E192" s="1">
        <f>DMHH!$C$101</f>
        <v>0</v>
      </c>
      <c r="F192" s="1" t="str">
        <f t="shared" si="38"/>
        <v>&gt;=41640</v>
      </c>
      <c r="G192" s="1" t="str">
        <f t="shared" si="39"/>
        <v>&lt;41640</v>
      </c>
      <c r="I192" s="1"/>
    </row>
    <row r="193" spans="2:10">
      <c r="B193" s="1"/>
      <c r="C193" s="3" t="s">
        <v>28</v>
      </c>
      <c r="D193" s="3" t="s">
        <v>28</v>
      </c>
      <c r="E193" s="4" t="s">
        <v>228</v>
      </c>
      <c r="F193" s="3" t="s">
        <v>28</v>
      </c>
      <c r="G193" s="3" t="s">
        <v>28</v>
      </c>
      <c r="I193" s="3"/>
      <c r="J193" s="3"/>
    </row>
    <row r="194" spans="2:10">
      <c r="B194" s="1">
        <v>95</v>
      </c>
      <c r="C194" s="1" t="str">
        <f t="shared" si="36"/>
        <v>&gt;=41640</v>
      </c>
      <c r="D194" s="1" t="str">
        <f t="shared" si="37"/>
        <v>&lt;=42004</v>
      </c>
      <c r="E194" s="1">
        <f>DMHH!$C$102</f>
        <v>0</v>
      </c>
      <c r="F194" s="1" t="str">
        <f t="shared" si="38"/>
        <v>&gt;=41640</v>
      </c>
      <c r="G194" s="1" t="str">
        <f t="shared" si="39"/>
        <v>&lt;41640</v>
      </c>
      <c r="I194" s="1"/>
    </row>
    <row r="195" spans="2:10">
      <c r="B195" s="1"/>
      <c r="C195" s="3" t="s">
        <v>28</v>
      </c>
      <c r="D195" s="3" t="s">
        <v>28</v>
      </c>
      <c r="E195" s="4" t="s">
        <v>228</v>
      </c>
      <c r="F195" s="3" t="s">
        <v>28</v>
      </c>
      <c r="G195" s="3" t="s">
        <v>28</v>
      </c>
      <c r="I195" s="3"/>
      <c r="J195" s="3"/>
    </row>
    <row r="196" spans="2:10">
      <c r="B196" s="1">
        <v>96</v>
      </c>
      <c r="C196" s="1" t="str">
        <f t="shared" si="36"/>
        <v>&gt;=41640</v>
      </c>
      <c r="D196" s="1" t="str">
        <f t="shared" si="37"/>
        <v>&lt;=42004</v>
      </c>
      <c r="E196" s="1">
        <f>DMHH!$C$103</f>
        <v>0</v>
      </c>
      <c r="F196" s="1" t="str">
        <f t="shared" si="38"/>
        <v>&gt;=41640</v>
      </c>
      <c r="G196" s="1" t="str">
        <f t="shared" si="39"/>
        <v>&lt;41640</v>
      </c>
      <c r="I196" s="1"/>
    </row>
    <row r="197" spans="2:10">
      <c r="B197" s="1"/>
      <c r="C197" s="3" t="s">
        <v>28</v>
      </c>
      <c r="D197" s="3" t="s">
        <v>28</v>
      </c>
      <c r="E197" s="4" t="s">
        <v>228</v>
      </c>
      <c r="F197" s="3" t="s">
        <v>28</v>
      </c>
      <c r="G197" s="3" t="s">
        <v>28</v>
      </c>
      <c r="I197" s="3"/>
      <c r="J197" s="3"/>
    </row>
    <row r="198" spans="2:10">
      <c r="B198" s="1">
        <v>97</v>
      </c>
      <c r="C198" s="1" t="str">
        <f t="shared" si="36"/>
        <v>&gt;=41640</v>
      </c>
      <c r="D198" s="1" t="str">
        <f t="shared" si="37"/>
        <v>&lt;=42004</v>
      </c>
      <c r="E198" s="1">
        <f>DMHH!$C$104</f>
        <v>0</v>
      </c>
      <c r="F198" s="1" t="str">
        <f t="shared" si="38"/>
        <v>&gt;=41640</v>
      </c>
      <c r="G198" s="1" t="str">
        <f t="shared" si="39"/>
        <v>&lt;41640</v>
      </c>
      <c r="I198" s="1"/>
    </row>
    <row r="199" spans="2:10">
      <c r="B199" s="1"/>
      <c r="C199" s="3" t="s">
        <v>28</v>
      </c>
      <c r="D199" s="3" t="s">
        <v>28</v>
      </c>
      <c r="E199" s="4" t="s">
        <v>228</v>
      </c>
      <c r="F199" s="3" t="s">
        <v>28</v>
      </c>
      <c r="G199" s="3" t="s">
        <v>28</v>
      </c>
      <c r="I199" s="3"/>
      <c r="J199" s="3"/>
    </row>
    <row r="200" spans="2:10">
      <c r="B200" s="1">
        <v>98</v>
      </c>
      <c r="C200" s="1" t="str">
        <f t="shared" si="36"/>
        <v>&gt;=41640</v>
      </c>
      <c r="D200" s="1" t="str">
        <f t="shared" si="37"/>
        <v>&lt;=42004</v>
      </c>
      <c r="E200" s="1">
        <f>DMHH!$C$105</f>
        <v>0</v>
      </c>
      <c r="F200" s="1" t="str">
        <f t="shared" si="38"/>
        <v>&gt;=41640</v>
      </c>
      <c r="G200" s="1" t="str">
        <f t="shared" si="39"/>
        <v>&lt;41640</v>
      </c>
      <c r="I200" s="1"/>
    </row>
    <row r="201" spans="2:10">
      <c r="B201" s="1"/>
      <c r="C201" s="3" t="s">
        <v>28</v>
      </c>
      <c r="D201" s="3" t="s">
        <v>28</v>
      </c>
      <c r="E201" s="4" t="s">
        <v>228</v>
      </c>
      <c r="F201" s="3" t="s">
        <v>28</v>
      </c>
      <c r="G201" s="3" t="s">
        <v>28</v>
      </c>
      <c r="I201" s="3"/>
      <c r="J201" s="3"/>
    </row>
    <row r="202" spans="2:10">
      <c r="B202" s="1">
        <v>99</v>
      </c>
      <c r="C202" s="1" t="str">
        <f t="shared" si="36"/>
        <v>&gt;=41640</v>
      </c>
      <c r="D202" s="1" t="str">
        <f t="shared" si="37"/>
        <v>&lt;=42004</v>
      </c>
      <c r="E202" s="1">
        <f>DMHH!$C$106</f>
        <v>0</v>
      </c>
      <c r="F202" s="1" t="str">
        <f t="shared" si="38"/>
        <v>&gt;=41640</v>
      </c>
      <c r="G202" s="1" t="str">
        <f t="shared" si="39"/>
        <v>&lt;41640</v>
      </c>
      <c r="I202" s="1"/>
    </row>
    <row r="203" spans="2:10">
      <c r="B203" s="1"/>
      <c r="C203" s="3" t="s">
        <v>28</v>
      </c>
      <c r="D203" s="3" t="s">
        <v>28</v>
      </c>
      <c r="E203" s="4" t="s">
        <v>228</v>
      </c>
      <c r="F203" s="3" t="s">
        <v>28</v>
      </c>
      <c r="G203" s="3" t="s">
        <v>28</v>
      </c>
      <c r="I203" s="3"/>
      <c r="J203" s="3"/>
    </row>
    <row r="204" spans="2:10">
      <c r="B204" s="1">
        <v>100</v>
      </c>
      <c r="C204" s="1" t="str">
        <f t="shared" si="36"/>
        <v>&gt;=41640</v>
      </c>
      <c r="D204" s="1" t="str">
        <f t="shared" si="37"/>
        <v>&lt;=42004</v>
      </c>
      <c r="E204" s="1">
        <f>DMHH!$C$107</f>
        <v>0</v>
      </c>
      <c r="F204" s="1" t="str">
        <f t="shared" si="38"/>
        <v>&gt;=41640</v>
      </c>
      <c r="G204" s="1" t="str">
        <f t="shared" si="39"/>
        <v>&lt;41640</v>
      </c>
      <c r="I204" s="1"/>
    </row>
    <row r="205" spans="2:10">
      <c r="B205" s="1"/>
      <c r="C205" s="3" t="s">
        <v>28</v>
      </c>
      <c r="D205" s="3" t="s">
        <v>28</v>
      </c>
      <c r="E205" s="4" t="s">
        <v>228</v>
      </c>
      <c r="F205" s="3" t="s">
        <v>28</v>
      </c>
      <c r="G205" s="3" t="s">
        <v>28</v>
      </c>
    </row>
    <row r="206" spans="2:10">
      <c r="B206" s="1">
        <v>101</v>
      </c>
      <c r="C206" s="1" t="str">
        <f t="shared" si="36"/>
        <v>&gt;=41640</v>
      </c>
      <c r="D206" s="1" t="str">
        <f t="shared" si="37"/>
        <v>&lt;=42004</v>
      </c>
      <c r="E206" s="1">
        <f>DMHH!$C$108</f>
        <v>0</v>
      </c>
      <c r="F206" s="1" t="str">
        <f t="shared" si="38"/>
        <v>&gt;=41640</v>
      </c>
      <c r="G206" s="1" t="str">
        <f t="shared" si="39"/>
        <v>&lt;41640</v>
      </c>
    </row>
    <row r="207" spans="2:10">
      <c r="B207" s="1"/>
      <c r="C207" s="3" t="s">
        <v>28</v>
      </c>
      <c r="D207" s="3" t="s">
        <v>28</v>
      </c>
      <c r="E207" s="4" t="s">
        <v>228</v>
      </c>
      <c r="F207" s="3" t="s">
        <v>28</v>
      </c>
      <c r="G207" s="3" t="s">
        <v>28</v>
      </c>
    </row>
    <row r="208" spans="2:10">
      <c r="B208" s="1">
        <v>102</v>
      </c>
      <c r="C208" s="1" t="str">
        <f t="shared" si="36"/>
        <v>&gt;=41640</v>
      </c>
      <c r="D208" s="1" t="str">
        <f t="shared" si="37"/>
        <v>&lt;=42004</v>
      </c>
      <c r="E208" s="1">
        <f>DMHH!$C$109</f>
        <v>0</v>
      </c>
      <c r="F208" s="1" t="str">
        <f t="shared" si="38"/>
        <v>&gt;=41640</v>
      </c>
      <c r="G208" s="1" t="str">
        <f t="shared" si="39"/>
        <v>&lt;41640</v>
      </c>
    </row>
    <row r="209" spans="2:7">
      <c r="B209" s="1"/>
      <c r="C209" s="3" t="s">
        <v>28</v>
      </c>
      <c r="D209" s="3" t="s">
        <v>28</v>
      </c>
      <c r="E209" s="4" t="s">
        <v>228</v>
      </c>
      <c r="F209" s="3" t="s">
        <v>28</v>
      </c>
      <c r="G209" s="3" t="s">
        <v>28</v>
      </c>
    </row>
    <row r="210" spans="2:7">
      <c r="B210" s="1">
        <v>103</v>
      </c>
      <c r="C210" s="1" t="str">
        <f t="shared" si="36"/>
        <v>&gt;=41640</v>
      </c>
      <c r="D210" s="1" t="str">
        <f t="shared" si="37"/>
        <v>&lt;=42004</v>
      </c>
      <c r="E210" s="1">
        <f>DMHH!$C$110</f>
        <v>0</v>
      </c>
      <c r="F210" s="1" t="str">
        <f t="shared" si="38"/>
        <v>&gt;=41640</v>
      </c>
      <c r="G210" s="1" t="str">
        <f t="shared" si="39"/>
        <v>&lt;41640</v>
      </c>
    </row>
    <row r="211" spans="2:7">
      <c r="B211" s="1"/>
      <c r="C211" s="3" t="s">
        <v>28</v>
      </c>
      <c r="D211" s="3" t="s">
        <v>28</v>
      </c>
      <c r="E211" s="4" t="s">
        <v>228</v>
      </c>
      <c r="F211" s="3" t="s">
        <v>28</v>
      </c>
      <c r="G211" s="3" t="s">
        <v>28</v>
      </c>
    </row>
    <row r="212" spans="2:7">
      <c r="B212" s="1">
        <v>104</v>
      </c>
      <c r="C212" s="1" t="str">
        <f t="shared" si="36"/>
        <v>&gt;=41640</v>
      </c>
      <c r="D212" s="1" t="str">
        <f t="shared" si="37"/>
        <v>&lt;=42004</v>
      </c>
      <c r="E212" s="1">
        <f>DMHH!$C$111</f>
        <v>0</v>
      </c>
      <c r="F212" s="1" t="str">
        <f t="shared" si="38"/>
        <v>&gt;=41640</v>
      </c>
      <c r="G212" s="1" t="str">
        <f t="shared" si="39"/>
        <v>&lt;41640</v>
      </c>
    </row>
    <row r="213" spans="2:7">
      <c r="B213" s="1"/>
      <c r="C213" s="3" t="s">
        <v>28</v>
      </c>
      <c r="D213" s="3" t="s">
        <v>28</v>
      </c>
      <c r="E213" s="4" t="s">
        <v>228</v>
      </c>
      <c r="F213" s="3" t="s">
        <v>28</v>
      </c>
      <c r="G213" s="3" t="s">
        <v>28</v>
      </c>
    </row>
    <row r="214" spans="2:7">
      <c r="B214" s="1">
        <v>105</v>
      </c>
      <c r="C214" s="1" t="str">
        <f t="shared" si="36"/>
        <v>&gt;=41640</v>
      </c>
      <c r="D214" s="1" t="str">
        <f t="shared" si="37"/>
        <v>&lt;=42004</v>
      </c>
      <c r="E214" s="1">
        <f>DMHH!$C$112</f>
        <v>0</v>
      </c>
      <c r="F214" s="1" t="str">
        <f t="shared" si="38"/>
        <v>&gt;=41640</v>
      </c>
      <c r="G214" s="1" t="str">
        <f t="shared" si="39"/>
        <v>&lt;41640</v>
      </c>
    </row>
    <row r="215" spans="2:7">
      <c r="B215" s="1"/>
      <c r="C215" s="3" t="s">
        <v>28</v>
      </c>
      <c r="D215" s="3" t="s">
        <v>28</v>
      </c>
      <c r="E215" s="4" t="s">
        <v>228</v>
      </c>
      <c r="F215" s="3" t="s">
        <v>28</v>
      </c>
      <c r="G215" s="3" t="s">
        <v>28</v>
      </c>
    </row>
    <row r="216" spans="2:7">
      <c r="B216" s="1">
        <v>106</v>
      </c>
      <c r="C216" s="1" t="str">
        <f t="shared" si="36"/>
        <v>&gt;=41640</v>
      </c>
      <c r="D216" s="1" t="str">
        <f t="shared" si="37"/>
        <v>&lt;=42004</v>
      </c>
      <c r="E216" s="1">
        <f>DMHH!$C$113</f>
        <v>0</v>
      </c>
      <c r="F216" s="1" t="str">
        <f t="shared" si="38"/>
        <v>&gt;=41640</v>
      </c>
      <c r="G216" s="1" t="str">
        <f t="shared" si="39"/>
        <v>&lt;41640</v>
      </c>
    </row>
    <row r="217" spans="2:7">
      <c r="B217" s="1"/>
      <c r="C217" s="3" t="s">
        <v>28</v>
      </c>
      <c r="D217" s="3" t="s">
        <v>28</v>
      </c>
      <c r="E217" s="4" t="s">
        <v>228</v>
      </c>
      <c r="F217" s="3" t="s">
        <v>28</v>
      </c>
      <c r="G217" s="3" t="s">
        <v>28</v>
      </c>
    </row>
    <row r="218" spans="2:7">
      <c r="B218" s="1">
        <v>107</v>
      </c>
      <c r="C218" s="1" t="str">
        <f t="shared" si="36"/>
        <v>&gt;=41640</v>
      </c>
      <c r="D218" s="1" t="str">
        <f t="shared" si="37"/>
        <v>&lt;=42004</v>
      </c>
      <c r="E218" s="1">
        <f>DMHH!$C$114</f>
        <v>0</v>
      </c>
      <c r="F218" s="1" t="str">
        <f t="shared" si="38"/>
        <v>&gt;=41640</v>
      </c>
      <c r="G218" s="1" t="str">
        <f t="shared" si="39"/>
        <v>&lt;41640</v>
      </c>
    </row>
    <row r="219" spans="2:7">
      <c r="B219" s="1"/>
      <c r="C219" s="3" t="s">
        <v>28</v>
      </c>
      <c r="D219" s="3" t="s">
        <v>28</v>
      </c>
      <c r="E219" s="4" t="s">
        <v>228</v>
      </c>
      <c r="F219" s="3" t="s">
        <v>28</v>
      </c>
      <c r="G219" s="3" t="s">
        <v>28</v>
      </c>
    </row>
    <row r="220" spans="2:7">
      <c r="B220" s="1">
        <v>108</v>
      </c>
      <c r="C220" s="1" t="str">
        <f t="shared" si="36"/>
        <v>&gt;=41640</v>
      </c>
      <c r="D220" s="1" t="str">
        <f t="shared" si="37"/>
        <v>&lt;=42004</v>
      </c>
      <c r="E220" s="1">
        <f>DMHH!$C$115</f>
        <v>0</v>
      </c>
      <c r="F220" s="1" t="str">
        <f t="shared" si="38"/>
        <v>&gt;=41640</v>
      </c>
      <c r="G220" s="1" t="str">
        <f t="shared" si="39"/>
        <v>&lt;41640</v>
      </c>
    </row>
    <row r="221" spans="2:7">
      <c r="B221" s="1"/>
      <c r="C221" s="3" t="s">
        <v>28</v>
      </c>
      <c r="D221" s="3" t="s">
        <v>28</v>
      </c>
      <c r="E221" s="4" t="s">
        <v>228</v>
      </c>
      <c r="F221" s="3" t="s">
        <v>28</v>
      </c>
      <c r="G221" s="3" t="s">
        <v>28</v>
      </c>
    </row>
    <row r="222" spans="2:7">
      <c r="B222" s="1">
        <v>109</v>
      </c>
      <c r="C222" s="1" t="str">
        <f t="shared" si="36"/>
        <v>&gt;=41640</v>
      </c>
      <c r="D222" s="1" t="str">
        <f t="shared" si="37"/>
        <v>&lt;=42004</v>
      </c>
      <c r="E222" s="1">
        <f>DMHH!$C$116</f>
        <v>0</v>
      </c>
      <c r="F222" s="1" t="str">
        <f t="shared" si="38"/>
        <v>&gt;=41640</v>
      </c>
      <c r="G222" s="1" t="str">
        <f t="shared" si="39"/>
        <v>&lt;41640</v>
      </c>
    </row>
    <row r="223" spans="2:7">
      <c r="B223" s="1"/>
      <c r="C223" s="3" t="s">
        <v>28</v>
      </c>
      <c r="D223" s="3" t="s">
        <v>28</v>
      </c>
      <c r="E223" s="4" t="s">
        <v>228</v>
      </c>
      <c r="F223" s="3" t="s">
        <v>28</v>
      </c>
      <c r="G223" s="3" t="s">
        <v>28</v>
      </c>
    </row>
    <row r="224" spans="2:7">
      <c r="B224" s="1">
        <v>110</v>
      </c>
      <c r="C224" s="1" t="str">
        <f t="shared" si="36"/>
        <v>&gt;=41640</v>
      </c>
      <c r="D224" s="1" t="str">
        <f t="shared" si="37"/>
        <v>&lt;=42004</v>
      </c>
      <c r="E224" s="1">
        <f>DMHH!$C$117</f>
        <v>0</v>
      </c>
      <c r="F224" s="1" t="str">
        <f t="shared" si="38"/>
        <v>&gt;=41640</v>
      </c>
      <c r="G224" s="1" t="str">
        <f t="shared" si="39"/>
        <v>&lt;41640</v>
      </c>
    </row>
    <row r="225" spans="2:7">
      <c r="B225" s="1"/>
      <c r="C225" s="6" t="s">
        <v>28</v>
      </c>
      <c r="D225" s="6" t="s">
        <v>28</v>
      </c>
      <c r="E225" s="8" t="s">
        <v>228</v>
      </c>
      <c r="F225" s="3" t="s">
        <v>28</v>
      </c>
      <c r="G225" s="3" t="s">
        <v>28</v>
      </c>
    </row>
    <row r="226" spans="2:7">
      <c r="B226" s="1">
        <v>111</v>
      </c>
      <c r="C226" s="7" t="str">
        <f t="shared" ref="C226:C272" si="40">"&gt;="&amp;$C$3</f>
        <v>&gt;=41640</v>
      </c>
      <c r="D226" s="7" t="str">
        <f t="shared" ref="D226:D272" si="41">"&lt;="&amp;$E$3</f>
        <v>&lt;=42004</v>
      </c>
      <c r="E226" s="7">
        <f>DMHH!$C$118</f>
        <v>0</v>
      </c>
      <c r="F226" s="1" t="str">
        <f t="shared" ref="F226:F272" si="42">"&gt;="&amp;$C$2</f>
        <v>&gt;=41640</v>
      </c>
      <c r="G226" s="1" t="str">
        <f t="shared" ref="G226:G272" si="43">"&lt;"&amp;$C$3</f>
        <v>&lt;41640</v>
      </c>
    </row>
    <row r="227" spans="2:7">
      <c r="B227" s="1"/>
      <c r="C227" s="3" t="s">
        <v>28</v>
      </c>
      <c r="D227" s="3" t="s">
        <v>28</v>
      </c>
      <c r="E227" s="4" t="s">
        <v>228</v>
      </c>
      <c r="F227" s="3" t="s">
        <v>28</v>
      </c>
      <c r="G227" s="3" t="s">
        <v>28</v>
      </c>
    </row>
    <row r="228" spans="2:7">
      <c r="B228" s="1">
        <v>112</v>
      </c>
      <c r="C228" s="1" t="str">
        <f t="shared" si="40"/>
        <v>&gt;=41640</v>
      </c>
      <c r="D228" s="1" t="str">
        <f t="shared" si="41"/>
        <v>&lt;=42004</v>
      </c>
      <c r="E228" s="1">
        <f>DMHH!$C$119</f>
        <v>0</v>
      </c>
      <c r="F228" s="1" t="str">
        <f t="shared" si="42"/>
        <v>&gt;=41640</v>
      </c>
      <c r="G228" s="1" t="str">
        <f t="shared" si="43"/>
        <v>&lt;41640</v>
      </c>
    </row>
    <row r="229" spans="2:7">
      <c r="B229" s="1"/>
      <c r="C229" s="3" t="s">
        <v>28</v>
      </c>
      <c r="D229" s="3" t="s">
        <v>28</v>
      </c>
      <c r="E229" s="4" t="s">
        <v>228</v>
      </c>
      <c r="F229" s="3" t="s">
        <v>28</v>
      </c>
      <c r="G229" s="3" t="s">
        <v>28</v>
      </c>
    </row>
    <row r="230" spans="2:7">
      <c r="B230" s="1">
        <v>113</v>
      </c>
      <c r="C230" s="1" t="str">
        <f t="shared" si="40"/>
        <v>&gt;=41640</v>
      </c>
      <c r="D230" s="1" t="str">
        <f t="shared" si="41"/>
        <v>&lt;=42004</v>
      </c>
      <c r="E230" s="1">
        <f>DMHH!$C$120</f>
        <v>0</v>
      </c>
      <c r="F230" s="1" t="str">
        <f t="shared" si="42"/>
        <v>&gt;=41640</v>
      </c>
      <c r="G230" s="1" t="str">
        <f t="shared" si="43"/>
        <v>&lt;41640</v>
      </c>
    </row>
    <row r="231" spans="2:7">
      <c r="B231" s="1"/>
      <c r="C231" s="3" t="s">
        <v>28</v>
      </c>
      <c r="D231" s="3" t="s">
        <v>28</v>
      </c>
      <c r="E231" s="4" t="s">
        <v>228</v>
      </c>
      <c r="F231" s="3" t="s">
        <v>28</v>
      </c>
      <c r="G231" s="3" t="s">
        <v>28</v>
      </c>
    </row>
    <row r="232" spans="2:7">
      <c r="B232" s="1">
        <v>114</v>
      </c>
      <c r="C232" s="1" t="str">
        <f t="shared" si="40"/>
        <v>&gt;=41640</v>
      </c>
      <c r="D232" s="1" t="str">
        <f t="shared" si="41"/>
        <v>&lt;=42004</v>
      </c>
      <c r="E232" s="1">
        <f>DMHH!$C$121</f>
        <v>0</v>
      </c>
      <c r="F232" s="1" t="str">
        <f t="shared" si="42"/>
        <v>&gt;=41640</v>
      </c>
      <c r="G232" s="1" t="str">
        <f t="shared" si="43"/>
        <v>&lt;41640</v>
      </c>
    </row>
    <row r="233" spans="2:7">
      <c r="B233" s="1"/>
      <c r="C233" s="3" t="s">
        <v>28</v>
      </c>
      <c r="D233" s="3" t="s">
        <v>28</v>
      </c>
      <c r="E233" s="4" t="s">
        <v>228</v>
      </c>
      <c r="F233" s="3" t="s">
        <v>28</v>
      </c>
      <c r="G233" s="3" t="s">
        <v>28</v>
      </c>
    </row>
    <row r="234" spans="2:7">
      <c r="B234" s="1">
        <v>115</v>
      </c>
      <c r="C234" s="1" t="str">
        <f t="shared" si="40"/>
        <v>&gt;=41640</v>
      </c>
      <c r="D234" s="1" t="str">
        <f t="shared" si="41"/>
        <v>&lt;=42004</v>
      </c>
      <c r="E234" s="1">
        <f>DMHH!$C$122</f>
        <v>0</v>
      </c>
      <c r="F234" s="1" t="str">
        <f t="shared" si="42"/>
        <v>&gt;=41640</v>
      </c>
      <c r="G234" s="1" t="str">
        <f t="shared" si="43"/>
        <v>&lt;41640</v>
      </c>
    </row>
    <row r="235" spans="2:7">
      <c r="B235" s="1"/>
      <c r="C235" s="3" t="s">
        <v>28</v>
      </c>
      <c r="D235" s="3" t="s">
        <v>28</v>
      </c>
      <c r="E235" s="4" t="s">
        <v>228</v>
      </c>
      <c r="F235" s="3" t="s">
        <v>28</v>
      </c>
      <c r="G235" s="3" t="s">
        <v>28</v>
      </c>
    </row>
    <row r="236" spans="2:7">
      <c r="B236" s="1">
        <v>116</v>
      </c>
      <c r="C236" s="1" t="str">
        <f t="shared" si="40"/>
        <v>&gt;=41640</v>
      </c>
      <c r="D236" s="1" t="str">
        <f t="shared" si="41"/>
        <v>&lt;=42004</v>
      </c>
      <c r="E236" s="1">
        <f>DMHH!$C$123</f>
        <v>0</v>
      </c>
      <c r="F236" s="1" t="str">
        <f t="shared" si="42"/>
        <v>&gt;=41640</v>
      </c>
      <c r="G236" s="1" t="str">
        <f t="shared" si="43"/>
        <v>&lt;41640</v>
      </c>
    </row>
    <row r="237" spans="2:7">
      <c r="B237" s="1"/>
      <c r="C237" s="3" t="s">
        <v>28</v>
      </c>
      <c r="D237" s="3" t="s">
        <v>28</v>
      </c>
      <c r="E237" s="4" t="s">
        <v>228</v>
      </c>
      <c r="F237" s="3" t="s">
        <v>28</v>
      </c>
      <c r="G237" s="3" t="s">
        <v>28</v>
      </c>
    </row>
    <row r="238" spans="2:7">
      <c r="B238" s="1">
        <v>117</v>
      </c>
      <c r="C238" s="1" t="str">
        <f t="shared" si="40"/>
        <v>&gt;=41640</v>
      </c>
      <c r="D238" s="1" t="str">
        <f t="shared" si="41"/>
        <v>&lt;=42004</v>
      </c>
      <c r="E238" s="1">
        <f>DMHH!$C$124</f>
        <v>0</v>
      </c>
      <c r="F238" s="1" t="str">
        <f t="shared" si="42"/>
        <v>&gt;=41640</v>
      </c>
      <c r="G238" s="1" t="str">
        <f t="shared" si="43"/>
        <v>&lt;41640</v>
      </c>
    </row>
    <row r="239" spans="2:7">
      <c r="B239" s="1"/>
      <c r="C239" s="3" t="s">
        <v>28</v>
      </c>
      <c r="D239" s="3" t="s">
        <v>28</v>
      </c>
      <c r="E239" s="4" t="s">
        <v>228</v>
      </c>
      <c r="F239" s="3" t="s">
        <v>28</v>
      </c>
      <c r="G239" s="3" t="s">
        <v>28</v>
      </c>
    </row>
    <row r="240" spans="2:7">
      <c r="B240" s="1">
        <v>118</v>
      </c>
      <c r="C240" s="1" t="str">
        <f t="shared" si="40"/>
        <v>&gt;=41640</v>
      </c>
      <c r="D240" s="1" t="str">
        <f t="shared" si="41"/>
        <v>&lt;=42004</v>
      </c>
      <c r="E240" s="1">
        <f>DMHH!$C$125</f>
        <v>0</v>
      </c>
      <c r="F240" s="1" t="str">
        <f t="shared" si="42"/>
        <v>&gt;=41640</v>
      </c>
      <c r="G240" s="1" t="str">
        <f t="shared" si="43"/>
        <v>&lt;41640</v>
      </c>
    </row>
    <row r="241" spans="2:7">
      <c r="B241" s="1"/>
      <c r="C241" s="3" t="s">
        <v>28</v>
      </c>
      <c r="D241" s="3" t="s">
        <v>28</v>
      </c>
      <c r="E241" s="4" t="s">
        <v>228</v>
      </c>
      <c r="F241" s="3" t="s">
        <v>28</v>
      </c>
      <c r="G241" s="3" t="s">
        <v>28</v>
      </c>
    </row>
    <row r="242" spans="2:7">
      <c r="B242" s="1">
        <v>119</v>
      </c>
      <c r="C242" s="1" t="str">
        <f t="shared" si="40"/>
        <v>&gt;=41640</v>
      </c>
      <c r="D242" s="1" t="str">
        <f t="shared" si="41"/>
        <v>&lt;=42004</v>
      </c>
      <c r="E242" s="1">
        <f>DMHH!$C$126</f>
        <v>0</v>
      </c>
      <c r="F242" s="1" t="str">
        <f t="shared" si="42"/>
        <v>&gt;=41640</v>
      </c>
      <c r="G242" s="1" t="str">
        <f t="shared" si="43"/>
        <v>&lt;41640</v>
      </c>
    </row>
    <row r="243" spans="2:7">
      <c r="B243" s="1"/>
      <c r="C243" s="3" t="s">
        <v>28</v>
      </c>
      <c r="D243" s="3" t="s">
        <v>28</v>
      </c>
      <c r="E243" s="4" t="s">
        <v>228</v>
      </c>
      <c r="F243" s="3" t="s">
        <v>28</v>
      </c>
      <c r="G243" s="3" t="s">
        <v>28</v>
      </c>
    </row>
    <row r="244" spans="2:7">
      <c r="B244" s="1">
        <v>120</v>
      </c>
      <c r="C244" s="1" t="str">
        <f t="shared" si="40"/>
        <v>&gt;=41640</v>
      </c>
      <c r="D244" s="1" t="str">
        <f t="shared" si="41"/>
        <v>&lt;=42004</v>
      </c>
      <c r="E244" s="1">
        <f>DMHH!$C$127</f>
        <v>0</v>
      </c>
      <c r="F244" s="1" t="str">
        <f t="shared" si="42"/>
        <v>&gt;=41640</v>
      </c>
      <c r="G244" s="1" t="str">
        <f t="shared" si="43"/>
        <v>&lt;41640</v>
      </c>
    </row>
    <row r="245" spans="2:7">
      <c r="B245" s="1"/>
      <c r="C245" s="3" t="s">
        <v>28</v>
      </c>
      <c r="D245" s="3" t="s">
        <v>28</v>
      </c>
      <c r="E245" s="4" t="s">
        <v>228</v>
      </c>
      <c r="F245" s="3" t="s">
        <v>28</v>
      </c>
      <c r="G245" s="3" t="s">
        <v>28</v>
      </c>
    </row>
    <row r="246" spans="2:7">
      <c r="B246" s="1">
        <v>121</v>
      </c>
      <c r="C246" s="1" t="str">
        <f t="shared" si="40"/>
        <v>&gt;=41640</v>
      </c>
      <c r="D246" s="1" t="str">
        <f t="shared" si="41"/>
        <v>&lt;=42004</v>
      </c>
      <c r="E246" s="1">
        <f>DMHH!$C$128</f>
        <v>0</v>
      </c>
      <c r="F246" s="1" t="str">
        <f t="shared" si="42"/>
        <v>&gt;=41640</v>
      </c>
      <c r="G246" s="1" t="str">
        <f t="shared" si="43"/>
        <v>&lt;41640</v>
      </c>
    </row>
    <row r="247" spans="2:7">
      <c r="B247" s="1"/>
      <c r="C247" s="3" t="s">
        <v>28</v>
      </c>
      <c r="D247" s="3" t="s">
        <v>28</v>
      </c>
      <c r="E247" s="4" t="s">
        <v>228</v>
      </c>
      <c r="F247" s="3" t="s">
        <v>28</v>
      </c>
      <c r="G247" s="3" t="s">
        <v>28</v>
      </c>
    </row>
    <row r="248" spans="2:7">
      <c r="B248" s="1">
        <v>122</v>
      </c>
      <c r="C248" s="1" t="str">
        <f t="shared" si="40"/>
        <v>&gt;=41640</v>
      </c>
      <c r="D248" s="1" t="str">
        <f t="shared" si="41"/>
        <v>&lt;=42004</v>
      </c>
      <c r="E248" s="1">
        <f>DMHH!$C$129</f>
        <v>0</v>
      </c>
      <c r="F248" s="1" t="str">
        <f t="shared" si="42"/>
        <v>&gt;=41640</v>
      </c>
      <c r="G248" s="1" t="str">
        <f t="shared" si="43"/>
        <v>&lt;41640</v>
      </c>
    </row>
    <row r="249" spans="2:7">
      <c r="B249" s="1"/>
      <c r="C249" s="3" t="s">
        <v>28</v>
      </c>
      <c r="D249" s="3" t="s">
        <v>28</v>
      </c>
      <c r="E249" s="4" t="s">
        <v>228</v>
      </c>
      <c r="F249" s="3" t="s">
        <v>28</v>
      </c>
      <c r="G249" s="3" t="s">
        <v>28</v>
      </c>
    </row>
    <row r="250" spans="2:7">
      <c r="B250" s="1">
        <v>123</v>
      </c>
      <c r="C250" s="1" t="str">
        <f t="shared" si="40"/>
        <v>&gt;=41640</v>
      </c>
      <c r="D250" s="1" t="str">
        <f t="shared" si="41"/>
        <v>&lt;=42004</v>
      </c>
      <c r="E250" s="1">
        <f>DMHH!$C$130</f>
        <v>0</v>
      </c>
      <c r="F250" s="1" t="str">
        <f t="shared" si="42"/>
        <v>&gt;=41640</v>
      </c>
      <c r="G250" s="1" t="str">
        <f t="shared" si="43"/>
        <v>&lt;41640</v>
      </c>
    </row>
    <row r="251" spans="2:7">
      <c r="B251" s="1"/>
      <c r="C251" s="3" t="s">
        <v>28</v>
      </c>
      <c r="D251" s="3" t="s">
        <v>28</v>
      </c>
      <c r="E251" s="4" t="s">
        <v>228</v>
      </c>
      <c r="F251" s="3" t="s">
        <v>28</v>
      </c>
      <c r="G251" s="3" t="s">
        <v>28</v>
      </c>
    </row>
    <row r="252" spans="2:7">
      <c r="B252" s="1">
        <v>124</v>
      </c>
      <c r="C252" s="1" t="str">
        <f t="shared" si="40"/>
        <v>&gt;=41640</v>
      </c>
      <c r="D252" s="1" t="str">
        <f t="shared" si="41"/>
        <v>&lt;=42004</v>
      </c>
      <c r="E252" s="1">
        <f>DMHH!$C$131</f>
        <v>0</v>
      </c>
      <c r="F252" s="1" t="str">
        <f t="shared" si="42"/>
        <v>&gt;=41640</v>
      </c>
      <c r="G252" s="1" t="str">
        <f t="shared" si="43"/>
        <v>&lt;41640</v>
      </c>
    </row>
    <row r="253" spans="2:7">
      <c r="B253" s="1"/>
      <c r="C253" s="3" t="s">
        <v>28</v>
      </c>
      <c r="D253" s="3" t="s">
        <v>28</v>
      </c>
      <c r="E253" s="4" t="s">
        <v>228</v>
      </c>
      <c r="F253" s="3" t="s">
        <v>28</v>
      </c>
      <c r="G253" s="3" t="s">
        <v>28</v>
      </c>
    </row>
    <row r="254" spans="2:7">
      <c r="B254" s="1">
        <v>125</v>
      </c>
      <c r="C254" s="1" t="str">
        <f t="shared" si="40"/>
        <v>&gt;=41640</v>
      </c>
      <c r="D254" s="1" t="str">
        <f t="shared" si="41"/>
        <v>&lt;=42004</v>
      </c>
      <c r="E254" s="1">
        <f>DMHH!$C$132</f>
        <v>0</v>
      </c>
      <c r="F254" s="1" t="str">
        <f t="shared" si="42"/>
        <v>&gt;=41640</v>
      </c>
      <c r="G254" s="1" t="str">
        <f t="shared" si="43"/>
        <v>&lt;41640</v>
      </c>
    </row>
    <row r="255" spans="2:7">
      <c r="B255" s="1"/>
      <c r="C255" s="3" t="s">
        <v>28</v>
      </c>
      <c r="D255" s="3" t="s">
        <v>28</v>
      </c>
      <c r="E255" s="4" t="s">
        <v>228</v>
      </c>
      <c r="F255" s="3" t="s">
        <v>28</v>
      </c>
      <c r="G255" s="3" t="s">
        <v>28</v>
      </c>
    </row>
    <row r="256" spans="2:7">
      <c r="B256" s="1">
        <v>126</v>
      </c>
      <c r="C256" s="1" t="str">
        <f t="shared" si="40"/>
        <v>&gt;=41640</v>
      </c>
      <c r="D256" s="1" t="str">
        <f t="shared" si="41"/>
        <v>&lt;=42004</v>
      </c>
      <c r="E256" s="1">
        <f>DMHH!$C$133</f>
        <v>0</v>
      </c>
      <c r="F256" s="1" t="str">
        <f t="shared" si="42"/>
        <v>&gt;=41640</v>
      </c>
      <c r="G256" s="1" t="str">
        <f t="shared" si="43"/>
        <v>&lt;41640</v>
      </c>
    </row>
    <row r="257" spans="2:7">
      <c r="B257" s="1"/>
      <c r="C257" s="3" t="s">
        <v>28</v>
      </c>
      <c r="D257" s="3" t="s">
        <v>28</v>
      </c>
      <c r="E257" s="4" t="s">
        <v>228</v>
      </c>
      <c r="F257" s="3" t="s">
        <v>28</v>
      </c>
      <c r="G257" s="3" t="s">
        <v>28</v>
      </c>
    </row>
    <row r="258" spans="2:7">
      <c r="B258" s="1">
        <v>127</v>
      </c>
      <c r="C258" s="1" t="str">
        <f t="shared" si="40"/>
        <v>&gt;=41640</v>
      </c>
      <c r="D258" s="1" t="str">
        <f t="shared" si="41"/>
        <v>&lt;=42004</v>
      </c>
      <c r="E258" s="1">
        <f>DMHH!$C$134</f>
        <v>0</v>
      </c>
      <c r="F258" s="1" t="str">
        <f t="shared" si="42"/>
        <v>&gt;=41640</v>
      </c>
      <c r="G258" s="1" t="str">
        <f t="shared" si="43"/>
        <v>&lt;41640</v>
      </c>
    </row>
    <row r="259" spans="2:7">
      <c r="B259" s="1"/>
      <c r="C259" s="3" t="s">
        <v>28</v>
      </c>
      <c r="D259" s="3" t="s">
        <v>28</v>
      </c>
      <c r="E259" s="4" t="s">
        <v>228</v>
      </c>
      <c r="F259" s="3" t="s">
        <v>28</v>
      </c>
      <c r="G259" s="3" t="s">
        <v>28</v>
      </c>
    </row>
    <row r="260" spans="2:7">
      <c r="B260" s="1">
        <v>128</v>
      </c>
      <c r="C260" s="1" t="str">
        <f t="shared" si="40"/>
        <v>&gt;=41640</v>
      </c>
      <c r="D260" s="1" t="str">
        <f t="shared" si="41"/>
        <v>&lt;=42004</v>
      </c>
      <c r="E260" s="1">
        <f>DMHH!$C$135</f>
        <v>0</v>
      </c>
      <c r="F260" s="1" t="str">
        <f t="shared" si="42"/>
        <v>&gt;=41640</v>
      </c>
      <c r="G260" s="1" t="str">
        <f t="shared" si="43"/>
        <v>&lt;41640</v>
      </c>
    </row>
    <row r="261" spans="2:7">
      <c r="B261" s="1"/>
      <c r="C261" s="3" t="s">
        <v>28</v>
      </c>
      <c r="D261" s="3" t="s">
        <v>28</v>
      </c>
      <c r="E261" s="4" t="s">
        <v>228</v>
      </c>
      <c r="F261" s="3" t="s">
        <v>28</v>
      </c>
      <c r="G261" s="3" t="s">
        <v>28</v>
      </c>
    </row>
    <row r="262" spans="2:7">
      <c r="B262" s="1">
        <v>129</v>
      </c>
      <c r="C262" s="1" t="str">
        <f t="shared" si="40"/>
        <v>&gt;=41640</v>
      </c>
      <c r="D262" s="1" t="str">
        <f t="shared" si="41"/>
        <v>&lt;=42004</v>
      </c>
      <c r="E262" s="1">
        <f>DMHH!$C$136</f>
        <v>0</v>
      </c>
      <c r="F262" s="1" t="str">
        <f t="shared" si="42"/>
        <v>&gt;=41640</v>
      </c>
      <c r="G262" s="1" t="str">
        <f t="shared" si="43"/>
        <v>&lt;41640</v>
      </c>
    </row>
    <row r="263" spans="2:7">
      <c r="B263" s="1"/>
      <c r="C263" s="3" t="s">
        <v>28</v>
      </c>
      <c r="D263" s="3" t="s">
        <v>28</v>
      </c>
      <c r="E263" s="4" t="s">
        <v>228</v>
      </c>
      <c r="F263" s="3" t="s">
        <v>28</v>
      </c>
      <c r="G263" s="3" t="s">
        <v>28</v>
      </c>
    </row>
    <row r="264" spans="2:7">
      <c r="B264" s="1">
        <v>130</v>
      </c>
      <c r="C264" s="1" t="str">
        <f t="shared" si="40"/>
        <v>&gt;=41640</v>
      </c>
      <c r="D264" s="1" t="str">
        <f t="shared" si="41"/>
        <v>&lt;=42004</v>
      </c>
      <c r="E264" s="1">
        <f>DMHH!$C$137</f>
        <v>0</v>
      </c>
      <c r="F264" s="1" t="str">
        <f t="shared" si="42"/>
        <v>&gt;=41640</v>
      </c>
      <c r="G264" s="1" t="str">
        <f t="shared" si="43"/>
        <v>&lt;41640</v>
      </c>
    </row>
    <row r="265" spans="2:7">
      <c r="B265" s="1"/>
      <c r="C265" s="3" t="s">
        <v>28</v>
      </c>
      <c r="D265" s="3" t="s">
        <v>28</v>
      </c>
      <c r="E265" s="4" t="s">
        <v>228</v>
      </c>
      <c r="F265" s="3" t="s">
        <v>28</v>
      </c>
      <c r="G265" s="3" t="s">
        <v>28</v>
      </c>
    </row>
    <row r="266" spans="2:7">
      <c r="B266" s="1">
        <v>131</v>
      </c>
      <c r="C266" s="1" t="str">
        <f t="shared" si="40"/>
        <v>&gt;=41640</v>
      </c>
      <c r="D266" s="1" t="str">
        <f t="shared" si="41"/>
        <v>&lt;=42004</v>
      </c>
      <c r="E266" s="1">
        <f>DMHH!$C$138</f>
        <v>0</v>
      </c>
      <c r="F266" s="1" t="str">
        <f t="shared" si="42"/>
        <v>&gt;=41640</v>
      </c>
      <c r="G266" s="1" t="str">
        <f t="shared" si="43"/>
        <v>&lt;41640</v>
      </c>
    </row>
    <row r="267" spans="2:7">
      <c r="B267" s="1"/>
      <c r="C267" s="3" t="s">
        <v>28</v>
      </c>
      <c r="D267" s="3" t="s">
        <v>28</v>
      </c>
      <c r="E267" s="4" t="s">
        <v>228</v>
      </c>
      <c r="F267" s="3" t="s">
        <v>28</v>
      </c>
      <c r="G267" s="3" t="s">
        <v>28</v>
      </c>
    </row>
    <row r="268" spans="2:7">
      <c r="B268" s="1">
        <v>132</v>
      </c>
      <c r="C268" s="1" t="str">
        <f t="shared" si="40"/>
        <v>&gt;=41640</v>
      </c>
      <c r="D268" s="1" t="str">
        <f t="shared" si="41"/>
        <v>&lt;=42004</v>
      </c>
      <c r="E268" s="1">
        <f>DMHH!$C$139</f>
        <v>0</v>
      </c>
      <c r="F268" s="1" t="str">
        <f t="shared" si="42"/>
        <v>&gt;=41640</v>
      </c>
      <c r="G268" s="1" t="str">
        <f t="shared" si="43"/>
        <v>&lt;41640</v>
      </c>
    </row>
    <row r="269" spans="2:7">
      <c r="B269" s="1"/>
      <c r="C269" s="3" t="s">
        <v>28</v>
      </c>
      <c r="D269" s="3" t="s">
        <v>28</v>
      </c>
      <c r="E269" s="4" t="s">
        <v>228</v>
      </c>
      <c r="F269" s="3" t="s">
        <v>28</v>
      </c>
      <c r="G269" s="3" t="s">
        <v>28</v>
      </c>
    </row>
    <row r="270" spans="2:7">
      <c r="B270" s="1">
        <v>133</v>
      </c>
      <c r="C270" s="1" t="str">
        <f t="shared" si="40"/>
        <v>&gt;=41640</v>
      </c>
      <c r="D270" s="1" t="str">
        <f t="shared" si="41"/>
        <v>&lt;=42004</v>
      </c>
      <c r="E270" s="1">
        <f>DMHH!$C$140</f>
        <v>0</v>
      </c>
      <c r="F270" s="1" t="str">
        <f t="shared" si="42"/>
        <v>&gt;=41640</v>
      </c>
      <c r="G270" s="1" t="str">
        <f t="shared" si="43"/>
        <v>&lt;41640</v>
      </c>
    </row>
    <row r="271" spans="2:7">
      <c r="B271" s="1"/>
      <c r="C271" s="3" t="s">
        <v>28</v>
      </c>
      <c r="D271" s="3" t="s">
        <v>28</v>
      </c>
      <c r="E271" s="4" t="s">
        <v>228</v>
      </c>
      <c r="F271" s="3" t="s">
        <v>28</v>
      </c>
      <c r="G271" s="3" t="s">
        <v>28</v>
      </c>
    </row>
    <row r="272" spans="2:7">
      <c r="B272" s="1">
        <v>134</v>
      </c>
      <c r="C272" s="1" t="str">
        <f t="shared" si="40"/>
        <v>&gt;=41640</v>
      </c>
      <c r="D272" s="1" t="str">
        <f t="shared" si="41"/>
        <v>&lt;=42004</v>
      </c>
      <c r="E272" s="1">
        <f>DMHH!$C$141</f>
        <v>0</v>
      </c>
      <c r="F272" s="1" t="str">
        <f t="shared" si="42"/>
        <v>&gt;=41640</v>
      </c>
      <c r="G272" s="1" t="str">
        <f t="shared" si="43"/>
        <v>&lt;41640</v>
      </c>
    </row>
    <row r="273" spans="2:7">
      <c r="B273" s="1"/>
      <c r="C273" s="3" t="s">
        <v>28</v>
      </c>
      <c r="D273" s="3" t="s">
        <v>28</v>
      </c>
      <c r="E273" s="4" t="s">
        <v>228</v>
      </c>
      <c r="F273" s="3" t="s">
        <v>28</v>
      </c>
      <c r="G273" s="3" t="s">
        <v>28</v>
      </c>
    </row>
    <row r="274" spans="2:7">
      <c r="B274" s="1">
        <v>135</v>
      </c>
      <c r="C274" s="1" t="str">
        <f t="shared" ref="C274:C288" si="44">"&gt;="&amp;$C$3</f>
        <v>&gt;=41640</v>
      </c>
      <c r="D274" s="1" t="str">
        <f t="shared" ref="D274:D288" si="45">"&lt;="&amp;$E$3</f>
        <v>&lt;=42004</v>
      </c>
      <c r="E274" s="1">
        <f>DMHH!$C$142</f>
        <v>0</v>
      </c>
      <c r="F274" s="1" t="str">
        <f t="shared" ref="F274:F288" si="46">"&gt;="&amp;$C$2</f>
        <v>&gt;=41640</v>
      </c>
      <c r="G274" s="1" t="str">
        <f t="shared" ref="G274:G288" si="47">"&lt;"&amp;$C$3</f>
        <v>&lt;41640</v>
      </c>
    </row>
    <row r="275" spans="2:7">
      <c r="B275" s="1"/>
      <c r="C275" s="3" t="s">
        <v>28</v>
      </c>
      <c r="D275" s="3" t="s">
        <v>28</v>
      </c>
      <c r="E275" s="4" t="s">
        <v>228</v>
      </c>
      <c r="F275" s="3" t="s">
        <v>28</v>
      </c>
      <c r="G275" s="3" t="s">
        <v>28</v>
      </c>
    </row>
    <row r="276" spans="2:7">
      <c r="B276" s="1">
        <v>136</v>
      </c>
      <c r="C276" s="1" t="str">
        <f t="shared" si="44"/>
        <v>&gt;=41640</v>
      </c>
      <c r="D276" s="1" t="str">
        <f t="shared" si="45"/>
        <v>&lt;=42004</v>
      </c>
      <c r="E276" s="1">
        <f>DMHH!$C$143</f>
        <v>0</v>
      </c>
      <c r="F276" s="1" t="str">
        <f t="shared" si="46"/>
        <v>&gt;=41640</v>
      </c>
      <c r="G276" s="1" t="str">
        <f t="shared" si="47"/>
        <v>&lt;41640</v>
      </c>
    </row>
    <row r="277" spans="2:7">
      <c r="B277" s="1"/>
      <c r="C277" s="3" t="s">
        <v>28</v>
      </c>
      <c r="D277" s="3" t="s">
        <v>28</v>
      </c>
      <c r="E277" s="4" t="s">
        <v>228</v>
      </c>
      <c r="F277" s="3" t="s">
        <v>28</v>
      </c>
      <c r="G277" s="3" t="s">
        <v>28</v>
      </c>
    </row>
    <row r="278" spans="2:7">
      <c r="B278" s="1">
        <v>137</v>
      </c>
      <c r="C278" s="1" t="str">
        <f t="shared" si="44"/>
        <v>&gt;=41640</v>
      </c>
      <c r="D278" s="1" t="str">
        <f t="shared" si="45"/>
        <v>&lt;=42004</v>
      </c>
      <c r="E278" s="1">
        <f>DMHH!$C$144</f>
        <v>0</v>
      </c>
      <c r="F278" s="1" t="str">
        <f t="shared" si="46"/>
        <v>&gt;=41640</v>
      </c>
      <c r="G278" s="1" t="str">
        <f t="shared" si="47"/>
        <v>&lt;41640</v>
      </c>
    </row>
    <row r="279" spans="2:7">
      <c r="B279" s="1"/>
      <c r="C279" s="3" t="s">
        <v>28</v>
      </c>
      <c r="D279" s="3" t="s">
        <v>28</v>
      </c>
      <c r="E279" s="4" t="s">
        <v>228</v>
      </c>
      <c r="F279" s="3" t="s">
        <v>28</v>
      </c>
      <c r="G279" s="3" t="s">
        <v>28</v>
      </c>
    </row>
    <row r="280" spans="2:7">
      <c r="B280" s="1">
        <v>138</v>
      </c>
      <c r="C280" s="1" t="str">
        <f t="shared" si="44"/>
        <v>&gt;=41640</v>
      </c>
      <c r="D280" s="1" t="str">
        <f t="shared" si="45"/>
        <v>&lt;=42004</v>
      </c>
      <c r="E280" s="1">
        <f>DMHH!$C$145</f>
        <v>0</v>
      </c>
      <c r="F280" s="1" t="str">
        <f t="shared" si="46"/>
        <v>&gt;=41640</v>
      </c>
      <c r="G280" s="1" t="str">
        <f t="shared" si="47"/>
        <v>&lt;41640</v>
      </c>
    </row>
    <row r="281" spans="2:7">
      <c r="B281" s="1"/>
      <c r="C281" s="3" t="s">
        <v>28</v>
      </c>
      <c r="D281" s="3" t="s">
        <v>28</v>
      </c>
      <c r="E281" s="4" t="s">
        <v>228</v>
      </c>
      <c r="F281" s="3" t="s">
        <v>28</v>
      </c>
      <c r="G281" s="3" t="s">
        <v>28</v>
      </c>
    </row>
    <row r="282" spans="2:7">
      <c r="B282" s="1">
        <v>139</v>
      </c>
      <c r="C282" s="1" t="str">
        <f t="shared" si="44"/>
        <v>&gt;=41640</v>
      </c>
      <c r="D282" s="1" t="str">
        <f t="shared" si="45"/>
        <v>&lt;=42004</v>
      </c>
      <c r="E282" s="1">
        <f>DMHH!$C$146</f>
        <v>0</v>
      </c>
      <c r="F282" s="1" t="str">
        <f t="shared" si="46"/>
        <v>&gt;=41640</v>
      </c>
      <c r="G282" s="1" t="str">
        <f t="shared" si="47"/>
        <v>&lt;41640</v>
      </c>
    </row>
    <row r="283" spans="2:7">
      <c r="B283" s="1"/>
      <c r="C283" s="3" t="s">
        <v>28</v>
      </c>
      <c r="D283" s="3" t="s">
        <v>28</v>
      </c>
      <c r="E283" s="4" t="s">
        <v>228</v>
      </c>
      <c r="F283" s="3" t="s">
        <v>28</v>
      </c>
      <c r="G283" s="3" t="s">
        <v>28</v>
      </c>
    </row>
    <row r="284" spans="2:7">
      <c r="B284" s="1">
        <v>140</v>
      </c>
      <c r="C284" s="1" t="str">
        <f t="shared" si="44"/>
        <v>&gt;=41640</v>
      </c>
      <c r="D284" s="1" t="str">
        <f t="shared" si="45"/>
        <v>&lt;=42004</v>
      </c>
      <c r="E284" s="1">
        <f>DMHH!$C$147</f>
        <v>0</v>
      </c>
      <c r="F284" s="1" t="str">
        <f t="shared" si="46"/>
        <v>&gt;=41640</v>
      </c>
      <c r="G284" s="1" t="str">
        <f t="shared" si="47"/>
        <v>&lt;41640</v>
      </c>
    </row>
    <row r="285" spans="2:7">
      <c r="B285" s="1"/>
      <c r="C285" s="3" t="s">
        <v>28</v>
      </c>
      <c r="D285" s="3" t="s">
        <v>28</v>
      </c>
      <c r="E285" s="4" t="s">
        <v>228</v>
      </c>
      <c r="F285" s="3" t="s">
        <v>28</v>
      </c>
      <c r="G285" s="3" t="s">
        <v>28</v>
      </c>
    </row>
    <row r="286" spans="2:7">
      <c r="B286" s="1">
        <v>141</v>
      </c>
      <c r="C286" s="1" t="str">
        <f t="shared" si="44"/>
        <v>&gt;=41640</v>
      </c>
      <c r="D286" s="1" t="str">
        <f t="shared" si="45"/>
        <v>&lt;=42004</v>
      </c>
      <c r="E286" s="1">
        <f>DMHH!$C$148</f>
        <v>0</v>
      </c>
      <c r="F286" s="1" t="str">
        <f t="shared" si="46"/>
        <v>&gt;=41640</v>
      </c>
      <c r="G286" s="1" t="str">
        <f t="shared" si="47"/>
        <v>&lt;41640</v>
      </c>
    </row>
    <row r="287" spans="2:7">
      <c r="B287" s="1"/>
      <c r="C287" s="3" t="s">
        <v>28</v>
      </c>
      <c r="D287" s="3" t="s">
        <v>28</v>
      </c>
      <c r="E287" s="4" t="s">
        <v>228</v>
      </c>
      <c r="F287" s="3" t="s">
        <v>28</v>
      </c>
      <c r="G287" s="3" t="s">
        <v>28</v>
      </c>
    </row>
    <row r="288" spans="2:7">
      <c r="B288" s="1">
        <v>142</v>
      </c>
      <c r="C288" s="1" t="str">
        <f t="shared" si="44"/>
        <v>&gt;=41640</v>
      </c>
      <c r="D288" s="1" t="str">
        <f t="shared" si="45"/>
        <v>&lt;=42004</v>
      </c>
      <c r="E288" s="1">
        <f>DMHH!$C$149</f>
        <v>0</v>
      </c>
      <c r="F288" s="1" t="str">
        <f t="shared" si="46"/>
        <v>&gt;=41640</v>
      </c>
      <c r="G288" s="1" t="str">
        <f t="shared" si="47"/>
        <v>&lt;41640</v>
      </c>
    </row>
    <row r="289" spans="2:7">
      <c r="B289" s="1"/>
      <c r="C289" s="3" t="s">
        <v>28</v>
      </c>
      <c r="D289" s="3" t="s">
        <v>28</v>
      </c>
      <c r="E289" s="4" t="s">
        <v>228</v>
      </c>
      <c r="F289" s="3" t="s">
        <v>28</v>
      </c>
      <c r="G289" s="3" t="s">
        <v>28</v>
      </c>
    </row>
    <row r="290" spans="2:7">
      <c r="B290" s="1">
        <v>143</v>
      </c>
      <c r="C290" s="1" t="str">
        <f t="shared" ref="C290:C352" si="48">"&gt;="&amp;$C$3</f>
        <v>&gt;=41640</v>
      </c>
      <c r="D290" s="1" t="str">
        <f t="shared" ref="D290:D352" si="49">"&lt;="&amp;$E$3</f>
        <v>&lt;=42004</v>
      </c>
      <c r="E290" s="1">
        <f>DMHH!$C$150</f>
        <v>0</v>
      </c>
      <c r="F290" s="1" t="str">
        <f t="shared" ref="F290:F352" si="50">"&gt;="&amp;$C$2</f>
        <v>&gt;=41640</v>
      </c>
      <c r="G290" s="1" t="str">
        <f t="shared" ref="G290:G352" si="51">"&lt;"&amp;$C$3</f>
        <v>&lt;41640</v>
      </c>
    </row>
    <row r="291" spans="2:7">
      <c r="B291" s="1"/>
      <c r="C291" s="3" t="s">
        <v>28</v>
      </c>
      <c r="D291" s="3" t="s">
        <v>28</v>
      </c>
      <c r="E291" s="4" t="s">
        <v>228</v>
      </c>
      <c r="F291" s="3" t="s">
        <v>28</v>
      </c>
      <c r="G291" s="3" t="s">
        <v>28</v>
      </c>
    </row>
    <row r="292" spans="2:7">
      <c r="B292" s="1">
        <v>144</v>
      </c>
      <c r="C292" s="1" t="str">
        <f t="shared" si="48"/>
        <v>&gt;=41640</v>
      </c>
      <c r="D292" s="1" t="str">
        <f t="shared" si="49"/>
        <v>&lt;=42004</v>
      </c>
      <c r="E292" s="1">
        <f>DMHH!$C$151</f>
        <v>0</v>
      </c>
      <c r="F292" s="1" t="str">
        <f t="shared" si="50"/>
        <v>&gt;=41640</v>
      </c>
      <c r="G292" s="1" t="str">
        <f t="shared" si="51"/>
        <v>&lt;41640</v>
      </c>
    </row>
    <row r="293" spans="2:7">
      <c r="B293" s="1"/>
      <c r="C293" s="3" t="s">
        <v>28</v>
      </c>
      <c r="D293" s="3" t="s">
        <v>28</v>
      </c>
      <c r="E293" s="4" t="s">
        <v>228</v>
      </c>
      <c r="F293" s="3" t="s">
        <v>28</v>
      </c>
      <c r="G293" s="3" t="s">
        <v>28</v>
      </c>
    </row>
    <row r="294" spans="2:7">
      <c r="B294" s="1">
        <v>145</v>
      </c>
      <c r="C294" s="1" t="str">
        <f t="shared" si="48"/>
        <v>&gt;=41640</v>
      </c>
      <c r="D294" s="1" t="str">
        <f t="shared" si="49"/>
        <v>&lt;=42004</v>
      </c>
      <c r="E294" s="1">
        <f>DMHH!$C$152</f>
        <v>0</v>
      </c>
      <c r="F294" s="1" t="str">
        <f t="shared" si="50"/>
        <v>&gt;=41640</v>
      </c>
      <c r="G294" s="1" t="str">
        <f t="shared" si="51"/>
        <v>&lt;41640</v>
      </c>
    </row>
    <row r="295" spans="2:7">
      <c r="B295" s="1"/>
      <c r="C295" s="3" t="s">
        <v>28</v>
      </c>
      <c r="D295" s="3" t="s">
        <v>28</v>
      </c>
      <c r="E295" s="4" t="s">
        <v>228</v>
      </c>
      <c r="F295" s="3" t="s">
        <v>28</v>
      </c>
      <c r="G295" s="3" t="s">
        <v>28</v>
      </c>
    </row>
    <row r="296" spans="2:7">
      <c r="B296" s="1">
        <v>146</v>
      </c>
      <c r="C296" s="1" t="str">
        <f t="shared" si="48"/>
        <v>&gt;=41640</v>
      </c>
      <c r="D296" s="1" t="str">
        <f t="shared" si="49"/>
        <v>&lt;=42004</v>
      </c>
      <c r="E296" s="1">
        <f>DMHH!$C$153</f>
        <v>0</v>
      </c>
      <c r="F296" s="1" t="str">
        <f t="shared" si="50"/>
        <v>&gt;=41640</v>
      </c>
      <c r="G296" s="1" t="str">
        <f t="shared" si="51"/>
        <v>&lt;41640</v>
      </c>
    </row>
    <row r="297" spans="2:7">
      <c r="B297" s="1"/>
      <c r="C297" s="3" t="s">
        <v>28</v>
      </c>
      <c r="D297" s="3" t="s">
        <v>28</v>
      </c>
      <c r="E297" s="4" t="s">
        <v>228</v>
      </c>
      <c r="F297" s="3" t="s">
        <v>28</v>
      </c>
      <c r="G297" s="3" t="s">
        <v>28</v>
      </c>
    </row>
    <row r="298" spans="2:7">
      <c r="B298" s="1">
        <v>147</v>
      </c>
      <c r="C298" s="1" t="str">
        <f t="shared" si="48"/>
        <v>&gt;=41640</v>
      </c>
      <c r="D298" s="1" t="str">
        <f t="shared" si="49"/>
        <v>&lt;=42004</v>
      </c>
      <c r="E298" s="1">
        <f>DMHH!$C$154</f>
        <v>0</v>
      </c>
      <c r="F298" s="1" t="str">
        <f t="shared" si="50"/>
        <v>&gt;=41640</v>
      </c>
      <c r="G298" s="1" t="str">
        <f t="shared" si="51"/>
        <v>&lt;41640</v>
      </c>
    </row>
    <row r="299" spans="2:7">
      <c r="B299" s="1"/>
      <c r="C299" s="3" t="s">
        <v>28</v>
      </c>
      <c r="D299" s="3" t="s">
        <v>28</v>
      </c>
      <c r="E299" s="4" t="s">
        <v>228</v>
      </c>
      <c r="F299" s="3" t="s">
        <v>28</v>
      </c>
      <c r="G299" s="3" t="s">
        <v>28</v>
      </c>
    </row>
    <row r="300" spans="2:7">
      <c r="B300" s="1">
        <v>148</v>
      </c>
      <c r="C300" s="1" t="str">
        <f t="shared" si="48"/>
        <v>&gt;=41640</v>
      </c>
      <c r="D300" s="1" t="str">
        <f t="shared" si="49"/>
        <v>&lt;=42004</v>
      </c>
      <c r="E300" s="1">
        <f>DMHH!$C$155</f>
        <v>0</v>
      </c>
      <c r="F300" s="1" t="str">
        <f t="shared" si="50"/>
        <v>&gt;=41640</v>
      </c>
      <c r="G300" s="1" t="str">
        <f t="shared" si="51"/>
        <v>&lt;41640</v>
      </c>
    </row>
    <row r="301" spans="2:7">
      <c r="B301" s="1"/>
      <c r="C301" s="3" t="s">
        <v>28</v>
      </c>
      <c r="D301" s="3" t="s">
        <v>28</v>
      </c>
      <c r="E301" s="4" t="s">
        <v>228</v>
      </c>
      <c r="F301" s="3" t="s">
        <v>28</v>
      </c>
      <c r="G301" s="3" t="s">
        <v>28</v>
      </c>
    </row>
    <row r="302" spans="2:7">
      <c r="B302" s="1">
        <v>149</v>
      </c>
      <c r="C302" s="1" t="str">
        <f t="shared" si="48"/>
        <v>&gt;=41640</v>
      </c>
      <c r="D302" s="1" t="str">
        <f t="shared" si="49"/>
        <v>&lt;=42004</v>
      </c>
      <c r="E302" s="1">
        <f>DMHH!$C$156</f>
        <v>0</v>
      </c>
      <c r="F302" s="1" t="str">
        <f t="shared" si="50"/>
        <v>&gt;=41640</v>
      </c>
      <c r="G302" s="1" t="str">
        <f t="shared" si="51"/>
        <v>&lt;41640</v>
      </c>
    </row>
    <row r="303" spans="2:7">
      <c r="B303" s="1"/>
      <c r="C303" s="3" t="s">
        <v>28</v>
      </c>
      <c r="D303" s="3" t="s">
        <v>28</v>
      </c>
      <c r="E303" s="4" t="s">
        <v>228</v>
      </c>
      <c r="F303" s="3" t="s">
        <v>28</v>
      </c>
      <c r="G303" s="3" t="s">
        <v>28</v>
      </c>
    </row>
    <row r="304" spans="2:7">
      <c r="B304" s="1">
        <v>150</v>
      </c>
      <c r="C304" s="1" t="str">
        <f t="shared" si="48"/>
        <v>&gt;=41640</v>
      </c>
      <c r="D304" s="1" t="str">
        <f t="shared" si="49"/>
        <v>&lt;=42004</v>
      </c>
      <c r="E304" s="1">
        <f>DMHH!$C$157</f>
        <v>0</v>
      </c>
      <c r="F304" s="1" t="str">
        <f t="shared" si="50"/>
        <v>&gt;=41640</v>
      </c>
      <c r="G304" s="1" t="str">
        <f t="shared" si="51"/>
        <v>&lt;41640</v>
      </c>
    </row>
    <row r="305" spans="2:7">
      <c r="B305" s="1"/>
      <c r="C305" s="3" t="s">
        <v>28</v>
      </c>
      <c r="D305" s="3" t="s">
        <v>28</v>
      </c>
      <c r="E305" s="4" t="s">
        <v>228</v>
      </c>
      <c r="F305" s="3" t="s">
        <v>28</v>
      </c>
      <c r="G305" s="3" t="s">
        <v>28</v>
      </c>
    </row>
    <row r="306" spans="2:7">
      <c r="B306" s="1">
        <v>151</v>
      </c>
      <c r="C306" s="1" t="str">
        <f t="shared" si="48"/>
        <v>&gt;=41640</v>
      </c>
      <c r="D306" s="1" t="str">
        <f t="shared" si="49"/>
        <v>&lt;=42004</v>
      </c>
      <c r="E306" s="1">
        <f>DMHH!$C$158</f>
        <v>0</v>
      </c>
      <c r="F306" s="1" t="str">
        <f t="shared" si="50"/>
        <v>&gt;=41640</v>
      </c>
      <c r="G306" s="1" t="str">
        <f t="shared" si="51"/>
        <v>&lt;41640</v>
      </c>
    </row>
    <row r="307" spans="2:7">
      <c r="B307" s="1"/>
      <c r="C307" s="3" t="s">
        <v>28</v>
      </c>
      <c r="D307" s="3" t="s">
        <v>28</v>
      </c>
      <c r="E307" s="4" t="s">
        <v>228</v>
      </c>
      <c r="F307" s="3" t="s">
        <v>28</v>
      </c>
      <c r="G307" s="3" t="s">
        <v>28</v>
      </c>
    </row>
    <row r="308" spans="2:7">
      <c r="B308" s="1">
        <v>152</v>
      </c>
      <c r="C308" s="1" t="str">
        <f t="shared" si="48"/>
        <v>&gt;=41640</v>
      </c>
      <c r="D308" s="1" t="str">
        <f t="shared" si="49"/>
        <v>&lt;=42004</v>
      </c>
      <c r="E308" s="1">
        <f>DMHH!$C$159</f>
        <v>0</v>
      </c>
      <c r="F308" s="1" t="str">
        <f t="shared" si="50"/>
        <v>&gt;=41640</v>
      </c>
      <c r="G308" s="1" t="str">
        <f t="shared" si="51"/>
        <v>&lt;41640</v>
      </c>
    </row>
    <row r="309" spans="2:7">
      <c r="B309" s="1"/>
      <c r="C309" s="3" t="s">
        <v>28</v>
      </c>
      <c r="D309" s="3" t="s">
        <v>28</v>
      </c>
      <c r="E309" s="4" t="s">
        <v>228</v>
      </c>
      <c r="F309" s="3" t="s">
        <v>28</v>
      </c>
      <c r="G309" s="3" t="s">
        <v>28</v>
      </c>
    </row>
    <row r="310" spans="2:7">
      <c r="B310" s="1">
        <v>153</v>
      </c>
      <c r="C310" s="1" t="str">
        <f t="shared" si="48"/>
        <v>&gt;=41640</v>
      </c>
      <c r="D310" s="1" t="str">
        <f t="shared" si="49"/>
        <v>&lt;=42004</v>
      </c>
      <c r="E310" s="1">
        <f>DMHH!$C$160</f>
        <v>0</v>
      </c>
      <c r="F310" s="1" t="str">
        <f t="shared" si="50"/>
        <v>&gt;=41640</v>
      </c>
      <c r="G310" s="1" t="str">
        <f t="shared" si="51"/>
        <v>&lt;41640</v>
      </c>
    </row>
    <row r="311" spans="2:7">
      <c r="B311" s="1"/>
      <c r="C311" s="3" t="s">
        <v>28</v>
      </c>
      <c r="D311" s="3" t="s">
        <v>28</v>
      </c>
      <c r="E311" s="4" t="s">
        <v>228</v>
      </c>
      <c r="F311" s="3" t="s">
        <v>28</v>
      </c>
      <c r="G311" s="3" t="s">
        <v>28</v>
      </c>
    </row>
    <row r="312" spans="2:7">
      <c r="B312" s="1">
        <v>154</v>
      </c>
      <c r="C312" s="1" t="str">
        <f t="shared" si="48"/>
        <v>&gt;=41640</v>
      </c>
      <c r="D312" s="1" t="str">
        <f t="shared" si="49"/>
        <v>&lt;=42004</v>
      </c>
      <c r="E312" s="1">
        <f>DMHH!$C$161</f>
        <v>0</v>
      </c>
      <c r="F312" s="1" t="str">
        <f t="shared" si="50"/>
        <v>&gt;=41640</v>
      </c>
      <c r="G312" s="1" t="str">
        <f t="shared" si="51"/>
        <v>&lt;41640</v>
      </c>
    </row>
    <row r="313" spans="2:7">
      <c r="B313" s="1"/>
      <c r="C313" s="3" t="s">
        <v>28</v>
      </c>
      <c r="D313" s="3" t="s">
        <v>28</v>
      </c>
      <c r="E313" s="4" t="s">
        <v>228</v>
      </c>
      <c r="F313" s="3" t="s">
        <v>28</v>
      </c>
      <c r="G313" s="3" t="s">
        <v>28</v>
      </c>
    </row>
    <row r="314" spans="2:7">
      <c r="B314" s="1">
        <v>155</v>
      </c>
      <c r="C314" s="1" t="str">
        <f t="shared" si="48"/>
        <v>&gt;=41640</v>
      </c>
      <c r="D314" s="1" t="str">
        <f t="shared" si="49"/>
        <v>&lt;=42004</v>
      </c>
      <c r="E314" s="1">
        <f>DMHH!$C$162</f>
        <v>0</v>
      </c>
      <c r="F314" s="1" t="str">
        <f t="shared" si="50"/>
        <v>&gt;=41640</v>
      </c>
      <c r="G314" s="1" t="str">
        <f t="shared" si="51"/>
        <v>&lt;41640</v>
      </c>
    </row>
    <row r="315" spans="2:7">
      <c r="B315" s="1"/>
      <c r="C315" s="3" t="s">
        <v>28</v>
      </c>
      <c r="D315" s="3" t="s">
        <v>28</v>
      </c>
      <c r="E315" s="4" t="s">
        <v>228</v>
      </c>
      <c r="F315" s="3" t="s">
        <v>28</v>
      </c>
      <c r="G315" s="3" t="s">
        <v>28</v>
      </c>
    </row>
    <row r="316" spans="2:7">
      <c r="B316" s="1">
        <v>156</v>
      </c>
      <c r="C316" s="1" t="str">
        <f t="shared" si="48"/>
        <v>&gt;=41640</v>
      </c>
      <c r="D316" s="1" t="str">
        <f t="shared" si="49"/>
        <v>&lt;=42004</v>
      </c>
      <c r="E316" s="1">
        <f>DMHH!$C$163</f>
        <v>0</v>
      </c>
      <c r="F316" s="1" t="str">
        <f t="shared" si="50"/>
        <v>&gt;=41640</v>
      </c>
      <c r="G316" s="1" t="str">
        <f t="shared" si="51"/>
        <v>&lt;41640</v>
      </c>
    </row>
    <row r="317" spans="2:7">
      <c r="B317" s="1"/>
      <c r="C317" s="3" t="s">
        <v>28</v>
      </c>
      <c r="D317" s="3" t="s">
        <v>28</v>
      </c>
      <c r="E317" s="4" t="s">
        <v>228</v>
      </c>
      <c r="F317" s="3" t="s">
        <v>28</v>
      </c>
      <c r="G317" s="3" t="s">
        <v>28</v>
      </c>
    </row>
    <row r="318" spans="2:7">
      <c r="B318" s="1">
        <v>157</v>
      </c>
      <c r="C318" s="1" t="str">
        <f t="shared" si="48"/>
        <v>&gt;=41640</v>
      </c>
      <c r="D318" s="1" t="str">
        <f t="shared" si="49"/>
        <v>&lt;=42004</v>
      </c>
      <c r="E318" s="1">
        <f>DMHH!$C$164</f>
        <v>0</v>
      </c>
      <c r="F318" s="1" t="str">
        <f t="shared" si="50"/>
        <v>&gt;=41640</v>
      </c>
      <c r="G318" s="1" t="str">
        <f t="shared" si="51"/>
        <v>&lt;41640</v>
      </c>
    </row>
    <row r="319" spans="2:7">
      <c r="B319" s="1"/>
      <c r="C319" s="3" t="s">
        <v>28</v>
      </c>
      <c r="D319" s="3" t="s">
        <v>28</v>
      </c>
      <c r="E319" s="4" t="s">
        <v>228</v>
      </c>
      <c r="F319" s="3" t="s">
        <v>28</v>
      </c>
      <c r="G319" s="3" t="s">
        <v>28</v>
      </c>
    </row>
    <row r="320" spans="2:7">
      <c r="B320" s="1">
        <v>158</v>
      </c>
      <c r="C320" s="1" t="str">
        <f t="shared" si="48"/>
        <v>&gt;=41640</v>
      </c>
      <c r="D320" s="1" t="str">
        <f t="shared" si="49"/>
        <v>&lt;=42004</v>
      </c>
      <c r="E320" s="1">
        <f>DMHH!$C$165</f>
        <v>0</v>
      </c>
      <c r="F320" s="1" t="str">
        <f t="shared" si="50"/>
        <v>&gt;=41640</v>
      </c>
      <c r="G320" s="1" t="str">
        <f t="shared" si="51"/>
        <v>&lt;41640</v>
      </c>
    </row>
    <row r="321" spans="2:7">
      <c r="B321" s="1"/>
      <c r="C321" s="3" t="s">
        <v>28</v>
      </c>
      <c r="D321" s="3" t="s">
        <v>28</v>
      </c>
      <c r="E321" s="4" t="s">
        <v>228</v>
      </c>
      <c r="F321" s="3" t="s">
        <v>28</v>
      </c>
      <c r="G321" s="3" t="s">
        <v>28</v>
      </c>
    </row>
    <row r="322" spans="2:7">
      <c r="B322" s="1">
        <v>159</v>
      </c>
      <c r="C322" s="1" t="str">
        <f t="shared" si="48"/>
        <v>&gt;=41640</v>
      </c>
      <c r="D322" s="1" t="str">
        <f t="shared" si="49"/>
        <v>&lt;=42004</v>
      </c>
      <c r="E322" s="1">
        <f>DMHH!$C$166</f>
        <v>0</v>
      </c>
      <c r="F322" s="1" t="str">
        <f t="shared" si="50"/>
        <v>&gt;=41640</v>
      </c>
      <c r="G322" s="1" t="str">
        <f t="shared" si="51"/>
        <v>&lt;41640</v>
      </c>
    </row>
    <row r="323" spans="2:7">
      <c r="B323" s="1"/>
      <c r="C323" s="3" t="s">
        <v>28</v>
      </c>
      <c r="D323" s="3" t="s">
        <v>28</v>
      </c>
      <c r="E323" s="4" t="s">
        <v>228</v>
      </c>
      <c r="F323" s="3" t="s">
        <v>28</v>
      </c>
      <c r="G323" s="3" t="s">
        <v>28</v>
      </c>
    </row>
    <row r="324" spans="2:7">
      <c r="B324" s="1">
        <v>160</v>
      </c>
      <c r="C324" s="1" t="str">
        <f t="shared" si="48"/>
        <v>&gt;=41640</v>
      </c>
      <c r="D324" s="1" t="str">
        <f t="shared" si="49"/>
        <v>&lt;=42004</v>
      </c>
      <c r="E324" s="1">
        <f>DMHH!$C$167</f>
        <v>0</v>
      </c>
      <c r="F324" s="1" t="str">
        <f t="shared" si="50"/>
        <v>&gt;=41640</v>
      </c>
      <c r="G324" s="1" t="str">
        <f t="shared" si="51"/>
        <v>&lt;41640</v>
      </c>
    </row>
    <row r="325" spans="2:7">
      <c r="B325" s="1"/>
      <c r="C325" s="3" t="s">
        <v>28</v>
      </c>
      <c r="D325" s="3" t="s">
        <v>28</v>
      </c>
      <c r="E325" s="4" t="s">
        <v>228</v>
      </c>
      <c r="F325" s="3" t="s">
        <v>28</v>
      </c>
      <c r="G325" s="3" t="s">
        <v>28</v>
      </c>
    </row>
    <row r="326" spans="2:7">
      <c r="B326" s="1">
        <v>161</v>
      </c>
      <c r="C326" s="1" t="str">
        <f t="shared" si="48"/>
        <v>&gt;=41640</v>
      </c>
      <c r="D326" s="1" t="str">
        <f t="shared" si="49"/>
        <v>&lt;=42004</v>
      </c>
      <c r="E326" s="1">
        <f>DMHH!$C$168</f>
        <v>0</v>
      </c>
      <c r="F326" s="1" t="str">
        <f t="shared" si="50"/>
        <v>&gt;=41640</v>
      </c>
      <c r="G326" s="1" t="str">
        <f t="shared" si="51"/>
        <v>&lt;41640</v>
      </c>
    </row>
    <row r="327" spans="2:7">
      <c r="B327" s="1"/>
      <c r="C327" s="3" t="s">
        <v>28</v>
      </c>
      <c r="D327" s="3" t="s">
        <v>28</v>
      </c>
      <c r="E327" s="4" t="s">
        <v>228</v>
      </c>
      <c r="F327" s="3" t="s">
        <v>28</v>
      </c>
      <c r="G327" s="3" t="s">
        <v>28</v>
      </c>
    </row>
    <row r="328" spans="2:7">
      <c r="B328" s="1">
        <v>162</v>
      </c>
      <c r="C328" s="1" t="str">
        <f t="shared" si="48"/>
        <v>&gt;=41640</v>
      </c>
      <c r="D328" s="1" t="str">
        <f t="shared" si="49"/>
        <v>&lt;=42004</v>
      </c>
      <c r="E328" s="1">
        <f>DMHH!$C$169</f>
        <v>0</v>
      </c>
      <c r="F328" s="1" t="str">
        <f t="shared" si="50"/>
        <v>&gt;=41640</v>
      </c>
      <c r="G328" s="1" t="str">
        <f t="shared" si="51"/>
        <v>&lt;41640</v>
      </c>
    </row>
    <row r="329" spans="2:7">
      <c r="B329" s="1"/>
      <c r="C329" s="3" t="s">
        <v>28</v>
      </c>
      <c r="D329" s="3" t="s">
        <v>28</v>
      </c>
      <c r="E329" s="4" t="s">
        <v>228</v>
      </c>
      <c r="F329" s="3" t="s">
        <v>28</v>
      </c>
      <c r="G329" s="3" t="s">
        <v>28</v>
      </c>
    </row>
    <row r="330" spans="2:7">
      <c r="B330" s="1">
        <v>163</v>
      </c>
      <c r="C330" s="1" t="str">
        <f t="shared" si="48"/>
        <v>&gt;=41640</v>
      </c>
      <c r="D330" s="1" t="str">
        <f t="shared" si="49"/>
        <v>&lt;=42004</v>
      </c>
      <c r="E330" s="1">
        <f>DMHH!$C$170</f>
        <v>0</v>
      </c>
      <c r="F330" s="1" t="str">
        <f t="shared" si="50"/>
        <v>&gt;=41640</v>
      </c>
      <c r="G330" s="1" t="str">
        <f t="shared" si="51"/>
        <v>&lt;41640</v>
      </c>
    </row>
    <row r="331" spans="2:7">
      <c r="B331" s="1"/>
      <c r="C331" s="3" t="s">
        <v>28</v>
      </c>
      <c r="D331" s="3" t="s">
        <v>28</v>
      </c>
      <c r="E331" s="4" t="s">
        <v>228</v>
      </c>
      <c r="F331" s="3" t="s">
        <v>28</v>
      </c>
      <c r="G331" s="3" t="s">
        <v>28</v>
      </c>
    </row>
    <row r="332" spans="2:7">
      <c r="B332" s="1">
        <v>164</v>
      </c>
      <c r="C332" s="1" t="str">
        <f t="shared" si="48"/>
        <v>&gt;=41640</v>
      </c>
      <c r="D332" s="1" t="str">
        <f t="shared" si="49"/>
        <v>&lt;=42004</v>
      </c>
      <c r="E332" s="1">
        <f>DMHH!$C$171</f>
        <v>0</v>
      </c>
      <c r="F332" s="1" t="str">
        <f t="shared" si="50"/>
        <v>&gt;=41640</v>
      </c>
      <c r="G332" s="1" t="str">
        <f t="shared" si="51"/>
        <v>&lt;41640</v>
      </c>
    </row>
    <row r="333" spans="2:7">
      <c r="B333" s="1"/>
      <c r="C333" s="3" t="s">
        <v>28</v>
      </c>
      <c r="D333" s="3" t="s">
        <v>28</v>
      </c>
      <c r="E333" s="8" t="s">
        <v>228</v>
      </c>
      <c r="F333" s="6" t="s">
        <v>28</v>
      </c>
      <c r="G333" s="6" t="s">
        <v>28</v>
      </c>
    </row>
    <row r="334" spans="2:7">
      <c r="B334" s="1">
        <v>165</v>
      </c>
      <c r="C334" s="1" t="str">
        <f t="shared" si="48"/>
        <v>&gt;=41640</v>
      </c>
      <c r="D334" s="1" t="str">
        <f t="shared" si="49"/>
        <v>&lt;=42004</v>
      </c>
      <c r="E334" s="7">
        <f>DMHH!$C$172</f>
        <v>0</v>
      </c>
      <c r="F334" s="7" t="str">
        <f t="shared" si="50"/>
        <v>&gt;=41640</v>
      </c>
      <c r="G334" s="7" t="str">
        <f t="shared" si="51"/>
        <v>&lt;41640</v>
      </c>
    </row>
    <row r="335" spans="2:7">
      <c r="B335" s="1"/>
      <c r="C335" s="3" t="s">
        <v>28</v>
      </c>
      <c r="D335" s="3" t="s">
        <v>28</v>
      </c>
      <c r="E335" s="4" t="s">
        <v>228</v>
      </c>
      <c r="F335" s="3" t="s">
        <v>28</v>
      </c>
      <c r="G335" s="3" t="s">
        <v>28</v>
      </c>
    </row>
    <row r="336" spans="2:7">
      <c r="B336" s="1">
        <v>166</v>
      </c>
      <c r="C336" s="1" t="str">
        <f t="shared" si="48"/>
        <v>&gt;=41640</v>
      </c>
      <c r="D336" s="1" t="str">
        <f t="shared" si="49"/>
        <v>&lt;=42004</v>
      </c>
      <c r="E336" s="1">
        <f>DMHH!$C$173</f>
        <v>0</v>
      </c>
      <c r="F336" s="1" t="str">
        <f t="shared" si="50"/>
        <v>&gt;=41640</v>
      </c>
      <c r="G336" s="1" t="str">
        <f t="shared" si="51"/>
        <v>&lt;41640</v>
      </c>
    </row>
    <row r="337" spans="2:7">
      <c r="B337" s="1"/>
      <c r="C337" s="3" t="s">
        <v>28</v>
      </c>
      <c r="D337" s="3" t="s">
        <v>28</v>
      </c>
      <c r="E337" s="4" t="s">
        <v>228</v>
      </c>
      <c r="F337" s="3" t="s">
        <v>28</v>
      </c>
      <c r="G337" s="3" t="s">
        <v>28</v>
      </c>
    </row>
    <row r="338" spans="2:7">
      <c r="B338" s="1">
        <v>167</v>
      </c>
      <c r="C338" s="1" t="str">
        <f t="shared" si="48"/>
        <v>&gt;=41640</v>
      </c>
      <c r="D338" s="1" t="str">
        <f t="shared" si="49"/>
        <v>&lt;=42004</v>
      </c>
      <c r="E338" s="1">
        <f>DMHH!$C$174</f>
        <v>0</v>
      </c>
      <c r="F338" s="1" t="str">
        <f t="shared" si="50"/>
        <v>&gt;=41640</v>
      </c>
      <c r="G338" s="1" t="str">
        <f t="shared" si="51"/>
        <v>&lt;41640</v>
      </c>
    </row>
    <row r="339" spans="2:7">
      <c r="B339" s="1"/>
      <c r="C339" s="3" t="s">
        <v>28</v>
      </c>
      <c r="D339" s="3" t="s">
        <v>28</v>
      </c>
      <c r="E339" s="4" t="s">
        <v>228</v>
      </c>
      <c r="F339" s="3" t="s">
        <v>28</v>
      </c>
      <c r="G339" s="3" t="s">
        <v>28</v>
      </c>
    </row>
    <row r="340" spans="2:7">
      <c r="B340" s="1">
        <v>168</v>
      </c>
      <c r="C340" s="1" t="str">
        <f t="shared" si="48"/>
        <v>&gt;=41640</v>
      </c>
      <c r="D340" s="1" t="str">
        <f t="shared" si="49"/>
        <v>&lt;=42004</v>
      </c>
      <c r="E340" s="1">
        <f>DMHH!$C$175</f>
        <v>0</v>
      </c>
      <c r="F340" s="1" t="str">
        <f t="shared" si="50"/>
        <v>&gt;=41640</v>
      </c>
      <c r="G340" s="1" t="str">
        <f t="shared" si="51"/>
        <v>&lt;41640</v>
      </c>
    </row>
    <row r="341" spans="2:7">
      <c r="B341" s="1"/>
      <c r="C341" s="3" t="s">
        <v>28</v>
      </c>
      <c r="D341" s="3" t="s">
        <v>28</v>
      </c>
      <c r="E341" s="4" t="s">
        <v>228</v>
      </c>
      <c r="F341" s="3" t="s">
        <v>28</v>
      </c>
      <c r="G341" s="3" t="s">
        <v>28</v>
      </c>
    </row>
    <row r="342" spans="2:7">
      <c r="B342" s="1">
        <v>169</v>
      </c>
      <c r="C342" s="1" t="str">
        <f t="shared" si="48"/>
        <v>&gt;=41640</v>
      </c>
      <c r="D342" s="1" t="str">
        <f t="shared" si="49"/>
        <v>&lt;=42004</v>
      </c>
      <c r="E342" s="1">
        <f>DMHH!$C$176</f>
        <v>0</v>
      </c>
      <c r="F342" s="1" t="str">
        <f t="shared" si="50"/>
        <v>&gt;=41640</v>
      </c>
      <c r="G342" s="1" t="str">
        <f t="shared" si="51"/>
        <v>&lt;41640</v>
      </c>
    </row>
    <row r="343" spans="2:7">
      <c r="B343" s="1"/>
      <c r="C343" s="3" t="s">
        <v>28</v>
      </c>
      <c r="D343" s="3" t="s">
        <v>28</v>
      </c>
      <c r="E343" s="4" t="s">
        <v>228</v>
      </c>
      <c r="F343" s="3" t="s">
        <v>28</v>
      </c>
      <c r="G343" s="3" t="s">
        <v>28</v>
      </c>
    </row>
    <row r="344" spans="2:7">
      <c r="B344" s="1">
        <v>170</v>
      </c>
      <c r="C344" s="1" t="str">
        <f t="shared" si="48"/>
        <v>&gt;=41640</v>
      </c>
      <c r="D344" s="1" t="str">
        <f t="shared" si="49"/>
        <v>&lt;=42004</v>
      </c>
      <c r="E344" s="1">
        <f>DMHH!$C$177</f>
        <v>0</v>
      </c>
      <c r="F344" s="1" t="str">
        <f t="shared" si="50"/>
        <v>&gt;=41640</v>
      </c>
      <c r="G344" s="1" t="str">
        <f t="shared" si="51"/>
        <v>&lt;41640</v>
      </c>
    </row>
    <row r="345" spans="2:7">
      <c r="B345" s="1"/>
      <c r="C345" s="3" t="s">
        <v>28</v>
      </c>
      <c r="D345" s="3" t="s">
        <v>28</v>
      </c>
      <c r="E345" s="4" t="s">
        <v>228</v>
      </c>
      <c r="F345" s="3" t="s">
        <v>28</v>
      </c>
      <c r="G345" s="3" t="s">
        <v>28</v>
      </c>
    </row>
    <row r="346" spans="2:7">
      <c r="B346" s="1">
        <v>171</v>
      </c>
      <c r="C346" s="1" t="str">
        <f t="shared" si="48"/>
        <v>&gt;=41640</v>
      </c>
      <c r="D346" s="1" t="str">
        <f t="shared" si="49"/>
        <v>&lt;=42004</v>
      </c>
      <c r="E346" s="1">
        <f>DMHH!$C$178</f>
        <v>0</v>
      </c>
      <c r="F346" s="1" t="str">
        <f t="shared" si="50"/>
        <v>&gt;=41640</v>
      </c>
      <c r="G346" s="1" t="str">
        <f t="shared" si="51"/>
        <v>&lt;41640</v>
      </c>
    </row>
    <row r="347" spans="2:7">
      <c r="B347" s="1"/>
      <c r="C347" s="3" t="s">
        <v>28</v>
      </c>
      <c r="D347" s="3" t="s">
        <v>28</v>
      </c>
      <c r="E347" s="4" t="s">
        <v>228</v>
      </c>
      <c r="F347" s="3" t="s">
        <v>28</v>
      </c>
      <c r="G347" s="3" t="s">
        <v>28</v>
      </c>
    </row>
    <row r="348" spans="2:7">
      <c r="B348" s="1">
        <v>172</v>
      </c>
      <c r="C348" s="1" t="str">
        <f t="shared" si="48"/>
        <v>&gt;=41640</v>
      </c>
      <c r="D348" s="1" t="str">
        <f t="shared" si="49"/>
        <v>&lt;=42004</v>
      </c>
      <c r="E348" s="1">
        <f>DMHH!$C$179</f>
        <v>0</v>
      </c>
      <c r="F348" s="1" t="str">
        <f t="shared" si="50"/>
        <v>&gt;=41640</v>
      </c>
      <c r="G348" s="1" t="str">
        <f t="shared" si="51"/>
        <v>&lt;41640</v>
      </c>
    </row>
    <row r="349" spans="2:7">
      <c r="B349" s="1"/>
      <c r="C349" s="3" t="s">
        <v>28</v>
      </c>
      <c r="D349" s="3" t="s">
        <v>28</v>
      </c>
      <c r="E349" s="4" t="s">
        <v>228</v>
      </c>
      <c r="F349" s="3" t="s">
        <v>28</v>
      </c>
      <c r="G349" s="3" t="s">
        <v>28</v>
      </c>
    </row>
    <row r="350" spans="2:7">
      <c r="B350" s="1">
        <v>173</v>
      </c>
      <c r="C350" s="1" t="str">
        <f t="shared" si="48"/>
        <v>&gt;=41640</v>
      </c>
      <c r="D350" s="1" t="str">
        <f t="shared" si="49"/>
        <v>&lt;=42004</v>
      </c>
      <c r="E350" s="1">
        <f>DMHH!$C$180</f>
        <v>0</v>
      </c>
      <c r="F350" s="1" t="str">
        <f t="shared" si="50"/>
        <v>&gt;=41640</v>
      </c>
      <c r="G350" s="1" t="str">
        <f t="shared" si="51"/>
        <v>&lt;41640</v>
      </c>
    </row>
    <row r="351" spans="2:7">
      <c r="B351" s="1"/>
      <c r="C351" s="3" t="s">
        <v>28</v>
      </c>
      <c r="D351" s="3" t="s">
        <v>28</v>
      </c>
      <c r="E351" s="4" t="s">
        <v>228</v>
      </c>
      <c r="F351" s="3" t="s">
        <v>28</v>
      </c>
      <c r="G351" s="3" t="s">
        <v>28</v>
      </c>
    </row>
    <row r="352" spans="2:7">
      <c r="B352" s="1">
        <v>174</v>
      </c>
      <c r="C352" s="1" t="str">
        <f t="shared" si="48"/>
        <v>&gt;=41640</v>
      </c>
      <c r="D352" s="1" t="str">
        <f t="shared" si="49"/>
        <v>&lt;=42004</v>
      </c>
      <c r="E352" s="1">
        <f>DMHH!$C$181</f>
        <v>0</v>
      </c>
      <c r="F352" s="1" t="str">
        <f t="shared" si="50"/>
        <v>&gt;=41640</v>
      </c>
      <c r="G352" s="1" t="str">
        <f t="shared" si="51"/>
        <v>&lt;41640</v>
      </c>
    </row>
    <row r="353" spans="2:7">
      <c r="B353" s="1"/>
      <c r="C353" s="3" t="s">
        <v>28</v>
      </c>
      <c r="D353" s="3" t="s">
        <v>28</v>
      </c>
      <c r="E353" s="4" t="s">
        <v>228</v>
      </c>
      <c r="F353" s="3" t="s">
        <v>28</v>
      </c>
      <c r="G353" s="3" t="s">
        <v>28</v>
      </c>
    </row>
    <row r="354" spans="2:7">
      <c r="B354" s="1">
        <v>175</v>
      </c>
      <c r="C354" s="1" t="str">
        <f t="shared" ref="C354:C416" si="52">"&gt;="&amp;$C$3</f>
        <v>&gt;=41640</v>
      </c>
      <c r="D354" s="1" t="str">
        <f t="shared" ref="D354:D416" si="53">"&lt;="&amp;$E$3</f>
        <v>&lt;=42004</v>
      </c>
      <c r="E354" s="1">
        <f>DMHH!$C$182</f>
        <v>0</v>
      </c>
      <c r="F354" s="1" t="str">
        <f t="shared" ref="F354:F416" si="54">"&gt;="&amp;$C$2</f>
        <v>&gt;=41640</v>
      </c>
      <c r="G354" s="1" t="str">
        <f t="shared" ref="G354:G416" si="55">"&lt;"&amp;$C$3</f>
        <v>&lt;41640</v>
      </c>
    </row>
    <row r="355" spans="2:7">
      <c r="B355" s="1"/>
      <c r="C355" s="3" t="s">
        <v>28</v>
      </c>
      <c r="D355" s="3" t="s">
        <v>28</v>
      </c>
      <c r="E355" s="4" t="s">
        <v>228</v>
      </c>
      <c r="F355" s="3" t="s">
        <v>28</v>
      </c>
      <c r="G355" s="3" t="s">
        <v>28</v>
      </c>
    </row>
    <row r="356" spans="2:7">
      <c r="B356" s="1">
        <v>176</v>
      </c>
      <c r="C356" s="1" t="str">
        <f t="shared" si="52"/>
        <v>&gt;=41640</v>
      </c>
      <c r="D356" s="1" t="str">
        <f t="shared" si="53"/>
        <v>&lt;=42004</v>
      </c>
      <c r="E356" s="1">
        <f>DMHH!$C$183</f>
        <v>0</v>
      </c>
      <c r="F356" s="1" t="str">
        <f t="shared" si="54"/>
        <v>&gt;=41640</v>
      </c>
      <c r="G356" s="1" t="str">
        <f t="shared" si="55"/>
        <v>&lt;41640</v>
      </c>
    </row>
    <row r="357" spans="2:7">
      <c r="B357" s="1"/>
      <c r="C357" s="3" t="s">
        <v>28</v>
      </c>
      <c r="D357" s="3" t="s">
        <v>28</v>
      </c>
      <c r="E357" s="4" t="s">
        <v>228</v>
      </c>
      <c r="F357" s="3" t="s">
        <v>28</v>
      </c>
      <c r="G357" s="3" t="s">
        <v>28</v>
      </c>
    </row>
    <row r="358" spans="2:7">
      <c r="B358" s="1">
        <v>177</v>
      </c>
      <c r="C358" s="1" t="str">
        <f t="shared" si="52"/>
        <v>&gt;=41640</v>
      </c>
      <c r="D358" s="1" t="str">
        <f t="shared" si="53"/>
        <v>&lt;=42004</v>
      </c>
      <c r="E358" s="1">
        <f>DMHH!$C$184</f>
        <v>0</v>
      </c>
      <c r="F358" s="1" t="str">
        <f t="shared" si="54"/>
        <v>&gt;=41640</v>
      </c>
      <c r="G358" s="1" t="str">
        <f t="shared" si="55"/>
        <v>&lt;41640</v>
      </c>
    </row>
    <row r="359" spans="2:7">
      <c r="B359" s="1"/>
      <c r="C359" s="3" t="s">
        <v>28</v>
      </c>
      <c r="D359" s="3" t="s">
        <v>28</v>
      </c>
      <c r="E359" s="4" t="s">
        <v>228</v>
      </c>
      <c r="F359" s="3" t="s">
        <v>28</v>
      </c>
      <c r="G359" s="3" t="s">
        <v>28</v>
      </c>
    </row>
    <row r="360" spans="2:7">
      <c r="B360" s="1">
        <v>178</v>
      </c>
      <c r="C360" s="1" t="str">
        <f t="shared" si="52"/>
        <v>&gt;=41640</v>
      </c>
      <c r="D360" s="1" t="str">
        <f t="shared" si="53"/>
        <v>&lt;=42004</v>
      </c>
      <c r="E360" s="1">
        <f>DMHH!$C$185</f>
        <v>0</v>
      </c>
      <c r="F360" s="1" t="str">
        <f t="shared" si="54"/>
        <v>&gt;=41640</v>
      </c>
      <c r="G360" s="1" t="str">
        <f t="shared" si="55"/>
        <v>&lt;41640</v>
      </c>
    </row>
    <row r="361" spans="2:7">
      <c r="B361" s="1"/>
      <c r="C361" s="3" t="s">
        <v>28</v>
      </c>
      <c r="D361" s="3" t="s">
        <v>28</v>
      </c>
      <c r="E361" s="4" t="s">
        <v>228</v>
      </c>
      <c r="F361" s="3" t="s">
        <v>28</v>
      </c>
      <c r="G361" s="3" t="s">
        <v>28</v>
      </c>
    </row>
    <row r="362" spans="2:7">
      <c r="B362" s="1">
        <v>179</v>
      </c>
      <c r="C362" s="1" t="str">
        <f t="shared" si="52"/>
        <v>&gt;=41640</v>
      </c>
      <c r="D362" s="1" t="str">
        <f t="shared" si="53"/>
        <v>&lt;=42004</v>
      </c>
      <c r="E362" s="1">
        <f>DMHH!$C$186</f>
        <v>0</v>
      </c>
      <c r="F362" s="1" t="str">
        <f t="shared" si="54"/>
        <v>&gt;=41640</v>
      </c>
      <c r="G362" s="1" t="str">
        <f t="shared" si="55"/>
        <v>&lt;41640</v>
      </c>
    </row>
    <row r="363" spans="2:7">
      <c r="B363" s="1"/>
      <c r="C363" s="3" t="s">
        <v>28</v>
      </c>
      <c r="D363" s="3" t="s">
        <v>28</v>
      </c>
      <c r="E363" s="4" t="s">
        <v>228</v>
      </c>
      <c r="F363" s="3" t="s">
        <v>28</v>
      </c>
      <c r="G363" s="3" t="s">
        <v>28</v>
      </c>
    </row>
    <row r="364" spans="2:7">
      <c r="B364" s="1">
        <v>180</v>
      </c>
      <c r="C364" s="1" t="str">
        <f t="shared" si="52"/>
        <v>&gt;=41640</v>
      </c>
      <c r="D364" s="1" t="str">
        <f t="shared" si="53"/>
        <v>&lt;=42004</v>
      </c>
      <c r="E364" s="1">
        <f>DMHH!$C$187</f>
        <v>0</v>
      </c>
      <c r="F364" s="1" t="str">
        <f t="shared" si="54"/>
        <v>&gt;=41640</v>
      </c>
      <c r="G364" s="1" t="str">
        <f t="shared" si="55"/>
        <v>&lt;41640</v>
      </c>
    </row>
    <row r="365" spans="2:7">
      <c r="B365" s="1"/>
      <c r="C365" s="3" t="s">
        <v>28</v>
      </c>
      <c r="D365" s="3" t="s">
        <v>28</v>
      </c>
      <c r="E365" s="4" t="s">
        <v>228</v>
      </c>
      <c r="F365" s="3" t="s">
        <v>28</v>
      </c>
      <c r="G365" s="3" t="s">
        <v>28</v>
      </c>
    </row>
    <row r="366" spans="2:7">
      <c r="B366" s="1">
        <v>181</v>
      </c>
      <c r="C366" s="1" t="str">
        <f t="shared" si="52"/>
        <v>&gt;=41640</v>
      </c>
      <c r="D366" s="1" t="str">
        <f t="shared" si="53"/>
        <v>&lt;=42004</v>
      </c>
      <c r="E366" s="1">
        <f>DMHH!$C$188</f>
        <v>0</v>
      </c>
      <c r="F366" s="1" t="str">
        <f t="shared" si="54"/>
        <v>&gt;=41640</v>
      </c>
      <c r="G366" s="1" t="str">
        <f t="shared" si="55"/>
        <v>&lt;41640</v>
      </c>
    </row>
    <row r="367" spans="2:7">
      <c r="B367" s="1"/>
      <c r="C367" s="3" t="s">
        <v>28</v>
      </c>
      <c r="D367" s="3" t="s">
        <v>28</v>
      </c>
      <c r="E367" s="4" t="s">
        <v>228</v>
      </c>
      <c r="F367" s="3" t="s">
        <v>28</v>
      </c>
      <c r="G367" s="3" t="s">
        <v>28</v>
      </c>
    </row>
    <row r="368" spans="2:7">
      <c r="B368" s="1">
        <v>182</v>
      </c>
      <c r="C368" s="1" t="str">
        <f t="shared" si="52"/>
        <v>&gt;=41640</v>
      </c>
      <c r="D368" s="1" t="str">
        <f t="shared" si="53"/>
        <v>&lt;=42004</v>
      </c>
      <c r="E368" s="1">
        <f>DMHH!$C$189</f>
        <v>0</v>
      </c>
      <c r="F368" s="1" t="str">
        <f t="shared" si="54"/>
        <v>&gt;=41640</v>
      </c>
      <c r="G368" s="1" t="str">
        <f t="shared" si="55"/>
        <v>&lt;41640</v>
      </c>
    </row>
    <row r="369" spans="2:7">
      <c r="B369" s="1"/>
      <c r="C369" s="3" t="s">
        <v>28</v>
      </c>
      <c r="D369" s="3" t="s">
        <v>28</v>
      </c>
      <c r="E369" s="4" t="s">
        <v>228</v>
      </c>
      <c r="F369" s="3" t="s">
        <v>28</v>
      </c>
      <c r="G369" s="3" t="s">
        <v>28</v>
      </c>
    </row>
    <row r="370" spans="2:7">
      <c r="B370" s="1">
        <v>183</v>
      </c>
      <c r="C370" s="1" t="str">
        <f t="shared" si="52"/>
        <v>&gt;=41640</v>
      </c>
      <c r="D370" s="1" t="str">
        <f t="shared" si="53"/>
        <v>&lt;=42004</v>
      </c>
      <c r="E370" s="1">
        <f>DMHH!$C$190</f>
        <v>0</v>
      </c>
      <c r="F370" s="1" t="str">
        <f t="shared" si="54"/>
        <v>&gt;=41640</v>
      </c>
      <c r="G370" s="1" t="str">
        <f t="shared" si="55"/>
        <v>&lt;41640</v>
      </c>
    </row>
    <row r="371" spans="2:7">
      <c r="B371" s="1"/>
      <c r="C371" s="3" t="s">
        <v>28</v>
      </c>
      <c r="D371" s="3" t="s">
        <v>28</v>
      </c>
      <c r="E371" s="4" t="s">
        <v>228</v>
      </c>
      <c r="F371" s="3" t="s">
        <v>28</v>
      </c>
      <c r="G371" s="3" t="s">
        <v>28</v>
      </c>
    </row>
    <row r="372" spans="2:7">
      <c r="B372" s="1">
        <v>184</v>
      </c>
      <c r="C372" s="1" t="str">
        <f t="shared" si="52"/>
        <v>&gt;=41640</v>
      </c>
      <c r="D372" s="1" t="str">
        <f t="shared" si="53"/>
        <v>&lt;=42004</v>
      </c>
      <c r="E372" s="1">
        <f>DMHH!$C$191</f>
        <v>0</v>
      </c>
      <c r="F372" s="1" t="str">
        <f t="shared" si="54"/>
        <v>&gt;=41640</v>
      </c>
      <c r="G372" s="1" t="str">
        <f t="shared" si="55"/>
        <v>&lt;41640</v>
      </c>
    </row>
    <row r="373" spans="2:7">
      <c r="B373" s="1"/>
      <c r="C373" s="3" t="s">
        <v>28</v>
      </c>
      <c r="D373" s="3" t="s">
        <v>28</v>
      </c>
      <c r="E373" s="4" t="s">
        <v>228</v>
      </c>
      <c r="F373" s="3" t="s">
        <v>28</v>
      </c>
      <c r="G373" s="3" t="s">
        <v>28</v>
      </c>
    </row>
    <row r="374" spans="2:7">
      <c r="B374" s="1">
        <v>185</v>
      </c>
      <c r="C374" s="1" t="str">
        <f t="shared" si="52"/>
        <v>&gt;=41640</v>
      </c>
      <c r="D374" s="1" t="str">
        <f t="shared" si="53"/>
        <v>&lt;=42004</v>
      </c>
      <c r="E374" s="1">
        <f>DMHH!$C$192</f>
        <v>0</v>
      </c>
      <c r="F374" s="1" t="str">
        <f t="shared" si="54"/>
        <v>&gt;=41640</v>
      </c>
      <c r="G374" s="1" t="str">
        <f t="shared" si="55"/>
        <v>&lt;41640</v>
      </c>
    </row>
    <row r="375" spans="2:7">
      <c r="B375" s="1"/>
      <c r="C375" s="3" t="s">
        <v>28</v>
      </c>
      <c r="D375" s="3" t="s">
        <v>28</v>
      </c>
      <c r="E375" s="4" t="s">
        <v>228</v>
      </c>
      <c r="F375" s="3" t="s">
        <v>28</v>
      </c>
      <c r="G375" s="3" t="s">
        <v>28</v>
      </c>
    </row>
    <row r="376" spans="2:7">
      <c r="B376" s="1">
        <v>186</v>
      </c>
      <c r="C376" s="1" t="str">
        <f t="shared" si="52"/>
        <v>&gt;=41640</v>
      </c>
      <c r="D376" s="1" t="str">
        <f t="shared" si="53"/>
        <v>&lt;=42004</v>
      </c>
      <c r="E376" s="1">
        <f>DMHH!$C$193</f>
        <v>0</v>
      </c>
      <c r="F376" s="1" t="str">
        <f t="shared" si="54"/>
        <v>&gt;=41640</v>
      </c>
      <c r="G376" s="1" t="str">
        <f t="shared" si="55"/>
        <v>&lt;41640</v>
      </c>
    </row>
    <row r="377" spans="2:7">
      <c r="B377" s="1"/>
      <c r="C377" s="3" t="s">
        <v>28</v>
      </c>
      <c r="D377" s="3" t="s">
        <v>28</v>
      </c>
      <c r="E377" s="4" t="s">
        <v>228</v>
      </c>
      <c r="F377" s="3" t="s">
        <v>28</v>
      </c>
      <c r="G377" s="3" t="s">
        <v>28</v>
      </c>
    </row>
    <row r="378" spans="2:7">
      <c r="B378" s="1">
        <v>187</v>
      </c>
      <c r="C378" s="1" t="str">
        <f t="shared" si="52"/>
        <v>&gt;=41640</v>
      </c>
      <c r="D378" s="1" t="str">
        <f t="shared" si="53"/>
        <v>&lt;=42004</v>
      </c>
      <c r="E378" s="1">
        <f>DMHH!$C$194</f>
        <v>0</v>
      </c>
      <c r="F378" s="1" t="str">
        <f t="shared" si="54"/>
        <v>&gt;=41640</v>
      </c>
      <c r="G378" s="1" t="str">
        <f t="shared" si="55"/>
        <v>&lt;41640</v>
      </c>
    </row>
    <row r="379" spans="2:7">
      <c r="B379" s="1"/>
      <c r="C379" s="3" t="s">
        <v>28</v>
      </c>
      <c r="D379" s="3" t="s">
        <v>28</v>
      </c>
      <c r="E379" s="4" t="s">
        <v>228</v>
      </c>
      <c r="F379" s="3" t="s">
        <v>28</v>
      </c>
      <c r="G379" s="3" t="s">
        <v>28</v>
      </c>
    </row>
    <row r="380" spans="2:7">
      <c r="B380" s="1">
        <v>188</v>
      </c>
      <c r="C380" s="1" t="str">
        <f t="shared" si="52"/>
        <v>&gt;=41640</v>
      </c>
      <c r="D380" s="1" t="str">
        <f t="shared" si="53"/>
        <v>&lt;=42004</v>
      </c>
      <c r="E380" s="1">
        <f>DMHH!$C$195</f>
        <v>0</v>
      </c>
      <c r="F380" s="1" t="str">
        <f t="shared" si="54"/>
        <v>&gt;=41640</v>
      </c>
      <c r="G380" s="1" t="str">
        <f t="shared" si="55"/>
        <v>&lt;41640</v>
      </c>
    </row>
    <row r="381" spans="2:7">
      <c r="B381" s="1"/>
      <c r="C381" s="3" t="s">
        <v>28</v>
      </c>
      <c r="D381" s="3" t="s">
        <v>28</v>
      </c>
      <c r="E381" s="4" t="s">
        <v>228</v>
      </c>
      <c r="F381" s="3" t="s">
        <v>28</v>
      </c>
      <c r="G381" s="3" t="s">
        <v>28</v>
      </c>
    </row>
    <row r="382" spans="2:7">
      <c r="B382" s="1">
        <v>189</v>
      </c>
      <c r="C382" s="1" t="str">
        <f t="shared" si="52"/>
        <v>&gt;=41640</v>
      </c>
      <c r="D382" s="1" t="str">
        <f t="shared" si="53"/>
        <v>&lt;=42004</v>
      </c>
      <c r="E382" s="1">
        <f>DMHH!$C$196</f>
        <v>0</v>
      </c>
      <c r="F382" s="1" t="str">
        <f t="shared" si="54"/>
        <v>&gt;=41640</v>
      </c>
      <c r="G382" s="1" t="str">
        <f t="shared" si="55"/>
        <v>&lt;41640</v>
      </c>
    </row>
    <row r="383" spans="2:7">
      <c r="B383" s="1"/>
      <c r="C383" s="3" t="s">
        <v>28</v>
      </c>
      <c r="D383" s="3" t="s">
        <v>28</v>
      </c>
      <c r="E383" s="4" t="s">
        <v>228</v>
      </c>
      <c r="F383" s="3" t="s">
        <v>28</v>
      </c>
      <c r="G383" s="3" t="s">
        <v>28</v>
      </c>
    </row>
    <row r="384" spans="2:7">
      <c r="B384" s="1">
        <v>190</v>
      </c>
      <c r="C384" s="1" t="str">
        <f t="shared" si="52"/>
        <v>&gt;=41640</v>
      </c>
      <c r="D384" s="1" t="str">
        <f t="shared" si="53"/>
        <v>&lt;=42004</v>
      </c>
      <c r="E384" s="1">
        <f>DMHH!$C$197</f>
        <v>0</v>
      </c>
      <c r="F384" s="1" t="str">
        <f t="shared" si="54"/>
        <v>&gt;=41640</v>
      </c>
      <c r="G384" s="1" t="str">
        <f t="shared" si="55"/>
        <v>&lt;41640</v>
      </c>
    </row>
    <row r="385" spans="2:7">
      <c r="B385" s="1"/>
      <c r="C385" s="3" t="s">
        <v>28</v>
      </c>
      <c r="D385" s="3" t="s">
        <v>28</v>
      </c>
      <c r="E385" s="4" t="s">
        <v>228</v>
      </c>
      <c r="F385" s="3" t="s">
        <v>28</v>
      </c>
      <c r="G385" s="3" t="s">
        <v>28</v>
      </c>
    </row>
    <row r="386" spans="2:7">
      <c r="B386" s="1">
        <v>191</v>
      </c>
      <c r="C386" s="1" t="str">
        <f t="shared" si="52"/>
        <v>&gt;=41640</v>
      </c>
      <c r="D386" s="1" t="str">
        <f t="shared" si="53"/>
        <v>&lt;=42004</v>
      </c>
      <c r="E386" s="1">
        <f>DMHH!$C$198</f>
        <v>0</v>
      </c>
      <c r="F386" s="1" t="str">
        <f t="shared" si="54"/>
        <v>&gt;=41640</v>
      </c>
      <c r="G386" s="1" t="str">
        <f t="shared" si="55"/>
        <v>&lt;41640</v>
      </c>
    </row>
    <row r="387" spans="2:7">
      <c r="B387" s="1"/>
      <c r="C387" s="3" t="s">
        <v>28</v>
      </c>
      <c r="D387" s="3" t="s">
        <v>28</v>
      </c>
      <c r="E387" s="4" t="s">
        <v>228</v>
      </c>
      <c r="F387" s="3" t="s">
        <v>28</v>
      </c>
      <c r="G387" s="3" t="s">
        <v>28</v>
      </c>
    </row>
    <row r="388" spans="2:7">
      <c r="B388" s="1">
        <v>192</v>
      </c>
      <c r="C388" s="1" t="str">
        <f t="shared" si="52"/>
        <v>&gt;=41640</v>
      </c>
      <c r="D388" s="1" t="str">
        <f t="shared" si="53"/>
        <v>&lt;=42004</v>
      </c>
      <c r="E388" s="1">
        <f>DMHH!$C$199</f>
        <v>0</v>
      </c>
      <c r="F388" s="1" t="str">
        <f t="shared" si="54"/>
        <v>&gt;=41640</v>
      </c>
      <c r="G388" s="1" t="str">
        <f t="shared" si="55"/>
        <v>&lt;41640</v>
      </c>
    </row>
    <row r="389" spans="2:7">
      <c r="B389" s="1"/>
      <c r="C389" s="3" t="s">
        <v>28</v>
      </c>
      <c r="D389" s="3" t="s">
        <v>28</v>
      </c>
      <c r="E389" s="4" t="s">
        <v>228</v>
      </c>
      <c r="F389" s="3" t="s">
        <v>28</v>
      </c>
      <c r="G389" s="3" t="s">
        <v>28</v>
      </c>
    </row>
    <row r="390" spans="2:7">
      <c r="B390" s="1">
        <v>193</v>
      </c>
      <c r="C390" s="1" t="str">
        <f t="shared" si="52"/>
        <v>&gt;=41640</v>
      </c>
      <c r="D390" s="1" t="str">
        <f t="shared" si="53"/>
        <v>&lt;=42004</v>
      </c>
      <c r="E390" s="1">
        <f>DMHH!$C$200</f>
        <v>0</v>
      </c>
      <c r="F390" s="1" t="str">
        <f t="shared" si="54"/>
        <v>&gt;=41640</v>
      </c>
      <c r="G390" s="1" t="str">
        <f t="shared" si="55"/>
        <v>&lt;41640</v>
      </c>
    </row>
    <row r="391" spans="2:7">
      <c r="B391" s="1"/>
      <c r="C391" s="3" t="s">
        <v>28</v>
      </c>
      <c r="D391" s="3" t="s">
        <v>28</v>
      </c>
      <c r="E391" s="4" t="s">
        <v>228</v>
      </c>
      <c r="F391" s="3" t="s">
        <v>28</v>
      </c>
      <c r="G391" s="3" t="s">
        <v>28</v>
      </c>
    </row>
    <row r="392" spans="2:7">
      <c r="B392" s="1">
        <v>194</v>
      </c>
      <c r="C392" s="1" t="str">
        <f t="shared" si="52"/>
        <v>&gt;=41640</v>
      </c>
      <c r="D392" s="1" t="str">
        <f t="shared" si="53"/>
        <v>&lt;=42004</v>
      </c>
      <c r="E392" s="1">
        <f>DMHH!$C$201</f>
        <v>0</v>
      </c>
      <c r="F392" s="1" t="str">
        <f t="shared" si="54"/>
        <v>&gt;=41640</v>
      </c>
      <c r="G392" s="1" t="str">
        <f t="shared" si="55"/>
        <v>&lt;41640</v>
      </c>
    </row>
    <row r="393" spans="2:7">
      <c r="B393" s="1"/>
      <c r="C393" s="3" t="s">
        <v>28</v>
      </c>
      <c r="D393" s="3" t="s">
        <v>28</v>
      </c>
      <c r="E393" s="4" t="s">
        <v>228</v>
      </c>
      <c r="F393" s="3" t="s">
        <v>28</v>
      </c>
      <c r="G393" s="3" t="s">
        <v>28</v>
      </c>
    </row>
    <row r="394" spans="2:7">
      <c r="B394" s="1">
        <v>195</v>
      </c>
      <c r="C394" s="1" t="str">
        <f t="shared" si="52"/>
        <v>&gt;=41640</v>
      </c>
      <c r="D394" s="1" t="str">
        <f t="shared" si="53"/>
        <v>&lt;=42004</v>
      </c>
      <c r="E394" s="1">
        <f>DMHH!$C$202</f>
        <v>0</v>
      </c>
      <c r="F394" s="1" t="str">
        <f t="shared" si="54"/>
        <v>&gt;=41640</v>
      </c>
      <c r="G394" s="1" t="str">
        <f t="shared" si="55"/>
        <v>&lt;41640</v>
      </c>
    </row>
    <row r="395" spans="2:7">
      <c r="B395" s="1"/>
      <c r="C395" s="3" t="s">
        <v>28</v>
      </c>
      <c r="D395" s="3" t="s">
        <v>28</v>
      </c>
      <c r="E395" s="4" t="s">
        <v>228</v>
      </c>
      <c r="F395" s="3" t="s">
        <v>28</v>
      </c>
      <c r="G395" s="3" t="s">
        <v>28</v>
      </c>
    </row>
    <row r="396" spans="2:7">
      <c r="B396" s="1">
        <v>196</v>
      </c>
      <c r="C396" s="1" t="str">
        <f t="shared" si="52"/>
        <v>&gt;=41640</v>
      </c>
      <c r="D396" s="1" t="str">
        <f t="shared" si="53"/>
        <v>&lt;=42004</v>
      </c>
      <c r="E396" s="1">
        <f>DMHH!$C$203</f>
        <v>0</v>
      </c>
      <c r="F396" s="1" t="str">
        <f t="shared" si="54"/>
        <v>&gt;=41640</v>
      </c>
      <c r="G396" s="1" t="str">
        <f t="shared" si="55"/>
        <v>&lt;41640</v>
      </c>
    </row>
    <row r="397" spans="2:7">
      <c r="B397" s="1"/>
      <c r="C397" s="3" t="s">
        <v>28</v>
      </c>
      <c r="D397" s="3" t="s">
        <v>28</v>
      </c>
      <c r="E397" s="4" t="s">
        <v>228</v>
      </c>
      <c r="F397" s="3" t="s">
        <v>28</v>
      </c>
      <c r="G397" s="3" t="s">
        <v>28</v>
      </c>
    </row>
    <row r="398" spans="2:7">
      <c r="B398" s="1">
        <v>197</v>
      </c>
      <c r="C398" s="1" t="str">
        <f t="shared" si="52"/>
        <v>&gt;=41640</v>
      </c>
      <c r="D398" s="1" t="str">
        <f t="shared" si="53"/>
        <v>&lt;=42004</v>
      </c>
      <c r="E398" s="1">
        <f>DMHH!$C$204</f>
        <v>0</v>
      </c>
      <c r="F398" s="1" t="str">
        <f t="shared" si="54"/>
        <v>&gt;=41640</v>
      </c>
      <c r="G398" s="1" t="str">
        <f t="shared" si="55"/>
        <v>&lt;41640</v>
      </c>
    </row>
    <row r="399" spans="2:7">
      <c r="B399" s="1"/>
      <c r="C399" s="3" t="s">
        <v>28</v>
      </c>
      <c r="D399" s="3" t="s">
        <v>28</v>
      </c>
      <c r="E399" s="4" t="s">
        <v>228</v>
      </c>
      <c r="F399" s="3" t="s">
        <v>28</v>
      </c>
      <c r="G399" s="3" t="s">
        <v>28</v>
      </c>
    </row>
    <row r="400" spans="2:7">
      <c r="B400" s="1">
        <v>198</v>
      </c>
      <c r="C400" s="1" t="str">
        <f t="shared" si="52"/>
        <v>&gt;=41640</v>
      </c>
      <c r="D400" s="1" t="str">
        <f t="shared" si="53"/>
        <v>&lt;=42004</v>
      </c>
      <c r="E400" s="1">
        <f>DMHH!$C$205</f>
        <v>0</v>
      </c>
      <c r="F400" s="1" t="str">
        <f t="shared" si="54"/>
        <v>&gt;=41640</v>
      </c>
      <c r="G400" s="1" t="str">
        <f t="shared" si="55"/>
        <v>&lt;41640</v>
      </c>
    </row>
    <row r="401" spans="2:7">
      <c r="B401" s="1"/>
      <c r="C401" s="3" t="s">
        <v>28</v>
      </c>
      <c r="D401" s="3" t="s">
        <v>28</v>
      </c>
      <c r="E401" s="4" t="s">
        <v>228</v>
      </c>
      <c r="F401" s="3" t="s">
        <v>28</v>
      </c>
      <c r="G401" s="3" t="s">
        <v>28</v>
      </c>
    </row>
    <row r="402" spans="2:7">
      <c r="B402" s="1">
        <v>199</v>
      </c>
      <c r="C402" s="1" t="str">
        <f t="shared" si="52"/>
        <v>&gt;=41640</v>
      </c>
      <c r="D402" s="1" t="str">
        <f t="shared" si="53"/>
        <v>&lt;=42004</v>
      </c>
      <c r="E402" s="1">
        <f>DMHH!$C$206</f>
        <v>0</v>
      </c>
      <c r="F402" s="1" t="str">
        <f t="shared" si="54"/>
        <v>&gt;=41640</v>
      </c>
      <c r="G402" s="1" t="str">
        <f t="shared" si="55"/>
        <v>&lt;41640</v>
      </c>
    </row>
    <row r="403" spans="2:7">
      <c r="B403" s="1"/>
      <c r="C403" s="3" t="s">
        <v>28</v>
      </c>
      <c r="D403" s="3" t="s">
        <v>28</v>
      </c>
      <c r="E403" s="4" t="s">
        <v>228</v>
      </c>
      <c r="F403" s="3" t="s">
        <v>28</v>
      </c>
      <c r="G403" s="3" t="s">
        <v>28</v>
      </c>
    </row>
    <row r="404" spans="2:7">
      <c r="B404" s="1">
        <v>200</v>
      </c>
      <c r="C404" s="1" t="str">
        <f t="shared" si="52"/>
        <v>&gt;=41640</v>
      </c>
      <c r="D404" s="1" t="str">
        <f t="shared" si="53"/>
        <v>&lt;=42004</v>
      </c>
      <c r="E404" s="1">
        <f>DMHH!$C$207</f>
        <v>0</v>
      </c>
      <c r="F404" s="1" t="str">
        <f t="shared" si="54"/>
        <v>&gt;=41640</v>
      </c>
      <c r="G404" s="1" t="str">
        <f t="shared" si="55"/>
        <v>&lt;41640</v>
      </c>
    </row>
    <row r="405" spans="2:7">
      <c r="B405" s="1"/>
      <c r="C405" s="3" t="s">
        <v>28</v>
      </c>
      <c r="D405" s="3" t="s">
        <v>28</v>
      </c>
      <c r="E405" s="4" t="s">
        <v>228</v>
      </c>
      <c r="F405" s="3" t="s">
        <v>28</v>
      </c>
      <c r="G405" s="3" t="s">
        <v>28</v>
      </c>
    </row>
    <row r="406" spans="2:7">
      <c r="B406" s="1">
        <v>201</v>
      </c>
      <c r="C406" s="1" t="str">
        <f t="shared" si="52"/>
        <v>&gt;=41640</v>
      </c>
      <c r="D406" s="1" t="str">
        <f t="shared" si="53"/>
        <v>&lt;=42004</v>
      </c>
      <c r="E406" s="1">
        <f>DMHH!$C$208</f>
        <v>0</v>
      </c>
      <c r="F406" s="1" t="str">
        <f t="shared" si="54"/>
        <v>&gt;=41640</v>
      </c>
      <c r="G406" s="1" t="str">
        <f t="shared" si="55"/>
        <v>&lt;41640</v>
      </c>
    </row>
    <row r="407" spans="2:7">
      <c r="B407" s="1"/>
      <c r="C407" s="3" t="s">
        <v>28</v>
      </c>
      <c r="D407" s="3" t="s">
        <v>28</v>
      </c>
      <c r="E407" s="4" t="s">
        <v>228</v>
      </c>
      <c r="F407" s="3" t="s">
        <v>28</v>
      </c>
      <c r="G407" s="3" t="s">
        <v>28</v>
      </c>
    </row>
    <row r="408" spans="2:7">
      <c r="B408" s="1">
        <v>202</v>
      </c>
      <c r="C408" s="1" t="str">
        <f t="shared" si="52"/>
        <v>&gt;=41640</v>
      </c>
      <c r="D408" s="1" t="str">
        <f t="shared" si="53"/>
        <v>&lt;=42004</v>
      </c>
      <c r="E408" s="1">
        <f>DMHH!$C$209</f>
        <v>0</v>
      </c>
      <c r="F408" s="1" t="str">
        <f t="shared" si="54"/>
        <v>&gt;=41640</v>
      </c>
      <c r="G408" s="1" t="str">
        <f t="shared" si="55"/>
        <v>&lt;41640</v>
      </c>
    </row>
    <row r="409" spans="2:7">
      <c r="B409" s="1"/>
      <c r="C409" s="3" t="s">
        <v>28</v>
      </c>
      <c r="D409" s="3" t="s">
        <v>28</v>
      </c>
      <c r="E409" s="4" t="s">
        <v>228</v>
      </c>
      <c r="F409" s="3" t="s">
        <v>28</v>
      </c>
      <c r="G409" s="3" t="s">
        <v>28</v>
      </c>
    </row>
    <row r="410" spans="2:7">
      <c r="B410" s="1">
        <v>203</v>
      </c>
      <c r="C410" s="1" t="str">
        <f t="shared" si="52"/>
        <v>&gt;=41640</v>
      </c>
      <c r="D410" s="1" t="str">
        <f t="shared" si="53"/>
        <v>&lt;=42004</v>
      </c>
      <c r="E410" s="1">
        <f>DMHH!$C$210</f>
        <v>0</v>
      </c>
      <c r="F410" s="1" t="str">
        <f t="shared" si="54"/>
        <v>&gt;=41640</v>
      </c>
      <c r="G410" s="1" t="str">
        <f t="shared" si="55"/>
        <v>&lt;41640</v>
      </c>
    </row>
    <row r="411" spans="2:7">
      <c r="B411" s="1"/>
      <c r="C411" s="3" t="s">
        <v>28</v>
      </c>
      <c r="D411" s="3" t="s">
        <v>28</v>
      </c>
      <c r="E411" s="4" t="s">
        <v>228</v>
      </c>
      <c r="F411" s="3" t="s">
        <v>28</v>
      </c>
      <c r="G411" s="3" t="s">
        <v>28</v>
      </c>
    </row>
    <row r="412" spans="2:7">
      <c r="B412" s="1">
        <v>204</v>
      </c>
      <c r="C412" s="1" t="str">
        <f t="shared" si="52"/>
        <v>&gt;=41640</v>
      </c>
      <c r="D412" s="1" t="str">
        <f t="shared" si="53"/>
        <v>&lt;=42004</v>
      </c>
      <c r="E412" s="1">
        <f>DMHH!$C$211</f>
        <v>0</v>
      </c>
      <c r="F412" s="1" t="str">
        <f t="shared" si="54"/>
        <v>&gt;=41640</v>
      </c>
      <c r="G412" s="1" t="str">
        <f t="shared" si="55"/>
        <v>&lt;41640</v>
      </c>
    </row>
    <row r="413" spans="2:7">
      <c r="B413" s="1"/>
      <c r="C413" s="3" t="s">
        <v>28</v>
      </c>
      <c r="D413" s="3" t="s">
        <v>28</v>
      </c>
      <c r="E413" s="4" t="s">
        <v>228</v>
      </c>
      <c r="F413" s="3" t="s">
        <v>28</v>
      </c>
      <c r="G413" s="3" t="s">
        <v>28</v>
      </c>
    </row>
    <row r="414" spans="2:7">
      <c r="B414" s="1">
        <v>205</v>
      </c>
      <c r="C414" s="1" t="str">
        <f t="shared" si="52"/>
        <v>&gt;=41640</v>
      </c>
      <c r="D414" s="1" t="str">
        <f t="shared" si="53"/>
        <v>&lt;=42004</v>
      </c>
      <c r="E414" s="1">
        <f>DMHH!$C$212</f>
        <v>0</v>
      </c>
      <c r="F414" s="1" t="str">
        <f t="shared" si="54"/>
        <v>&gt;=41640</v>
      </c>
      <c r="G414" s="1" t="str">
        <f t="shared" si="55"/>
        <v>&lt;41640</v>
      </c>
    </row>
    <row r="415" spans="2:7">
      <c r="B415" s="1"/>
      <c r="C415" s="3" t="s">
        <v>28</v>
      </c>
      <c r="D415" s="3" t="s">
        <v>28</v>
      </c>
      <c r="E415" s="4" t="s">
        <v>228</v>
      </c>
      <c r="F415" s="3" t="s">
        <v>28</v>
      </c>
      <c r="G415" s="3" t="s">
        <v>28</v>
      </c>
    </row>
    <row r="416" spans="2:7">
      <c r="B416" s="1">
        <v>206</v>
      </c>
      <c r="C416" s="1" t="str">
        <f t="shared" si="52"/>
        <v>&gt;=41640</v>
      </c>
      <c r="D416" s="1" t="str">
        <f t="shared" si="53"/>
        <v>&lt;=42004</v>
      </c>
      <c r="E416" s="1">
        <f>DMHH!$C$213</f>
        <v>0</v>
      </c>
      <c r="F416" s="1" t="str">
        <f t="shared" si="54"/>
        <v>&gt;=41640</v>
      </c>
      <c r="G416" s="1" t="str">
        <f t="shared" si="55"/>
        <v>&lt;41640</v>
      </c>
    </row>
    <row r="417" spans="2:7">
      <c r="B417" s="1"/>
      <c r="C417" s="3" t="s">
        <v>28</v>
      </c>
      <c r="D417" s="3" t="s">
        <v>28</v>
      </c>
      <c r="E417" s="4" t="s">
        <v>228</v>
      </c>
      <c r="F417" s="3" t="s">
        <v>28</v>
      </c>
      <c r="G417" s="3" t="s">
        <v>28</v>
      </c>
    </row>
    <row r="418" spans="2:7">
      <c r="B418" s="1">
        <v>207</v>
      </c>
      <c r="C418" s="1" t="str">
        <f t="shared" ref="C418:C480" si="56">"&gt;="&amp;$C$3</f>
        <v>&gt;=41640</v>
      </c>
      <c r="D418" s="1" t="str">
        <f t="shared" ref="D418:D480" si="57">"&lt;="&amp;$E$3</f>
        <v>&lt;=42004</v>
      </c>
      <c r="E418" s="1">
        <f>DMHH!$C$214</f>
        <v>0</v>
      </c>
      <c r="F418" s="1" t="str">
        <f t="shared" ref="F418:F480" si="58">"&gt;="&amp;$C$2</f>
        <v>&gt;=41640</v>
      </c>
      <c r="G418" s="1" t="str">
        <f t="shared" ref="G418:G480" si="59">"&lt;"&amp;$C$3</f>
        <v>&lt;41640</v>
      </c>
    </row>
    <row r="419" spans="2:7">
      <c r="B419" s="1"/>
      <c r="C419" s="3" t="s">
        <v>28</v>
      </c>
      <c r="D419" s="3" t="s">
        <v>28</v>
      </c>
      <c r="E419" s="4" t="s">
        <v>228</v>
      </c>
      <c r="F419" s="3" t="s">
        <v>28</v>
      </c>
      <c r="G419" s="3" t="s">
        <v>28</v>
      </c>
    </row>
    <row r="420" spans="2:7">
      <c r="B420" s="1">
        <v>208</v>
      </c>
      <c r="C420" s="1" t="str">
        <f t="shared" si="56"/>
        <v>&gt;=41640</v>
      </c>
      <c r="D420" s="1" t="str">
        <f t="shared" si="57"/>
        <v>&lt;=42004</v>
      </c>
      <c r="E420" s="1">
        <f>DMHH!$C$215</f>
        <v>0</v>
      </c>
      <c r="F420" s="1" t="str">
        <f t="shared" si="58"/>
        <v>&gt;=41640</v>
      </c>
      <c r="G420" s="1" t="str">
        <f t="shared" si="59"/>
        <v>&lt;41640</v>
      </c>
    </row>
    <row r="421" spans="2:7">
      <c r="B421" s="1"/>
      <c r="C421" s="3" t="s">
        <v>28</v>
      </c>
      <c r="D421" s="3" t="s">
        <v>28</v>
      </c>
      <c r="E421" s="4" t="s">
        <v>228</v>
      </c>
      <c r="F421" s="3" t="s">
        <v>28</v>
      </c>
      <c r="G421" s="3" t="s">
        <v>28</v>
      </c>
    </row>
    <row r="422" spans="2:7">
      <c r="B422" s="1">
        <v>209</v>
      </c>
      <c r="C422" s="1" t="str">
        <f t="shared" si="56"/>
        <v>&gt;=41640</v>
      </c>
      <c r="D422" s="1" t="str">
        <f t="shared" si="57"/>
        <v>&lt;=42004</v>
      </c>
      <c r="E422" s="1">
        <f>DMHH!$C$216</f>
        <v>0</v>
      </c>
      <c r="F422" s="1" t="str">
        <f t="shared" si="58"/>
        <v>&gt;=41640</v>
      </c>
      <c r="G422" s="1" t="str">
        <f t="shared" si="59"/>
        <v>&lt;41640</v>
      </c>
    </row>
    <row r="423" spans="2:7">
      <c r="B423" s="1"/>
      <c r="C423" s="3" t="s">
        <v>28</v>
      </c>
      <c r="D423" s="3" t="s">
        <v>28</v>
      </c>
      <c r="E423" s="4" t="s">
        <v>228</v>
      </c>
      <c r="F423" s="3" t="s">
        <v>28</v>
      </c>
      <c r="G423" s="3" t="s">
        <v>28</v>
      </c>
    </row>
    <row r="424" spans="2:7">
      <c r="B424" s="1">
        <v>210</v>
      </c>
      <c r="C424" s="1" t="str">
        <f t="shared" si="56"/>
        <v>&gt;=41640</v>
      </c>
      <c r="D424" s="1" t="str">
        <f t="shared" si="57"/>
        <v>&lt;=42004</v>
      </c>
      <c r="E424" s="1">
        <f>DMHH!$C$217</f>
        <v>0</v>
      </c>
      <c r="F424" s="1" t="str">
        <f t="shared" si="58"/>
        <v>&gt;=41640</v>
      </c>
      <c r="G424" s="1" t="str">
        <f t="shared" si="59"/>
        <v>&lt;41640</v>
      </c>
    </row>
    <row r="425" spans="2:7">
      <c r="B425" s="1"/>
      <c r="C425" s="3" t="s">
        <v>28</v>
      </c>
      <c r="D425" s="3" t="s">
        <v>28</v>
      </c>
      <c r="E425" s="4" t="s">
        <v>228</v>
      </c>
      <c r="F425" s="3" t="s">
        <v>28</v>
      </c>
      <c r="G425" s="3" t="s">
        <v>28</v>
      </c>
    </row>
    <row r="426" spans="2:7">
      <c r="B426" s="1">
        <v>211</v>
      </c>
      <c r="C426" s="1" t="str">
        <f t="shared" si="56"/>
        <v>&gt;=41640</v>
      </c>
      <c r="D426" s="1" t="str">
        <f t="shared" si="57"/>
        <v>&lt;=42004</v>
      </c>
      <c r="E426" s="1">
        <f>DMHH!$C$218</f>
        <v>0</v>
      </c>
      <c r="F426" s="1" t="str">
        <f t="shared" si="58"/>
        <v>&gt;=41640</v>
      </c>
      <c r="G426" s="1" t="str">
        <f t="shared" si="59"/>
        <v>&lt;41640</v>
      </c>
    </row>
    <row r="427" spans="2:7">
      <c r="B427" s="1"/>
      <c r="C427" s="3" t="s">
        <v>28</v>
      </c>
      <c r="D427" s="3" t="s">
        <v>28</v>
      </c>
      <c r="E427" s="4" t="s">
        <v>228</v>
      </c>
      <c r="F427" s="3" t="s">
        <v>28</v>
      </c>
      <c r="G427" s="3" t="s">
        <v>28</v>
      </c>
    </row>
    <row r="428" spans="2:7">
      <c r="B428" s="1">
        <v>212</v>
      </c>
      <c r="C428" s="1" t="str">
        <f t="shared" si="56"/>
        <v>&gt;=41640</v>
      </c>
      <c r="D428" s="1" t="str">
        <f t="shared" si="57"/>
        <v>&lt;=42004</v>
      </c>
      <c r="E428" s="1">
        <f>DMHH!$C$219</f>
        <v>0</v>
      </c>
      <c r="F428" s="1" t="str">
        <f t="shared" si="58"/>
        <v>&gt;=41640</v>
      </c>
      <c r="G428" s="1" t="str">
        <f t="shared" si="59"/>
        <v>&lt;41640</v>
      </c>
    </row>
    <row r="429" spans="2:7">
      <c r="B429" s="1"/>
      <c r="C429" s="3" t="s">
        <v>28</v>
      </c>
      <c r="D429" s="3" t="s">
        <v>28</v>
      </c>
      <c r="E429" s="4" t="s">
        <v>228</v>
      </c>
      <c r="F429" s="3" t="s">
        <v>28</v>
      </c>
      <c r="G429" s="3" t="s">
        <v>28</v>
      </c>
    </row>
    <row r="430" spans="2:7">
      <c r="B430" s="1">
        <v>213</v>
      </c>
      <c r="C430" s="1" t="str">
        <f t="shared" si="56"/>
        <v>&gt;=41640</v>
      </c>
      <c r="D430" s="1" t="str">
        <f t="shared" si="57"/>
        <v>&lt;=42004</v>
      </c>
      <c r="E430" s="1">
        <f>DMHH!$C$220</f>
        <v>0</v>
      </c>
      <c r="F430" s="1" t="str">
        <f t="shared" si="58"/>
        <v>&gt;=41640</v>
      </c>
      <c r="G430" s="1" t="str">
        <f t="shared" si="59"/>
        <v>&lt;41640</v>
      </c>
    </row>
    <row r="431" spans="2:7">
      <c r="B431" s="1"/>
      <c r="C431" s="3" t="s">
        <v>28</v>
      </c>
      <c r="D431" s="3" t="s">
        <v>28</v>
      </c>
      <c r="E431" s="4" t="s">
        <v>228</v>
      </c>
      <c r="F431" s="3" t="s">
        <v>28</v>
      </c>
      <c r="G431" s="3" t="s">
        <v>28</v>
      </c>
    </row>
    <row r="432" spans="2:7">
      <c r="B432" s="1">
        <v>214</v>
      </c>
      <c r="C432" s="1" t="str">
        <f t="shared" si="56"/>
        <v>&gt;=41640</v>
      </c>
      <c r="D432" s="1" t="str">
        <f t="shared" si="57"/>
        <v>&lt;=42004</v>
      </c>
      <c r="E432" s="1">
        <f>DMHH!$C$221</f>
        <v>0</v>
      </c>
      <c r="F432" s="1" t="str">
        <f t="shared" si="58"/>
        <v>&gt;=41640</v>
      </c>
      <c r="G432" s="1" t="str">
        <f t="shared" si="59"/>
        <v>&lt;41640</v>
      </c>
    </row>
    <row r="433" spans="2:7">
      <c r="B433" s="1"/>
      <c r="C433" s="3" t="s">
        <v>28</v>
      </c>
      <c r="D433" s="3" t="s">
        <v>28</v>
      </c>
      <c r="E433" s="4" t="s">
        <v>228</v>
      </c>
      <c r="F433" s="3" t="s">
        <v>28</v>
      </c>
      <c r="G433" s="3" t="s">
        <v>28</v>
      </c>
    </row>
    <row r="434" spans="2:7">
      <c r="B434" s="1">
        <v>215</v>
      </c>
      <c r="C434" s="1" t="str">
        <f t="shared" si="56"/>
        <v>&gt;=41640</v>
      </c>
      <c r="D434" s="1" t="str">
        <f t="shared" si="57"/>
        <v>&lt;=42004</v>
      </c>
      <c r="E434" s="1">
        <f>DMHH!$C$222</f>
        <v>0</v>
      </c>
      <c r="F434" s="1" t="str">
        <f t="shared" si="58"/>
        <v>&gt;=41640</v>
      </c>
      <c r="G434" s="1" t="str">
        <f t="shared" si="59"/>
        <v>&lt;41640</v>
      </c>
    </row>
    <row r="435" spans="2:7">
      <c r="B435" s="1"/>
      <c r="C435" s="3" t="s">
        <v>28</v>
      </c>
      <c r="D435" s="3" t="s">
        <v>28</v>
      </c>
      <c r="E435" s="4" t="s">
        <v>228</v>
      </c>
      <c r="F435" s="3" t="s">
        <v>28</v>
      </c>
      <c r="G435" s="3" t="s">
        <v>28</v>
      </c>
    </row>
    <row r="436" spans="2:7">
      <c r="B436" s="1">
        <v>216</v>
      </c>
      <c r="C436" s="1" t="str">
        <f t="shared" si="56"/>
        <v>&gt;=41640</v>
      </c>
      <c r="D436" s="1" t="str">
        <f t="shared" si="57"/>
        <v>&lt;=42004</v>
      </c>
      <c r="E436" s="1">
        <f>DMHH!$C$223</f>
        <v>0</v>
      </c>
      <c r="F436" s="1" t="str">
        <f t="shared" si="58"/>
        <v>&gt;=41640</v>
      </c>
      <c r="G436" s="1" t="str">
        <f t="shared" si="59"/>
        <v>&lt;41640</v>
      </c>
    </row>
    <row r="437" spans="2:7">
      <c r="B437" s="1"/>
      <c r="C437" s="3" t="s">
        <v>28</v>
      </c>
      <c r="D437" s="3" t="s">
        <v>28</v>
      </c>
      <c r="E437" s="4" t="s">
        <v>228</v>
      </c>
      <c r="F437" s="3" t="s">
        <v>28</v>
      </c>
      <c r="G437" s="3" t="s">
        <v>28</v>
      </c>
    </row>
    <row r="438" spans="2:7">
      <c r="B438" s="1">
        <v>217</v>
      </c>
      <c r="C438" s="1" t="str">
        <f t="shared" si="56"/>
        <v>&gt;=41640</v>
      </c>
      <c r="D438" s="1" t="str">
        <f t="shared" si="57"/>
        <v>&lt;=42004</v>
      </c>
      <c r="E438" s="1">
        <f>DMHH!$C$224</f>
        <v>0</v>
      </c>
      <c r="F438" s="1" t="str">
        <f t="shared" si="58"/>
        <v>&gt;=41640</v>
      </c>
      <c r="G438" s="1" t="str">
        <f t="shared" si="59"/>
        <v>&lt;41640</v>
      </c>
    </row>
    <row r="439" spans="2:7">
      <c r="B439" s="1"/>
      <c r="C439" s="3" t="s">
        <v>28</v>
      </c>
      <c r="D439" s="3" t="s">
        <v>28</v>
      </c>
      <c r="E439" s="4" t="s">
        <v>228</v>
      </c>
      <c r="F439" s="3" t="s">
        <v>28</v>
      </c>
      <c r="G439" s="3" t="s">
        <v>28</v>
      </c>
    </row>
    <row r="440" spans="2:7">
      <c r="B440" s="1">
        <v>218</v>
      </c>
      <c r="C440" s="1" t="str">
        <f t="shared" si="56"/>
        <v>&gt;=41640</v>
      </c>
      <c r="D440" s="1" t="str">
        <f t="shared" si="57"/>
        <v>&lt;=42004</v>
      </c>
      <c r="E440" s="1">
        <f>DMHH!$C$225</f>
        <v>0</v>
      </c>
      <c r="F440" s="1" t="str">
        <f t="shared" si="58"/>
        <v>&gt;=41640</v>
      </c>
      <c r="G440" s="1" t="str">
        <f t="shared" si="59"/>
        <v>&lt;41640</v>
      </c>
    </row>
    <row r="441" spans="2:7">
      <c r="B441" s="1"/>
      <c r="C441" s="3" t="s">
        <v>28</v>
      </c>
      <c r="D441" s="3" t="s">
        <v>28</v>
      </c>
      <c r="E441" s="4" t="s">
        <v>228</v>
      </c>
      <c r="F441" s="3" t="s">
        <v>28</v>
      </c>
      <c r="G441" s="3" t="s">
        <v>28</v>
      </c>
    </row>
    <row r="442" spans="2:7">
      <c r="B442" s="1">
        <v>219</v>
      </c>
      <c r="C442" s="1" t="str">
        <f t="shared" si="56"/>
        <v>&gt;=41640</v>
      </c>
      <c r="D442" s="1" t="str">
        <f t="shared" si="57"/>
        <v>&lt;=42004</v>
      </c>
      <c r="E442" s="1">
        <f>DMHH!$C$226</f>
        <v>0</v>
      </c>
      <c r="F442" s="1" t="str">
        <f t="shared" si="58"/>
        <v>&gt;=41640</v>
      </c>
      <c r="G442" s="1" t="str">
        <f t="shared" si="59"/>
        <v>&lt;41640</v>
      </c>
    </row>
    <row r="443" spans="2:7">
      <c r="B443" s="1"/>
      <c r="C443" s="3" t="s">
        <v>28</v>
      </c>
      <c r="D443" s="3" t="s">
        <v>28</v>
      </c>
      <c r="E443" s="4" t="s">
        <v>228</v>
      </c>
      <c r="F443" s="3" t="s">
        <v>28</v>
      </c>
      <c r="G443" s="3" t="s">
        <v>28</v>
      </c>
    </row>
    <row r="444" spans="2:7">
      <c r="B444" s="1">
        <v>220</v>
      </c>
      <c r="C444" s="1" t="str">
        <f t="shared" si="56"/>
        <v>&gt;=41640</v>
      </c>
      <c r="D444" s="1" t="str">
        <f t="shared" si="57"/>
        <v>&lt;=42004</v>
      </c>
      <c r="E444" s="1">
        <f>DMHH!$C$227</f>
        <v>0</v>
      </c>
      <c r="F444" s="1" t="str">
        <f t="shared" si="58"/>
        <v>&gt;=41640</v>
      </c>
      <c r="G444" s="1" t="str">
        <f t="shared" si="59"/>
        <v>&lt;41640</v>
      </c>
    </row>
    <row r="445" spans="2:7">
      <c r="B445" s="1"/>
      <c r="C445" s="3" t="s">
        <v>28</v>
      </c>
      <c r="D445" s="3" t="s">
        <v>28</v>
      </c>
      <c r="E445" s="4" t="s">
        <v>228</v>
      </c>
      <c r="F445" s="3" t="s">
        <v>28</v>
      </c>
      <c r="G445" s="3" t="s">
        <v>28</v>
      </c>
    </row>
    <row r="446" spans="2:7">
      <c r="B446" s="1">
        <v>221</v>
      </c>
      <c r="C446" s="1" t="str">
        <f t="shared" si="56"/>
        <v>&gt;=41640</v>
      </c>
      <c r="D446" s="1" t="str">
        <f t="shared" si="57"/>
        <v>&lt;=42004</v>
      </c>
      <c r="E446" s="1">
        <f>DMHH!$C$228</f>
        <v>0</v>
      </c>
      <c r="F446" s="1" t="str">
        <f t="shared" si="58"/>
        <v>&gt;=41640</v>
      </c>
      <c r="G446" s="1" t="str">
        <f t="shared" si="59"/>
        <v>&lt;41640</v>
      </c>
    </row>
    <row r="447" spans="2:7">
      <c r="B447" s="1"/>
      <c r="C447" s="3" t="s">
        <v>28</v>
      </c>
      <c r="D447" s="3" t="s">
        <v>28</v>
      </c>
      <c r="E447" s="4" t="s">
        <v>228</v>
      </c>
      <c r="F447" s="3" t="s">
        <v>28</v>
      </c>
      <c r="G447" s="3" t="s">
        <v>28</v>
      </c>
    </row>
    <row r="448" spans="2:7">
      <c r="B448" s="1">
        <v>222</v>
      </c>
      <c r="C448" s="1" t="str">
        <f t="shared" si="56"/>
        <v>&gt;=41640</v>
      </c>
      <c r="D448" s="1" t="str">
        <f t="shared" si="57"/>
        <v>&lt;=42004</v>
      </c>
      <c r="E448" s="1">
        <f>DMHH!$C$229</f>
        <v>0</v>
      </c>
      <c r="F448" s="1" t="str">
        <f t="shared" si="58"/>
        <v>&gt;=41640</v>
      </c>
      <c r="G448" s="1" t="str">
        <f t="shared" si="59"/>
        <v>&lt;41640</v>
      </c>
    </row>
    <row r="449" spans="2:7">
      <c r="B449" s="1"/>
      <c r="C449" s="3" t="s">
        <v>28</v>
      </c>
      <c r="D449" s="3" t="s">
        <v>28</v>
      </c>
      <c r="E449" s="4" t="s">
        <v>228</v>
      </c>
      <c r="F449" s="3" t="s">
        <v>28</v>
      </c>
      <c r="G449" s="3" t="s">
        <v>28</v>
      </c>
    </row>
    <row r="450" spans="2:7">
      <c r="B450" s="1">
        <v>223</v>
      </c>
      <c r="C450" s="1" t="str">
        <f t="shared" si="56"/>
        <v>&gt;=41640</v>
      </c>
      <c r="D450" s="1" t="str">
        <f t="shared" si="57"/>
        <v>&lt;=42004</v>
      </c>
      <c r="E450" s="1">
        <f>DMHH!$C$230</f>
        <v>0</v>
      </c>
      <c r="F450" s="1" t="str">
        <f t="shared" si="58"/>
        <v>&gt;=41640</v>
      </c>
      <c r="G450" s="1" t="str">
        <f t="shared" si="59"/>
        <v>&lt;41640</v>
      </c>
    </row>
    <row r="451" spans="2:7">
      <c r="B451" s="1"/>
      <c r="C451" s="3" t="s">
        <v>28</v>
      </c>
      <c r="D451" s="3" t="s">
        <v>28</v>
      </c>
      <c r="E451" s="4" t="s">
        <v>228</v>
      </c>
      <c r="F451" s="3" t="s">
        <v>28</v>
      </c>
      <c r="G451" s="3" t="s">
        <v>28</v>
      </c>
    </row>
    <row r="452" spans="2:7">
      <c r="B452" s="1">
        <v>224</v>
      </c>
      <c r="C452" s="1" t="str">
        <f t="shared" si="56"/>
        <v>&gt;=41640</v>
      </c>
      <c r="D452" s="1" t="str">
        <f t="shared" si="57"/>
        <v>&lt;=42004</v>
      </c>
      <c r="E452" s="1">
        <f>DMHH!$C$231</f>
        <v>0</v>
      </c>
      <c r="F452" s="1" t="str">
        <f t="shared" si="58"/>
        <v>&gt;=41640</v>
      </c>
      <c r="G452" s="1" t="str">
        <f t="shared" si="59"/>
        <v>&lt;41640</v>
      </c>
    </row>
    <row r="453" spans="2:7">
      <c r="B453" s="1"/>
      <c r="C453" s="3" t="s">
        <v>28</v>
      </c>
      <c r="D453" s="3" t="s">
        <v>28</v>
      </c>
      <c r="E453" s="4" t="s">
        <v>228</v>
      </c>
      <c r="F453" s="3" t="s">
        <v>28</v>
      </c>
      <c r="G453" s="3" t="s">
        <v>28</v>
      </c>
    </row>
    <row r="454" spans="2:7">
      <c r="B454" s="1">
        <v>225</v>
      </c>
      <c r="C454" s="1" t="str">
        <f t="shared" si="56"/>
        <v>&gt;=41640</v>
      </c>
      <c r="D454" s="1" t="str">
        <f t="shared" si="57"/>
        <v>&lt;=42004</v>
      </c>
      <c r="E454" s="1">
        <f>DMHH!$C$232</f>
        <v>0</v>
      </c>
      <c r="F454" s="1" t="str">
        <f t="shared" si="58"/>
        <v>&gt;=41640</v>
      </c>
      <c r="G454" s="1" t="str">
        <f t="shared" si="59"/>
        <v>&lt;41640</v>
      </c>
    </row>
    <row r="455" spans="2:7">
      <c r="B455" s="1"/>
      <c r="C455" s="3" t="s">
        <v>28</v>
      </c>
      <c r="D455" s="3" t="s">
        <v>28</v>
      </c>
      <c r="E455" s="4" t="s">
        <v>228</v>
      </c>
      <c r="F455" s="3" t="s">
        <v>28</v>
      </c>
      <c r="G455" s="3" t="s">
        <v>28</v>
      </c>
    </row>
    <row r="456" spans="2:7">
      <c r="B456" s="1">
        <v>226</v>
      </c>
      <c r="C456" s="1" t="str">
        <f t="shared" si="56"/>
        <v>&gt;=41640</v>
      </c>
      <c r="D456" s="1" t="str">
        <f t="shared" si="57"/>
        <v>&lt;=42004</v>
      </c>
      <c r="E456" s="1">
        <f>DMHH!$C$233</f>
        <v>0</v>
      </c>
      <c r="F456" s="1" t="str">
        <f t="shared" si="58"/>
        <v>&gt;=41640</v>
      </c>
      <c r="G456" s="1" t="str">
        <f t="shared" si="59"/>
        <v>&lt;41640</v>
      </c>
    </row>
    <row r="457" spans="2:7">
      <c r="B457" s="1"/>
      <c r="C457" s="3" t="s">
        <v>28</v>
      </c>
      <c r="D457" s="3" t="s">
        <v>28</v>
      </c>
      <c r="E457" s="4" t="s">
        <v>228</v>
      </c>
      <c r="F457" s="3" t="s">
        <v>28</v>
      </c>
      <c r="G457" s="3" t="s">
        <v>28</v>
      </c>
    </row>
    <row r="458" spans="2:7">
      <c r="B458" s="1">
        <v>227</v>
      </c>
      <c r="C458" s="1" t="str">
        <f t="shared" si="56"/>
        <v>&gt;=41640</v>
      </c>
      <c r="D458" s="1" t="str">
        <f t="shared" si="57"/>
        <v>&lt;=42004</v>
      </c>
      <c r="E458" s="1">
        <f>DMHH!$C$234</f>
        <v>0</v>
      </c>
      <c r="F458" s="1" t="str">
        <f t="shared" si="58"/>
        <v>&gt;=41640</v>
      </c>
      <c r="G458" s="1" t="str">
        <f t="shared" si="59"/>
        <v>&lt;41640</v>
      </c>
    </row>
    <row r="459" spans="2:7">
      <c r="B459" s="1"/>
      <c r="C459" s="3" t="s">
        <v>28</v>
      </c>
      <c r="D459" s="3" t="s">
        <v>28</v>
      </c>
      <c r="E459" s="4" t="s">
        <v>228</v>
      </c>
      <c r="F459" s="3" t="s">
        <v>28</v>
      </c>
      <c r="G459" s="3" t="s">
        <v>28</v>
      </c>
    </row>
    <row r="460" spans="2:7">
      <c r="B460" s="1">
        <v>228</v>
      </c>
      <c r="C460" s="1" t="str">
        <f t="shared" si="56"/>
        <v>&gt;=41640</v>
      </c>
      <c r="D460" s="1" t="str">
        <f t="shared" si="57"/>
        <v>&lt;=42004</v>
      </c>
      <c r="E460" s="1">
        <f>DMHH!$C$235</f>
        <v>0</v>
      </c>
      <c r="F460" s="1" t="str">
        <f t="shared" si="58"/>
        <v>&gt;=41640</v>
      </c>
      <c r="G460" s="1" t="str">
        <f t="shared" si="59"/>
        <v>&lt;41640</v>
      </c>
    </row>
    <row r="461" spans="2:7">
      <c r="B461" s="1"/>
      <c r="C461" s="3" t="s">
        <v>28</v>
      </c>
      <c r="D461" s="3" t="s">
        <v>28</v>
      </c>
      <c r="E461" s="4" t="s">
        <v>228</v>
      </c>
      <c r="F461" s="3" t="s">
        <v>28</v>
      </c>
      <c r="G461" s="3" t="s">
        <v>28</v>
      </c>
    </row>
    <row r="462" spans="2:7">
      <c r="B462" s="1">
        <v>229</v>
      </c>
      <c r="C462" s="1" t="str">
        <f t="shared" si="56"/>
        <v>&gt;=41640</v>
      </c>
      <c r="D462" s="1" t="str">
        <f t="shared" si="57"/>
        <v>&lt;=42004</v>
      </c>
      <c r="E462" s="1">
        <f>DMHH!$C$236</f>
        <v>0</v>
      </c>
      <c r="F462" s="1" t="str">
        <f t="shared" si="58"/>
        <v>&gt;=41640</v>
      </c>
      <c r="G462" s="1" t="str">
        <f t="shared" si="59"/>
        <v>&lt;41640</v>
      </c>
    </row>
    <row r="463" spans="2:7">
      <c r="B463" s="1"/>
      <c r="C463" s="3" t="s">
        <v>28</v>
      </c>
      <c r="D463" s="3" t="s">
        <v>28</v>
      </c>
      <c r="E463" s="4" t="s">
        <v>228</v>
      </c>
      <c r="F463" s="3" t="s">
        <v>28</v>
      </c>
      <c r="G463" s="3" t="s">
        <v>28</v>
      </c>
    </row>
    <row r="464" spans="2:7">
      <c r="B464" s="1">
        <v>230</v>
      </c>
      <c r="C464" s="1" t="str">
        <f t="shared" si="56"/>
        <v>&gt;=41640</v>
      </c>
      <c r="D464" s="1" t="str">
        <f t="shared" si="57"/>
        <v>&lt;=42004</v>
      </c>
      <c r="E464" s="1">
        <f>DMHH!$C$237</f>
        <v>0</v>
      </c>
      <c r="F464" s="1" t="str">
        <f t="shared" si="58"/>
        <v>&gt;=41640</v>
      </c>
      <c r="G464" s="1" t="str">
        <f t="shared" si="59"/>
        <v>&lt;41640</v>
      </c>
    </row>
    <row r="465" spans="2:7">
      <c r="B465" s="1"/>
      <c r="C465" s="3" t="s">
        <v>28</v>
      </c>
      <c r="D465" s="3" t="s">
        <v>28</v>
      </c>
      <c r="E465" s="4" t="s">
        <v>228</v>
      </c>
      <c r="F465" s="3" t="s">
        <v>28</v>
      </c>
      <c r="G465" s="3" t="s">
        <v>28</v>
      </c>
    </row>
    <row r="466" spans="2:7">
      <c r="B466" s="1">
        <v>231</v>
      </c>
      <c r="C466" s="1" t="str">
        <f t="shared" si="56"/>
        <v>&gt;=41640</v>
      </c>
      <c r="D466" s="1" t="str">
        <f t="shared" si="57"/>
        <v>&lt;=42004</v>
      </c>
      <c r="E466" s="1">
        <f>DMHH!$C$238</f>
        <v>0</v>
      </c>
      <c r="F466" s="1" t="str">
        <f t="shared" si="58"/>
        <v>&gt;=41640</v>
      </c>
      <c r="G466" s="1" t="str">
        <f t="shared" si="59"/>
        <v>&lt;41640</v>
      </c>
    </row>
    <row r="467" spans="2:7">
      <c r="B467" s="1"/>
      <c r="C467" s="3" t="s">
        <v>28</v>
      </c>
      <c r="D467" s="3" t="s">
        <v>28</v>
      </c>
      <c r="E467" s="4" t="s">
        <v>228</v>
      </c>
      <c r="F467" s="3" t="s">
        <v>28</v>
      </c>
      <c r="G467" s="3" t="s">
        <v>28</v>
      </c>
    </row>
    <row r="468" spans="2:7">
      <c r="B468" s="1">
        <v>232</v>
      </c>
      <c r="C468" s="1" t="str">
        <f t="shared" si="56"/>
        <v>&gt;=41640</v>
      </c>
      <c r="D468" s="1" t="str">
        <f t="shared" si="57"/>
        <v>&lt;=42004</v>
      </c>
      <c r="E468" s="1">
        <f>DMHH!$C$239</f>
        <v>0</v>
      </c>
      <c r="F468" s="1" t="str">
        <f t="shared" si="58"/>
        <v>&gt;=41640</v>
      </c>
      <c r="G468" s="1" t="str">
        <f t="shared" si="59"/>
        <v>&lt;41640</v>
      </c>
    </row>
    <row r="469" spans="2:7">
      <c r="B469" s="1"/>
      <c r="C469" s="3" t="s">
        <v>28</v>
      </c>
      <c r="D469" s="3" t="s">
        <v>28</v>
      </c>
      <c r="E469" s="4" t="s">
        <v>228</v>
      </c>
      <c r="F469" s="3" t="s">
        <v>28</v>
      </c>
      <c r="G469" s="3" t="s">
        <v>28</v>
      </c>
    </row>
    <row r="470" spans="2:7">
      <c r="B470" s="1">
        <v>233</v>
      </c>
      <c r="C470" s="1" t="str">
        <f t="shared" si="56"/>
        <v>&gt;=41640</v>
      </c>
      <c r="D470" s="1" t="str">
        <f t="shared" si="57"/>
        <v>&lt;=42004</v>
      </c>
      <c r="E470" s="1">
        <f>DMHH!$C$240</f>
        <v>0</v>
      </c>
      <c r="F470" s="1" t="str">
        <f t="shared" si="58"/>
        <v>&gt;=41640</v>
      </c>
      <c r="G470" s="1" t="str">
        <f t="shared" si="59"/>
        <v>&lt;41640</v>
      </c>
    </row>
    <row r="471" spans="2:7">
      <c r="B471" s="1"/>
      <c r="C471" s="3" t="s">
        <v>28</v>
      </c>
      <c r="D471" s="3" t="s">
        <v>28</v>
      </c>
      <c r="E471" s="4" t="s">
        <v>228</v>
      </c>
      <c r="F471" s="3" t="s">
        <v>28</v>
      </c>
      <c r="G471" s="3" t="s">
        <v>28</v>
      </c>
    </row>
    <row r="472" spans="2:7">
      <c r="B472" s="1">
        <v>234</v>
      </c>
      <c r="C472" s="1" t="str">
        <f t="shared" si="56"/>
        <v>&gt;=41640</v>
      </c>
      <c r="D472" s="1" t="str">
        <f t="shared" si="57"/>
        <v>&lt;=42004</v>
      </c>
      <c r="E472" s="1">
        <f>DMHH!$C$241</f>
        <v>0</v>
      </c>
      <c r="F472" s="1" t="str">
        <f t="shared" si="58"/>
        <v>&gt;=41640</v>
      </c>
      <c r="G472" s="1" t="str">
        <f t="shared" si="59"/>
        <v>&lt;41640</v>
      </c>
    </row>
    <row r="473" spans="2:7">
      <c r="B473" s="1"/>
      <c r="C473" s="3" t="s">
        <v>28</v>
      </c>
      <c r="D473" s="3" t="s">
        <v>28</v>
      </c>
      <c r="E473" s="4" t="s">
        <v>228</v>
      </c>
      <c r="F473" s="3" t="s">
        <v>28</v>
      </c>
      <c r="G473" s="3" t="s">
        <v>28</v>
      </c>
    </row>
    <row r="474" spans="2:7">
      <c r="B474" s="1">
        <v>235</v>
      </c>
      <c r="C474" s="1" t="str">
        <f t="shared" si="56"/>
        <v>&gt;=41640</v>
      </c>
      <c r="D474" s="1" t="str">
        <f t="shared" si="57"/>
        <v>&lt;=42004</v>
      </c>
      <c r="E474" s="1">
        <f>DMHH!$C$242</f>
        <v>0</v>
      </c>
      <c r="F474" s="1" t="str">
        <f t="shared" si="58"/>
        <v>&gt;=41640</v>
      </c>
      <c r="G474" s="1" t="str">
        <f t="shared" si="59"/>
        <v>&lt;41640</v>
      </c>
    </row>
    <row r="475" spans="2:7">
      <c r="B475" s="1"/>
      <c r="C475" s="3" t="s">
        <v>28</v>
      </c>
      <c r="D475" s="3" t="s">
        <v>28</v>
      </c>
      <c r="E475" s="4" t="s">
        <v>228</v>
      </c>
      <c r="F475" s="3" t="s">
        <v>28</v>
      </c>
      <c r="G475" s="3" t="s">
        <v>28</v>
      </c>
    </row>
    <row r="476" spans="2:7">
      <c r="B476" s="1">
        <v>236</v>
      </c>
      <c r="C476" s="1" t="str">
        <f t="shared" si="56"/>
        <v>&gt;=41640</v>
      </c>
      <c r="D476" s="1" t="str">
        <f t="shared" si="57"/>
        <v>&lt;=42004</v>
      </c>
      <c r="E476" s="1">
        <f>DMHH!$C$243</f>
        <v>0</v>
      </c>
      <c r="F476" s="1" t="str">
        <f t="shared" si="58"/>
        <v>&gt;=41640</v>
      </c>
      <c r="G476" s="1" t="str">
        <f t="shared" si="59"/>
        <v>&lt;41640</v>
      </c>
    </row>
    <row r="477" spans="2:7">
      <c r="B477" s="1"/>
      <c r="C477" s="3" t="s">
        <v>28</v>
      </c>
      <c r="D477" s="3" t="s">
        <v>28</v>
      </c>
      <c r="E477" s="4" t="s">
        <v>228</v>
      </c>
      <c r="F477" s="3" t="s">
        <v>28</v>
      </c>
      <c r="G477" s="3" t="s">
        <v>28</v>
      </c>
    </row>
    <row r="478" spans="2:7">
      <c r="B478" s="1">
        <v>237</v>
      </c>
      <c r="C478" s="1" t="str">
        <f t="shared" si="56"/>
        <v>&gt;=41640</v>
      </c>
      <c r="D478" s="1" t="str">
        <f t="shared" si="57"/>
        <v>&lt;=42004</v>
      </c>
      <c r="E478" s="1">
        <f>DMHH!$C$244</f>
        <v>0</v>
      </c>
      <c r="F478" s="1" t="str">
        <f t="shared" si="58"/>
        <v>&gt;=41640</v>
      </c>
      <c r="G478" s="1" t="str">
        <f t="shared" si="59"/>
        <v>&lt;41640</v>
      </c>
    </row>
    <row r="479" spans="2:7">
      <c r="B479" s="1"/>
      <c r="C479" s="3" t="s">
        <v>28</v>
      </c>
      <c r="D479" s="3" t="s">
        <v>28</v>
      </c>
      <c r="E479" s="4" t="s">
        <v>228</v>
      </c>
      <c r="F479" s="3" t="s">
        <v>28</v>
      </c>
      <c r="G479" s="3" t="s">
        <v>28</v>
      </c>
    </row>
    <row r="480" spans="2:7">
      <c r="B480" s="1">
        <v>238</v>
      </c>
      <c r="C480" s="1" t="str">
        <f t="shared" si="56"/>
        <v>&gt;=41640</v>
      </c>
      <c r="D480" s="1" t="str">
        <f t="shared" si="57"/>
        <v>&lt;=42004</v>
      </c>
      <c r="E480" s="1">
        <f>DMHH!$C$245</f>
        <v>0</v>
      </c>
      <c r="F480" s="1" t="str">
        <f t="shared" si="58"/>
        <v>&gt;=41640</v>
      </c>
      <c r="G480" s="1" t="str">
        <f t="shared" si="59"/>
        <v>&lt;41640</v>
      </c>
    </row>
    <row r="481" spans="2:7">
      <c r="B481" s="1"/>
      <c r="C481" s="3" t="s">
        <v>28</v>
      </c>
      <c r="D481" s="3" t="s">
        <v>28</v>
      </c>
      <c r="E481" s="4" t="s">
        <v>228</v>
      </c>
      <c r="F481" s="3" t="s">
        <v>28</v>
      </c>
      <c r="G481" s="3" t="s">
        <v>28</v>
      </c>
    </row>
    <row r="482" spans="2:7">
      <c r="B482" s="1">
        <v>239</v>
      </c>
      <c r="C482" s="1" t="str">
        <f t="shared" ref="C482:C544" si="60">"&gt;="&amp;$C$3</f>
        <v>&gt;=41640</v>
      </c>
      <c r="D482" s="1" t="str">
        <f t="shared" ref="D482:D544" si="61">"&lt;="&amp;$E$3</f>
        <v>&lt;=42004</v>
      </c>
      <c r="E482" s="1">
        <f>DMHH!$C$246</f>
        <v>0</v>
      </c>
      <c r="F482" s="1" t="str">
        <f t="shared" ref="F482:F544" si="62">"&gt;="&amp;$C$2</f>
        <v>&gt;=41640</v>
      </c>
      <c r="G482" s="1" t="str">
        <f t="shared" ref="G482:G544" si="63">"&lt;"&amp;$C$3</f>
        <v>&lt;41640</v>
      </c>
    </row>
    <row r="483" spans="2:7">
      <c r="B483" s="1"/>
      <c r="C483" s="3" t="s">
        <v>28</v>
      </c>
      <c r="D483" s="3" t="s">
        <v>28</v>
      </c>
      <c r="E483" s="4" t="s">
        <v>228</v>
      </c>
      <c r="F483" s="3" t="s">
        <v>28</v>
      </c>
      <c r="G483" s="3" t="s">
        <v>28</v>
      </c>
    </row>
    <row r="484" spans="2:7">
      <c r="B484" s="1">
        <v>240</v>
      </c>
      <c r="C484" s="1" t="str">
        <f t="shared" si="60"/>
        <v>&gt;=41640</v>
      </c>
      <c r="D484" s="1" t="str">
        <f t="shared" si="61"/>
        <v>&lt;=42004</v>
      </c>
      <c r="E484" s="1">
        <f>DMHH!$C$247</f>
        <v>0</v>
      </c>
      <c r="F484" s="1" t="str">
        <f t="shared" si="62"/>
        <v>&gt;=41640</v>
      </c>
      <c r="G484" s="1" t="str">
        <f t="shared" si="63"/>
        <v>&lt;41640</v>
      </c>
    </row>
    <row r="485" spans="2:7">
      <c r="B485" s="1"/>
      <c r="C485" s="3" t="s">
        <v>28</v>
      </c>
      <c r="D485" s="3" t="s">
        <v>28</v>
      </c>
      <c r="E485" s="4" t="s">
        <v>228</v>
      </c>
      <c r="F485" s="3" t="s">
        <v>28</v>
      </c>
      <c r="G485" s="3" t="s">
        <v>28</v>
      </c>
    </row>
    <row r="486" spans="2:7">
      <c r="B486" s="1">
        <v>241</v>
      </c>
      <c r="C486" s="1" t="str">
        <f t="shared" si="60"/>
        <v>&gt;=41640</v>
      </c>
      <c r="D486" s="1" t="str">
        <f t="shared" si="61"/>
        <v>&lt;=42004</v>
      </c>
      <c r="E486" s="1">
        <f>DMHH!$C$248</f>
        <v>0</v>
      </c>
      <c r="F486" s="1" t="str">
        <f t="shared" si="62"/>
        <v>&gt;=41640</v>
      </c>
      <c r="G486" s="1" t="str">
        <f t="shared" si="63"/>
        <v>&lt;41640</v>
      </c>
    </row>
    <row r="487" spans="2:7">
      <c r="B487" s="1"/>
      <c r="C487" s="3" t="s">
        <v>28</v>
      </c>
      <c r="D487" s="3" t="s">
        <v>28</v>
      </c>
      <c r="E487" s="4" t="s">
        <v>228</v>
      </c>
      <c r="F487" s="3" t="s">
        <v>28</v>
      </c>
      <c r="G487" s="3" t="s">
        <v>28</v>
      </c>
    </row>
    <row r="488" spans="2:7">
      <c r="B488" s="1">
        <v>242</v>
      </c>
      <c r="C488" s="1" t="str">
        <f t="shared" si="60"/>
        <v>&gt;=41640</v>
      </c>
      <c r="D488" s="1" t="str">
        <f t="shared" si="61"/>
        <v>&lt;=42004</v>
      </c>
      <c r="E488" s="1">
        <f>DMHH!$C$249</f>
        <v>0</v>
      </c>
      <c r="F488" s="1" t="str">
        <f t="shared" si="62"/>
        <v>&gt;=41640</v>
      </c>
      <c r="G488" s="1" t="str">
        <f t="shared" si="63"/>
        <v>&lt;41640</v>
      </c>
    </row>
    <row r="489" spans="2:7">
      <c r="B489" s="1"/>
      <c r="C489" s="3" t="s">
        <v>28</v>
      </c>
      <c r="D489" s="3" t="s">
        <v>28</v>
      </c>
      <c r="E489" s="4" t="s">
        <v>228</v>
      </c>
      <c r="F489" s="3" t="s">
        <v>28</v>
      </c>
      <c r="G489" s="3" t="s">
        <v>28</v>
      </c>
    </row>
    <row r="490" spans="2:7">
      <c r="B490" s="1">
        <v>243</v>
      </c>
      <c r="C490" s="1" t="str">
        <f t="shared" si="60"/>
        <v>&gt;=41640</v>
      </c>
      <c r="D490" s="1" t="str">
        <f t="shared" si="61"/>
        <v>&lt;=42004</v>
      </c>
      <c r="E490" s="1">
        <f>DMHH!$C$250</f>
        <v>0</v>
      </c>
      <c r="F490" s="1" t="str">
        <f t="shared" si="62"/>
        <v>&gt;=41640</v>
      </c>
      <c r="G490" s="1" t="str">
        <f t="shared" si="63"/>
        <v>&lt;41640</v>
      </c>
    </row>
    <row r="491" spans="2:7">
      <c r="B491" s="1"/>
      <c r="C491" s="3" t="s">
        <v>28</v>
      </c>
      <c r="D491" s="3" t="s">
        <v>28</v>
      </c>
      <c r="E491" s="4" t="s">
        <v>228</v>
      </c>
      <c r="F491" s="3" t="s">
        <v>28</v>
      </c>
      <c r="G491" s="3" t="s">
        <v>28</v>
      </c>
    </row>
    <row r="492" spans="2:7">
      <c r="B492" s="1">
        <v>244</v>
      </c>
      <c r="C492" s="1" t="str">
        <f t="shared" si="60"/>
        <v>&gt;=41640</v>
      </c>
      <c r="D492" s="1" t="str">
        <f t="shared" si="61"/>
        <v>&lt;=42004</v>
      </c>
      <c r="E492" s="1">
        <f>DMHH!$C$251</f>
        <v>0</v>
      </c>
      <c r="F492" s="1" t="str">
        <f t="shared" si="62"/>
        <v>&gt;=41640</v>
      </c>
      <c r="G492" s="1" t="str">
        <f t="shared" si="63"/>
        <v>&lt;41640</v>
      </c>
    </row>
    <row r="493" spans="2:7">
      <c r="B493" s="1"/>
      <c r="C493" s="3" t="s">
        <v>28</v>
      </c>
      <c r="D493" s="3" t="s">
        <v>28</v>
      </c>
      <c r="E493" s="4" t="s">
        <v>228</v>
      </c>
      <c r="F493" s="3" t="s">
        <v>28</v>
      </c>
      <c r="G493" s="3" t="s">
        <v>28</v>
      </c>
    </row>
    <row r="494" spans="2:7">
      <c r="B494" s="1">
        <v>245</v>
      </c>
      <c r="C494" s="1" t="str">
        <f t="shared" si="60"/>
        <v>&gt;=41640</v>
      </c>
      <c r="D494" s="1" t="str">
        <f t="shared" si="61"/>
        <v>&lt;=42004</v>
      </c>
      <c r="E494" s="1">
        <f>DMHH!$C$252</f>
        <v>0</v>
      </c>
      <c r="F494" s="1" t="str">
        <f t="shared" si="62"/>
        <v>&gt;=41640</v>
      </c>
      <c r="G494" s="1" t="str">
        <f t="shared" si="63"/>
        <v>&lt;41640</v>
      </c>
    </row>
    <row r="495" spans="2:7">
      <c r="B495" s="1"/>
      <c r="C495" s="3" t="s">
        <v>28</v>
      </c>
      <c r="D495" s="3" t="s">
        <v>28</v>
      </c>
      <c r="E495" s="4" t="s">
        <v>228</v>
      </c>
      <c r="F495" s="3" t="s">
        <v>28</v>
      </c>
      <c r="G495" s="3" t="s">
        <v>28</v>
      </c>
    </row>
    <row r="496" spans="2:7">
      <c r="B496" s="1">
        <v>246</v>
      </c>
      <c r="C496" s="1" t="str">
        <f t="shared" si="60"/>
        <v>&gt;=41640</v>
      </c>
      <c r="D496" s="1" t="str">
        <f t="shared" si="61"/>
        <v>&lt;=42004</v>
      </c>
      <c r="E496" s="1">
        <f>DMHH!$C$253</f>
        <v>0</v>
      </c>
      <c r="F496" s="1" t="str">
        <f t="shared" si="62"/>
        <v>&gt;=41640</v>
      </c>
      <c r="G496" s="1" t="str">
        <f t="shared" si="63"/>
        <v>&lt;41640</v>
      </c>
    </row>
    <row r="497" spans="2:7">
      <c r="B497" s="1"/>
      <c r="C497" s="3" t="s">
        <v>28</v>
      </c>
      <c r="D497" s="3" t="s">
        <v>28</v>
      </c>
      <c r="E497" s="4" t="s">
        <v>228</v>
      </c>
      <c r="F497" s="3" t="s">
        <v>28</v>
      </c>
      <c r="G497" s="3" t="s">
        <v>28</v>
      </c>
    </row>
    <row r="498" spans="2:7">
      <c r="B498" s="1">
        <v>247</v>
      </c>
      <c r="C498" s="1" t="str">
        <f t="shared" si="60"/>
        <v>&gt;=41640</v>
      </c>
      <c r="D498" s="1" t="str">
        <f t="shared" si="61"/>
        <v>&lt;=42004</v>
      </c>
      <c r="E498" s="1">
        <f>DMHH!$C$254</f>
        <v>0</v>
      </c>
      <c r="F498" s="1" t="str">
        <f t="shared" si="62"/>
        <v>&gt;=41640</v>
      </c>
      <c r="G498" s="1" t="str">
        <f t="shared" si="63"/>
        <v>&lt;41640</v>
      </c>
    </row>
    <row r="499" spans="2:7">
      <c r="B499" s="1"/>
      <c r="C499" s="3" t="s">
        <v>28</v>
      </c>
      <c r="D499" s="3" t="s">
        <v>28</v>
      </c>
      <c r="E499" s="4" t="s">
        <v>228</v>
      </c>
      <c r="F499" s="3" t="s">
        <v>28</v>
      </c>
      <c r="G499" s="3" t="s">
        <v>28</v>
      </c>
    </row>
    <row r="500" spans="2:7">
      <c r="B500" s="1">
        <v>248</v>
      </c>
      <c r="C500" s="1" t="str">
        <f t="shared" si="60"/>
        <v>&gt;=41640</v>
      </c>
      <c r="D500" s="1" t="str">
        <f t="shared" si="61"/>
        <v>&lt;=42004</v>
      </c>
      <c r="E500" s="1">
        <f>DMHH!$C$255</f>
        <v>0</v>
      </c>
      <c r="F500" s="1" t="str">
        <f t="shared" si="62"/>
        <v>&gt;=41640</v>
      </c>
      <c r="G500" s="1" t="str">
        <f t="shared" si="63"/>
        <v>&lt;41640</v>
      </c>
    </row>
    <row r="501" spans="2:7">
      <c r="B501" s="1"/>
      <c r="C501" s="3" t="s">
        <v>28</v>
      </c>
      <c r="D501" s="3" t="s">
        <v>28</v>
      </c>
      <c r="E501" s="4" t="s">
        <v>228</v>
      </c>
      <c r="F501" s="3" t="s">
        <v>28</v>
      </c>
      <c r="G501" s="3" t="s">
        <v>28</v>
      </c>
    </row>
    <row r="502" spans="2:7">
      <c r="B502" s="1">
        <v>249</v>
      </c>
      <c r="C502" s="1" t="str">
        <f t="shared" si="60"/>
        <v>&gt;=41640</v>
      </c>
      <c r="D502" s="1" t="str">
        <f t="shared" si="61"/>
        <v>&lt;=42004</v>
      </c>
      <c r="E502" s="1">
        <f>DMHH!$C$256</f>
        <v>0</v>
      </c>
      <c r="F502" s="1" t="str">
        <f t="shared" si="62"/>
        <v>&gt;=41640</v>
      </c>
      <c r="G502" s="1" t="str">
        <f t="shared" si="63"/>
        <v>&lt;41640</v>
      </c>
    </row>
    <row r="503" spans="2:7">
      <c r="B503" s="1"/>
      <c r="C503" s="3" t="s">
        <v>28</v>
      </c>
      <c r="D503" s="3" t="s">
        <v>28</v>
      </c>
      <c r="E503" s="4" t="s">
        <v>228</v>
      </c>
      <c r="F503" s="3" t="s">
        <v>28</v>
      </c>
      <c r="G503" s="3" t="s">
        <v>28</v>
      </c>
    </row>
    <row r="504" spans="2:7">
      <c r="B504" s="1">
        <v>250</v>
      </c>
      <c r="C504" s="1" t="str">
        <f t="shared" si="60"/>
        <v>&gt;=41640</v>
      </c>
      <c r="D504" s="1" t="str">
        <f t="shared" si="61"/>
        <v>&lt;=42004</v>
      </c>
      <c r="E504" s="1">
        <f>DMHH!$C$257</f>
        <v>0</v>
      </c>
      <c r="F504" s="1" t="str">
        <f t="shared" si="62"/>
        <v>&gt;=41640</v>
      </c>
      <c r="G504" s="1" t="str">
        <f t="shared" si="63"/>
        <v>&lt;41640</v>
      </c>
    </row>
    <row r="505" spans="2:7">
      <c r="B505" s="1"/>
      <c r="C505" s="3" t="s">
        <v>28</v>
      </c>
      <c r="D505" s="3" t="s">
        <v>28</v>
      </c>
      <c r="E505" s="4" t="s">
        <v>228</v>
      </c>
      <c r="F505" s="3" t="s">
        <v>28</v>
      </c>
      <c r="G505" s="3" t="s">
        <v>28</v>
      </c>
    </row>
    <row r="506" spans="2:7">
      <c r="B506" s="1">
        <v>251</v>
      </c>
      <c r="C506" s="1" t="str">
        <f t="shared" si="60"/>
        <v>&gt;=41640</v>
      </c>
      <c r="D506" s="1" t="str">
        <f t="shared" si="61"/>
        <v>&lt;=42004</v>
      </c>
      <c r="E506" s="1">
        <f>DMHH!$C$258</f>
        <v>0</v>
      </c>
      <c r="F506" s="1" t="str">
        <f t="shared" si="62"/>
        <v>&gt;=41640</v>
      </c>
      <c r="G506" s="1" t="str">
        <f t="shared" si="63"/>
        <v>&lt;41640</v>
      </c>
    </row>
    <row r="507" spans="2:7">
      <c r="B507" s="1"/>
      <c r="C507" s="3" t="s">
        <v>28</v>
      </c>
      <c r="D507" s="3" t="s">
        <v>28</v>
      </c>
      <c r="E507" s="4" t="s">
        <v>228</v>
      </c>
      <c r="F507" s="3" t="s">
        <v>28</v>
      </c>
      <c r="G507" s="3" t="s">
        <v>28</v>
      </c>
    </row>
    <row r="508" spans="2:7">
      <c r="B508" s="1">
        <v>252</v>
      </c>
      <c r="C508" s="1" t="str">
        <f t="shared" si="60"/>
        <v>&gt;=41640</v>
      </c>
      <c r="D508" s="1" t="str">
        <f t="shared" si="61"/>
        <v>&lt;=42004</v>
      </c>
      <c r="E508" s="1">
        <f>DMHH!$C$259</f>
        <v>0</v>
      </c>
      <c r="F508" s="1" t="str">
        <f t="shared" si="62"/>
        <v>&gt;=41640</v>
      </c>
      <c r="G508" s="1" t="str">
        <f t="shared" si="63"/>
        <v>&lt;41640</v>
      </c>
    </row>
    <row r="509" spans="2:7">
      <c r="B509" s="1"/>
      <c r="C509" s="3" t="s">
        <v>28</v>
      </c>
      <c r="D509" s="3" t="s">
        <v>28</v>
      </c>
      <c r="E509" s="4" t="s">
        <v>228</v>
      </c>
      <c r="F509" s="3" t="s">
        <v>28</v>
      </c>
      <c r="G509" s="3" t="s">
        <v>28</v>
      </c>
    </row>
    <row r="510" spans="2:7">
      <c r="B510" s="1">
        <v>253</v>
      </c>
      <c r="C510" s="1" t="str">
        <f t="shared" si="60"/>
        <v>&gt;=41640</v>
      </c>
      <c r="D510" s="1" t="str">
        <f t="shared" si="61"/>
        <v>&lt;=42004</v>
      </c>
      <c r="E510" s="1">
        <f>DMHH!$C$260</f>
        <v>0</v>
      </c>
      <c r="F510" s="1" t="str">
        <f t="shared" si="62"/>
        <v>&gt;=41640</v>
      </c>
      <c r="G510" s="1" t="str">
        <f t="shared" si="63"/>
        <v>&lt;41640</v>
      </c>
    </row>
    <row r="511" spans="2:7">
      <c r="B511" s="1"/>
      <c r="C511" s="3" t="s">
        <v>28</v>
      </c>
      <c r="D511" s="3" t="s">
        <v>28</v>
      </c>
      <c r="E511" s="4" t="s">
        <v>228</v>
      </c>
      <c r="F511" s="3" t="s">
        <v>28</v>
      </c>
      <c r="G511" s="3" t="s">
        <v>28</v>
      </c>
    </row>
    <row r="512" spans="2:7">
      <c r="B512" s="1">
        <v>254</v>
      </c>
      <c r="C512" s="1" t="str">
        <f t="shared" si="60"/>
        <v>&gt;=41640</v>
      </c>
      <c r="D512" s="1" t="str">
        <f t="shared" si="61"/>
        <v>&lt;=42004</v>
      </c>
      <c r="E512" s="1">
        <f>DMHH!$C$261</f>
        <v>0</v>
      </c>
      <c r="F512" s="1" t="str">
        <f t="shared" si="62"/>
        <v>&gt;=41640</v>
      </c>
      <c r="G512" s="1" t="str">
        <f t="shared" si="63"/>
        <v>&lt;41640</v>
      </c>
    </row>
    <row r="513" spans="2:7">
      <c r="B513" s="1"/>
      <c r="C513" s="3" t="s">
        <v>28</v>
      </c>
      <c r="D513" s="3" t="s">
        <v>28</v>
      </c>
      <c r="E513" s="4" t="s">
        <v>228</v>
      </c>
      <c r="F513" s="3" t="s">
        <v>28</v>
      </c>
      <c r="G513" s="3" t="s">
        <v>28</v>
      </c>
    </row>
    <row r="514" spans="2:7">
      <c r="B514" s="1">
        <v>255</v>
      </c>
      <c r="C514" s="1" t="str">
        <f t="shared" si="60"/>
        <v>&gt;=41640</v>
      </c>
      <c r="D514" s="1" t="str">
        <f t="shared" si="61"/>
        <v>&lt;=42004</v>
      </c>
      <c r="E514" s="1">
        <f>DMHH!$C$262</f>
        <v>0</v>
      </c>
      <c r="F514" s="1" t="str">
        <f t="shared" si="62"/>
        <v>&gt;=41640</v>
      </c>
      <c r="G514" s="1" t="str">
        <f t="shared" si="63"/>
        <v>&lt;41640</v>
      </c>
    </row>
    <row r="515" spans="2:7">
      <c r="B515" s="1"/>
      <c r="C515" s="3" t="s">
        <v>28</v>
      </c>
      <c r="D515" s="3" t="s">
        <v>28</v>
      </c>
      <c r="E515" s="4" t="s">
        <v>228</v>
      </c>
      <c r="F515" s="3" t="s">
        <v>28</v>
      </c>
      <c r="G515" s="3" t="s">
        <v>28</v>
      </c>
    </row>
    <row r="516" spans="2:7">
      <c r="B516" s="1">
        <v>256</v>
      </c>
      <c r="C516" s="1" t="str">
        <f t="shared" si="60"/>
        <v>&gt;=41640</v>
      </c>
      <c r="D516" s="1" t="str">
        <f t="shared" si="61"/>
        <v>&lt;=42004</v>
      </c>
      <c r="E516" s="1">
        <f>DMHH!$C$263</f>
        <v>0</v>
      </c>
      <c r="F516" s="1" t="str">
        <f t="shared" si="62"/>
        <v>&gt;=41640</v>
      </c>
      <c r="G516" s="1" t="str">
        <f t="shared" si="63"/>
        <v>&lt;41640</v>
      </c>
    </row>
    <row r="517" spans="2:7">
      <c r="B517" s="1"/>
      <c r="C517" s="3" t="s">
        <v>28</v>
      </c>
      <c r="D517" s="3" t="s">
        <v>28</v>
      </c>
      <c r="E517" s="4" t="s">
        <v>228</v>
      </c>
      <c r="F517" s="3" t="s">
        <v>28</v>
      </c>
      <c r="G517" s="3" t="s">
        <v>28</v>
      </c>
    </row>
    <row r="518" spans="2:7">
      <c r="B518" s="1">
        <v>257</v>
      </c>
      <c r="C518" s="1" t="str">
        <f t="shared" si="60"/>
        <v>&gt;=41640</v>
      </c>
      <c r="D518" s="1" t="str">
        <f t="shared" si="61"/>
        <v>&lt;=42004</v>
      </c>
      <c r="E518" s="1">
        <f>DMHH!$C$264</f>
        <v>0</v>
      </c>
      <c r="F518" s="1" t="str">
        <f t="shared" si="62"/>
        <v>&gt;=41640</v>
      </c>
      <c r="G518" s="1" t="str">
        <f t="shared" si="63"/>
        <v>&lt;41640</v>
      </c>
    </row>
    <row r="519" spans="2:7">
      <c r="B519" s="1"/>
      <c r="C519" s="3" t="s">
        <v>28</v>
      </c>
      <c r="D519" s="3" t="s">
        <v>28</v>
      </c>
      <c r="E519" s="4" t="s">
        <v>228</v>
      </c>
      <c r="F519" s="3" t="s">
        <v>28</v>
      </c>
      <c r="G519" s="3" t="s">
        <v>28</v>
      </c>
    </row>
    <row r="520" spans="2:7">
      <c r="B520" s="1">
        <v>258</v>
      </c>
      <c r="C520" s="1" t="str">
        <f t="shared" si="60"/>
        <v>&gt;=41640</v>
      </c>
      <c r="D520" s="1" t="str">
        <f t="shared" si="61"/>
        <v>&lt;=42004</v>
      </c>
      <c r="E520" s="1">
        <f>DMHH!$C$265</f>
        <v>0</v>
      </c>
      <c r="F520" s="1" t="str">
        <f t="shared" si="62"/>
        <v>&gt;=41640</v>
      </c>
      <c r="G520" s="1" t="str">
        <f t="shared" si="63"/>
        <v>&lt;41640</v>
      </c>
    </row>
    <row r="521" spans="2:7">
      <c r="B521" s="1"/>
      <c r="C521" s="3" t="s">
        <v>28</v>
      </c>
      <c r="D521" s="3" t="s">
        <v>28</v>
      </c>
      <c r="E521" s="4" t="s">
        <v>228</v>
      </c>
      <c r="F521" s="3" t="s">
        <v>28</v>
      </c>
      <c r="G521" s="3" t="s">
        <v>28</v>
      </c>
    </row>
    <row r="522" spans="2:7">
      <c r="B522" s="1">
        <v>259</v>
      </c>
      <c r="C522" s="1" t="str">
        <f t="shared" si="60"/>
        <v>&gt;=41640</v>
      </c>
      <c r="D522" s="1" t="str">
        <f t="shared" si="61"/>
        <v>&lt;=42004</v>
      </c>
      <c r="E522" s="1">
        <f>DMHH!$C$266</f>
        <v>0</v>
      </c>
      <c r="F522" s="1" t="str">
        <f t="shared" si="62"/>
        <v>&gt;=41640</v>
      </c>
      <c r="G522" s="1" t="str">
        <f t="shared" si="63"/>
        <v>&lt;41640</v>
      </c>
    </row>
    <row r="523" spans="2:7">
      <c r="B523" s="7"/>
      <c r="C523" s="6" t="s">
        <v>28</v>
      </c>
      <c r="D523" s="6" t="s">
        <v>28</v>
      </c>
      <c r="E523" s="8" t="s">
        <v>228</v>
      </c>
      <c r="F523" s="3" t="s">
        <v>28</v>
      </c>
      <c r="G523" s="3" t="s">
        <v>28</v>
      </c>
    </row>
    <row r="524" spans="2:7">
      <c r="B524" s="7">
        <v>260</v>
      </c>
      <c r="C524" s="7" t="str">
        <f t="shared" si="60"/>
        <v>&gt;=41640</v>
      </c>
      <c r="D524" s="7" t="str">
        <f t="shared" si="61"/>
        <v>&lt;=42004</v>
      </c>
      <c r="E524" s="7">
        <f>DMHH!$C$267</f>
        <v>0</v>
      </c>
      <c r="F524" s="1" t="str">
        <f t="shared" si="62"/>
        <v>&gt;=41640</v>
      </c>
      <c r="G524" s="1" t="str">
        <f t="shared" si="63"/>
        <v>&lt;41640</v>
      </c>
    </row>
    <row r="525" spans="2:7">
      <c r="B525" s="1"/>
      <c r="C525" s="3" t="s">
        <v>28</v>
      </c>
      <c r="D525" s="3" t="s">
        <v>28</v>
      </c>
      <c r="E525" s="4" t="s">
        <v>228</v>
      </c>
      <c r="F525" s="3" t="s">
        <v>28</v>
      </c>
      <c r="G525" s="3" t="s">
        <v>28</v>
      </c>
    </row>
    <row r="526" spans="2:7">
      <c r="B526" s="1">
        <v>261</v>
      </c>
      <c r="C526" s="1" t="str">
        <f t="shared" si="60"/>
        <v>&gt;=41640</v>
      </c>
      <c r="D526" s="1" t="str">
        <f t="shared" si="61"/>
        <v>&lt;=42004</v>
      </c>
      <c r="E526" s="1">
        <f>DMHH!$C$268</f>
        <v>0</v>
      </c>
      <c r="F526" s="1" t="str">
        <f t="shared" si="62"/>
        <v>&gt;=41640</v>
      </c>
      <c r="G526" s="1" t="str">
        <f t="shared" si="63"/>
        <v>&lt;41640</v>
      </c>
    </row>
    <row r="527" spans="2:7">
      <c r="B527" s="1"/>
      <c r="C527" s="3" t="s">
        <v>28</v>
      </c>
      <c r="D527" s="3" t="s">
        <v>28</v>
      </c>
      <c r="E527" s="4" t="s">
        <v>228</v>
      </c>
      <c r="F527" s="3" t="s">
        <v>28</v>
      </c>
      <c r="G527" s="3" t="s">
        <v>28</v>
      </c>
    </row>
    <row r="528" spans="2:7">
      <c r="B528" s="1">
        <v>262</v>
      </c>
      <c r="C528" s="1" t="str">
        <f t="shared" si="60"/>
        <v>&gt;=41640</v>
      </c>
      <c r="D528" s="1" t="str">
        <f t="shared" si="61"/>
        <v>&lt;=42004</v>
      </c>
      <c r="E528" s="1">
        <f>DMHH!$C$269</f>
        <v>0</v>
      </c>
      <c r="F528" s="1" t="str">
        <f t="shared" si="62"/>
        <v>&gt;=41640</v>
      </c>
      <c r="G528" s="1" t="str">
        <f t="shared" si="63"/>
        <v>&lt;41640</v>
      </c>
    </row>
    <row r="529" spans="2:7">
      <c r="B529" s="1"/>
      <c r="C529" s="3" t="s">
        <v>28</v>
      </c>
      <c r="D529" s="3" t="s">
        <v>28</v>
      </c>
      <c r="E529" s="4" t="s">
        <v>228</v>
      </c>
      <c r="F529" s="3" t="s">
        <v>28</v>
      </c>
      <c r="G529" s="3" t="s">
        <v>28</v>
      </c>
    </row>
    <row r="530" spans="2:7">
      <c r="B530" s="1">
        <v>263</v>
      </c>
      <c r="C530" s="1" t="str">
        <f t="shared" si="60"/>
        <v>&gt;=41640</v>
      </c>
      <c r="D530" s="1" t="str">
        <f t="shared" si="61"/>
        <v>&lt;=42004</v>
      </c>
      <c r="E530" s="1">
        <f>DMHH!$C$270</f>
        <v>0</v>
      </c>
      <c r="F530" s="1" t="str">
        <f t="shared" si="62"/>
        <v>&gt;=41640</v>
      </c>
      <c r="G530" s="1" t="str">
        <f t="shared" si="63"/>
        <v>&lt;41640</v>
      </c>
    </row>
    <row r="531" spans="2:7">
      <c r="B531" s="1"/>
      <c r="C531" s="3" t="s">
        <v>28</v>
      </c>
      <c r="D531" s="3" t="s">
        <v>28</v>
      </c>
      <c r="E531" s="4" t="s">
        <v>228</v>
      </c>
      <c r="F531" s="3" t="s">
        <v>28</v>
      </c>
      <c r="G531" s="3" t="s">
        <v>28</v>
      </c>
    </row>
    <row r="532" spans="2:7">
      <c r="B532" s="1">
        <v>264</v>
      </c>
      <c r="C532" s="1" t="str">
        <f t="shared" si="60"/>
        <v>&gt;=41640</v>
      </c>
      <c r="D532" s="1" t="str">
        <f t="shared" si="61"/>
        <v>&lt;=42004</v>
      </c>
      <c r="E532" s="1">
        <f>DMHH!$C$271</f>
        <v>0</v>
      </c>
      <c r="F532" s="1" t="str">
        <f t="shared" si="62"/>
        <v>&gt;=41640</v>
      </c>
      <c r="G532" s="1" t="str">
        <f t="shared" si="63"/>
        <v>&lt;41640</v>
      </c>
    </row>
    <row r="533" spans="2:7">
      <c r="B533" s="1"/>
      <c r="C533" s="3" t="s">
        <v>28</v>
      </c>
      <c r="D533" s="3" t="s">
        <v>28</v>
      </c>
      <c r="E533" s="4" t="s">
        <v>228</v>
      </c>
      <c r="F533" s="3" t="s">
        <v>28</v>
      </c>
      <c r="G533" s="3" t="s">
        <v>28</v>
      </c>
    </row>
    <row r="534" spans="2:7">
      <c r="B534" s="1">
        <v>265</v>
      </c>
      <c r="C534" s="1" t="str">
        <f t="shared" si="60"/>
        <v>&gt;=41640</v>
      </c>
      <c r="D534" s="1" t="str">
        <f t="shared" si="61"/>
        <v>&lt;=42004</v>
      </c>
      <c r="E534" s="1">
        <f>DMHH!$C$272</f>
        <v>0</v>
      </c>
      <c r="F534" s="1" t="str">
        <f t="shared" si="62"/>
        <v>&gt;=41640</v>
      </c>
      <c r="G534" s="1" t="str">
        <f t="shared" si="63"/>
        <v>&lt;41640</v>
      </c>
    </row>
    <row r="535" spans="2:7">
      <c r="B535" s="1"/>
      <c r="C535" s="3" t="s">
        <v>28</v>
      </c>
      <c r="D535" s="3" t="s">
        <v>28</v>
      </c>
      <c r="E535" s="4" t="s">
        <v>228</v>
      </c>
      <c r="F535" s="3" t="s">
        <v>28</v>
      </c>
      <c r="G535" s="3" t="s">
        <v>28</v>
      </c>
    </row>
    <row r="536" spans="2:7">
      <c r="B536" s="1">
        <v>266</v>
      </c>
      <c r="C536" s="1" t="str">
        <f t="shared" si="60"/>
        <v>&gt;=41640</v>
      </c>
      <c r="D536" s="1" t="str">
        <f t="shared" si="61"/>
        <v>&lt;=42004</v>
      </c>
      <c r="E536" s="1">
        <f>DMHH!$C$273</f>
        <v>0</v>
      </c>
      <c r="F536" s="1" t="str">
        <f t="shared" si="62"/>
        <v>&gt;=41640</v>
      </c>
      <c r="G536" s="1" t="str">
        <f t="shared" si="63"/>
        <v>&lt;41640</v>
      </c>
    </row>
    <row r="537" spans="2:7">
      <c r="B537" s="1"/>
      <c r="C537" s="3" t="s">
        <v>28</v>
      </c>
      <c r="D537" s="3" t="s">
        <v>28</v>
      </c>
      <c r="E537" s="4" t="s">
        <v>228</v>
      </c>
      <c r="F537" s="3" t="s">
        <v>28</v>
      </c>
      <c r="G537" s="3" t="s">
        <v>28</v>
      </c>
    </row>
    <row r="538" spans="2:7">
      <c r="B538" s="1">
        <v>267</v>
      </c>
      <c r="C538" s="1" t="str">
        <f t="shared" si="60"/>
        <v>&gt;=41640</v>
      </c>
      <c r="D538" s="1" t="str">
        <f t="shared" si="61"/>
        <v>&lt;=42004</v>
      </c>
      <c r="E538" s="1">
        <f>DMHH!$C$274</f>
        <v>0</v>
      </c>
      <c r="F538" s="1" t="str">
        <f t="shared" si="62"/>
        <v>&gt;=41640</v>
      </c>
      <c r="G538" s="1" t="str">
        <f t="shared" si="63"/>
        <v>&lt;41640</v>
      </c>
    </row>
    <row r="539" spans="2:7">
      <c r="B539" s="1"/>
      <c r="C539" s="3" t="s">
        <v>28</v>
      </c>
      <c r="D539" s="3" t="s">
        <v>28</v>
      </c>
      <c r="E539" s="4" t="s">
        <v>228</v>
      </c>
      <c r="F539" s="3" t="s">
        <v>28</v>
      </c>
      <c r="G539" s="3" t="s">
        <v>28</v>
      </c>
    </row>
    <row r="540" spans="2:7">
      <c r="B540" s="1">
        <v>268</v>
      </c>
      <c r="C540" s="1" t="str">
        <f t="shared" si="60"/>
        <v>&gt;=41640</v>
      </c>
      <c r="D540" s="1" t="str">
        <f t="shared" si="61"/>
        <v>&lt;=42004</v>
      </c>
      <c r="E540" s="1">
        <f>DMHH!$C$275</f>
        <v>0</v>
      </c>
      <c r="F540" s="1" t="str">
        <f t="shared" si="62"/>
        <v>&gt;=41640</v>
      </c>
      <c r="G540" s="1" t="str">
        <f t="shared" si="63"/>
        <v>&lt;41640</v>
      </c>
    </row>
    <row r="541" spans="2:7">
      <c r="B541" s="1"/>
      <c r="C541" s="3" t="s">
        <v>28</v>
      </c>
      <c r="D541" s="3" t="s">
        <v>28</v>
      </c>
      <c r="E541" s="4" t="s">
        <v>228</v>
      </c>
      <c r="F541" s="3" t="s">
        <v>28</v>
      </c>
      <c r="G541" s="3" t="s">
        <v>28</v>
      </c>
    </row>
    <row r="542" spans="2:7">
      <c r="B542" s="1">
        <v>269</v>
      </c>
      <c r="C542" s="1" t="str">
        <f t="shared" si="60"/>
        <v>&gt;=41640</v>
      </c>
      <c r="D542" s="1" t="str">
        <f t="shared" si="61"/>
        <v>&lt;=42004</v>
      </c>
      <c r="E542" s="1">
        <f>DMHH!$C$276</f>
        <v>0</v>
      </c>
      <c r="F542" s="1" t="str">
        <f t="shared" si="62"/>
        <v>&gt;=41640</v>
      </c>
      <c r="G542" s="1" t="str">
        <f t="shared" si="63"/>
        <v>&lt;41640</v>
      </c>
    </row>
    <row r="543" spans="2:7">
      <c r="B543" s="1"/>
      <c r="C543" s="3" t="s">
        <v>28</v>
      </c>
      <c r="D543" s="3" t="s">
        <v>28</v>
      </c>
      <c r="E543" s="4" t="s">
        <v>228</v>
      </c>
      <c r="F543" s="3" t="s">
        <v>28</v>
      </c>
      <c r="G543" s="3" t="s">
        <v>28</v>
      </c>
    </row>
    <row r="544" spans="2:7">
      <c r="B544" s="1">
        <v>270</v>
      </c>
      <c r="C544" s="1" t="str">
        <f t="shared" si="60"/>
        <v>&gt;=41640</v>
      </c>
      <c r="D544" s="1" t="str">
        <f t="shared" si="61"/>
        <v>&lt;=42004</v>
      </c>
      <c r="E544" s="1">
        <f>DMHH!$C$277</f>
        <v>0</v>
      </c>
      <c r="F544" s="1" t="str">
        <f t="shared" si="62"/>
        <v>&gt;=41640</v>
      </c>
      <c r="G544" s="1" t="str">
        <f t="shared" si="63"/>
        <v>&lt;41640</v>
      </c>
    </row>
    <row r="545" spans="2:7">
      <c r="B545" s="1"/>
      <c r="C545" s="3" t="s">
        <v>28</v>
      </c>
      <c r="D545" s="3" t="s">
        <v>28</v>
      </c>
      <c r="E545" s="4" t="s">
        <v>228</v>
      </c>
      <c r="F545" s="3" t="s">
        <v>28</v>
      </c>
      <c r="G545" s="3" t="s">
        <v>28</v>
      </c>
    </row>
    <row r="546" spans="2:7">
      <c r="B546" s="1">
        <v>271</v>
      </c>
      <c r="C546" s="1" t="str">
        <f t="shared" ref="C546:C608" si="64">"&gt;="&amp;$C$3</f>
        <v>&gt;=41640</v>
      </c>
      <c r="D546" s="1" t="str">
        <f t="shared" ref="D546:D608" si="65">"&lt;="&amp;$E$3</f>
        <v>&lt;=42004</v>
      </c>
      <c r="E546" s="1">
        <f>DMHH!$C$278</f>
        <v>0</v>
      </c>
      <c r="F546" s="1" t="str">
        <f t="shared" ref="F546:F608" si="66">"&gt;="&amp;$C$2</f>
        <v>&gt;=41640</v>
      </c>
      <c r="G546" s="1" t="str">
        <f t="shared" ref="G546:G608" si="67">"&lt;"&amp;$C$3</f>
        <v>&lt;41640</v>
      </c>
    </row>
    <row r="547" spans="2:7">
      <c r="B547" s="1"/>
      <c r="C547" s="3" t="s">
        <v>28</v>
      </c>
      <c r="D547" s="3" t="s">
        <v>28</v>
      </c>
      <c r="E547" s="4" t="s">
        <v>228</v>
      </c>
      <c r="F547" s="3" t="s">
        <v>28</v>
      </c>
      <c r="G547" s="3" t="s">
        <v>28</v>
      </c>
    </row>
    <row r="548" spans="2:7">
      <c r="B548" s="1">
        <v>272</v>
      </c>
      <c r="C548" s="1" t="str">
        <f t="shared" si="64"/>
        <v>&gt;=41640</v>
      </c>
      <c r="D548" s="1" t="str">
        <f t="shared" si="65"/>
        <v>&lt;=42004</v>
      </c>
      <c r="E548" s="1">
        <f>DMHH!$C$279</f>
        <v>0</v>
      </c>
      <c r="F548" s="1" t="str">
        <f t="shared" si="66"/>
        <v>&gt;=41640</v>
      </c>
      <c r="G548" s="1" t="str">
        <f t="shared" si="67"/>
        <v>&lt;41640</v>
      </c>
    </row>
    <row r="549" spans="2:7">
      <c r="B549" s="1"/>
      <c r="C549" s="3" t="s">
        <v>28</v>
      </c>
      <c r="D549" s="3" t="s">
        <v>28</v>
      </c>
      <c r="E549" s="4" t="s">
        <v>228</v>
      </c>
      <c r="F549" s="3" t="s">
        <v>28</v>
      </c>
      <c r="G549" s="3" t="s">
        <v>28</v>
      </c>
    </row>
    <row r="550" spans="2:7">
      <c r="B550" s="1">
        <v>273</v>
      </c>
      <c r="C550" s="1" t="str">
        <f t="shared" si="64"/>
        <v>&gt;=41640</v>
      </c>
      <c r="D550" s="1" t="str">
        <f t="shared" si="65"/>
        <v>&lt;=42004</v>
      </c>
      <c r="E550" s="1">
        <f>DMHH!$C$280</f>
        <v>0</v>
      </c>
      <c r="F550" s="1" t="str">
        <f t="shared" si="66"/>
        <v>&gt;=41640</v>
      </c>
      <c r="G550" s="1" t="str">
        <f t="shared" si="67"/>
        <v>&lt;41640</v>
      </c>
    </row>
    <row r="551" spans="2:7">
      <c r="B551" s="1"/>
      <c r="C551" s="3" t="s">
        <v>28</v>
      </c>
      <c r="D551" s="3" t="s">
        <v>28</v>
      </c>
      <c r="E551" s="4" t="s">
        <v>228</v>
      </c>
      <c r="F551" s="3" t="s">
        <v>28</v>
      </c>
      <c r="G551" s="3" t="s">
        <v>28</v>
      </c>
    </row>
    <row r="552" spans="2:7">
      <c r="B552" s="1">
        <v>274</v>
      </c>
      <c r="C552" s="1" t="str">
        <f t="shared" si="64"/>
        <v>&gt;=41640</v>
      </c>
      <c r="D552" s="1" t="str">
        <f t="shared" si="65"/>
        <v>&lt;=42004</v>
      </c>
      <c r="E552" s="1">
        <f>DMHH!$C$281</f>
        <v>0</v>
      </c>
      <c r="F552" s="1" t="str">
        <f t="shared" si="66"/>
        <v>&gt;=41640</v>
      </c>
      <c r="G552" s="1" t="str">
        <f t="shared" si="67"/>
        <v>&lt;41640</v>
      </c>
    </row>
    <row r="553" spans="2:7">
      <c r="B553" s="1"/>
      <c r="C553" s="3" t="s">
        <v>28</v>
      </c>
      <c r="D553" s="3" t="s">
        <v>28</v>
      </c>
      <c r="E553" s="4" t="s">
        <v>228</v>
      </c>
      <c r="F553" s="3" t="s">
        <v>28</v>
      </c>
      <c r="G553" s="3" t="s">
        <v>28</v>
      </c>
    </row>
    <row r="554" spans="2:7">
      <c r="B554" s="1">
        <v>275</v>
      </c>
      <c r="C554" s="1" t="str">
        <f t="shared" si="64"/>
        <v>&gt;=41640</v>
      </c>
      <c r="D554" s="1" t="str">
        <f t="shared" si="65"/>
        <v>&lt;=42004</v>
      </c>
      <c r="E554" s="1">
        <f>DMHH!$C$282</f>
        <v>0</v>
      </c>
      <c r="F554" s="1" t="str">
        <f t="shared" si="66"/>
        <v>&gt;=41640</v>
      </c>
      <c r="G554" s="1" t="str">
        <f t="shared" si="67"/>
        <v>&lt;41640</v>
      </c>
    </row>
    <row r="555" spans="2:7">
      <c r="B555" s="1"/>
      <c r="C555" s="3" t="s">
        <v>28</v>
      </c>
      <c r="D555" s="3" t="s">
        <v>28</v>
      </c>
      <c r="E555" s="4" t="s">
        <v>228</v>
      </c>
      <c r="F555" s="3" t="s">
        <v>28</v>
      </c>
      <c r="G555" s="3" t="s">
        <v>28</v>
      </c>
    </row>
    <row r="556" spans="2:7">
      <c r="B556" s="1">
        <v>276</v>
      </c>
      <c r="C556" s="1" t="str">
        <f t="shared" si="64"/>
        <v>&gt;=41640</v>
      </c>
      <c r="D556" s="1" t="str">
        <f t="shared" si="65"/>
        <v>&lt;=42004</v>
      </c>
      <c r="E556" s="1">
        <f>DMHH!$C$283</f>
        <v>0</v>
      </c>
      <c r="F556" s="1" t="str">
        <f t="shared" si="66"/>
        <v>&gt;=41640</v>
      </c>
      <c r="G556" s="1" t="str">
        <f t="shared" si="67"/>
        <v>&lt;41640</v>
      </c>
    </row>
    <row r="557" spans="2:7">
      <c r="B557" s="1"/>
      <c r="C557" s="3" t="s">
        <v>28</v>
      </c>
      <c r="D557" s="3" t="s">
        <v>28</v>
      </c>
      <c r="E557" s="4" t="s">
        <v>228</v>
      </c>
      <c r="F557" s="3" t="s">
        <v>28</v>
      </c>
      <c r="G557" s="3" t="s">
        <v>28</v>
      </c>
    </row>
    <row r="558" spans="2:7">
      <c r="B558" s="1">
        <v>277</v>
      </c>
      <c r="C558" s="1" t="str">
        <f t="shared" si="64"/>
        <v>&gt;=41640</v>
      </c>
      <c r="D558" s="1" t="str">
        <f t="shared" si="65"/>
        <v>&lt;=42004</v>
      </c>
      <c r="E558" s="1">
        <f>DMHH!$C$284</f>
        <v>0</v>
      </c>
      <c r="F558" s="1" t="str">
        <f t="shared" si="66"/>
        <v>&gt;=41640</v>
      </c>
      <c r="G558" s="1" t="str">
        <f t="shared" si="67"/>
        <v>&lt;41640</v>
      </c>
    </row>
    <row r="559" spans="2:7">
      <c r="B559" s="1"/>
      <c r="C559" s="3" t="s">
        <v>28</v>
      </c>
      <c r="D559" s="3" t="s">
        <v>28</v>
      </c>
      <c r="E559" s="4" t="s">
        <v>228</v>
      </c>
      <c r="F559" s="3" t="s">
        <v>28</v>
      </c>
      <c r="G559" s="3" t="s">
        <v>28</v>
      </c>
    </row>
    <row r="560" spans="2:7">
      <c r="B560" s="1">
        <v>278</v>
      </c>
      <c r="C560" s="1" t="str">
        <f t="shared" si="64"/>
        <v>&gt;=41640</v>
      </c>
      <c r="D560" s="1" t="str">
        <f t="shared" si="65"/>
        <v>&lt;=42004</v>
      </c>
      <c r="E560" s="1">
        <f>DMHH!$C$285</f>
        <v>0</v>
      </c>
      <c r="F560" s="1" t="str">
        <f t="shared" si="66"/>
        <v>&gt;=41640</v>
      </c>
      <c r="G560" s="1" t="str">
        <f t="shared" si="67"/>
        <v>&lt;41640</v>
      </c>
    </row>
    <row r="561" spans="2:7">
      <c r="B561" s="1"/>
      <c r="C561" s="3" t="s">
        <v>28</v>
      </c>
      <c r="D561" s="3" t="s">
        <v>28</v>
      </c>
      <c r="E561" s="4" t="s">
        <v>228</v>
      </c>
      <c r="F561" s="3" t="s">
        <v>28</v>
      </c>
      <c r="G561" s="3" t="s">
        <v>28</v>
      </c>
    </row>
    <row r="562" spans="2:7">
      <c r="B562" s="1">
        <v>279</v>
      </c>
      <c r="C562" s="1" t="str">
        <f t="shared" si="64"/>
        <v>&gt;=41640</v>
      </c>
      <c r="D562" s="1" t="str">
        <f t="shared" si="65"/>
        <v>&lt;=42004</v>
      </c>
      <c r="E562" s="1">
        <f>DMHH!$C$286</f>
        <v>0</v>
      </c>
      <c r="F562" s="1" t="str">
        <f t="shared" si="66"/>
        <v>&gt;=41640</v>
      </c>
      <c r="G562" s="1" t="str">
        <f t="shared" si="67"/>
        <v>&lt;41640</v>
      </c>
    </row>
    <row r="563" spans="2:7">
      <c r="B563" s="1"/>
      <c r="C563" s="3" t="s">
        <v>28</v>
      </c>
      <c r="D563" s="3" t="s">
        <v>28</v>
      </c>
      <c r="E563" s="4" t="s">
        <v>228</v>
      </c>
      <c r="F563" s="3" t="s">
        <v>28</v>
      </c>
      <c r="G563" s="3" t="s">
        <v>28</v>
      </c>
    </row>
    <row r="564" spans="2:7">
      <c r="B564" s="1">
        <v>280</v>
      </c>
      <c r="C564" s="1" t="str">
        <f t="shared" si="64"/>
        <v>&gt;=41640</v>
      </c>
      <c r="D564" s="1" t="str">
        <f t="shared" si="65"/>
        <v>&lt;=42004</v>
      </c>
      <c r="E564" s="1">
        <f>DMHH!$C$287</f>
        <v>0</v>
      </c>
      <c r="F564" s="1" t="str">
        <f t="shared" si="66"/>
        <v>&gt;=41640</v>
      </c>
      <c r="G564" s="1" t="str">
        <f t="shared" si="67"/>
        <v>&lt;41640</v>
      </c>
    </row>
    <row r="565" spans="2:7">
      <c r="B565" s="1"/>
      <c r="C565" s="3" t="s">
        <v>28</v>
      </c>
      <c r="D565" s="3" t="s">
        <v>28</v>
      </c>
      <c r="E565" s="4" t="s">
        <v>228</v>
      </c>
      <c r="F565" s="3" t="s">
        <v>28</v>
      </c>
      <c r="G565" s="3" t="s">
        <v>28</v>
      </c>
    </row>
    <row r="566" spans="2:7">
      <c r="B566" s="1">
        <v>281</v>
      </c>
      <c r="C566" s="1" t="str">
        <f t="shared" si="64"/>
        <v>&gt;=41640</v>
      </c>
      <c r="D566" s="1" t="str">
        <f t="shared" si="65"/>
        <v>&lt;=42004</v>
      </c>
      <c r="E566" s="1">
        <f>DMHH!$C$288</f>
        <v>0</v>
      </c>
      <c r="F566" s="1" t="str">
        <f t="shared" si="66"/>
        <v>&gt;=41640</v>
      </c>
      <c r="G566" s="1" t="str">
        <f t="shared" si="67"/>
        <v>&lt;41640</v>
      </c>
    </row>
    <row r="567" spans="2:7">
      <c r="B567" s="1"/>
      <c r="C567" s="3" t="s">
        <v>28</v>
      </c>
      <c r="D567" s="3" t="s">
        <v>28</v>
      </c>
      <c r="E567" s="4" t="s">
        <v>228</v>
      </c>
      <c r="F567" s="3" t="s">
        <v>28</v>
      </c>
      <c r="G567" s="3" t="s">
        <v>28</v>
      </c>
    </row>
    <row r="568" spans="2:7">
      <c r="B568" s="1">
        <v>282</v>
      </c>
      <c r="C568" s="1" t="str">
        <f t="shared" si="64"/>
        <v>&gt;=41640</v>
      </c>
      <c r="D568" s="1" t="str">
        <f t="shared" si="65"/>
        <v>&lt;=42004</v>
      </c>
      <c r="E568" s="1">
        <f>DMHH!$C$289</f>
        <v>0</v>
      </c>
      <c r="F568" s="1" t="str">
        <f t="shared" si="66"/>
        <v>&gt;=41640</v>
      </c>
      <c r="G568" s="1" t="str">
        <f t="shared" si="67"/>
        <v>&lt;41640</v>
      </c>
    </row>
    <row r="569" spans="2:7">
      <c r="B569" s="1"/>
      <c r="C569" s="3" t="s">
        <v>28</v>
      </c>
      <c r="D569" s="3" t="s">
        <v>28</v>
      </c>
      <c r="E569" s="4" t="s">
        <v>228</v>
      </c>
      <c r="F569" s="3" t="s">
        <v>28</v>
      </c>
      <c r="G569" s="3" t="s">
        <v>28</v>
      </c>
    </row>
    <row r="570" spans="2:7">
      <c r="B570" s="1">
        <v>283</v>
      </c>
      <c r="C570" s="1" t="str">
        <f t="shared" si="64"/>
        <v>&gt;=41640</v>
      </c>
      <c r="D570" s="1" t="str">
        <f t="shared" si="65"/>
        <v>&lt;=42004</v>
      </c>
      <c r="E570" s="1">
        <f>DMHH!$C$290</f>
        <v>0</v>
      </c>
      <c r="F570" s="1" t="str">
        <f t="shared" si="66"/>
        <v>&gt;=41640</v>
      </c>
      <c r="G570" s="1" t="str">
        <f t="shared" si="67"/>
        <v>&lt;41640</v>
      </c>
    </row>
    <row r="571" spans="2:7">
      <c r="B571" s="1"/>
      <c r="C571" s="3" t="s">
        <v>28</v>
      </c>
      <c r="D571" s="3" t="s">
        <v>28</v>
      </c>
      <c r="E571" s="4" t="s">
        <v>228</v>
      </c>
      <c r="F571" s="3" t="s">
        <v>28</v>
      </c>
      <c r="G571" s="3" t="s">
        <v>28</v>
      </c>
    </row>
    <row r="572" spans="2:7">
      <c r="B572" s="1">
        <v>284</v>
      </c>
      <c r="C572" s="1" t="str">
        <f t="shared" si="64"/>
        <v>&gt;=41640</v>
      </c>
      <c r="D572" s="1" t="str">
        <f t="shared" si="65"/>
        <v>&lt;=42004</v>
      </c>
      <c r="E572" s="1">
        <f>DMHH!$C$291</f>
        <v>0</v>
      </c>
      <c r="F572" s="1" t="str">
        <f t="shared" si="66"/>
        <v>&gt;=41640</v>
      </c>
      <c r="G572" s="1" t="str">
        <f t="shared" si="67"/>
        <v>&lt;41640</v>
      </c>
    </row>
    <row r="573" spans="2:7">
      <c r="B573" s="1"/>
      <c r="C573" s="3" t="s">
        <v>28</v>
      </c>
      <c r="D573" s="3" t="s">
        <v>28</v>
      </c>
      <c r="E573" s="4" t="s">
        <v>228</v>
      </c>
      <c r="F573" s="3" t="s">
        <v>28</v>
      </c>
      <c r="G573" s="3" t="s">
        <v>28</v>
      </c>
    </row>
    <row r="574" spans="2:7">
      <c r="B574" s="1">
        <v>285</v>
      </c>
      <c r="C574" s="1" t="str">
        <f t="shared" si="64"/>
        <v>&gt;=41640</v>
      </c>
      <c r="D574" s="1" t="str">
        <f t="shared" si="65"/>
        <v>&lt;=42004</v>
      </c>
      <c r="E574" s="1">
        <f>DMHH!$C$292</f>
        <v>0</v>
      </c>
      <c r="F574" s="1" t="str">
        <f t="shared" si="66"/>
        <v>&gt;=41640</v>
      </c>
      <c r="G574" s="1" t="str">
        <f t="shared" si="67"/>
        <v>&lt;41640</v>
      </c>
    </row>
    <row r="575" spans="2:7">
      <c r="B575" s="1"/>
      <c r="C575" s="3" t="s">
        <v>28</v>
      </c>
      <c r="D575" s="3" t="s">
        <v>28</v>
      </c>
      <c r="E575" s="4" t="s">
        <v>228</v>
      </c>
      <c r="F575" s="3" t="s">
        <v>28</v>
      </c>
      <c r="G575" s="3" t="s">
        <v>28</v>
      </c>
    </row>
    <row r="576" spans="2:7">
      <c r="B576" s="1">
        <v>286</v>
      </c>
      <c r="C576" s="1" t="str">
        <f t="shared" si="64"/>
        <v>&gt;=41640</v>
      </c>
      <c r="D576" s="1" t="str">
        <f t="shared" si="65"/>
        <v>&lt;=42004</v>
      </c>
      <c r="E576" s="1">
        <f>DMHH!$C$293</f>
        <v>0</v>
      </c>
      <c r="F576" s="1" t="str">
        <f t="shared" si="66"/>
        <v>&gt;=41640</v>
      </c>
      <c r="G576" s="1" t="str">
        <f t="shared" si="67"/>
        <v>&lt;41640</v>
      </c>
    </row>
    <row r="577" spans="2:7">
      <c r="B577" s="1"/>
      <c r="C577" s="3" t="s">
        <v>28</v>
      </c>
      <c r="D577" s="3" t="s">
        <v>28</v>
      </c>
      <c r="E577" s="4" t="s">
        <v>228</v>
      </c>
      <c r="F577" s="3" t="s">
        <v>28</v>
      </c>
      <c r="G577" s="3" t="s">
        <v>28</v>
      </c>
    </row>
    <row r="578" spans="2:7">
      <c r="B578" s="1">
        <v>287</v>
      </c>
      <c r="C578" s="1" t="str">
        <f t="shared" si="64"/>
        <v>&gt;=41640</v>
      </c>
      <c r="D578" s="1" t="str">
        <f t="shared" si="65"/>
        <v>&lt;=42004</v>
      </c>
      <c r="E578" s="1">
        <f>DMHH!$C$294</f>
        <v>0</v>
      </c>
      <c r="F578" s="1" t="str">
        <f t="shared" si="66"/>
        <v>&gt;=41640</v>
      </c>
      <c r="G578" s="1" t="str">
        <f t="shared" si="67"/>
        <v>&lt;41640</v>
      </c>
    </row>
    <row r="579" spans="2:7">
      <c r="B579" s="1"/>
      <c r="C579" s="3" t="s">
        <v>28</v>
      </c>
      <c r="D579" s="3" t="s">
        <v>28</v>
      </c>
      <c r="E579" s="4" t="s">
        <v>228</v>
      </c>
      <c r="F579" s="3" t="s">
        <v>28</v>
      </c>
      <c r="G579" s="3" t="s">
        <v>28</v>
      </c>
    </row>
    <row r="580" spans="2:7">
      <c r="B580" s="1">
        <v>288</v>
      </c>
      <c r="C580" s="1" t="str">
        <f t="shared" si="64"/>
        <v>&gt;=41640</v>
      </c>
      <c r="D580" s="1" t="str">
        <f t="shared" si="65"/>
        <v>&lt;=42004</v>
      </c>
      <c r="E580" s="1">
        <f>DMHH!$C$295</f>
        <v>0</v>
      </c>
      <c r="F580" s="1" t="str">
        <f t="shared" si="66"/>
        <v>&gt;=41640</v>
      </c>
      <c r="G580" s="1" t="str">
        <f t="shared" si="67"/>
        <v>&lt;41640</v>
      </c>
    </row>
    <row r="581" spans="2:7">
      <c r="B581" s="1"/>
      <c r="C581" s="3" t="s">
        <v>28</v>
      </c>
      <c r="D581" s="3" t="s">
        <v>28</v>
      </c>
      <c r="E581" s="4" t="s">
        <v>228</v>
      </c>
      <c r="F581" s="3" t="s">
        <v>28</v>
      </c>
      <c r="G581" s="3" t="s">
        <v>28</v>
      </c>
    </row>
    <row r="582" spans="2:7">
      <c r="B582" s="1">
        <v>289</v>
      </c>
      <c r="C582" s="1" t="str">
        <f t="shared" si="64"/>
        <v>&gt;=41640</v>
      </c>
      <c r="D582" s="1" t="str">
        <f t="shared" si="65"/>
        <v>&lt;=42004</v>
      </c>
      <c r="E582" s="1">
        <f>DMHH!$C$296</f>
        <v>0</v>
      </c>
      <c r="F582" s="1" t="str">
        <f t="shared" si="66"/>
        <v>&gt;=41640</v>
      </c>
      <c r="G582" s="1" t="str">
        <f t="shared" si="67"/>
        <v>&lt;41640</v>
      </c>
    </row>
    <row r="583" spans="2:7">
      <c r="B583" s="1"/>
      <c r="C583" s="3" t="s">
        <v>28</v>
      </c>
      <c r="D583" s="3" t="s">
        <v>28</v>
      </c>
      <c r="E583" s="4" t="s">
        <v>228</v>
      </c>
      <c r="F583" s="3" t="s">
        <v>28</v>
      </c>
      <c r="G583" s="3" t="s">
        <v>28</v>
      </c>
    </row>
    <row r="584" spans="2:7">
      <c r="B584" s="1">
        <v>290</v>
      </c>
      <c r="C584" s="1" t="str">
        <f t="shared" si="64"/>
        <v>&gt;=41640</v>
      </c>
      <c r="D584" s="1" t="str">
        <f t="shared" si="65"/>
        <v>&lt;=42004</v>
      </c>
      <c r="E584" s="1">
        <f>DMHH!$C$297</f>
        <v>0</v>
      </c>
      <c r="F584" s="1" t="str">
        <f t="shared" si="66"/>
        <v>&gt;=41640</v>
      </c>
      <c r="G584" s="1" t="str">
        <f t="shared" si="67"/>
        <v>&lt;41640</v>
      </c>
    </row>
    <row r="585" spans="2:7">
      <c r="B585" s="1"/>
      <c r="C585" s="3" t="s">
        <v>28</v>
      </c>
      <c r="D585" s="3" t="s">
        <v>28</v>
      </c>
      <c r="E585" s="4" t="s">
        <v>228</v>
      </c>
      <c r="F585" s="3" t="s">
        <v>28</v>
      </c>
      <c r="G585" s="3" t="s">
        <v>28</v>
      </c>
    </row>
    <row r="586" spans="2:7">
      <c r="B586" s="1">
        <v>291</v>
      </c>
      <c r="C586" s="1" t="str">
        <f t="shared" si="64"/>
        <v>&gt;=41640</v>
      </c>
      <c r="D586" s="1" t="str">
        <f t="shared" si="65"/>
        <v>&lt;=42004</v>
      </c>
      <c r="E586" s="1">
        <f>DMHH!$C$298</f>
        <v>0</v>
      </c>
      <c r="F586" s="1" t="str">
        <f t="shared" si="66"/>
        <v>&gt;=41640</v>
      </c>
      <c r="G586" s="1" t="str">
        <f t="shared" si="67"/>
        <v>&lt;41640</v>
      </c>
    </row>
    <row r="587" spans="2:7">
      <c r="B587" s="1"/>
      <c r="C587" s="3" t="s">
        <v>28</v>
      </c>
      <c r="D587" s="3" t="s">
        <v>28</v>
      </c>
      <c r="E587" s="4" t="s">
        <v>228</v>
      </c>
      <c r="F587" s="3" t="s">
        <v>28</v>
      </c>
      <c r="G587" s="3" t="s">
        <v>28</v>
      </c>
    </row>
    <row r="588" spans="2:7">
      <c r="B588" s="1">
        <v>292</v>
      </c>
      <c r="C588" s="1" t="str">
        <f t="shared" si="64"/>
        <v>&gt;=41640</v>
      </c>
      <c r="D588" s="1" t="str">
        <f t="shared" si="65"/>
        <v>&lt;=42004</v>
      </c>
      <c r="E588" s="1">
        <f>DMHH!$C$299</f>
        <v>0</v>
      </c>
      <c r="F588" s="1" t="str">
        <f t="shared" si="66"/>
        <v>&gt;=41640</v>
      </c>
      <c r="G588" s="1" t="str">
        <f t="shared" si="67"/>
        <v>&lt;41640</v>
      </c>
    </row>
    <row r="589" spans="2:7">
      <c r="B589" s="1"/>
      <c r="C589" s="3" t="s">
        <v>28</v>
      </c>
      <c r="D589" s="3" t="s">
        <v>28</v>
      </c>
      <c r="E589" s="4" t="s">
        <v>228</v>
      </c>
      <c r="F589" s="3" t="s">
        <v>28</v>
      </c>
      <c r="G589" s="3" t="s">
        <v>28</v>
      </c>
    </row>
    <row r="590" spans="2:7">
      <c r="B590" s="1">
        <v>293</v>
      </c>
      <c r="C590" s="1" t="str">
        <f t="shared" si="64"/>
        <v>&gt;=41640</v>
      </c>
      <c r="D590" s="1" t="str">
        <f t="shared" si="65"/>
        <v>&lt;=42004</v>
      </c>
      <c r="E590" s="1">
        <f>DMHH!$C$300</f>
        <v>0</v>
      </c>
      <c r="F590" s="1" t="str">
        <f t="shared" si="66"/>
        <v>&gt;=41640</v>
      </c>
      <c r="G590" s="1" t="str">
        <f t="shared" si="67"/>
        <v>&lt;41640</v>
      </c>
    </row>
    <row r="591" spans="2:7">
      <c r="B591" s="1"/>
      <c r="C591" s="3" t="s">
        <v>28</v>
      </c>
      <c r="D591" s="3" t="s">
        <v>28</v>
      </c>
      <c r="E591" s="4" t="s">
        <v>228</v>
      </c>
      <c r="F591" s="3" t="s">
        <v>28</v>
      </c>
      <c r="G591" s="3" t="s">
        <v>28</v>
      </c>
    </row>
    <row r="592" spans="2:7">
      <c r="B592" s="1">
        <v>294</v>
      </c>
      <c r="C592" s="1" t="str">
        <f t="shared" si="64"/>
        <v>&gt;=41640</v>
      </c>
      <c r="D592" s="1" t="str">
        <f t="shared" si="65"/>
        <v>&lt;=42004</v>
      </c>
      <c r="E592" s="1">
        <f>DMHH!$C$301</f>
        <v>0</v>
      </c>
      <c r="F592" s="1" t="str">
        <f t="shared" si="66"/>
        <v>&gt;=41640</v>
      </c>
      <c r="G592" s="1" t="str">
        <f t="shared" si="67"/>
        <v>&lt;41640</v>
      </c>
    </row>
    <row r="593" spans="2:7">
      <c r="B593" s="1"/>
      <c r="C593" s="3" t="s">
        <v>28</v>
      </c>
      <c r="D593" s="3" t="s">
        <v>28</v>
      </c>
      <c r="E593" s="4" t="s">
        <v>228</v>
      </c>
      <c r="F593" s="3" t="s">
        <v>28</v>
      </c>
      <c r="G593" s="3" t="s">
        <v>28</v>
      </c>
    </row>
    <row r="594" spans="2:7">
      <c r="B594" s="1">
        <v>295</v>
      </c>
      <c r="C594" s="1" t="str">
        <f t="shared" si="64"/>
        <v>&gt;=41640</v>
      </c>
      <c r="D594" s="1" t="str">
        <f t="shared" si="65"/>
        <v>&lt;=42004</v>
      </c>
      <c r="E594" s="1">
        <f>DMHH!$C$302</f>
        <v>0</v>
      </c>
      <c r="F594" s="1" t="str">
        <f t="shared" si="66"/>
        <v>&gt;=41640</v>
      </c>
      <c r="G594" s="1" t="str">
        <f t="shared" si="67"/>
        <v>&lt;41640</v>
      </c>
    </row>
    <row r="595" spans="2:7">
      <c r="B595" s="1"/>
      <c r="C595" s="3" t="s">
        <v>28</v>
      </c>
      <c r="D595" s="3" t="s">
        <v>28</v>
      </c>
      <c r="E595" s="4" t="s">
        <v>228</v>
      </c>
      <c r="F595" s="3" t="s">
        <v>28</v>
      </c>
      <c r="G595" s="3" t="s">
        <v>28</v>
      </c>
    </row>
    <row r="596" spans="2:7">
      <c r="B596" s="1">
        <v>296</v>
      </c>
      <c r="C596" s="1" t="str">
        <f t="shared" si="64"/>
        <v>&gt;=41640</v>
      </c>
      <c r="D596" s="1" t="str">
        <f t="shared" si="65"/>
        <v>&lt;=42004</v>
      </c>
      <c r="E596" s="1">
        <f>DMHH!$C$303</f>
        <v>0</v>
      </c>
      <c r="F596" s="1" t="str">
        <f t="shared" si="66"/>
        <v>&gt;=41640</v>
      </c>
      <c r="G596" s="1" t="str">
        <f t="shared" si="67"/>
        <v>&lt;41640</v>
      </c>
    </row>
    <row r="597" spans="2:7">
      <c r="B597" s="1"/>
      <c r="C597" s="3" t="s">
        <v>28</v>
      </c>
      <c r="D597" s="3" t="s">
        <v>28</v>
      </c>
      <c r="E597" s="4" t="s">
        <v>228</v>
      </c>
      <c r="F597" s="3" t="s">
        <v>28</v>
      </c>
      <c r="G597" s="3" t="s">
        <v>28</v>
      </c>
    </row>
    <row r="598" spans="2:7">
      <c r="B598" s="1">
        <v>297</v>
      </c>
      <c r="C598" s="1" t="str">
        <f t="shared" si="64"/>
        <v>&gt;=41640</v>
      </c>
      <c r="D598" s="1" t="str">
        <f t="shared" si="65"/>
        <v>&lt;=42004</v>
      </c>
      <c r="E598" s="1">
        <f>DMHH!$C$304</f>
        <v>0</v>
      </c>
      <c r="F598" s="1" t="str">
        <f t="shared" si="66"/>
        <v>&gt;=41640</v>
      </c>
      <c r="G598" s="1" t="str">
        <f t="shared" si="67"/>
        <v>&lt;41640</v>
      </c>
    </row>
    <row r="599" spans="2:7">
      <c r="B599" s="1"/>
      <c r="C599" s="3" t="s">
        <v>28</v>
      </c>
      <c r="D599" s="3" t="s">
        <v>28</v>
      </c>
      <c r="E599" s="4" t="s">
        <v>228</v>
      </c>
      <c r="F599" s="3" t="s">
        <v>28</v>
      </c>
      <c r="G599" s="3" t="s">
        <v>28</v>
      </c>
    </row>
    <row r="600" spans="2:7">
      <c r="B600" s="1">
        <v>298</v>
      </c>
      <c r="C600" s="1" t="str">
        <f t="shared" si="64"/>
        <v>&gt;=41640</v>
      </c>
      <c r="D600" s="1" t="str">
        <f t="shared" si="65"/>
        <v>&lt;=42004</v>
      </c>
      <c r="E600" s="1">
        <f>DMHH!$C$305</f>
        <v>0</v>
      </c>
      <c r="F600" s="1" t="str">
        <f t="shared" si="66"/>
        <v>&gt;=41640</v>
      </c>
      <c r="G600" s="1" t="str">
        <f t="shared" si="67"/>
        <v>&lt;41640</v>
      </c>
    </row>
    <row r="601" spans="2:7">
      <c r="B601" s="1"/>
      <c r="C601" s="3" t="s">
        <v>28</v>
      </c>
      <c r="D601" s="3" t="s">
        <v>28</v>
      </c>
      <c r="E601" s="4" t="s">
        <v>228</v>
      </c>
      <c r="F601" s="3" t="s">
        <v>28</v>
      </c>
      <c r="G601" s="3" t="s">
        <v>28</v>
      </c>
    </row>
    <row r="602" spans="2:7">
      <c r="B602" s="1">
        <v>299</v>
      </c>
      <c r="C602" s="1" t="str">
        <f t="shared" si="64"/>
        <v>&gt;=41640</v>
      </c>
      <c r="D602" s="1" t="str">
        <f t="shared" si="65"/>
        <v>&lt;=42004</v>
      </c>
      <c r="E602" s="1">
        <f>DMHH!$C$306</f>
        <v>0</v>
      </c>
      <c r="F602" s="1" t="str">
        <f t="shared" si="66"/>
        <v>&gt;=41640</v>
      </c>
      <c r="G602" s="1" t="str">
        <f t="shared" si="67"/>
        <v>&lt;41640</v>
      </c>
    </row>
    <row r="603" spans="2:7">
      <c r="B603" s="1"/>
      <c r="C603" s="3" t="s">
        <v>28</v>
      </c>
      <c r="D603" s="3" t="s">
        <v>28</v>
      </c>
      <c r="E603" s="4" t="s">
        <v>228</v>
      </c>
      <c r="F603" s="3" t="s">
        <v>28</v>
      </c>
      <c r="G603" s="3" t="s">
        <v>28</v>
      </c>
    </row>
    <row r="604" spans="2:7">
      <c r="B604" s="1">
        <v>300</v>
      </c>
      <c r="C604" s="1" t="str">
        <f t="shared" si="64"/>
        <v>&gt;=41640</v>
      </c>
      <c r="D604" s="1" t="str">
        <f t="shared" si="65"/>
        <v>&lt;=42004</v>
      </c>
      <c r="E604" s="1">
        <f>DMHH!$C$307</f>
        <v>0</v>
      </c>
      <c r="F604" s="1" t="str">
        <f t="shared" si="66"/>
        <v>&gt;=41640</v>
      </c>
      <c r="G604" s="1" t="str">
        <f t="shared" si="67"/>
        <v>&lt;41640</v>
      </c>
    </row>
    <row r="605" spans="2:7">
      <c r="B605" s="1"/>
      <c r="C605" s="3" t="s">
        <v>28</v>
      </c>
      <c r="D605" s="3" t="s">
        <v>28</v>
      </c>
      <c r="E605" s="4" t="s">
        <v>228</v>
      </c>
      <c r="F605" s="3" t="s">
        <v>28</v>
      </c>
      <c r="G605" s="3" t="s">
        <v>28</v>
      </c>
    </row>
    <row r="606" spans="2:7">
      <c r="B606" s="1">
        <v>301</v>
      </c>
      <c r="C606" s="1" t="str">
        <f t="shared" si="64"/>
        <v>&gt;=41640</v>
      </c>
      <c r="D606" s="1" t="str">
        <f t="shared" si="65"/>
        <v>&lt;=42004</v>
      </c>
      <c r="E606" s="1">
        <f>DMHH!$C$308</f>
        <v>0</v>
      </c>
      <c r="F606" s="1" t="str">
        <f t="shared" si="66"/>
        <v>&gt;=41640</v>
      </c>
      <c r="G606" s="1" t="str">
        <f t="shared" si="67"/>
        <v>&lt;41640</v>
      </c>
    </row>
    <row r="607" spans="2:7">
      <c r="B607" s="1"/>
      <c r="C607" s="3" t="s">
        <v>28</v>
      </c>
      <c r="D607" s="3" t="s">
        <v>28</v>
      </c>
      <c r="E607" s="4" t="s">
        <v>228</v>
      </c>
      <c r="F607" s="3" t="s">
        <v>28</v>
      </c>
      <c r="G607" s="3" t="s">
        <v>28</v>
      </c>
    </row>
    <row r="608" spans="2:7">
      <c r="B608" s="1">
        <v>302</v>
      </c>
      <c r="C608" s="1" t="str">
        <f t="shared" si="64"/>
        <v>&gt;=41640</v>
      </c>
      <c r="D608" s="1" t="str">
        <f t="shared" si="65"/>
        <v>&lt;=42004</v>
      </c>
      <c r="E608" s="1">
        <f>DMHH!$C$309</f>
        <v>0</v>
      </c>
      <c r="F608" s="1" t="str">
        <f t="shared" si="66"/>
        <v>&gt;=41640</v>
      </c>
      <c r="G608" s="1" t="str">
        <f t="shared" si="67"/>
        <v>&lt;41640</v>
      </c>
    </row>
    <row r="609" spans="2:7">
      <c r="B609" s="1"/>
      <c r="C609" s="3" t="s">
        <v>28</v>
      </c>
      <c r="D609" s="3" t="s">
        <v>28</v>
      </c>
      <c r="E609" s="4" t="s">
        <v>228</v>
      </c>
      <c r="F609" s="3" t="s">
        <v>28</v>
      </c>
      <c r="G609" s="3" t="s">
        <v>28</v>
      </c>
    </row>
    <row r="610" spans="2:7">
      <c r="B610" s="1">
        <v>303</v>
      </c>
      <c r="C610" s="1" t="str">
        <f t="shared" ref="C610:C672" si="68">"&gt;="&amp;$C$3</f>
        <v>&gt;=41640</v>
      </c>
      <c r="D610" s="1" t="str">
        <f t="shared" ref="D610:D672" si="69">"&lt;="&amp;$E$3</f>
        <v>&lt;=42004</v>
      </c>
      <c r="E610" s="1">
        <f>DMHH!$C$310</f>
        <v>0</v>
      </c>
      <c r="F610" s="1" t="str">
        <f t="shared" ref="F610:F672" si="70">"&gt;="&amp;$C$2</f>
        <v>&gt;=41640</v>
      </c>
      <c r="G610" s="1" t="str">
        <f t="shared" ref="G610:G672" si="71">"&lt;"&amp;$C$3</f>
        <v>&lt;41640</v>
      </c>
    </row>
    <row r="611" spans="2:7">
      <c r="B611" s="1"/>
      <c r="C611" s="3" t="s">
        <v>28</v>
      </c>
      <c r="D611" s="3" t="s">
        <v>28</v>
      </c>
      <c r="E611" s="4" t="s">
        <v>228</v>
      </c>
      <c r="F611" s="3" t="s">
        <v>28</v>
      </c>
      <c r="G611" s="3" t="s">
        <v>28</v>
      </c>
    </row>
    <row r="612" spans="2:7">
      <c r="B612" s="1">
        <v>304</v>
      </c>
      <c r="C612" s="1" t="str">
        <f t="shared" si="68"/>
        <v>&gt;=41640</v>
      </c>
      <c r="D612" s="1" t="str">
        <f t="shared" si="69"/>
        <v>&lt;=42004</v>
      </c>
      <c r="E612" s="1">
        <f>DMHH!$C$311</f>
        <v>0</v>
      </c>
      <c r="F612" s="1" t="str">
        <f t="shared" si="70"/>
        <v>&gt;=41640</v>
      </c>
      <c r="G612" s="1" t="str">
        <f t="shared" si="71"/>
        <v>&lt;41640</v>
      </c>
    </row>
    <row r="613" spans="2:7">
      <c r="B613" s="1"/>
      <c r="C613" s="3" t="s">
        <v>28</v>
      </c>
      <c r="D613" s="3" t="s">
        <v>28</v>
      </c>
      <c r="E613" s="4" t="s">
        <v>228</v>
      </c>
      <c r="F613" s="3" t="s">
        <v>28</v>
      </c>
      <c r="G613" s="3" t="s">
        <v>28</v>
      </c>
    </row>
    <row r="614" spans="2:7">
      <c r="B614" s="1">
        <v>305</v>
      </c>
      <c r="C614" s="1" t="str">
        <f t="shared" si="68"/>
        <v>&gt;=41640</v>
      </c>
      <c r="D614" s="1" t="str">
        <f t="shared" si="69"/>
        <v>&lt;=42004</v>
      </c>
      <c r="E614" s="1">
        <f>DMHH!$C$312</f>
        <v>0</v>
      </c>
      <c r="F614" s="1" t="str">
        <f t="shared" si="70"/>
        <v>&gt;=41640</v>
      </c>
      <c r="G614" s="1" t="str">
        <f t="shared" si="71"/>
        <v>&lt;41640</v>
      </c>
    </row>
    <row r="615" spans="2:7">
      <c r="B615" s="1"/>
      <c r="C615" s="3" t="s">
        <v>28</v>
      </c>
      <c r="D615" s="3" t="s">
        <v>28</v>
      </c>
      <c r="E615" s="4" t="s">
        <v>228</v>
      </c>
      <c r="F615" s="3" t="s">
        <v>28</v>
      </c>
      <c r="G615" s="3" t="s">
        <v>28</v>
      </c>
    </row>
    <row r="616" spans="2:7">
      <c r="B616" s="1">
        <v>306</v>
      </c>
      <c r="C616" s="1" t="str">
        <f t="shared" si="68"/>
        <v>&gt;=41640</v>
      </c>
      <c r="D616" s="1" t="str">
        <f t="shared" si="69"/>
        <v>&lt;=42004</v>
      </c>
      <c r="E616" s="1">
        <f>DMHH!$C$313</f>
        <v>0</v>
      </c>
      <c r="F616" s="1" t="str">
        <f t="shared" si="70"/>
        <v>&gt;=41640</v>
      </c>
      <c r="G616" s="1" t="str">
        <f t="shared" si="71"/>
        <v>&lt;41640</v>
      </c>
    </row>
    <row r="617" spans="2:7">
      <c r="B617" s="1"/>
      <c r="C617" s="3" t="s">
        <v>28</v>
      </c>
      <c r="D617" s="3" t="s">
        <v>28</v>
      </c>
      <c r="E617" s="4" t="s">
        <v>228</v>
      </c>
      <c r="F617" s="3" t="s">
        <v>28</v>
      </c>
      <c r="G617" s="3" t="s">
        <v>28</v>
      </c>
    </row>
    <row r="618" spans="2:7">
      <c r="B618" s="1">
        <v>307</v>
      </c>
      <c r="C618" s="1" t="str">
        <f t="shared" si="68"/>
        <v>&gt;=41640</v>
      </c>
      <c r="D618" s="1" t="str">
        <f t="shared" si="69"/>
        <v>&lt;=42004</v>
      </c>
      <c r="E618" s="1">
        <f>DMHH!$C$314</f>
        <v>0</v>
      </c>
      <c r="F618" s="1" t="str">
        <f t="shared" si="70"/>
        <v>&gt;=41640</v>
      </c>
      <c r="G618" s="1" t="str">
        <f t="shared" si="71"/>
        <v>&lt;41640</v>
      </c>
    </row>
    <row r="619" spans="2:7">
      <c r="B619" s="1"/>
      <c r="C619" s="3" t="s">
        <v>28</v>
      </c>
      <c r="D619" s="3" t="s">
        <v>28</v>
      </c>
      <c r="E619" s="4" t="s">
        <v>228</v>
      </c>
      <c r="F619" s="3" t="s">
        <v>28</v>
      </c>
      <c r="G619" s="3" t="s">
        <v>28</v>
      </c>
    </row>
    <row r="620" spans="2:7">
      <c r="B620" s="1">
        <v>308</v>
      </c>
      <c r="C620" s="1" t="str">
        <f t="shared" si="68"/>
        <v>&gt;=41640</v>
      </c>
      <c r="D620" s="1" t="str">
        <f t="shared" si="69"/>
        <v>&lt;=42004</v>
      </c>
      <c r="E620" s="1">
        <f>DMHH!$C$315</f>
        <v>0</v>
      </c>
      <c r="F620" s="1" t="str">
        <f t="shared" si="70"/>
        <v>&gt;=41640</v>
      </c>
      <c r="G620" s="1" t="str">
        <f t="shared" si="71"/>
        <v>&lt;41640</v>
      </c>
    </row>
    <row r="621" spans="2:7">
      <c r="B621" s="1"/>
      <c r="C621" s="3" t="s">
        <v>28</v>
      </c>
      <c r="D621" s="3" t="s">
        <v>28</v>
      </c>
      <c r="E621" s="4" t="s">
        <v>228</v>
      </c>
      <c r="F621" s="3" t="s">
        <v>28</v>
      </c>
      <c r="G621" s="3" t="s">
        <v>28</v>
      </c>
    </row>
    <row r="622" spans="2:7">
      <c r="B622" s="1">
        <v>309</v>
      </c>
      <c r="C622" s="1" t="str">
        <f t="shared" si="68"/>
        <v>&gt;=41640</v>
      </c>
      <c r="D622" s="1" t="str">
        <f t="shared" si="69"/>
        <v>&lt;=42004</v>
      </c>
      <c r="E622" s="1">
        <f>DMHH!$C$316</f>
        <v>0</v>
      </c>
      <c r="F622" s="1" t="str">
        <f t="shared" si="70"/>
        <v>&gt;=41640</v>
      </c>
      <c r="G622" s="1" t="str">
        <f t="shared" si="71"/>
        <v>&lt;41640</v>
      </c>
    </row>
    <row r="623" spans="2:7">
      <c r="B623" s="1"/>
      <c r="C623" s="3" t="s">
        <v>28</v>
      </c>
      <c r="D623" s="3" t="s">
        <v>28</v>
      </c>
      <c r="E623" s="4" t="s">
        <v>228</v>
      </c>
      <c r="F623" s="3" t="s">
        <v>28</v>
      </c>
      <c r="G623" s="3" t="s">
        <v>28</v>
      </c>
    </row>
    <row r="624" spans="2:7">
      <c r="B624" s="1">
        <v>310</v>
      </c>
      <c r="C624" s="1" t="str">
        <f t="shared" si="68"/>
        <v>&gt;=41640</v>
      </c>
      <c r="D624" s="1" t="str">
        <f t="shared" si="69"/>
        <v>&lt;=42004</v>
      </c>
      <c r="E624" s="1">
        <f>DMHH!$C$317</f>
        <v>0</v>
      </c>
      <c r="F624" s="1" t="str">
        <f t="shared" si="70"/>
        <v>&gt;=41640</v>
      </c>
      <c r="G624" s="1" t="str">
        <f t="shared" si="71"/>
        <v>&lt;41640</v>
      </c>
    </row>
    <row r="625" spans="2:7">
      <c r="B625" s="1"/>
      <c r="C625" s="3" t="s">
        <v>28</v>
      </c>
      <c r="D625" s="3" t="s">
        <v>28</v>
      </c>
      <c r="E625" s="4" t="s">
        <v>228</v>
      </c>
      <c r="F625" s="3" t="s">
        <v>28</v>
      </c>
      <c r="G625" s="3" t="s">
        <v>28</v>
      </c>
    </row>
    <row r="626" spans="2:7">
      <c r="B626" s="1">
        <v>311</v>
      </c>
      <c r="C626" s="1" t="str">
        <f t="shared" si="68"/>
        <v>&gt;=41640</v>
      </c>
      <c r="D626" s="1" t="str">
        <f t="shared" si="69"/>
        <v>&lt;=42004</v>
      </c>
      <c r="E626" s="1">
        <f>DMHH!$C$318</f>
        <v>0</v>
      </c>
      <c r="F626" s="1" t="str">
        <f t="shared" si="70"/>
        <v>&gt;=41640</v>
      </c>
      <c r="G626" s="1" t="str">
        <f t="shared" si="71"/>
        <v>&lt;41640</v>
      </c>
    </row>
    <row r="627" spans="2:7">
      <c r="B627" s="1"/>
      <c r="C627" s="3" t="s">
        <v>28</v>
      </c>
      <c r="D627" s="3" t="s">
        <v>28</v>
      </c>
      <c r="E627" s="4" t="s">
        <v>228</v>
      </c>
      <c r="F627" s="3" t="s">
        <v>28</v>
      </c>
      <c r="G627" s="3" t="s">
        <v>28</v>
      </c>
    </row>
    <row r="628" spans="2:7">
      <c r="B628" s="1">
        <v>312</v>
      </c>
      <c r="C628" s="1" t="str">
        <f t="shared" si="68"/>
        <v>&gt;=41640</v>
      </c>
      <c r="D628" s="1" t="str">
        <f t="shared" si="69"/>
        <v>&lt;=42004</v>
      </c>
      <c r="E628" s="1">
        <f>DMHH!$C$319</f>
        <v>0</v>
      </c>
      <c r="F628" s="1" t="str">
        <f t="shared" si="70"/>
        <v>&gt;=41640</v>
      </c>
      <c r="G628" s="1" t="str">
        <f t="shared" si="71"/>
        <v>&lt;41640</v>
      </c>
    </row>
    <row r="629" spans="2:7">
      <c r="B629" s="1"/>
      <c r="C629" s="3" t="s">
        <v>28</v>
      </c>
      <c r="D629" s="3" t="s">
        <v>28</v>
      </c>
      <c r="E629" s="4" t="s">
        <v>228</v>
      </c>
      <c r="F629" s="3" t="s">
        <v>28</v>
      </c>
      <c r="G629" s="3" t="s">
        <v>28</v>
      </c>
    </row>
    <row r="630" spans="2:7">
      <c r="B630" s="1">
        <v>313</v>
      </c>
      <c r="C630" s="1" t="str">
        <f t="shared" si="68"/>
        <v>&gt;=41640</v>
      </c>
      <c r="D630" s="1" t="str">
        <f t="shared" si="69"/>
        <v>&lt;=42004</v>
      </c>
      <c r="E630" s="1">
        <f>DMHH!$C$320</f>
        <v>0</v>
      </c>
      <c r="F630" s="1" t="str">
        <f t="shared" si="70"/>
        <v>&gt;=41640</v>
      </c>
      <c r="G630" s="1" t="str">
        <f t="shared" si="71"/>
        <v>&lt;41640</v>
      </c>
    </row>
    <row r="631" spans="2:7">
      <c r="B631" s="1"/>
      <c r="C631" s="3" t="s">
        <v>28</v>
      </c>
      <c r="D631" s="3" t="s">
        <v>28</v>
      </c>
      <c r="E631" s="4" t="s">
        <v>228</v>
      </c>
      <c r="F631" s="3" t="s">
        <v>28</v>
      </c>
      <c r="G631" s="3" t="s">
        <v>28</v>
      </c>
    </row>
    <row r="632" spans="2:7">
      <c r="B632" s="1">
        <v>314</v>
      </c>
      <c r="C632" s="1" t="str">
        <f t="shared" si="68"/>
        <v>&gt;=41640</v>
      </c>
      <c r="D632" s="1" t="str">
        <f t="shared" si="69"/>
        <v>&lt;=42004</v>
      </c>
      <c r="E632" s="1">
        <f>DMHH!$C$321</f>
        <v>0</v>
      </c>
      <c r="F632" s="1" t="str">
        <f t="shared" si="70"/>
        <v>&gt;=41640</v>
      </c>
      <c r="G632" s="1" t="str">
        <f t="shared" si="71"/>
        <v>&lt;41640</v>
      </c>
    </row>
    <row r="633" spans="2:7">
      <c r="B633" s="1"/>
      <c r="C633" s="3" t="s">
        <v>28</v>
      </c>
      <c r="D633" s="3" t="s">
        <v>28</v>
      </c>
      <c r="E633" s="4" t="s">
        <v>228</v>
      </c>
      <c r="F633" s="3" t="s">
        <v>28</v>
      </c>
      <c r="G633" s="3" t="s">
        <v>28</v>
      </c>
    </row>
    <row r="634" spans="2:7">
      <c r="B634" s="1">
        <v>315</v>
      </c>
      <c r="C634" s="1" t="str">
        <f t="shared" si="68"/>
        <v>&gt;=41640</v>
      </c>
      <c r="D634" s="1" t="str">
        <f t="shared" si="69"/>
        <v>&lt;=42004</v>
      </c>
      <c r="E634" s="1">
        <f>DMHH!$C$322</f>
        <v>0</v>
      </c>
      <c r="F634" s="1" t="str">
        <f t="shared" si="70"/>
        <v>&gt;=41640</v>
      </c>
      <c r="G634" s="1" t="str">
        <f t="shared" si="71"/>
        <v>&lt;41640</v>
      </c>
    </row>
    <row r="635" spans="2:7">
      <c r="B635" s="1"/>
      <c r="C635" s="3" t="s">
        <v>28</v>
      </c>
      <c r="D635" s="3" t="s">
        <v>28</v>
      </c>
      <c r="E635" s="4" t="s">
        <v>228</v>
      </c>
      <c r="F635" s="3" t="s">
        <v>28</v>
      </c>
      <c r="G635" s="3" t="s">
        <v>28</v>
      </c>
    </row>
    <row r="636" spans="2:7">
      <c r="B636" s="1">
        <v>316</v>
      </c>
      <c r="C636" s="1" t="str">
        <f t="shared" si="68"/>
        <v>&gt;=41640</v>
      </c>
      <c r="D636" s="1" t="str">
        <f t="shared" si="69"/>
        <v>&lt;=42004</v>
      </c>
      <c r="E636" s="1">
        <f>DMHH!$C$323</f>
        <v>0</v>
      </c>
      <c r="F636" s="1" t="str">
        <f t="shared" si="70"/>
        <v>&gt;=41640</v>
      </c>
      <c r="G636" s="1" t="str">
        <f t="shared" si="71"/>
        <v>&lt;41640</v>
      </c>
    </row>
    <row r="637" spans="2:7">
      <c r="B637" s="1"/>
      <c r="C637" s="3" t="s">
        <v>28</v>
      </c>
      <c r="D637" s="3" t="s">
        <v>28</v>
      </c>
      <c r="E637" s="4" t="s">
        <v>228</v>
      </c>
      <c r="F637" s="3" t="s">
        <v>28</v>
      </c>
      <c r="G637" s="3" t="s">
        <v>28</v>
      </c>
    </row>
    <row r="638" spans="2:7">
      <c r="B638" s="1">
        <v>317</v>
      </c>
      <c r="C638" s="1" t="str">
        <f t="shared" si="68"/>
        <v>&gt;=41640</v>
      </c>
      <c r="D638" s="1" t="str">
        <f t="shared" si="69"/>
        <v>&lt;=42004</v>
      </c>
      <c r="E638" s="1">
        <f>DMHH!$C$324</f>
        <v>0</v>
      </c>
      <c r="F638" s="1" t="str">
        <f t="shared" si="70"/>
        <v>&gt;=41640</v>
      </c>
      <c r="G638" s="1" t="str">
        <f t="shared" si="71"/>
        <v>&lt;41640</v>
      </c>
    </row>
    <row r="639" spans="2:7">
      <c r="B639" s="1"/>
      <c r="C639" s="3" t="s">
        <v>28</v>
      </c>
      <c r="D639" s="3" t="s">
        <v>28</v>
      </c>
      <c r="E639" s="4" t="s">
        <v>228</v>
      </c>
      <c r="F639" s="3" t="s">
        <v>28</v>
      </c>
      <c r="G639" s="3" t="s">
        <v>28</v>
      </c>
    </row>
    <row r="640" spans="2:7">
      <c r="B640" s="1">
        <v>318</v>
      </c>
      <c r="C640" s="1" t="str">
        <f t="shared" si="68"/>
        <v>&gt;=41640</v>
      </c>
      <c r="D640" s="1" t="str">
        <f t="shared" si="69"/>
        <v>&lt;=42004</v>
      </c>
      <c r="E640" s="1">
        <f>DMHH!$C$325</f>
        <v>0</v>
      </c>
      <c r="F640" s="1" t="str">
        <f t="shared" si="70"/>
        <v>&gt;=41640</v>
      </c>
      <c r="G640" s="1" t="str">
        <f t="shared" si="71"/>
        <v>&lt;41640</v>
      </c>
    </row>
    <row r="641" spans="2:7">
      <c r="B641" s="1"/>
      <c r="C641" s="3" t="s">
        <v>28</v>
      </c>
      <c r="D641" s="3" t="s">
        <v>28</v>
      </c>
      <c r="E641" s="4" t="s">
        <v>228</v>
      </c>
      <c r="F641" s="3" t="s">
        <v>28</v>
      </c>
      <c r="G641" s="3" t="s">
        <v>28</v>
      </c>
    </row>
    <row r="642" spans="2:7">
      <c r="B642" s="1">
        <v>319</v>
      </c>
      <c r="C642" s="1" t="str">
        <f t="shared" si="68"/>
        <v>&gt;=41640</v>
      </c>
      <c r="D642" s="1" t="str">
        <f t="shared" si="69"/>
        <v>&lt;=42004</v>
      </c>
      <c r="E642" s="1">
        <f>DMHH!$C$326</f>
        <v>0</v>
      </c>
      <c r="F642" s="1" t="str">
        <f t="shared" si="70"/>
        <v>&gt;=41640</v>
      </c>
      <c r="G642" s="1" t="str">
        <f t="shared" si="71"/>
        <v>&lt;41640</v>
      </c>
    </row>
    <row r="643" spans="2:7">
      <c r="B643" s="1"/>
      <c r="C643" s="3" t="s">
        <v>28</v>
      </c>
      <c r="D643" s="3" t="s">
        <v>28</v>
      </c>
      <c r="E643" s="4" t="s">
        <v>228</v>
      </c>
      <c r="F643" s="3" t="s">
        <v>28</v>
      </c>
      <c r="G643" s="3" t="s">
        <v>28</v>
      </c>
    </row>
    <row r="644" spans="2:7">
      <c r="B644" s="1">
        <v>320</v>
      </c>
      <c r="C644" s="1" t="str">
        <f t="shared" si="68"/>
        <v>&gt;=41640</v>
      </c>
      <c r="D644" s="1" t="str">
        <f t="shared" si="69"/>
        <v>&lt;=42004</v>
      </c>
      <c r="E644" s="1">
        <f>DMHH!$C$327</f>
        <v>0</v>
      </c>
      <c r="F644" s="1" t="str">
        <f t="shared" si="70"/>
        <v>&gt;=41640</v>
      </c>
      <c r="G644" s="1" t="str">
        <f t="shared" si="71"/>
        <v>&lt;41640</v>
      </c>
    </row>
    <row r="645" spans="2:7">
      <c r="B645" s="1"/>
      <c r="C645" s="3" t="s">
        <v>28</v>
      </c>
      <c r="D645" s="3" t="s">
        <v>28</v>
      </c>
      <c r="E645" s="4" t="s">
        <v>228</v>
      </c>
      <c r="F645" s="3" t="s">
        <v>28</v>
      </c>
      <c r="G645" s="3" t="s">
        <v>28</v>
      </c>
    </row>
    <row r="646" spans="2:7">
      <c r="B646" s="1">
        <v>321</v>
      </c>
      <c r="C646" s="1" t="str">
        <f t="shared" si="68"/>
        <v>&gt;=41640</v>
      </c>
      <c r="D646" s="1" t="str">
        <f t="shared" si="69"/>
        <v>&lt;=42004</v>
      </c>
      <c r="E646" s="1">
        <f>DMHH!$C$328</f>
        <v>0</v>
      </c>
      <c r="F646" s="1" t="str">
        <f t="shared" si="70"/>
        <v>&gt;=41640</v>
      </c>
      <c r="G646" s="1" t="str">
        <f t="shared" si="71"/>
        <v>&lt;41640</v>
      </c>
    </row>
    <row r="647" spans="2:7">
      <c r="B647" s="1"/>
      <c r="C647" s="3" t="s">
        <v>28</v>
      </c>
      <c r="D647" s="3" t="s">
        <v>28</v>
      </c>
      <c r="E647" s="4" t="s">
        <v>228</v>
      </c>
      <c r="F647" s="3" t="s">
        <v>28</v>
      </c>
      <c r="G647" s="3" t="s">
        <v>28</v>
      </c>
    </row>
    <row r="648" spans="2:7">
      <c r="B648" s="1">
        <v>322</v>
      </c>
      <c r="C648" s="1" t="str">
        <f t="shared" si="68"/>
        <v>&gt;=41640</v>
      </c>
      <c r="D648" s="1" t="str">
        <f t="shared" si="69"/>
        <v>&lt;=42004</v>
      </c>
      <c r="E648" s="1">
        <f>DMHH!$C$329</f>
        <v>0</v>
      </c>
      <c r="F648" s="1" t="str">
        <f t="shared" si="70"/>
        <v>&gt;=41640</v>
      </c>
      <c r="G648" s="1" t="str">
        <f t="shared" si="71"/>
        <v>&lt;41640</v>
      </c>
    </row>
    <row r="649" spans="2:7">
      <c r="B649" s="1"/>
      <c r="C649" s="3" t="s">
        <v>28</v>
      </c>
      <c r="D649" s="3" t="s">
        <v>28</v>
      </c>
      <c r="E649" s="4" t="s">
        <v>228</v>
      </c>
      <c r="F649" s="3" t="s">
        <v>28</v>
      </c>
      <c r="G649" s="3" t="s">
        <v>28</v>
      </c>
    </row>
    <row r="650" spans="2:7">
      <c r="B650" s="1">
        <v>323</v>
      </c>
      <c r="C650" s="1" t="str">
        <f t="shared" si="68"/>
        <v>&gt;=41640</v>
      </c>
      <c r="D650" s="1" t="str">
        <f t="shared" si="69"/>
        <v>&lt;=42004</v>
      </c>
      <c r="E650" s="1">
        <f>DMHH!$C$330</f>
        <v>0</v>
      </c>
      <c r="F650" s="1" t="str">
        <f t="shared" si="70"/>
        <v>&gt;=41640</v>
      </c>
      <c r="G650" s="1" t="str">
        <f t="shared" si="71"/>
        <v>&lt;41640</v>
      </c>
    </row>
    <row r="651" spans="2:7">
      <c r="B651" s="1"/>
      <c r="C651" s="3" t="s">
        <v>28</v>
      </c>
      <c r="D651" s="3" t="s">
        <v>28</v>
      </c>
      <c r="E651" s="4" t="s">
        <v>228</v>
      </c>
      <c r="F651" s="3" t="s">
        <v>28</v>
      </c>
      <c r="G651" s="3" t="s">
        <v>28</v>
      </c>
    </row>
    <row r="652" spans="2:7">
      <c r="B652" s="1">
        <v>324</v>
      </c>
      <c r="C652" s="1" t="str">
        <f t="shared" si="68"/>
        <v>&gt;=41640</v>
      </c>
      <c r="D652" s="1" t="str">
        <f t="shared" si="69"/>
        <v>&lt;=42004</v>
      </c>
      <c r="E652" s="1">
        <f>DMHH!$C$331</f>
        <v>0</v>
      </c>
      <c r="F652" s="1" t="str">
        <f t="shared" si="70"/>
        <v>&gt;=41640</v>
      </c>
      <c r="G652" s="1" t="str">
        <f t="shared" si="71"/>
        <v>&lt;41640</v>
      </c>
    </row>
    <row r="653" spans="2:7">
      <c r="B653" s="1"/>
      <c r="C653" s="3" t="s">
        <v>28</v>
      </c>
      <c r="D653" s="3" t="s">
        <v>28</v>
      </c>
      <c r="E653" s="4" t="s">
        <v>228</v>
      </c>
      <c r="F653" s="3" t="s">
        <v>28</v>
      </c>
      <c r="G653" s="3" t="s">
        <v>28</v>
      </c>
    </row>
    <row r="654" spans="2:7">
      <c r="B654" s="1">
        <v>325</v>
      </c>
      <c r="C654" s="1" t="str">
        <f t="shared" si="68"/>
        <v>&gt;=41640</v>
      </c>
      <c r="D654" s="1" t="str">
        <f t="shared" si="69"/>
        <v>&lt;=42004</v>
      </c>
      <c r="E654" s="1">
        <f>DMHH!$C$332</f>
        <v>0</v>
      </c>
      <c r="F654" s="1" t="str">
        <f t="shared" si="70"/>
        <v>&gt;=41640</v>
      </c>
      <c r="G654" s="1" t="str">
        <f t="shared" si="71"/>
        <v>&lt;41640</v>
      </c>
    </row>
    <row r="655" spans="2:7">
      <c r="B655" s="1"/>
      <c r="C655" s="3" t="s">
        <v>28</v>
      </c>
      <c r="D655" s="3" t="s">
        <v>28</v>
      </c>
      <c r="E655" s="4" t="s">
        <v>228</v>
      </c>
      <c r="F655" s="3" t="s">
        <v>28</v>
      </c>
      <c r="G655" s="3" t="s">
        <v>28</v>
      </c>
    </row>
    <row r="656" spans="2:7">
      <c r="B656" s="1">
        <v>326</v>
      </c>
      <c r="C656" s="1" t="str">
        <f t="shared" si="68"/>
        <v>&gt;=41640</v>
      </c>
      <c r="D656" s="1" t="str">
        <f t="shared" si="69"/>
        <v>&lt;=42004</v>
      </c>
      <c r="E656" s="1">
        <f>DMHH!$C$333</f>
        <v>0</v>
      </c>
      <c r="F656" s="1" t="str">
        <f t="shared" si="70"/>
        <v>&gt;=41640</v>
      </c>
      <c r="G656" s="1" t="str">
        <f t="shared" si="71"/>
        <v>&lt;41640</v>
      </c>
    </row>
    <row r="657" spans="2:7">
      <c r="B657" s="1"/>
      <c r="C657" s="3" t="s">
        <v>28</v>
      </c>
      <c r="D657" s="3" t="s">
        <v>28</v>
      </c>
      <c r="E657" s="4" t="s">
        <v>228</v>
      </c>
      <c r="F657" s="3" t="s">
        <v>28</v>
      </c>
      <c r="G657" s="3" t="s">
        <v>28</v>
      </c>
    </row>
    <row r="658" spans="2:7">
      <c r="B658" s="1">
        <v>327</v>
      </c>
      <c r="C658" s="1" t="str">
        <f t="shared" si="68"/>
        <v>&gt;=41640</v>
      </c>
      <c r="D658" s="1" t="str">
        <f t="shared" si="69"/>
        <v>&lt;=42004</v>
      </c>
      <c r="E658" s="1">
        <f>DMHH!$C$334</f>
        <v>0</v>
      </c>
      <c r="F658" s="1" t="str">
        <f t="shared" si="70"/>
        <v>&gt;=41640</v>
      </c>
      <c r="G658" s="1" t="str">
        <f t="shared" si="71"/>
        <v>&lt;41640</v>
      </c>
    </row>
    <row r="659" spans="2:7">
      <c r="B659" s="1"/>
      <c r="C659" s="3" t="s">
        <v>28</v>
      </c>
      <c r="D659" s="3" t="s">
        <v>28</v>
      </c>
      <c r="E659" s="4" t="s">
        <v>228</v>
      </c>
      <c r="F659" s="3" t="s">
        <v>28</v>
      </c>
      <c r="G659" s="3" t="s">
        <v>28</v>
      </c>
    </row>
    <row r="660" spans="2:7">
      <c r="B660" s="1">
        <v>328</v>
      </c>
      <c r="C660" s="1" t="str">
        <f t="shared" si="68"/>
        <v>&gt;=41640</v>
      </c>
      <c r="D660" s="1" t="str">
        <f t="shared" si="69"/>
        <v>&lt;=42004</v>
      </c>
      <c r="E660" s="1">
        <f>DMHH!$C$335</f>
        <v>0</v>
      </c>
      <c r="F660" s="1" t="str">
        <f t="shared" si="70"/>
        <v>&gt;=41640</v>
      </c>
      <c r="G660" s="1" t="str">
        <f t="shared" si="71"/>
        <v>&lt;41640</v>
      </c>
    </row>
    <row r="661" spans="2:7">
      <c r="B661" s="1"/>
      <c r="C661" s="3" t="s">
        <v>28</v>
      </c>
      <c r="D661" s="3" t="s">
        <v>28</v>
      </c>
      <c r="E661" s="4" t="s">
        <v>228</v>
      </c>
      <c r="F661" s="3" t="s">
        <v>28</v>
      </c>
      <c r="G661" s="3" t="s">
        <v>28</v>
      </c>
    </row>
    <row r="662" spans="2:7">
      <c r="B662" s="1">
        <v>329</v>
      </c>
      <c r="C662" s="1" t="str">
        <f t="shared" si="68"/>
        <v>&gt;=41640</v>
      </c>
      <c r="D662" s="1" t="str">
        <f t="shared" si="69"/>
        <v>&lt;=42004</v>
      </c>
      <c r="E662" s="1">
        <f>DMHH!$C$336</f>
        <v>0</v>
      </c>
      <c r="F662" s="1" t="str">
        <f t="shared" si="70"/>
        <v>&gt;=41640</v>
      </c>
      <c r="G662" s="1" t="str">
        <f t="shared" si="71"/>
        <v>&lt;41640</v>
      </c>
    </row>
    <row r="663" spans="2:7">
      <c r="B663" s="1"/>
      <c r="C663" s="3" t="s">
        <v>28</v>
      </c>
      <c r="D663" s="3" t="s">
        <v>28</v>
      </c>
      <c r="E663" s="4" t="s">
        <v>228</v>
      </c>
      <c r="F663" s="3" t="s">
        <v>28</v>
      </c>
      <c r="G663" s="3" t="s">
        <v>28</v>
      </c>
    </row>
    <row r="664" spans="2:7">
      <c r="B664" s="1">
        <v>330</v>
      </c>
      <c r="C664" s="1" t="str">
        <f t="shared" si="68"/>
        <v>&gt;=41640</v>
      </c>
      <c r="D664" s="1" t="str">
        <f t="shared" si="69"/>
        <v>&lt;=42004</v>
      </c>
      <c r="E664" s="1">
        <f>DMHH!$C$337</f>
        <v>0</v>
      </c>
      <c r="F664" s="1" t="str">
        <f t="shared" si="70"/>
        <v>&gt;=41640</v>
      </c>
      <c r="G664" s="1" t="str">
        <f t="shared" si="71"/>
        <v>&lt;41640</v>
      </c>
    </row>
    <row r="665" spans="2:7">
      <c r="B665" s="1"/>
      <c r="C665" s="3" t="s">
        <v>28</v>
      </c>
      <c r="D665" s="3" t="s">
        <v>28</v>
      </c>
      <c r="E665" s="4" t="s">
        <v>228</v>
      </c>
      <c r="F665" s="3" t="s">
        <v>28</v>
      </c>
      <c r="G665" s="3" t="s">
        <v>28</v>
      </c>
    </row>
    <row r="666" spans="2:7">
      <c r="B666" s="1">
        <v>331</v>
      </c>
      <c r="C666" s="1" t="str">
        <f t="shared" si="68"/>
        <v>&gt;=41640</v>
      </c>
      <c r="D666" s="1" t="str">
        <f t="shared" si="69"/>
        <v>&lt;=42004</v>
      </c>
      <c r="E666" s="1">
        <f>DMHH!$C$338</f>
        <v>0</v>
      </c>
      <c r="F666" s="1" t="str">
        <f t="shared" si="70"/>
        <v>&gt;=41640</v>
      </c>
      <c r="G666" s="1" t="str">
        <f t="shared" si="71"/>
        <v>&lt;41640</v>
      </c>
    </row>
    <row r="667" spans="2:7">
      <c r="B667" s="1"/>
      <c r="C667" s="3" t="s">
        <v>28</v>
      </c>
      <c r="D667" s="3" t="s">
        <v>28</v>
      </c>
      <c r="E667" s="4" t="s">
        <v>228</v>
      </c>
      <c r="F667" s="3" t="s">
        <v>28</v>
      </c>
      <c r="G667" s="3" t="s">
        <v>28</v>
      </c>
    </row>
    <row r="668" spans="2:7">
      <c r="B668" s="1">
        <v>332</v>
      </c>
      <c r="C668" s="1" t="str">
        <f t="shared" si="68"/>
        <v>&gt;=41640</v>
      </c>
      <c r="D668" s="1" t="str">
        <f t="shared" si="69"/>
        <v>&lt;=42004</v>
      </c>
      <c r="E668" s="1">
        <f>DMHH!$C$339</f>
        <v>0</v>
      </c>
      <c r="F668" s="1" t="str">
        <f t="shared" si="70"/>
        <v>&gt;=41640</v>
      </c>
      <c r="G668" s="1" t="str">
        <f t="shared" si="71"/>
        <v>&lt;41640</v>
      </c>
    </row>
    <row r="669" spans="2:7">
      <c r="B669" s="1"/>
      <c r="C669" s="3" t="s">
        <v>28</v>
      </c>
      <c r="D669" s="3" t="s">
        <v>28</v>
      </c>
      <c r="E669" s="4" t="s">
        <v>228</v>
      </c>
      <c r="F669" s="3" t="s">
        <v>28</v>
      </c>
      <c r="G669" s="3" t="s">
        <v>28</v>
      </c>
    </row>
    <row r="670" spans="2:7">
      <c r="B670" s="1">
        <v>333</v>
      </c>
      <c r="C670" s="1" t="str">
        <f t="shared" si="68"/>
        <v>&gt;=41640</v>
      </c>
      <c r="D670" s="1" t="str">
        <f t="shared" si="69"/>
        <v>&lt;=42004</v>
      </c>
      <c r="E670" s="1">
        <f>DMHH!$C$340</f>
        <v>0</v>
      </c>
      <c r="F670" s="1" t="str">
        <f t="shared" si="70"/>
        <v>&gt;=41640</v>
      </c>
      <c r="G670" s="1" t="str">
        <f t="shared" si="71"/>
        <v>&lt;41640</v>
      </c>
    </row>
    <row r="671" spans="2:7">
      <c r="B671" s="1"/>
      <c r="C671" s="3" t="s">
        <v>28</v>
      </c>
      <c r="D671" s="3" t="s">
        <v>28</v>
      </c>
      <c r="E671" s="4" t="s">
        <v>228</v>
      </c>
      <c r="F671" s="3" t="s">
        <v>28</v>
      </c>
      <c r="G671" s="3" t="s">
        <v>28</v>
      </c>
    </row>
    <row r="672" spans="2:7">
      <c r="B672" s="1">
        <v>334</v>
      </c>
      <c r="C672" s="1" t="str">
        <f t="shared" si="68"/>
        <v>&gt;=41640</v>
      </c>
      <c r="D672" s="1" t="str">
        <f t="shared" si="69"/>
        <v>&lt;=42004</v>
      </c>
      <c r="E672" s="1">
        <f>DMHH!$C$341</f>
        <v>0</v>
      </c>
      <c r="F672" s="1" t="str">
        <f t="shared" si="70"/>
        <v>&gt;=41640</v>
      </c>
      <c r="G672" s="1" t="str">
        <f t="shared" si="71"/>
        <v>&lt;41640</v>
      </c>
    </row>
    <row r="673" spans="2:7">
      <c r="B673" s="1"/>
      <c r="C673" s="3" t="s">
        <v>28</v>
      </c>
      <c r="D673" s="3" t="s">
        <v>28</v>
      </c>
      <c r="E673" s="4" t="s">
        <v>228</v>
      </c>
      <c r="F673" s="3" t="s">
        <v>28</v>
      </c>
      <c r="G673" s="3" t="s">
        <v>28</v>
      </c>
    </row>
    <row r="674" spans="2:7">
      <c r="B674" s="1">
        <v>335</v>
      </c>
      <c r="C674" s="1" t="str">
        <f t="shared" ref="C674:C736" si="72">"&gt;="&amp;$C$3</f>
        <v>&gt;=41640</v>
      </c>
      <c r="D674" s="1" t="str">
        <f t="shared" ref="D674:D736" si="73">"&lt;="&amp;$E$3</f>
        <v>&lt;=42004</v>
      </c>
      <c r="E674" s="1">
        <f>DMHH!$C$342</f>
        <v>0</v>
      </c>
      <c r="F674" s="1" t="str">
        <f t="shared" ref="F674:F736" si="74">"&gt;="&amp;$C$2</f>
        <v>&gt;=41640</v>
      </c>
      <c r="G674" s="1" t="str">
        <f t="shared" ref="G674:G736" si="75">"&lt;"&amp;$C$3</f>
        <v>&lt;41640</v>
      </c>
    </row>
    <row r="675" spans="2:7">
      <c r="B675" s="1"/>
      <c r="C675" s="3" t="s">
        <v>28</v>
      </c>
      <c r="D675" s="3" t="s">
        <v>28</v>
      </c>
      <c r="E675" s="4" t="s">
        <v>228</v>
      </c>
      <c r="F675" s="3" t="s">
        <v>28</v>
      </c>
      <c r="G675" s="3" t="s">
        <v>28</v>
      </c>
    </row>
    <row r="676" spans="2:7">
      <c r="B676" s="1">
        <v>336</v>
      </c>
      <c r="C676" s="1" t="str">
        <f t="shared" si="72"/>
        <v>&gt;=41640</v>
      </c>
      <c r="D676" s="1" t="str">
        <f t="shared" si="73"/>
        <v>&lt;=42004</v>
      </c>
      <c r="E676" s="1">
        <f>DMHH!$C$343</f>
        <v>0</v>
      </c>
      <c r="F676" s="1" t="str">
        <f t="shared" si="74"/>
        <v>&gt;=41640</v>
      </c>
      <c r="G676" s="1" t="str">
        <f t="shared" si="75"/>
        <v>&lt;41640</v>
      </c>
    </row>
    <row r="677" spans="2:7">
      <c r="B677" s="1"/>
      <c r="C677" s="3" t="s">
        <v>28</v>
      </c>
      <c r="D677" s="3" t="s">
        <v>28</v>
      </c>
      <c r="E677" s="4" t="s">
        <v>228</v>
      </c>
      <c r="F677" s="3" t="s">
        <v>28</v>
      </c>
      <c r="G677" s="3" t="s">
        <v>28</v>
      </c>
    </row>
    <row r="678" spans="2:7">
      <c r="B678" s="1">
        <v>337</v>
      </c>
      <c r="C678" s="1" t="str">
        <f t="shared" si="72"/>
        <v>&gt;=41640</v>
      </c>
      <c r="D678" s="1" t="str">
        <f t="shared" si="73"/>
        <v>&lt;=42004</v>
      </c>
      <c r="E678" s="1">
        <f>DMHH!$C$344</f>
        <v>0</v>
      </c>
      <c r="F678" s="1" t="str">
        <f t="shared" si="74"/>
        <v>&gt;=41640</v>
      </c>
      <c r="G678" s="1" t="str">
        <f t="shared" si="75"/>
        <v>&lt;41640</v>
      </c>
    </row>
    <row r="679" spans="2:7">
      <c r="B679" s="1"/>
      <c r="C679" s="3" t="s">
        <v>28</v>
      </c>
      <c r="D679" s="3" t="s">
        <v>28</v>
      </c>
      <c r="E679" s="4" t="s">
        <v>228</v>
      </c>
      <c r="F679" s="3" t="s">
        <v>28</v>
      </c>
      <c r="G679" s="3" t="s">
        <v>28</v>
      </c>
    </row>
    <row r="680" spans="2:7">
      <c r="B680" s="1">
        <v>338</v>
      </c>
      <c r="C680" s="1" t="str">
        <f t="shared" si="72"/>
        <v>&gt;=41640</v>
      </c>
      <c r="D680" s="1" t="str">
        <f t="shared" si="73"/>
        <v>&lt;=42004</v>
      </c>
      <c r="E680" s="1">
        <f>DMHH!$C$345</f>
        <v>0</v>
      </c>
      <c r="F680" s="1" t="str">
        <f t="shared" si="74"/>
        <v>&gt;=41640</v>
      </c>
      <c r="G680" s="1" t="str">
        <f t="shared" si="75"/>
        <v>&lt;41640</v>
      </c>
    </row>
    <row r="681" spans="2:7">
      <c r="B681" s="1"/>
      <c r="C681" s="3" t="s">
        <v>28</v>
      </c>
      <c r="D681" s="3" t="s">
        <v>28</v>
      </c>
      <c r="E681" s="4" t="s">
        <v>228</v>
      </c>
      <c r="F681" s="3" t="s">
        <v>28</v>
      </c>
      <c r="G681" s="3" t="s">
        <v>28</v>
      </c>
    </row>
    <row r="682" spans="2:7">
      <c r="B682" s="1">
        <v>339</v>
      </c>
      <c r="C682" s="1" t="str">
        <f t="shared" si="72"/>
        <v>&gt;=41640</v>
      </c>
      <c r="D682" s="1" t="str">
        <f t="shared" si="73"/>
        <v>&lt;=42004</v>
      </c>
      <c r="E682" s="1">
        <f>DMHH!$C$346</f>
        <v>0</v>
      </c>
      <c r="F682" s="1" t="str">
        <f t="shared" si="74"/>
        <v>&gt;=41640</v>
      </c>
      <c r="G682" s="1" t="str">
        <f t="shared" si="75"/>
        <v>&lt;41640</v>
      </c>
    </row>
    <row r="683" spans="2:7">
      <c r="B683" s="1"/>
      <c r="C683" s="3" t="s">
        <v>28</v>
      </c>
      <c r="D683" s="3" t="s">
        <v>28</v>
      </c>
      <c r="E683" s="4" t="s">
        <v>228</v>
      </c>
      <c r="F683" s="3" t="s">
        <v>28</v>
      </c>
      <c r="G683" s="3" t="s">
        <v>28</v>
      </c>
    </row>
    <row r="684" spans="2:7">
      <c r="B684" s="1">
        <v>340</v>
      </c>
      <c r="C684" s="1" t="str">
        <f t="shared" si="72"/>
        <v>&gt;=41640</v>
      </c>
      <c r="D684" s="1" t="str">
        <f t="shared" si="73"/>
        <v>&lt;=42004</v>
      </c>
      <c r="E684" s="1">
        <f>DMHH!$C$347</f>
        <v>0</v>
      </c>
      <c r="F684" s="1" t="str">
        <f t="shared" si="74"/>
        <v>&gt;=41640</v>
      </c>
      <c r="G684" s="1" t="str">
        <f t="shared" si="75"/>
        <v>&lt;41640</v>
      </c>
    </row>
    <row r="685" spans="2:7">
      <c r="B685" s="1"/>
      <c r="C685" s="3" t="s">
        <v>28</v>
      </c>
      <c r="D685" s="3" t="s">
        <v>28</v>
      </c>
      <c r="E685" s="4" t="s">
        <v>228</v>
      </c>
      <c r="F685" s="3" t="s">
        <v>28</v>
      </c>
      <c r="G685" s="3" t="s">
        <v>28</v>
      </c>
    </row>
    <row r="686" spans="2:7">
      <c r="B686" s="1">
        <v>341</v>
      </c>
      <c r="C686" s="1" t="str">
        <f t="shared" si="72"/>
        <v>&gt;=41640</v>
      </c>
      <c r="D686" s="1" t="str">
        <f t="shared" si="73"/>
        <v>&lt;=42004</v>
      </c>
      <c r="E686" s="1">
        <f>DMHH!$C$348</f>
        <v>0</v>
      </c>
      <c r="F686" s="1" t="str">
        <f t="shared" si="74"/>
        <v>&gt;=41640</v>
      </c>
      <c r="G686" s="1" t="str">
        <f t="shared" si="75"/>
        <v>&lt;41640</v>
      </c>
    </row>
    <row r="687" spans="2:7">
      <c r="B687" s="1"/>
      <c r="C687" s="3" t="s">
        <v>28</v>
      </c>
      <c r="D687" s="3" t="s">
        <v>28</v>
      </c>
      <c r="E687" s="4" t="s">
        <v>228</v>
      </c>
      <c r="F687" s="3" t="s">
        <v>28</v>
      </c>
      <c r="G687" s="3" t="s">
        <v>28</v>
      </c>
    </row>
    <row r="688" spans="2:7">
      <c r="B688" s="1">
        <v>342</v>
      </c>
      <c r="C688" s="1" t="str">
        <f t="shared" si="72"/>
        <v>&gt;=41640</v>
      </c>
      <c r="D688" s="1" t="str">
        <f t="shared" si="73"/>
        <v>&lt;=42004</v>
      </c>
      <c r="E688" s="1">
        <f>DMHH!$C$349</f>
        <v>0</v>
      </c>
      <c r="F688" s="1" t="str">
        <f t="shared" si="74"/>
        <v>&gt;=41640</v>
      </c>
      <c r="G688" s="1" t="str">
        <f t="shared" si="75"/>
        <v>&lt;41640</v>
      </c>
    </row>
    <row r="689" spans="2:7">
      <c r="B689" s="1"/>
      <c r="C689" s="3" t="s">
        <v>28</v>
      </c>
      <c r="D689" s="3" t="s">
        <v>28</v>
      </c>
      <c r="E689" s="4" t="s">
        <v>228</v>
      </c>
      <c r="F689" s="3" t="s">
        <v>28</v>
      </c>
      <c r="G689" s="3" t="s">
        <v>28</v>
      </c>
    </row>
    <row r="690" spans="2:7">
      <c r="B690" s="1">
        <v>343</v>
      </c>
      <c r="C690" s="1" t="str">
        <f t="shared" si="72"/>
        <v>&gt;=41640</v>
      </c>
      <c r="D690" s="1" t="str">
        <f t="shared" si="73"/>
        <v>&lt;=42004</v>
      </c>
      <c r="E690" s="1">
        <f>DMHH!$C$350</f>
        <v>0</v>
      </c>
      <c r="F690" s="1" t="str">
        <f t="shared" si="74"/>
        <v>&gt;=41640</v>
      </c>
      <c r="G690" s="1" t="str">
        <f t="shared" si="75"/>
        <v>&lt;41640</v>
      </c>
    </row>
    <row r="691" spans="2:7">
      <c r="B691" s="1"/>
      <c r="C691" s="3" t="s">
        <v>28</v>
      </c>
      <c r="D691" s="3" t="s">
        <v>28</v>
      </c>
      <c r="E691" s="4" t="s">
        <v>228</v>
      </c>
      <c r="F691" s="3" t="s">
        <v>28</v>
      </c>
      <c r="G691" s="3" t="s">
        <v>28</v>
      </c>
    </row>
    <row r="692" spans="2:7">
      <c r="B692" s="1">
        <v>344</v>
      </c>
      <c r="C692" s="1" t="str">
        <f t="shared" si="72"/>
        <v>&gt;=41640</v>
      </c>
      <c r="D692" s="1" t="str">
        <f t="shared" si="73"/>
        <v>&lt;=42004</v>
      </c>
      <c r="E692" s="1">
        <f>DMHH!$C$351</f>
        <v>0</v>
      </c>
      <c r="F692" s="1" t="str">
        <f t="shared" si="74"/>
        <v>&gt;=41640</v>
      </c>
      <c r="G692" s="1" t="str">
        <f t="shared" si="75"/>
        <v>&lt;41640</v>
      </c>
    </row>
    <row r="693" spans="2:7">
      <c r="B693" s="1"/>
      <c r="C693" s="3" t="s">
        <v>28</v>
      </c>
      <c r="D693" s="3" t="s">
        <v>28</v>
      </c>
      <c r="E693" s="4" t="s">
        <v>228</v>
      </c>
      <c r="F693" s="3" t="s">
        <v>28</v>
      </c>
      <c r="G693" s="3" t="s">
        <v>28</v>
      </c>
    </row>
    <row r="694" spans="2:7">
      <c r="B694" s="1">
        <v>345</v>
      </c>
      <c r="C694" s="1" t="str">
        <f t="shared" si="72"/>
        <v>&gt;=41640</v>
      </c>
      <c r="D694" s="1" t="str">
        <f t="shared" si="73"/>
        <v>&lt;=42004</v>
      </c>
      <c r="E694" s="1">
        <f>DMHH!$C$352</f>
        <v>0</v>
      </c>
      <c r="F694" s="1" t="str">
        <f t="shared" si="74"/>
        <v>&gt;=41640</v>
      </c>
      <c r="G694" s="1" t="str">
        <f t="shared" si="75"/>
        <v>&lt;41640</v>
      </c>
    </row>
    <row r="695" spans="2:7">
      <c r="B695" s="1"/>
      <c r="C695" s="3" t="s">
        <v>28</v>
      </c>
      <c r="D695" s="3" t="s">
        <v>28</v>
      </c>
      <c r="E695" s="4" t="s">
        <v>228</v>
      </c>
      <c r="F695" s="3" t="s">
        <v>28</v>
      </c>
      <c r="G695" s="3" t="s">
        <v>28</v>
      </c>
    </row>
    <row r="696" spans="2:7">
      <c r="B696" s="1">
        <v>346</v>
      </c>
      <c r="C696" s="1" t="str">
        <f t="shared" si="72"/>
        <v>&gt;=41640</v>
      </c>
      <c r="D696" s="1" t="str">
        <f t="shared" si="73"/>
        <v>&lt;=42004</v>
      </c>
      <c r="E696" s="1">
        <f>DMHH!$C$353</f>
        <v>0</v>
      </c>
      <c r="F696" s="1" t="str">
        <f t="shared" si="74"/>
        <v>&gt;=41640</v>
      </c>
      <c r="G696" s="1" t="str">
        <f t="shared" si="75"/>
        <v>&lt;41640</v>
      </c>
    </row>
    <row r="697" spans="2:7">
      <c r="B697" s="1"/>
      <c r="C697" s="3" t="s">
        <v>28</v>
      </c>
      <c r="D697" s="3" t="s">
        <v>28</v>
      </c>
      <c r="E697" s="4" t="s">
        <v>228</v>
      </c>
      <c r="F697" s="3" t="s">
        <v>28</v>
      </c>
      <c r="G697" s="3" t="s">
        <v>28</v>
      </c>
    </row>
    <row r="698" spans="2:7">
      <c r="B698" s="1">
        <v>347</v>
      </c>
      <c r="C698" s="1" t="str">
        <f t="shared" si="72"/>
        <v>&gt;=41640</v>
      </c>
      <c r="D698" s="1" t="str">
        <f t="shared" si="73"/>
        <v>&lt;=42004</v>
      </c>
      <c r="E698" s="1">
        <f>DMHH!$C$354</f>
        <v>0</v>
      </c>
      <c r="F698" s="1" t="str">
        <f t="shared" si="74"/>
        <v>&gt;=41640</v>
      </c>
      <c r="G698" s="1" t="str">
        <f t="shared" si="75"/>
        <v>&lt;41640</v>
      </c>
    </row>
    <row r="699" spans="2:7">
      <c r="B699" s="1"/>
      <c r="C699" s="3" t="s">
        <v>28</v>
      </c>
      <c r="D699" s="3" t="s">
        <v>28</v>
      </c>
      <c r="E699" s="4" t="s">
        <v>228</v>
      </c>
      <c r="F699" s="3" t="s">
        <v>28</v>
      </c>
      <c r="G699" s="3" t="s">
        <v>28</v>
      </c>
    </row>
    <row r="700" spans="2:7">
      <c r="B700" s="1">
        <v>348</v>
      </c>
      <c r="C700" s="1" t="str">
        <f t="shared" si="72"/>
        <v>&gt;=41640</v>
      </c>
      <c r="D700" s="1" t="str">
        <f t="shared" si="73"/>
        <v>&lt;=42004</v>
      </c>
      <c r="E700" s="1">
        <f>DMHH!$C$355</f>
        <v>0</v>
      </c>
      <c r="F700" s="1" t="str">
        <f t="shared" si="74"/>
        <v>&gt;=41640</v>
      </c>
      <c r="G700" s="1" t="str">
        <f t="shared" si="75"/>
        <v>&lt;41640</v>
      </c>
    </row>
    <row r="701" spans="2:7">
      <c r="B701" s="1"/>
      <c r="C701" s="3" t="s">
        <v>28</v>
      </c>
      <c r="D701" s="3" t="s">
        <v>28</v>
      </c>
      <c r="E701" s="4" t="s">
        <v>228</v>
      </c>
      <c r="F701" s="3" t="s">
        <v>28</v>
      </c>
      <c r="G701" s="3" t="s">
        <v>28</v>
      </c>
    </row>
    <row r="702" spans="2:7">
      <c r="B702" s="1">
        <v>349</v>
      </c>
      <c r="C702" s="1" t="str">
        <f t="shared" si="72"/>
        <v>&gt;=41640</v>
      </c>
      <c r="D702" s="1" t="str">
        <f t="shared" si="73"/>
        <v>&lt;=42004</v>
      </c>
      <c r="E702" s="1">
        <f>DMHH!$C$356</f>
        <v>0</v>
      </c>
      <c r="F702" s="1" t="str">
        <f t="shared" si="74"/>
        <v>&gt;=41640</v>
      </c>
      <c r="G702" s="1" t="str">
        <f t="shared" si="75"/>
        <v>&lt;41640</v>
      </c>
    </row>
    <row r="703" spans="2:7">
      <c r="B703" s="1"/>
      <c r="C703" s="6" t="s">
        <v>28</v>
      </c>
      <c r="D703" s="6" t="s">
        <v>28</v>
      </c>
      <c r="E703" s="8" t="s">
        <v>228</v>
      </c>
      <c r="F703" s="6" t="s">
        <v>28</v>
      </c>
      <c r="G703" s="6" t="s">
        <v>28</v>
      </c>
    </row>
    <row r="704" spans="2:7">
      <c r="B704" s="1">
        <v>350</v>
      </c>
      <c r="C704" s="7" t="str">
        <f t="shared" si="72"/>
        <v>&gt;=41640</v>
      </c>
      <c r="D704" s="7" t="str">
        <f t="shared" si="73"/>
        <v>&lt;=42004</v>
      </c>
      <c r="E704" s="7">
        <f>DMHH!$C$357</f>
        <v>0</v>
      </c>
      <c r="F704" s="7" t="str">
        <f t="shared" si="74"/>
        <v>&gt;=41640</v>
      </c>
      <c r="G704" s="7" t="str">
        <f t="shared" si="75"/>
        <v>&lt;41640</v>
      </c>
    </row>
    <row r="705" spans="2:7">
      <c r="B705" s="1"/>
      <c r="C705" s="3" t="s">
        <v>28</v>
      </c>
      <c r="D705" s="3" t="s">
        <v>28</v>
      </c>
      <c r="E705" s="8" t="s">
        <v>228</v>
      </c>
      <c r="F705" s="3" t="s">
        <v>28</v>
      </c>
      <c r="G705" s="3" t="s">
        <v>28</v>
      </c>
    </row>
    <row r="706" spans="2:7">
      <c r="B706" s="1">
        <v>351</v>
      </c>
      <c r="C706" s="1" t="str">
        <f t="shared" si="72"/>
        <v>&gt;=41640</v>
      </c>
      <c r="D706" s="1" t="str">
        <f t="shared" si="73"/>
        <v>&lt;=42004</v>
      </c>
      <c r="E706" s="7">
        <f>DMHH!$C$358</f>
        <v>0</v>
      </c>
      <c r="F706" s="1" t="str">
        <f t="shared" si="74"/>
        <v>&gt;=41640</v>
      </c>
      <c r="G706" s="1" t="str">
        <f t="shared" si="75"/>
        <v>&lt;41640</v>
      </c>
    </row>
    <row r="707" spans="2:7">
      <c r="B707" s="1"/>
      <c r="C707" s="3" t="s">
        <v>28</v>
      </c>
      <c r="D707" s="3" t="s">
        <v>28</v>
      </c>
      <c r="E707" s="8" t="s">
        <v>228</v>
      </c>
      <c r="F707" s="3" t="s">
        <v>28</v>
      </c>
      <c r="G707" s="3" t="s">
        <v>28</v>
      </c>
    </row>
    <row r="708" spans="2:7">
      <c r="B708" s="1">
        <v>352</v>
      </c>
      <c r="C708" s="1" t="str">
        <f t="shared" si="72"/>
        <v>&gt;=41640</v>
      </c>
      <c r="D708" s="1" t="str">
        <f t="shared" si="73"/>
        <v>&lt;=42004</v>
      </c>
      <c r="E708" s="7">
        <f>DMHH!$C$359</f>
        <v>0</v>
      </c>
      <c r="F708" s="1" t="str">
        <f t="shared" si="74"/>
        <v>&gt;=41640</v>
      </c>
      <c r="G708" s="1" t="str">
        <f t="shared" si="75"/>
        <v>&lt;41640</v>
      </c>
    </row>
    <row r="709" spans="2:7">
      <c r="B709" s="1"/>
      <c r="C709" s="3" t="s">
        <v>28</v>
      </c>
      <c r="D709" s="3" t="s">
        <v>28</v>
      </c>
      <c r="E709" s="8" t="s">
        <v>228</v>
      </c>
      <c r="F709" s="3" t="s">
        <v>28</v>
      </c>
      <c r="G709" s="3" t="s">
        <v>28</v>
      </c>
    </row>
    <row r="710" spans="2:7">
      <c r="B710" s="1">
        <v>353</v>
      </c>
      <c r="C710" s="1" t="str">
        <f t="shared" si="72"/>
        <v>&gt;=41640</v>
      </c>
      <c r="D710" s="1" t="str">
        <f t="shared" si="73"/>
        <v>&lt;=42004</v>
      </c>
      <c r="E710" s="7">
        <f>DMHH!$C$360</f>
        <v>0</v>
      </c>
      <c r="F710" s="1" t="str">
        <f t="shared" si="74"/>
        <v>&gt;=41640</v>
      </c>
      <c r="G710" s="1" t="str">
        <f t="shared" si="75"/>
        <v>&lt;41640</v>
      </c>
    </row>
    <row r="711" spans="2:7">
      <c r="B711" s="1"/>
      <c r="C711" s="3" t="s">
        <v>28</v>
      </c>
      <c r="D711" s="3" t="s">
        <v>28</v>
      </c>
      <c r="E711" s="8" t="s">
        <v>228</v>
      </c>
      <c r="F711" s="3" t="s">
        <v>28</v>
      </c>
      <c r="G711" s="3" t="s">
        <v>28</v>
      </c>
    </row>
    <row r="712" spans="2:7">
      <c r="B712" s="1">
        <v>354</v>
      </c>
      <c r="C712" s="1" t="str">
        <f t="shared" si="72"/>
        <v>&gt;=41640</v>
      </c>
      <c r="D712" s="1" t="str">
        <f t="shared" si="73"/>
        <v>&lt;=42004</v>
      </c>
      <c r="E712" s="7">
        <f>DMHH!$C$361</f>
        <v>0</v>
      </c>
      <c r="F712" s="1" t="str">
        <f t="shared" si="74"/>
        <v>&gt;=41640</v>
      </c>
      <c r="G712" s="1" t="str">
        <f t="shared" si="75"/>
        <v>&lt;41640</v>
      </c>
    </row>
    <row r="713" spans="2:7">
      <c r="B713" s="1"/>
      <c r="C713" s="3" t="s">
        <v>28</v>
      </c>
      <c r="D713" s="3" t="s">
        <v>28</v>
      </c>
      <c r="E713" s="8" t="s">
        <v>228</v>
      </c>
      <c r="F713" s="3" t="s">
        <v>28</v>
      </c>
      <c r="G713" s="3" t="s">
        <v>28</v>
      </c>
    </row>
    <row r="714" spans="2:7">
      <c r="B714" s="1">
        <v>355</v>
      </c>
      <c r="C714" s="1" t="str">
        <f t="shared" si="72"/>
        <v>&gt;=41640</v>
      </c>
      <c r="D714" s="1" t="str">
        <f t="shared" si="73"/>
        <v>&lt;=42004</v>
      </c>
      <c r="E714" s="7">
        <f>DMHH!$C$362</f>
        <v>0</v>
      </c>
      <c r="F714" s="1" t="str">
        <f t="shared" si="74"/>
        <v>&gt;=41640</v>
      </c>
      <c r="G714" s="1" t="str">
        <f t="shared" si="75"/>
        <v>&lt;41640</v>
      </c>
    </row>
    <row r="715" spans="2:7">
      <c r="B715" s="1"/>
      <c r="C715" s="3" t="s">
        <v>28</v>
      </c>
      <c r="D715" s="3" t="s">
        <v>28</v>
      </c>
      <c r="E715" s="8" t="s">
        <v>228</v>
      </c>
      <c r="F715" s="3" t="s">
        <v>28</v>
      </c>
      <c r="G715" s="3" t="s">
        <v>28</v>
      </c>
    </row>
    <row r="716" spans="2:7">
      <c r="B716" s="1">
        <v>356</v>
      </c>
      <c r="C716" s="1" t="str">
        <f t="shared" si="72"/>
        <v>&gt;=41640</v>
      </c>
      <c r="D716" s="1" t="str">
        <f t="shared" si="73"/>
        <v>&lt;=42004</v>
      </c>
      <c r="E716" s="7">
        <f>DMHH!$C$363</f>
        <v>0</v>
      </c>
      <c r="F716" s="1" t="str">
        <f t="shared" si="74"/>
        <v>&gt;=41640</v>
      </c>
      <c r="G716" s="1" t="str">
        <f t="shared" si="75"/>
        <v>&lt;41640</v>
      </c>
    </row>
    <row r="717" spans="2:7">
      <c r="B717" s="1"/>
      <c r="C717" s="3" t="s">
        <v>28</v>
      </c>
      <c r="D717" s="3" t="s">
        <v>28</v>
      </c>
      <c r="E717" s="8" t="s">
        <v>228</v>
      </c>
      <c r="F717" s="3" t="s">
        <v>28</v>
      </c>
      <c r="G717" s="3" t="s">
        <v>28</v>
      </c>
    </row>
    <row r="718" spans="2:7">
      <c r="B718" s="1">
        <v>357</v>
      </c>
      <c r="C718" s="1" t="str">
        <f t="shared" si="72"/>
        <v>&gt;=41640</v>
      </c>
      <c r="D718" s="1" t="str">
        <f t="shared" si="73"/>
        <v>&lt;=42004</v>
      </c>
      <c r="E718" s="7">
        <f>DMHH!$C$364</f>
        <v>0</v>
      </c>
      <c r="F718" s="1" t="str">
        <f t="shared" si="74"/>
        <v>&gt;=41640</v>
      </c>
      <c r="G718" s="1" t="str">
        <f t="shared" si="75"/>
        <v>&lt;41640</v>
      </c>
    </row>
    <row r="719" spans="2:7">
      <c r="B719" s="1"/>
      <c r="C719" s="3" t="s">
        <v>28</v>
      </c>
      <c r="D719" s="3" t="s">
        <v>28</v>
      </c>
      <c r="E719" s="8" t="s">
        <v>228</v>
      </c>
      <c r="F719" s="3" t="s">
        <v>28</v>
      </c>
      <c r="G719" s="3" t="s">
        <v>28</v>
      </c>
    </row>
    <row r="720" spans="2:7">
      <c r="B720" s="1">
        <v>358</v>
      </c>
      <c r="C720" s="1" t="str">
        <f t="shared" si="72"/>
        <v>&gt;=41640</v>
      </c>
      <c r="D720" s="1" t="str">
        <f t="shared" si="73"/>
        <v>&lt;=42004</v>
      </c>
      <c r="E720" s="7">
        <f>DMHH!$C$365</f>
        <v>0</v>
      </c>
      <c r="F720" s="1" t="str">
        <f t="shared" si="74"/>
        <v>&gt;=41640</v>
      </c>
      <c r="G720" s="1" t="str">
        <f t="shared" si="75"/>
        <v>&lt;41640</v>
      </c>
    </row>
    <row r="721" spans="2:7">
      <c r="B721" s="1"/>
      <c r="C721" s="3" t="s">
        <v>28</v>
      </c>
      <c r="D721" s="3" t="s">
        <v>28</v>
      </c>
      <c r="E721" s="8" t="s">
        <v>228</v>
      </c>
      <c r="F721" s="3" t="s">
        <v>28</v>
      </c>
      <c r="G721" s="3" t="s">
        <v>28</v>
      </c>
    </row>
    <row r="722" spans="2:7">
      <c r="B722" s="1">
        <v>359</v>
      </c>
      <c r="C722" s="1" t="str">
        <f t="shared" si="72"/>
        <v>&gt;=41640</v>
      </c>
      <c r="D722" s="1" t="str">
        <f t="shared" si="73"/>
        <v>&lt;=42004</v>
      </c>
      <c r="E722" s="7">
        <f>DMHH!$C$366</f>
        <v>0</v>
      </c>
      <c r="F722" s="1" t="str">
        <f t="shared" si="74"/>
        <v>&gt;=41640</v>
      </c>
      <c r="G722" s="1" t="str">
        <f t="shared" si="75"/>
        <v>&lt;41640</v>
      </c>
    </row>
    <row r="723" spans="2:7">
      <c r="B723" s="1"/>
      <c r="C723" s="3" t="s">
        <v>28</v>
      </c>
      <c r="D723" s="3" t="s">
        <v>28</v>
      </c>
      <c r="E723" s="8" t="s">
        <v>228</v>
      </c>
      <c r="F723" s="3" t="s">
        <v>28</v>
      </c>
      <c r="G723" s="3" t="s">
        <v>28</v>
      </c>
    </row>
    <row r="724" spans="2:7">
      <c r="B724" s="1">
        <v>360</v>
      </c>
      <c r="C724" s="1" t="str">
        <f t="shared" si="72"/>
        <v>&gt;=41640</v>
      </c>
      <c r="D724" s="1" t="str">
        <f t="shared" si="73"/>
        <v>&lt;=42004</v>
      </c>
      <c r="E724" s="7">
        <f>DMHH!$C$367</f>
        <v>0</v>
      </c>
      <c r="F724" s="1" t="str">
        <f t="shared" si="74"/>
        <v>&gt;=41640</v>
      </c>
      <c r="G724" s="1" t="str">
        <f t="shared" si="75"/>
        <v>&lt;41640</v>
      </c>
    </row>
    <row r="725" spans="2:7">
      <c r="B725" s="1"/>
      <c r="C725" s="3" t="s">
        <v>28</v>
      </c>
      <c r="D725" s="3" t="s">
        <v>28</v>
      </c>
      <c r="E725" s="8" t="s">
        <v>228</v>
      </c>
      <c r="F725" s="3" t="s">
        <v>28</v>
      </c>
      <c r="G725" s="3" t="s">
        <v>28</v>
      </c>
    </row>
    <row r="726" spans="2:7">
      <c r="B726" s="1">
        <v>361</v>
      </c>
      <c r="C726" s="1" t="str">
        <f t="shared" si="72"/>
        <v>&gt;=41640</v>
      </c>
      <c r="D726" s="1" t="str">
        <f t="shared" si="73"/>
        <v>&lt;=42004</v>
      </c>
      <c r="E726" s="7">
        <f>DMHH!$C$368</f>
        <v>0</v>
      </c>
      <c r="F726" s="1" t="str">
        <f t="shared" si="74"/>
        <v>&gt;=41640</v>
      </c>
      <c r="G726" s="1" t="str">
        <f t="shared" si="75"/>
        <v>&lt;41640</v>
      </c>
    </row>
    <row r="727" spans="2:7">
      <c r="B727" s="1"/>
      <c r="C727" s="3" t="s">
        <v>28</v>
      </c>
      <c r="D727" s="3" t="s">
        <v>28</v>
      </c>
      <c r="E727" s="8" t="s">
        <v>228</v>
      </c>
      <c r="F727" s="3" t="s">
        <v>28</v>
      </c>
      <c r="G727" s="3" t="s">
        <v>28</v>
      </c>
    </row>
    <row r="728" spans="2:7">
      <c r="B728" s="1">
        <v>362</v>
      </c>
      <c r="C728" s="1" t="str">
        <f t="shared" si="72"/>
        <v>&gt;=41640</v>
      </c>
      <c r="D728" s="1" t="str">
        <f t="shared" si="73"/>
        <v>&lt;=42004</v>
      </c>
      <c r="E728" s="7">
        <f>DMHH!$C$369</f>
        <v>0</v>
      </c>
      <c r="F728" s="1" t="str">
        <f t="shared" si="74"/>
        <v>&gt;=41640</v>
      </c>
      <c r="G728" s="1" t="str">
        <f t="shared" si="75"/>
        <v>&lt;41640</v>
      </c>
    </row>
    <row r="729" spans="2:7">
      <c r="B729" s="1"/>
      <c r="C729" s="3" t="s">
        <v>28</v>
      </c>
      <c r="D729" s="3" t="s">
        <v>28</v>
      </c>
      <c r="E729" s="8" t="s">
        <v>228</v>
      </c>
      <c r="F729" s="3" t="s">
        <v>28</v>
      </c>
      <c r="G729" s="3" t="s">
        <v>28</v>
      </c>
    </row>
    <row r="730" spans="2:7">
      <c r="B730" s="1">
        <v>363</v>
      </c>
      <c r="C730" s="1" t="str">
        <f t="shared" si="72"/>
        <v>&gt;=41640</v>
      </c>
      <c r="D730" s="1" t="str">
        <f t="shared" si="73"/>
        <v>&lt;=42004</v>
      </c>
      <c r="E730" s="7">
        <f>DMHH!$C$370</f>
        <v>0</v>
      </c>
      <c r="F730" s="1" t="str">
        <f t="shared" si="74"/>
        <v>&gt;=41640</v>
      </c>
      <c r="G730" s="1" t="str">
        <f t="shared" si="75"/>
        <v>&lt;41640</v>
      </c>
    </row>
    <row r="731" spans="2:7">
      <c r="B731" s="1"/>
      <c r="C731" s="3" t="s">
        <v>28</v>
      </c>
      <c r="D731" s="3" t="s">
        <v>28</v>
      </c>
      <c r="E731" s="8" t="s">
        <v>228</v>
      </c>
      <c r="F731" s="3" t="s">
        <v>28</v>
      </c>
      <c r="G731" s="3" t="s">
        <v>28</v>
      </c>
    </row>
    <row r="732" spans="2:7">
      <c r="B732" s="1">
        <v>364</v>
      </c>
      <c r="C732" s="1" t="str">
        <f t="shared" si="72"/>
        <v>&gt;=41640</v>
      </c>
      <c r="D732" s="1" t="str">
        <f t="shared" si="73"/>
        <v>&lt;=42004</v>
      </c>
      <c r="E732" s="7">
        <f>DMHH!$C$371</f>
        <v>0</v>
      </c>
      <c r="F732" s="1" t="str">
        <f t="shared" si="74"/>
        <v>&gt;=41640</v>
      </c>
      <c r="G732" s="1" t="str">
        <f t="shared" si="75"/>
        <v>&lt;41640</v>
      </c>
    </row>
    <row r="733" spans="2:7">
      <c r="B733" s="1"/>
      <c r="C733" s="3" t="s">
        <v>28</v>
      </c>
      <c r="D733" s="3" t="s">
        <v>28</v>
      </c>
      <c r="E733" s="8" t="s">
        <v>228</v>
      </c>
      <c r="F733" s="3" t="s">
        <v>28</v>
      </c>
      <c r="G733" s="3" t="s">
        <v>28</v>
      </c>
    </row>
    <row r="734" spans="2:7">
      <c r="B734" s="1">
        <v>365</v>
      </c>
      <c r="C734" s="1" t="str">
        <f t="shared" si="72"/>
        <v>&gt;=41640</v>
      </c>
      <c r="D734" s="1" t="str">
        <f t="shared" si="73"/>
        <v>&lt;=42004</v>
      </c>
      <c r="E734" s="7">
        <f>DMHH!$C$372</f>
        <v>0</v>
      </c>
      <c r="F734" s="1" t="str">
        <f t="shared" si="74"/>
        <v>&gt;=41640</v>
      </c>
      <c r="G734" s="1" t="str">
        <f t="shared" si="75"/>
        <v>&lt;41640</v>
      </c>
    </row>
    <row r="735" spans="2:7">
      <c r="B735" s="1"/>
      <c r="C735" s="3" t="s">
        <v>28</v>
      </c>
      <c r="D735" s="3" t="s">
        <v>28</v>
      </c>
      <c r="E735" s="8" t="s">
        <v>228</v>
      </c>
      <c r="F735" s="3" t="s">
        <v>28</v>
      </c>
      <c r="G735" s="3" t="s">
        <v>28</v>
      </c>
    </row>
    <row r="736" spans="2:7">
      <c r="B736" s="1">
        <v>366</v>
      </c>
      <c r="C736" s="1" t="str">
        <f t="shared" si="72"/>
        <v>&gt;=41640</v>
      </c>
      <c r="D736" s="1" t="str">
        <f t="shared" si="73"/>
        <v>&lt;=42004</v>
      </c>
      <c r="E736" s="7">
        <f>DMHH!$C$373</f>
        <v>0</v>
      </c>
      <c r="F736" s="1" t="str">
        <f t="shared" si="74"/>
        <v>&gt;=41640</v>
      </c>
      <c r="G736" s="1" t="str">
        <f t="shared" si="75"/>
        <v>&lt;41640</v>
      </c>
    </row>
    <row r="737" spans="2:7">
      <c r="B737" s="1"/>
      <c r="C737" s="3" t="s">
        <v>28</v>
      </c>
      <c r="D737" s="3" t="s">
        <v>28</v>
      </c>
      <c r="E737" s="8" t="s">
        <v>228</v>
      </c>
      <c r="F737" s="3" t="s">
        <v>28</v>
      </c>
      <c r="G737" s="3" t="s">
        <v>28</v>
      </c>
    </row>
    <row r="738" spans="2:7">
      <c r="B738" s="1">
        <v>367</v>
      </c>
      <c r="C738" s="1" t="str">
        <f t="shared" ref="C738:C800" si="76">"&gt;="&amp;$C$3</f>
        <v>&gt;=41640</v>
      </c>
      <c r="D738" s="1" t="str">
        <f t="shared" ref="D738:D800" si="77">"&lt;="&amp;$E$3</f>
        <v>&lt;=42004</v>
      </c>
      <c r="E738" s="7">
        <f>DMHH!$C$374</f>
        <v>0</v>
      </c>
      <c r="F738" s="1" t="str">
        <f t="shared" ref="F738:F800" si="78">"&gt;="&amp;$C$2</f>
        <v>&gt;=41640</v>
      </c>
      <c r="G738" s="1" t="str">
        <f t="shared" ref="G738:G800" si="79">"&lt;"&amp;$C$3</f>
        <v>&lt;41640</v>
      </c>
    </row>
    <row r="739" spans="2:7">
      <c r="B739" s="1"/>
      <c r="C739" s="3" t="s">
        <v>28</v>
      </c>
      <c r="D739" s="3" t="s">
        <v>28</v>
      </c>
      <c r="E739" s="8" t="s">
        <v>228</v>
      </c>
      <c r="F739" s="3" t="s">
        <v>28</v>
      </c>
      <c r="G739" s="3" t="s">
        <v>28</v>
      </c>
    </row>
    <row r="740" spans="2:7">
      <c r="B740" s="1">
        <v>368</v>
      </c>
      <c r="C740" s="1" t="str">
        <f t="shared" si="76"/>
        <v>&gt;=41640</v>
      </c>
      <c r="D740" s="1" t="str">
        <f t="shared" si="77"/>
        <v>&lt;=42004</v>
      </c>
      <c r="E740" s="7">
        <f>DMHH!$C$375</f>
        <v>0</v>
      </c>
      <c r="F740" s="1" t="str">
        <f t="shared" si="78"/>
        <v>&gt;=41640</v>
      </c>
      <c r="G740" s="1" t="str">
        <f t="shared" si="79"/>
        <v>&lt;41640</v>
      </c>
    </row>
    <row r="741" spans="2:7">
      <c r="B741" s="1"/>
      <c r="C741" s="3" t="s">
        <v>28</v>
      </c>
      <c r="D741" s="3" t="s">
        <v>28</v>
      </c>
      <c r="E741" s="8" t="s">
        <v>228</v>
      </c>
      <c r="F741" s="3" t="s">
        <v>28</v>
      </c>
      <c r="G741" s="3" t="s">
        <v>28</v>
      </c>
    </row>
    <row r="742" spans="2:7">
      <c r="B742" s="1">
        <v>369</v>
      </c>
      <c r="C742" s="1" t="str">
        <f t="shared" si="76"/>
        <v>&gt;=41640</v>
      </c>
      <c r="D742" s="1" t="str">
        <f t="shared" si="77"/>
        <v>&lt;=42004</v>
      </c>
      <c r="E742" s="7">
        <f>DMHH!$C$376</f>
        <v>0</v>
      </c>
      <c r="F742" s="1" t="str">
        <f t="shared" si="78"/>
        <v>&gt;=41640</v>
      </c>
      <c r="G742" s="1" t="str">
        <f t="shared" si="79"/>
        <v>&lt;41640</v>
      </c>
    </row>
    <row r="743" spans="2:7">
      <c r="B743" s="1"/>
      <c r="C743" s="3" t="s">
        <v>28</v>
      </c>
      <c r="D743" s="3" t="s">
        <v>28</v>
      </c>
      <c r="E743" s="8" t="s">
        <v>228</v>
      </c>
      <c r="F743" s="3" t="s">
        <v>28</v>
      </c>
      <c r="G743" s="3" t="s">
        <v>28</v>
      </c>
    </row>
    <row r="744" spans="2:7">
      <c r="B744" s="1">
        <v>370</v>
      </c>
      <c r="C744" s="1" t="str">
        <f t="shared" si="76"/>
        <v>&gt;=41640</v>
      </c>
      <c r="D744" s="1" t="str">
        <f t="shared" si="77"/>
        <v>&lt;=42004</v>
      </c>
      <c r="E744" s="7">
        <f>DMHH!$C$377</f>
        <v>0</v>
      </c>
      <c r="F744" s="1" t="str">
        <f t="shared" si="78"/>
        <v>&gt;=41640</v>
      </c>
      <c r="G744" s="1" t="str">
        <f t="shared" si="79"/>
        <v>&lt;41640</v>
      </c>
    </row>
    <row r="745" spans="2:7">
      <c r="B745" s="1"/>
      <c r="C745" s="3" t="s">
        <v>28</v>
      </c>
      <c r="D745" s="3" t="s">
        <v>28</v>
      </c>
      <c r="E745" s="8" t="s">
        <v>228</v>
      </c>
      <c r="F745" s="3" t="s">
        <v>28</v>
      </c>
      <c r="G745" s="3" t="s">
        <v>28</v>
      </c>
    </row>
    <row r="746" spans="2:7">
      <c r="B746" s="1">
        <v>371</v>
      </c>
      <c r="C746" s="1" t="str">
        <f t="shared" si="76"/>
        <v>&gt;=41640</v>
      </c>
      <c r="D746" s="1" t="str">
        <f t="shared" si="77"/>
        <v>&lt;=42004</v>
      </c>
      <c r="E746" s="7">
        <f>DMHH!$C$378</f>
        <v>0</v>
      </c>
      <c r="F746" s="1" t="str">
        <f t="shared" si="78"/>
        <v>&gt;=41640</v>
      </c>
      <c r="G746" s="1" t="str">
        <f t="shared" si="79"/>
        <v>&lt;41640</v>
      </c>
    </row>
    <row r="747" spans="2:7">
      <c r="B747" s="1"/>
      <c r="C747" s="3" t="s">
        <v>28</v>
      </c>
      <c r="D747" s="3" t="s">
        <v>28</v>
      </c>
      <c r="E747" s="8" t="s">
        <v>228</v>
      </c>
      <c r="F747" s="3" t="s">
        <v>28</v>
      </c>
      <c r="G747" s="3" t="s">
        <v>28</v>
      </c>
    </row>
    <row r="748" spans="2:7">
      <c r="B748" s="1">
        <v>372</v>
      </c>
      <c r="C748" s="1" t="str">
        <f t="shared" si="76"/>
        <v>&gt;=41640</v>
      </c>
      <c r="D748" s="1" t="str">
        <f t="shared" si="77"/>
        <v>&lt;=42004</v>
      </c>
      <c r="E748" s="7">
        <f>DMHH!$C$379</f>
        <v>0</v>
      </c>
      <c r="F748" s="1" t="str">
        <f t="shared" si="78"/>
        <v>&gt;=41640</v>
      </c>
      <c r="G748" s="1" t="str">
        <f t="shared" si="79"/>
        <v>&lt;41640</v>
      </c>
    </row>
    <row r="749" spans="2:7">
      <c r="B749" s="1"/>
      <c r="C749" s="3" t="s">
        <v>28</v>
      </c>
      <c r="D749" s="3" t="s">
        <v>28</v>
      </c>
      <c r="E749" s="8" t="s">
        <v>228</v>
      </c>
      <c r="F749" s="3" t="s">
        <v>28</v>
      </c>
      <c r="G749" s="3" t="s">
        <v>28</v>
      </c>
    </row>
    <row r="750" spans="2:7">
      <c r="B750" s="1">
        <v>373</v>
      </c>
      <c r="C750" s="1" t="str">
        <f t="shared" si="76"/>
        <v>&gt;=41640</v>
      </c>
      <c r="D750" s="1" t="str">
        <f t="shared" si="77"/>
        <v>&lt;=42004</v>
      </c>
      <c r="E750" s="7">
        <f>DMHH!$C$380</f>
        <v>0</v>
      </c>
      <c r="F750" s="1" t="str">
        <f t="shared" si="78"/>
        <v>&gt;=41640</v>
      </c>
      <c r="G750" s="1" t="str">
        <f t="shared" si="79"/>
        <v>&lt;41640</v>
      </c>
    </row>
    <row r="751" spans="2:7">
      <c r="B751" s="1"/>
      <c r="C751" s="3" t="s">
        <v>28</v>
      </c>
      <c r="D751" s="3" t="s">
        <v>28</v>
      </c>
      <c r="E751" s="8" t="s">
        <v>228</v>
      </c>
      <c r="F751" s="3" t="s">
        <v>28</v>
      </c>
      <c r="G751" s="3" t="s">
        <v>28</v>
      </c>
    </row>
    <row r="752" spans="2:7">
      <c r="B752" s="1">
        <v>374</v>
      </c>
      <c r="C752" s="1" t="str">
        <f t="shared" si="76"/>
        <v>&gt;=41640</v>
      </c>
      <c r="D752" s="1" t="str">
        <f t="shared" si="77"/>
        <v>&lt;=42004</v>
      </c>
      <c r="E752" s="7">
        <f>DMHH!$C$381</f>
        <v>0</v>
      </c>
      <c r="F752" s="1" t="str">
        <f t="shared" si="78"/>
        <v>&gt;=41640</v>
      </c>
      <c r="G752" s="1" t="str">
        <f t="shared" si="79"/>
        <v>&lt;41640</v>
      </c>
    </row>
    <row r="753" spans="2:7">
      <c r="B753" s="1"/>
      <c r="C753" s="3" t="s">
        <v>28</v>
      </c>
      <c r="D753" s="3" t="s">
        <v>28</v>
      </c>
      <c r="E753" s="8" t="s">
        <v>228</v>
      </c>
      <c r="F753" s="3" t="s">
        <v>28</v>
      </c>
      <c r="G753" s="3" t="s">
        <v>28</v>
      </c>
    </row>
    <row r="754" spans="2:7">
      <c r="B754" s="1">
        <v>375</v>
      </c>
      <c r="C754" s="1" t="str">
        <f t="shared" si="76"/>
        <v>&gt;=41640</v>
      </c>
      <c r="D754" s="1" t="str">
        <f t="shared" si="77"/>
        <v>&lt;=42004</v>
      </c>
      <c r="E754" s="7">
        <f>DMHH!$C$382</f>
        <v>0</v>
      </c>
      <c r="F754" s="1" t="str">
        <f t="shared" si="78"/>
        <v>&gt;=41640</v>
      </c>
      <c r="G754" s="1" t="str">
        <f t="shared" si="79"/>
        <v>&lt;41640</v>
      </c>
    </row>
    <row r="755" spans="2:7">
      <c r="B755" s="1"/>
      <c r="C755" s="3" t="s">
        <v>28</v>
      </c>
      <c r="D755" s="3" t="s">
        <v>28</v>
      </c>
      <c r="E755" s="8" t="s">
        <v>228</v>
      </c>
      <c r="F755" s="3" t="s">
        <v>28</v>
      </c>
      <c r="G755" s="3" t="s">
        <v>28</v>
      </c>
    </row>
    <row r="756" spans="2:7">
      <c r="B756" s="1">
        <v>376</v>
      </c>
      <c r="C756" s="1" t="str">
        <f t="shared" si="76"/>
        <v>&gt;=41640</v>
      </c>
      <c r="D756" s="1" t="str">
        <f t="shared" si="77"/>
        <v>&lt;=42004</v>
      </c>
      <c r="E756" s="7">
        <f>DMHH!$C$383</f>
        <v>0</v>
      </c>
      <c r="F756" s="1" t="str">
        <f t="shared" si="78"/>
        <v>&gt;=41640</v>
      </c>
      <c r="G756" s="1" t="str">
        <f t="shared" si="79"/>
        <v>&lt;41640</v>
      </c>
    </row>
    <row r="757" spans="2:7">
      <c r="B757" s="1"/>
      <c r="C757" s="3" t="s">
        <v>28</v>
      </c>
      <c r="D757" s="3" t="s">
        <v>28</v>
      </c>
      <c r="E757" s="8" t="s">
        <v>228</v>
      </c>
      <c r="F757" s="3" t="s">
        <v>28</v>
      </c>
      <c r="G757" s="3" t="s">
        <v>28</v>
      </c>
    </row>
    <row r="758" spans="2:7">
      <c r="B758" s="1">
        <v>377</v>
      </c>
      <c r="C758" s="1" t="str">
        <f t="shared" si="76"/>
        <v>&gt;=41640</v>
      </c>
      <c r="D758" s="1" t="str">
        <f t="shared" si="77"/>
        <v>&lt;=42004</v>
      </c>
      <c r="E758" s="7">
        <f>DMHH!$C$384</f>
        <v>0</v>
      </c>
      <c r="F758" s="1" t="str">
        <f t="shared" si="78"/>
        <v>&gt;=41640</v>
      </c>
      <c r="G758" s="1" t="str">
        <f t="shared" si="79"/>
        <v>&lt;41640</v>
      </c>
    </row>
    <row r="759" spans="2:7">
      <c r="B759" s="1"/>
      <c r="C759" s="3" t="s">
        <v>28</v>
      </c>
      <c r="D759" s="3" t="s">
        <v>28</v>
      </c>
      <c r="E759" s="8" t="s">
        <v>228</v>
      </c>
      <c r="F759" s="3" t="s">
        <v>28</v>
      </c>
      <c r="G759" s="3" t="s">
        <v>28</v>
      </c>
    </row>
    <row r="760" spans="2:7">
      <c r="B760" s="1">
        <v>378</v>
      </c>
      <c r="C760" s="1" t="str">
        <f t="shared" si="76"/>
        <v>&gt;=41640</v>
      </c>
      <c r="D760" s="1" t="str">
        <f t="shared" si="77"/>
        <v>&lt;=42004</v>
      </c>
      <c r="E760" s="7">
        <f>DMHH!$C$385</f>
        <v>0</v>
      </c>
      <c r="F760" s="1" t="str">
        <f t="shared" si="78"/>
        <v>&gt;=41640</v>
      </c>
      <c r="G760" s="1" t="str">
        <f t="shared" si="79"/>
        <v>&lt;41640</v>
      </c>
    </row>
    <row r="761" spans="2:7">
      <c r="B761" s="1"/>
      <c r="C761" s="3" t="s">
        <v>28</v>
      </c>
      <c r="D761" s="3" t="s">
        <v>28</v>
      </c>
      <c r="E761" s="8" t="s">
        <v>228</v>
      </c>
      <c r="F761" s="3" t="s">
        <v>28</v>
      </c>
      <c r="G761" s="3" t="s">
        <v>28</v>
      </c>
    </row>
    <row r="762" spans="2:7">
      <c r="B762" s="1">
        <v>379</v>
      </c>
      <c r="C762" s="1" t="str">
        <f t="shared" si="76"/>
        <v>&gt;=41640</v>
      </c>
      <c r="D762" s="1" t="str">
        <f t="shared" si="77"/>
        <v>&lt;=42004</v>
      </c>
      <c r="E762" s="7">
        <f>DMHH!$C$386</f>
        <v>0</v>
      </c>
      <c r="F762" s="1" t="str">
        <f t="shared" si="78"/>
        <v>&gt;=41640</v>
      </c>
      <c r="G762" s="1" t="str">
        <f t="shared" si="79"/>
        <v>&lt;41640</v>
      </c>
    </row>
    <row r="763" spans="2:7">
      <c r="B763" s="1"/>
      <c r="C763" s="3" t="s">
        <v>28</v>
      </c>
      <c r="D763" s="3" t="s">
        <v>28</v>
      </c>
      <c r="E763" s="8" t="s">
        <v>228</v>
      </c>
      <c r="F763" s="3" t="s">
        <v>28</v>
      </c>
      <c r="G763" s="3" t="s">
        <v>28</v>
      </c>
    </row>
    <row r="764" spans="2:7">
      <c r="B764" s="1">
        <v>380</v>
      </c>
      <c r="C764" s="1" t="str">
        <f t="shared" si="76"/>
        <v>&gt;=41640</v>
      </c>
      <c r="D764" s="1" t="str">
        <f t="shared" si="77"/>
        <v>&lt;=42004</v>
      </c>
      <c r="E764" s="7">
        <f>DMHH!$C$387</f>
        <v>0</v>
      </c>
      <c r="F764" s="1" t="str">
        <f t="shared" si="78"/>
        <v>&gt;=41640</v>
      </c>
      <c r="G764" s="1" t="str">
        <f t="shared" si="79"/>
        <v>&lt;41640</v>
      </c>
    </row>
    <row r="765" spans="2:7">
      <c r="B765" s="1"/>
      <c r="C765" s="3" t="s">
        <v>28</v>
      </c>
      <c r="D765" s="3" t="s">
        <v>28</v>
      </c>
      <c r="E765" s="8" t="s">
        <v>228</v>
      </c>
      <c r="F765" s="3" t="s">
        <v>28</v>
      </c>
      <c r="G765" s="3" t="s">
        <v>28</v>
      </c>
    </row>
    <row r="766" spans="2:7">
      <c r="B766" s="1">
        <v>381</v>
      </c>
      <c r="C766" s="1" t="str">
        <f t="shared" si="76"/>
        <v>&gt;=41640</v>
      </c>
      <c r="D766" s="1" t="str">
        <f t="shared" si="77"/>
        <v>&lt;=42004</v>
      </c>
      <c r="E766" s="7">
        <f>DMHH!$C$388</f>
        <v>0</v>
      </c>
      <c r="F766" s="1" t="str">
        <f t="shared" si="78"/>
        <v>&gt;=41640</v>
      </c>
      <c r="G766" s="1" t="str">
        <f t="shared" si="79"/>
        <v>&lt;41640</v>
      </c>
    </row>
    <row r="767" spans="2:7">
      <c r="B767" s="1"/>
      <c r="C767" s="3" t="s">
        <v>28</v>
      </c>
      <c r="D767" s="3" t="s">
        <v>28</v>
      </c>
      <c r="E767" s="8" t="s">
        <v>228</v>
      </c>
      <c r="F767" s="3" t="s">
        <v>28</v>
      </c>
      <c r="G767" s="3" t="s">
        <v>28</v>
      </c>
    </row>
    <row r="768" spans="2:7">
      <c r="B768" s="1">
        <v>382</v>
      </c>
      <c r="C768" s="1" t="str">
        <f t="shared" si="76"/>
        <v>&gt;=41640</v>
      </c>
      <c r="D768" s="1" t="str">
        <f t="shared" si="77"/>
        <v>&lt;=42004</v>
      </c>
      <c r="E768" s="7">
        <f>DMHH!$C$389</f>
        <v>0</v>
      </c>
      <c r="F768" s="1" t="str">
        <f t="shared" si="78"/>
        <v>&gt;=41640</v>
      </c>
      <c r="G768" s="1" t="str">
        <f t="shared" si="79"/>
        <v>&lt;41640</v>
      </c>
    </row>
    <row r="769" spans="2:7">
      <c r="B769" s="1"/>
      <c r="C769" s="3" t="s">
        <v>28</v>
      </c>
      <c r="D769" s="3" t="s">
        <v>28</v>
      </c>
      <c r="E769" s="8" t="s">
        <v>228</v>
      </c>
      <c r="F769" s="3" t="s">
        <v>28</v>
      </c>
      <c r="G769" s="3" t="s">
        <v>28</v>
      </c>
    </row>
    <row r="770" spans="2:7">
      <c r="B770" s="1">
        <v>383</v>
      </c>
      <c r="C770" s="1" t="str">
        <f t="shared" si="76"/>
        <v>&gt;=41640</v>
      </c>
      <c r="D770" s="1" t="str">
        <f t="shared" si="77"/>
        <v>&lt;=42004</v>
      </c>
      <c r="E770" s="7">
        <f>DMHH!$C$390</f>
        <v>0</v>
      </c>
      <c r="F770" s="1" t="str">
        <f t="shared" si="78"/>
        <v>&gt;=41640</v>
      </c>
      <c r="G770" s="1" t="str">
        <f t="shared" si="79"/>
        <v>&lt;41640</v>
      </c>
    </row>
    <row r="771" spans="2:7">
      <c r="B771" s="1"/>
      <c r="C771" s="3" t="s">
        <v>28</v>
      </c>
      <c r="D771" s="3" t="s">
        <v>28</v>
      </c>
      <c r="E771" s="8" t="s">
        <v>228</v>
      </c>
      <c r="F771" s="3" t="s">
        <v>28</v>
      </c>
      <c r="G771" s="3" t="s">
        <v>28</v>
      </c>
    </row>
    <row r="772" spans="2:7">
      <c r="B772" s="1">
        <v>384</v>
      </c>
      <c r="C772" s="1" t="str">
        <f t="shared" si="76"/>
        <v>&gt;=41640</v>
      </c>
      <c r="D772" s="1" t="str">
        <f t="shared" si="77"/>
        <v>&lt;=42004</v>
      </c>
      <c r="E772" s="7">
        <f>DMHH!$C$391</f>
        <v>0</v>
      </c>
      <c r="F772" s="1" t="str">
        <f t="shared" si="78"/>
        <v>&gt;=41640</v>
      </c>
      <c r="G772" s="1" t="str">
        <f t="shared" si="79"/>
        <v>&lt;41640</v>
      </c>
    </row>
    <row r="773" spans="2:7">
      <c r="B773" s="1"/>
      <c r="C773" s="3" t="s">
        <v>28</v>
      </c>
      <c r="D773" s="3" t="s">
        <v>28</v>
      </c>
      <c r="E773" s="8" t="s">
        <v>228</v>
      </c>
      <c r="F773" s="3" t="s">
        <v>28</v>
      </c>
      <c r="G773" s="3" t="s">
        <v>28</v>
      </c>
    </row>
    <row r="774" spans="2:7">
      <c r="B774" s="1">
        <v>385</v>
      </c>
      <c r="C774" s="1" t="str">
        <f t="shared" si="76"/>
        <v>&gt;=41640</v>
      </c>
      <c r="D774" s="1" t="str">
        <f t="shared" si="77"/>
        <v>&lt;=42004</v>
      </c>
      <c r="E774" s="7">
        <f>DMHH!$C$392</f>
        <v>0</v>
      </c>
      <c r="F774" s="1" t="str">
        <f t="shared" si="78"/>
        <v>&gt;=41640</v>
      </c>
      <c r="G774" s="1" t="str">
        <f t="shared" si="79"/>
        <v>&lt;41640</v>
      </c>
    </row>
    <row r="775" spans="2:7">
      <c r="B775" s="1"/>
      <c r="C775" s="3" t="s">
        <v>28</v>
      </c>
      <c r="D775" s="3" t="s">
        <v>28</v>
      </c>
      <c r="E775" s="8" t="s">
        <v>228</v>
      </c>
      <c r="F775" s="3" t="s">
        <v>28</v>
      </c>
      <c r="G775" s="3" t="s">
        <v>28</v>
      </c>
    </row>
    <row r="776" spans="2:7">
      <c r="B776" s="1">
        <v>386</v>
      </c>
      <c r="C776" s="1" t="str">
        <f t="shared" si="76"/>
        <v>&gt;=41640</v>
      </c>
      <c r="D776" s="1" t="str">
        <f t="shared" si="77"/>
        <v>&lt;=42004</v>
      </c>
      <c r="E776" s="7">
        <f>DMHH!$C$393</f>
        <v>0</v>
      </c>
      <c r="F776" s="1" t="str">
        <f t="shared" si="78"/>
        <v>&gt;=41640</v>
      </c>
      <c r="G776" s="1" t="str">
        <f t="shared" si="79"/>
        <v>&lt;41640</v>
      </c>
    </row>
    <row r="777" spans="2:7">
      <c r="B777" s="1"/>
      <c r="C777" s="3" t="s">
        <v>28</v>
      </c>
      <c r="D777" s="3" t="s">
        <v>28</v>
      </c>
      <c r="E777" s="8" t="s">
        <v>228</v>
      </c>
      <c r="F777" s="3" t="s">
        <v>28</v>
      </c>
      <c r="G777" s="3" t="s">
        <v>28</v>
      </c>
    </row>
    <row r="778" spans="2:7">
      <c r="B778" s="1">
        <v>387</v>
      </c>
      <c r="C778" s="1" t="str">
        <f t="shared" si="76"/>
        <v>&gt;=41640</v>
      </c>
      <c r="D778" s="1" t="str">
        <f t="shared" si="77"/>
        <v>&lt;=42004</v>
      </c>
      <c r="E778" s="7">
        <f>DMHH!$C$394</f>
        <v>0</v>
      </c>
      <c r="F778" s="1" t="str">
        <f t="shared" si="78"/>
        <v>&gt;=41640</v>
      </c>
      <c r="G778" s="1" t="str">
        <f t="shared" si="79"/>
        <v>&lt;41640</v>
      </c>
    </row>
    <row r="779" spans="2:7">
      <c r="B779" s="1"/>
      <c r="C779" s="3" t="s">
        <v>28</v>
      </c>
      <c r="D779" s="3" t="s">
        <v>28</v>
      </c>
      <c r="E779" s="8" t="s">
        <v>228</v>
      </c>
      <c r="F779" s="3" t="s">
        <v>28</v>
      </c>
      <c r="G779" s="3" t="s">
        <v>28</v>
      </c>
    </row>
    <row r="780" spans="2:7">
      <c r="B780" s="1">
        <v>388</v>
      </c>
      <c r="C780" s="1" t="str">
        <f t="shared" si="76"/>
        <v>&gt;=41640</v>
      </c>
      <c r="D780" s="1" t="str">
        <f t="shared" si="77"/>
        <v>&lt;=42004</v>
      </c>
      <c r="E780" s="7">
        <f>DMHH!$C$395</f>
        <v>0</v>
      </c>
      <c r="F780" s="1" t="str">
        <f t="shared" si="78"/>
        <v>&gt;=41640</v>
      </c>
      <c r="G780" s="1" t="str">
        <f t="shared" si="79"/>
        <v>&lt;41640</v>
      </c>
    </row>
    <row r="781" spans="2:7">
      <c r="B781" s="1"/>
      <c r="C781" s="3" t="s">
        <v>28</v>
      </c>
      <c r="D781" s="3" t="s">
        <v>28</v>
      </c>
      <c r="E781" s="8" t="s">
        <v>228</v>
      </c>
      <c r="F781" s="3" t="s">
        <v>28</v>
      </c>
      <c r="G781" s="3" t="s">
        <v>28</v>
      </c>
    </row>
    <row r="782" spans="2:7">
      <c r="B782" s="1">
        <v>389</v>
      </c>
      <c r="C782" s="1" t="str">
        <f t="shared" si="76"/>
        <v>&gt;=41640</v>
      </c>
      <c r="D782" s="1" t="str">
        <f t="shared" si="77"/>
        <v>&lt;=42004</v>
      </c>
      <c r="E782" s="7">
        <f>DMHH!$C$396</f>
        <v>0</v>
      </c>
      <c r="F782" s="1" t="str">
        <f t="shared" si="78"/>
        <v>&gt;=41640</v>
      </c>
      <c r="G782" s="1" t="str">
        <f t="shared" si="79"/>
        <v>&lt;41640</v>
      </c>
    </row>
    <row r="783" spans="2:7">
      <c r="B783" s="1"/>
      <c r="C783" s="3" t="s">
        <v>28</v>
      </c>
      <c r="D783" s="3" t="s">
        <v>28</v>
      </c>
      <c r="E783" s="8" t="s">
        <v>228</v>
      </c>
      <c r="F783" s="3" t="s">
        <v>28</v>
      </c>
      <c r="G783" s="3" t="s">
        <v>28</v>
      </c>
    </row>
    <row r="784" spans="2:7">
      <c r="B784" s="1">
        <v>390</v>
      </c>
      <c r="C784" s="1" t="str">
        <f t="shared" si="76"/>
        <v>&gt;=41640</v>
      </c>
      <c r="D784" s="1" t="str">
        <f t="shared" si="77"/>
        <v>&lt;=42004</v>
      </c>
      <c r="E784" s="7">
        <f>DMHH!$C$397</f>
        <v>0</v>
      </c>
      <c r="F784" s="1" t="str">
        <f t="shared" si="78"/>
        <v>&gt;=41640</v>
      </c>
      <c r="G784" s="1" t="str">
        <f t="shared" si="79"/>
        <v>&lt;41640</v>
      </c>
    </row>
    <row r="785" spans="2:7">
      <c r="B785" s="1"/>
      <c r="C785" s="3" t="s">
        <v>28</v>
      </c>
      <c r="D785" s="3" t="s">
        <v>28</v>
      </c>
      <c r="E785" s="8" t="s">
        <v>228</v>
      </c>
      <c r="F785" s="3" t="s">
        <v>28</v>
      </c>
      <c r="G785" s="3" t="s">
        <v>28</v>
      </c>
    </row>
    <row r="786" spans="2:7">
      <c r="B786" s="1">
        <v>391</v>
      </c>
      <c r="C786" s="1" t="str">
        <f t="shared" si="76"/>
        <v>&gt;=41640</v>
      </c>
      <c r="D786" s="1" t="str">
        <f t="shared" si="77"/>
        <v>&lt;=42004</v>
      </c>
      <c r="E786" s="7">
        <f>DMHH!$C$398</f>
        <v>0</v>
      </c>
      <c r="F786" s="1" t="str">
        <f t="shared" si="78"/>
        <v>&gt;=41640</v>
      </c>
      <c r="G786" s="1" t="str">
        <f t="shared" si="79"/>
        <v>&lt;41640</v>
      </c>
    </row>
    <row r="787" spans="2:7">
      <c r="B787" s="1"/>
      <c r="C787" s="3" t="s">
        <v>28</v>
      </c>
      <c r="D787" s="3" t="s">
        <v>28</v>
      </c>
      <c r="E787" s="8" t="s">
        <v>228</v>
      </c>
      <c r="F787" s="3" t="s">
        <v>28</v>
      </c>
      <c r="G787" s="3" t="s">
        <v>28</v>
      </c>
    </row>
    <row r="788" spans="2:7">
      <c r="B788" s="1">
        <v>392</v>
      </c>
      <c r="C788" s="1" t="str">
        <f t="shared" si="76"/>
        <v>&gt;=41640</v>
      </c>
      <c r="D788" s="1" t="str">
        <f t="shared" si="77"/>
        <v>&lt;=42004</v>
      </c>
      <c r="E788" s="7">
        <f>DMHH!$C$399</f>
        <v>0</v>
      </c>
      <c r="F788" s="1" t="str">
        <f t="shared" si="78"/>
        <v>&gt;=41640</v>
      </c>
      <c r="G788" s="1" t="str">
        <f t="shared" si="79"/>
        <v>&lt;41640</v>
      </c>
    </row>
    <row r="789" spans="2:7">
      <c r="B789" s="1"/>
      <c r="C789" s="3" t="s">
        <v>28</v>
      </c>
      <c r="D789" s="3" t="s">
        <v>28</v>
      </c>
      <c r="E789" s="8" t="s">
        <v>228</v>
      </c>
      <c r="F789" s="3" t="s">
        <v>28</v>
      </c>
      <c r="G789" s="3" t="s">
        <v>28</v>
      </c>
    </row>
    <row r="790" spans="2:7">
      <c r="B790" s="1">
        <v>393</v>
      </c>
      <c r="C790" s="1" t="str">
        <f t="shared" si="76"/>
        <v>&gt;=41640</v>
      </c>
      <c r="D790" s="1" t="str">
        <f t="shared" si="77"/>
        <v>&lt;=42004</v>
      </c>
      <c r="E790" s="7">
        <f>DMHH!$C$400</f>
        <v>0</v>
      </c>
      <c r="F790" s="1" t="str">
        <f t="shared" si="78"/>
        <v>&gt;=41640</v>
      </c>
      <c r="G790" s="1" t="str">
        <f t="shared" si="79"/>
        <v>&lt;41640</v>
      </c>
    </row>
    <row r="791" spans="2:7">
      <c r="B791" s="1"/>
      <c r="C791" s="3" t="s">
        <v>28</v>
      </c>
      <c r="D791" s="3" t="s">
        <v>28</v>
      </c>
      <c r="E791" s="8" t="s">
        <v>228</v>
      </c>
      <c r="F791" s="3" t="s">
        <v>28</v>
      </c>
      <c r="G791" s="3" t="s">
        <v>28</v>
      </c>
    </row>
    <row r="792" spans="2:7">
      <c r="B792" s="1">
        <v>394</v>
      </c>
      <c r="C792" s="1" t="str">
        <f t="shared" si="76"/>
        <v>&gt;=41640</v>
      </c>
      <c r="D792" s="1" t="str">
        <f t="shared" si="77"/>
        <v>&lt;=42004</v>
      </c>
      <c r="E792" s="7">
        <f>DMHH!$C$401</f>
        <v>0</v>
      </c>
      <c r="F792" s="1" t="str">
        <f t="shared" si="78"/>
        <v>&gt;=41640</v>
      </c>
      <c r="G792" s="1" t="str">
        <f t="shared" si="79"/>
        <v>&lt;41640</v>
      </c>
    </row>
    <row r="793" spans="2:7">
      <c r="B793" s="1"/>
      <c r="C793" s="3" t="s">
        <v>28</v>
      </c>
      <c r="D793" s="3" t="s">
        <v>28</v>
      </c>
      <c r="E793" s="8" t="s">
        <v>228</v>
      </c>
      <c r="F793" s="3" t="s">
        <v>28</v>
      </c>
      <c r="G793" s="3" t="s">
        <v>28</v>
      </c>
    </row>
    <row r="794" spans="2:7">
      <c r="B794" s="1">
        <v>395</v>
      </c>
      <c r="C794" s="1" t="str">
        <f t="shared" si="76"/>
        <v>&gt;=41640</v>
      </c>
      <c r="D794" s="1" t="str">
        <f t="shared" si="77"/>
        <v>&lt;=42004</v>
      </c>
      <c r="E794" s="7">
        <f>DMHH!$C$402</f>
        <v>0</v>
      </c>
      <c r="F794" s="1" t="str">
        <f t="shared" si="78"/>
        <v>&gt;=41640</v>
      </c>
      <c r="G794" s="1" t="str">
        <f t="shared" si="79"/>
        <v>&lt;41640</v>
      </c>
    </row>
    <row r="795" spans="2:7">
      <c r="B795" s="1"/>
      <c r="C795" s="3" t="s">
        <v>28</v>
      </c>
      <c r="D795" s="3" t="s">
        <v>28</v>
      </c>
      <c r="E795" s="8" t="s">
        <v>228</v>
      </c>
      <c r="F795" s="3" t="s">
        <v>28</v>
      </c>
      <c r="G795" s="3" t="s">
        <v>28</v>
      </c>
    </row>
    <row r="796" spans="2:7">
      <c r="B796" s="1">
        <v>396</v>
      </c>
      <c r="C796" s="1" t="str">
        <f t="shared" si="76"/>
        <v>&gt;=41640</v>
      </c>
      <c r="D796" s="1" t="str">
        <f t="shared" si="77"/>
        <v>&lt;=42004</v>
      </c>
      <c r="E796" s="7">
        <f>DMHH!$C$403</f>
        <v>0</v>
      </c>
      <c r="F796" s="1" t="str">
        <f t="shared" si="78"/>
        <v>&gt;=41640</v>
      </c>
      <c r="G796" s="1" t="str">
        <f t="shared" si="79"/>
        <v>&lt;41640</v>
      </c>
    </row>
    <row r="797" spans="2:7">
      <c r="B797" s="1"/>
      <c r="C797" s="3" t="s">
        <v>28</v>
      </c>
      <c r="D797" s="3" t="s">
        <v>28</v>
      </c>
      <c r="E797" s="8" t="s">
        <v>228</v>
      </c>
      <c r="F797" s="3" t="s">
        <v>28</v>
      </c>
      <c r="G797" s="3" t="s">
        <v>28</v>
      </c>
    </row>
    <row r="798" spans="2:7">
      <c r="B798" s="1">
        <v>397</v>
      </c>
      <c r="C798" s="1" t="str">
        <f t="shared" si="76"/>
        <v>&gt;=41640</v>
      </c>
      <c r="D798" s="1" t="str">
        <f t="shared" si="77"/>
        <v>&lt;=42004</v>
      </c>
      <c r="E798" s="7">
        <f>DMHH!$C$404</f>
        <v>0</v>
      </c>
      <c r="F798" s="1" t="str">
        <f t="shared" si="78"/>
        <v>&gt;=41640</v>
      </c>
      <c r="G798" s="1" t="str">
        <f t="shared" si="79"/>
        <v>&lt;41640</v>
      </c>
    </row>
    <row r="799" spans="2:7">
      <c r="B799" s="1"/>
      <c r="C799" s="3" t="s">
        <v>28</v>
      </c>
      <c r="D799" s="3" t="s">
        <v>28</v>
      </c>
      <c r="E799" s="8" t="s">
        <v>228</v>
      </c>
      <c r="F799" s="3" t="s">
        <v>28</v>
      </c>
      <c r="G799" s="3" t="s">
        <v>28</v>
      </c>
    </row>
    <row r="800" spans="2:7">
      <c r="B800" s="1">
        <v>398</v>
      </c>
      <c r="C800" s="1" t="str">
        <f t="shared" si="76"/>
        <v>&gt;=41640</v>
      </c>
      <c r="D800" s="1" t="str">
        <f t="shared" si="77"/>
        <v>&lt;=42004</v>
      </c>
      <c r="E800" s="7">
        <f>DMHH!$C$405</f>
        <v>0</v>
      </c>
      <c r="F800" s="1" t="str">
        <f t="shared" si="78"/>
        <v>&gt;=41640</v>
      </c>
      <c r="G800" s="1" t="str">
        <f t="shared" si="79"/>
        <v>&lt;41640</v>
      </c>
    </row>
    <row r="801" spans="2:7">
      <c r="B801" s="1"/>
      <c r="C801" s="3" t="s">
        <v>28</v>
      </c>
      <c r="D801" s="3" t="s">
        <v>28</v>
      </c>
      <c r="E801" s="8" t="s">
        <v>228</v>
      </c>
      <c r="F801" s="3" t="s">
        <v>28</v>
      </c>
      <c r="G801" s="3" t="s">
        <v>28</v>
      </c>
    </row>
    <row r="802" spans="2:7">
      <c r="B802" s="1">
        <v>399</v>
      </c>
      <c r="C802" s="1" t="str">
        <f t="shared" ref="C802:C864" si="80">"&gt;="&amp;$C$3</f>
        <v>&gt;=41640</v>
      </c>
      <c r="D802" s="1" t="str">
        <f t="shared" ref="D802:D864" si="81">"&lt;="&amp;$E$3</f>
        <v>&lt;=42004</v>
      </c>
      <c r="E802" s="7">
        <f>DMHH!$C$406</f>
        <v>0</v>
      </c>
      <c r="F802" s="1" t="str">
        <f t="shared" ref="F802:F864" si="82">"&gt;="&amp;$C$2</f>
        <v>&gt;=41640</v>
      </c>
      <c r="G802" s="1" t="str">
        <f t="shared" ref="G802:G864" si="83">"&lt;"&amp;$C$3</f>
        <v>&lt;41640</v>
      </c>
    </row>
    <row r="803" spans="2:7">
      <c r="B803" s="1"/>
      <c r="C803" s="3" t="s">
        <v>28</v>
      </c>
      <c r="D803" s="3" t="s">
        <v>28</v>
      </c>
      <c r="E803" s="8" t="s">
        <v>228</v>
      </c>
      <c r="F803" s="3" t="s">
        <v>28</v>
      </c>
      <c r="G803" s="3" t="s">
        <v>28</v>
      </c>
    </row>
    <row r="804" spans="2:7">
      <c r="B804" s="1">
        <v>400</v>
      </c>
      <c r="C804" s="1" t="str">
        <f t="shared" si="80"/>
        <v>&gt;=41640</v>
      </c>
      <c r="D804" s="1" t="str">
        <f t="shared" si="81"/>
        <v>&lt;=42004</v>
      </c>
      <c r="E804" s="7">
        <f>DMHH!$C$407</f>
        <v>0</v>
      </c>
      <c r="F804" s="1" t="str">
        <f t="shared" si="82"/>
        <v>&gt;=41640</v>
      </c>
      <c r="G804" s="1" t="str">
        <f t="shared" si="83"/>
        <v>&lt;41640</v>
      </c>
    </row>
    <row r="805" spans="2:7">
      <c r="B805" s="1"/>
      <c r="C805" s="3" t="s">
        <v>28</v>
      </c>
      <c r="D805" s="3" t="s">
        <v>28</v>
      </c>
      <c r="E805" s="8" t="s">
        <v>228</v>
      </c>
      <c r="F805" s="3" t="s">
        <v>28</v>
      </c>
      <c r="G805" s="3" t="s">
        <v>28</v>
      </c>
    </row>
    <row r="806" spans="2:7">
      <c r="B806" s="1">
        <v>401</v>
      </c>
      <c r="C806" s="1" t="str">
        <f t="shared" si="80"/>
        <v>&gt;=41640</v>
      </c>
      <c r="D806" s="1" t="str">
        <f t="shared" si="81"/>
        <v>&lt;=42004</v>
      </c>
      <c r="E806" s="7">
        <f>DMHH!$C$408</f>
        <v>0</v>
      </c>
      <c r="F806" s="1" t="str">
        <f t="shared" si="82"/>
        <v>&gt;=41640</v>
      </c>
      <c r="G806" s="1" t="str">
        <f t="shared" si="83"/>
        <v>&lt;41640</v>
      </c>
    </row>
    <row r="807" spans="2:7">
      <c r="B807" s="1"/>
      <c r="C807" s="3" t="s">
        <v>28</v>
      </c>
      <c r="D807" s="3" t="s">
        <v>28</v>
      </c>
      <c r="E807" s="8" t="s">
        <v>228</v>
      </c>
      <c r="F807" s="3" t="s">
        <v>28</v>
      </c>
      <c r="G807" s="3" t="s">
        <v>28</v>
      </c>
    </row>
    <row r="808" spans="2:7">
      <c r="B808" s="1">
        <v>402</v>
      </c>
      <c r="C808" s="1" t="str">
        <f t="shared" si="80"/>
        <v>&gt;=41640</v>
      </c>
      <c r="D808" s="1" t="str">
        <f t="shared" si="81"/>
        <v>&lt;=42004</v>
      </c>
      <c r="E808" s="7">
        <f>DMHH!$C$409</f>
        <v>0</v>
      </c>
      <c r="F808" s="1" t="str">
        <f t="shared" si="82"/>
        <v>&gt;=41640</v>
      </c>
      <c r="G808" s="1" t="str">
        <f t="shared" si="83"/>
        <v>&lt;41640</v>
      </c>
    </row>
    <row r="809" spans="2:7">
      <c r="B809" s="1"/>
      <c r="C809" s="3" t="s">
        <v>28</v>
      </c>
      <c r="D809" s="3" t="s">
        <v>28</v>
      </c>
      <c r="E809" s="8" t="s">
        <v>228</v>
      </c>
      <c r="F809" s="3" t="s">
        <v>28</v>
      </c>
      <c r="G809" s="3" t="s">
        <v>28</v>
      </c>
    </row>
    <row r="810" spans="2:7">
      <c r="B810" s="1">
        <v>403</v>
      </c>
      <c r="C810" s="1" t="str">
        <f t="shared" si="80"/>
        <v>&gt;=41640</v>
      </c>
      <c r="D810" s="1" t="str">
        <f t="shared" si="81"/>
        <v>&lt;=42004</v>
      </c>
      <c r="E810" s="7">
        <f>DMHH!$C$410</f>
        <v>0</v>
      </c>
      <c r="F810" s="1" t="str">
        <f t="shared" si="82"/>
        <v>&gt;=41640</v>
      </c>
      <c r="G810" s="1" t="str">
        <f t="shared" si="83"/>
        <v>&lt;41640</v>
      </c>
    </row>
    <row r="811" spans="2:7">
      <c r="B811" s="1"/>
      <c r="C811" s="3" t="s">
        <v>28</v>
      </c>
      <c r="D811" s="3" t="s">
        <v>28</v>
      </c>
      <c r="E811" s="8" t="s">
        <v>228</v>
      </c>
      <c r="F811" s="3" t="s">
        <v>28</v>
      </c>
      <c r="G811" s="3" t="s">
        <v>28</v>
      </c>
    </row>
    <row r="812" spans="2:7">
      <c r="B812" s="1">
        <v>404</v>
      </c>
      <c r="C812" s="1" t="str">
        <f t="shared" si="80"/>
        <v>&gt;=41640</v>
      </c>
      <c r="D812" s="1" t="str">
        <f t="shared" si="81"/>
        <v>&lt;=42004</v>
      </c>
      <c r="E812" s="7">
        <f>DMHH!$C$411</f>
        <v>0</v>
      </c>
      <c r="F812" s="1" t="str">
        <f t="shared" si="82"/>
        <v>&gt;=41640</v>
      </c>
      <c r="G812" s="1" t="str">
        <f t="shared" si="83"/>
        <v>&lt;41640</v>
      </c>
    </row>
    <row r="813" spans="2:7">
      <c r="B813" s="1"/>
      <c r="C813" s="3" t="s">
        <v>28</v>
      </c>
      <c r="D813" s="3" t="s">
        <v>28</v>
      </c>
      <c r="E813" s="8" t="s">
        <v>228</v>
      </c>
      <c r="F813" s="3" t="s">
        <v>28</v>
      </c>
      <c r="G813" s="3" t="s">
        <v>28</v>
      </c>
    </row>
    <row r="814" spans="2:7">
      <c r="B814" s="1">
        <v>405</v>
      </c>
      <c r="C814" s="1" t="str">
        <f t="shared" si="80"/>
        <v>&gt;=41640</v>
      </c>
      <c r="D814" s="1" t="str">
        <f t="shared" si="81"/>
        <v>&lt;=42004</v>
      </c>
      <c r="E814" s="7">
        <f>DMHH!$C$412</f>
        <v>0</v>
      </c>
      <c r="F814" s="1" t="str">
        <f t="shared" si="82"/>
        <v>&gt;=41640</v>
      </c>
      <c r="G814" s="1" t="str">
        <f t="shared" si="83"/>
        <v>&lt;41640</v>
      </c>
    </row>
    <row r="815" spans="2:7">
      <c r="B815" s="1"/>
      <c r="C815" s="3" t="s">
        <v>28</v>
      </c>
      <c r="D815" s="3" t="s">
        <v>28</v>
      </c>
      <c r="E815" s="8" t="s">
        <v>228</v>
      </c>
      <c r="F815" s="3" t="s">
        <v>28</v>
      </c>
      <c r="G815" s="3" t="s">
        <v>28</v>
      </c>
    </row>
    <row r="816" spans="2:7">
      <c r="B816" s="1">
        <v>406</v>
      </c>
      <c r="C816" s="1" t="str">
        <f t="shared" si="80"/>
        <v>&gt;=41640</v>
      </c>
      <c r="D816" s="1" t="str">
        <f t="shared" si="81"/>
        <v>&lt;=42004</v>
      </c>
      <c r="E816" s="7">
        <f>DMHH!$C$413</f>
        <v>0</v>
      </c>
      <c r="F816" s="1" t="str">
        <f t="shared" si="82"/>
        <v>&gt;=41640</v>
      </c>
      <c r="G816" s="1" t="str">
        <f t="shared" si="83"/>
        <v>&lt;41640</v>
      </c>
    </row>
    <row r="817" spans="2:7">
      <c r="B817" s="1"/>
      <c r="C817" s="3" t="s">
        <v>28</v>
      </c>
      <c r="D817" s="3" t="s">
        <v>28</v>
      </c>
      <c r="E817" s="8" t="s">
        <v>228</v>
      </c>
      <c r="F817" s="3" t="s">
        <v>28</v>
      </c>
      <c r="G817" s="3" t="s">
        <v>28</v>
      </c>
    </row>
    <row r="818" spans="2:7">
      <c r="B818" s="1">
        <v>407</v>
      </c>
      <c r="C818" s="1" t="str">
        <f t="shared" si="80"/>
        <v>&gt;=41640</v>
      </c>
      <c r="D818" s="1" t="str">
        <f t="shared" si="81"/>
        <v>&lt;=42004</v>
      </c>
      <c r="E818" s="7">
        <f>DMHH!$C$414</f>
        <v>0</v>
      </c>
      <c r="F818" s="1" t="str">
        <f t="shared" si="82"/>
        <v>&gt;=41640</v>
      </c>
      <c r="G818" s="1" t="str">
        <f t="shared" si="83"/>
        <v>&lt;41640</v>
      </c>
    </row>
    <row r="819" spans="2:7">
      <c r="B819" s="1"/>
      <c r="C819" s="3" t="s">
        <v>28</v>
      </c>
      <c r="D819" s="3" t="s">
        <v>28</v>
      </c>
      <c r="E819" s="8" t="s">
        <v>228</v>
      </c>
      <c r="F819" s="3" t="s">
        <v>28</v>
      </c>
      <c r="G819" s="3" t="s">
        <v>28</v>
      </c>
    </row>
    <row r="820" spans="2:7">
      <c r="B820" s="1">
        <v>408</v>
      </c>
      <c r="C820" s="1" t="str">
        <f t="shared" si="80"/>
        <v>&gt;=41640</v>
      </c>
      <c r="D820" s="1" t="str">
        <f t="shared" si="81"/>
        <v>&lt;=42004</v>
      </c>
      <c r="E820" s="7">
        <f>DMHH!$C$415</f>
        <v>0</v>
      </c>
      <c r="F820" s="1" t="str">
        <f t="shared" si="82"/>
        <v>&gt;=41640</v>
      </c>
      <c r="G820" s="1" t="str">
        <f t="shared" si="83"/>
        <v>&lt;41640</v>
      </c>
    </row>
    <row r="821" spans="2:7">
      <c r="B821" s="1"/>
      <c r="C821" s="3" t="s">
        <v>28</v>
      </c>
      <c r="D821" s="3" t="s">
        <v>28</v>
      </c>
      <c r="E821" s="8" t="s">
        <v>228</v>
      </c>
      <c r="F821" s="3" t="s">
        <v>28</v>
      </c>
      <c r="G821" s="3" t="s">
        <v>28</v>
      </c>
    </row>
    <row r="822" spans="2:7">
      <c r="B822" s="1">
        <v>409</v>
      </c>
      <c r="C822" s="1" t="str">
        <f t="shared" si="80"/>
        <v>&gt;=41640</v>
      </c>
      <c r="D822" s="1" t="str">
        <f t="shared" si="81"/>
        <v>&lt;=42004</v>
      </c>
      <c r="E822" s="7">
        <f>DMHH!$C$416</f>
        <v>0</v>
      </c>
      <c r="F822" s="1" t="str">
        <f t="shared" si="82"/>
        <v>&gt;=41640</v>
      </c>
      <c r="G822" s="1" t="str">
        <f t="shared" si="83"/>
        <v>&lt;41640</v>
      </c>
    </row>
    <row r="823" spans="2:7">
      <c r="B823" s="1"/>
      <c r="C823" s="3" t="s">
        <v>28</v>
      </c>
      <c r="D823" s="3" t="s">
        <v>28</v>
      </c>
      <c r="E823" s="8" t="s">
        <v>228</v>
      </c>
      <c r="F823" s="3" t="s">
        <v>28</v>
      </c>
      <c r="G823" s="3" t="s">
        <v>28</v>
      </c>
    </row>
    <row r="824" spans="2:7">
      <c r="B824" s="1">
        <v>410</v>
      </c>
      <c r="C824" s="1" t="str">
        <f t="shared" si="80"/>
        <v>&gt;=41640</v>
      </c>
      <c r="D824" s="1" t="str">
        <f t="shared" si="81"/>
        <v>&lt;=42004</v>
      </c>
      <c r="E824" s="7">
        <f>DMHH!$C$417</f>
        <v>0</v>
      </c>
      <c r="F824" s="1" t="str">
        <f t="shared" si="82"/>
        <v>&gt;=41640</v>
      </c>
      <c r="G824" s="1" t="str">
        <f t="shared" si="83"/>
        <v>&lt;41640</v>
      </c>
    </row>
    <row r="825" spans="2:7">
      <c r="B825" s="1"/>
      <c r="C825" s="3" t="s">
        <v>28</v>
      </c>
      <c r="D825" s="3" t="s">
        <v>28</v>
      </c>
      <c r="E825" s="8" t="s">
        <v>228</v>
      </c>
      <c r="F825" s="3" t="s">
        <v>28</v>
      </c>
      <c r="G825" s="3" t="s">
        <v>28</v>
      </c>
    </row>
    <row r="826" spans="2:7">
      <c r="B826" s="1">
        <v>411</v>
      </c>
      <c r="C826" s="1" t="str">
        <f t="shared" si="80"/>
        <v>&gt;=41640</v>
      </c>
      <c r="D826" s="1" t="str">
        <f t="shared" si="81"/>
        <v>&lt;=42004</v>
      </c>
      <c r="E826" s="7">
        <f>DMHH!$C$418</f>
        <v>0</v>
      </c>
      <c r="F826" s="1" t="str">
        <f t="shared" si="82"/>
        <v>&gt;=41640</v>
      </c>
      <c r="G826" s="1" t="str">
        <f t="shared" si="83"/>
        <v>&lt;41640</v>
      </c>
    </row>
    <row r="827" spans="2:7">
      <c r="B827" s="1"/>
      <c r="C827" s="3" t="s">
        <v>28</v>
      </c>
      <c r="D827" s="3" t="s">
        <v>28</v>
      </c>
      <c r="E827" s="8" t="s">
        <v>228</v>
      </c>
      <c r="F827" s="3" t="s">
        <v>28</v>
      </c>
      <c r="G827" s="3" t="s">
        <v>28</v>
      </c>
    </row>
    <row r="828" spans="2:7">
      <c r="B828" s="1">
        <v>412</v>
      </c>
      <c r="C828" s="1" t="str">
        <f t="shared" si="80"/>
        <v>&gt;=41640</v>
      </c>
      <c r="D828" s="1" t="str">
        <f t="shared" si="81"/>
        <v>&lt;=42004</v>
      </c>
      <c r="E828" s="7">
        <f>DMHH!$C$419</f>
        <v>0</v>
      </c>
      <c r="F828" s="1" t="str">
        <f t="shared" si="82"/>
        <v>&gt;=41640</v>
      </c>
      <c r="G828" s="1" t="str">
        <f t="shared" si="83"/>
        <v>&lt;41640</v>
      </c>
    </row>
    <row r="829" spans="2:7">
      <c r="B829" s="1"/>
      <c r="C829" s="3" t="s">
        <v>28</v>
      </c>
      <c r="D829" s="3" t="s">
        <v>28</v>
      </c>
      <c r="E829" s="8" t="s">
        <v>228</v>
      </c>
      <c r="F829" s="3" t="s">
        <v>28</v>
      </c>
      <c r="G829" s="3" t="s">
        <v>28</v>
      </c>
    </row>
    <row r="830" spans="2:7">
      <c r="B830" s="1">
        <v>413</v>
      </c>
      <c r="C830" s="1" t="str">
        <f t="shared" si="80"/>
        <v>&gt;=41640</v>
      </c>
      <c r="D830" s="1" t="str">
        <f t="shared" si="81"/>
        <v>&lt;=42004</v>
      </c>
      <c r="E830" s="7">
        <f>DMHH!$C$420</f>
        <v>0</v>
      </c>
      <c r="F830" s="1" t="str">
        <f t="shared" si="82"/>
        <v>&gt;=41640</v>
      </c>
      <c r="G830" s="1" t="str">
        <f t="shared" si="83"/>
        <v>&lt;41640</v>
      </c>
    </row>
    <row r="831" spans="2:7">
      <c r="B831" s="1"/>
      <c r="C831" s="3" t="s">
        <v>28</v>
      </c>
      <c r="D831" s="3" t="s">
        <v>28</v>
      </c>
      <c r="E831" s="8" t="s">
        <v>228</v>
      </c>
      <c r="F831" s="3" t="s">
        <v>28</v>
      </c>
      <c r="G831" s="3" t="s">
        <v>28</v>
      </c>
    </row>
    <row r="832" spans="2:7">
      <c r="B832" s="1">
        <v>414</v>
      </c>
      <c r="C832" s="1" t="str">
        <f t="shared" si="80"/>
        <v>&gt;=41640</v>
      </c>
      <c r="D832" s="1" t="str">
        <f t="shared" si="81"/>
        <v>&lt;=42004</v>
      </c>
      <c r="E832" s="7">
        <f>DMHH!$C$421</f>
        <v>0</v>
      </c>
      <c r="F832" s="1" t="str">
        <f t="shared" si="82"/>
        <v>&gt;=41640</v>
      </c>
      <c r="G832" s="1" t="str">
        <f t="shared" si="83"/>
        <v>&lt;41640</v>
      </c>
    </row>
    <row r="833" spans="2:7">
      <c r="B833" s="1"/>
      <c r="C833" s="3" t="s">
        <v>28</v>
      </c>
      <c r="D833" s="3" t="s">
        <v>28</v>
      </c>
      <c r="E833" s="8" t="s">
        <v>228</v>
      </c>
      <c r="F833" s="3" t="s">
        <v>28</v>
      </c>
      <c r="G833" s="3" t="s">
        <v>28</v>
      </c>
    </row>
    <row r="834" spans="2:7">
      <c r="B834" s="1">
        <v>415</v>
      </c>
      <c r="C834" s="1" t="str">
        <f t="shared" si="80"/>
        <v>&gt;=41640</v>
      </c>
      <c r="D834" s="1" t="str">
        <f t="shared" si="81"/>
        <v>&lt;=42004</v>
      </c>
      <c r="E834" s="7">
        <f>DMHH!$C$422</f>
        <v>0</v>
      </c>
      <c r="F834" s="1" t="str">
        <f t="shared" si="82"/>
        <v>&gt;=41640</v>
      </c>
      <c r="G834" s="1" t="str">
        <f t="shared" si="83"/>
        <v>&lt;41640</v>
      </c>
    </row>
    <row r="835" spans="2:7">
      <c r="B835" s="1"/>
      <c r="C835" s="3" t="s">
        <v>28</v>
      </c>
      <c r="D835" s="3" t="s">
        <v>28</v>
      </c>
      <c r="E835" s="8" t="s">
        <v>228</v>
      </c>
      <c r="F835" s="3" t="s">
        <v>28</v>
      </c>
      <c r="G835" s="3" t="s">
        <v>28</v>
      </c>
    </row>
    <row r="836" spans="2:7">
      <c r="B836" s="1">
        <v>416</v>
      </c>
      <c r="C836" s="1" t="str">
        <f t="shared" si="80"/>
        <v>&gt;=41640</v>
      </c>
      <c r="D836" s="1" t="str">
        <f t="shared" si="81"/>
        <v>&lt;=42004</v>
      </c>
      <c r="E836" s="7">
        <f>DMHH!$C$423</f>
        <v>0</v>
      </c>
      <c r="F836" s="1" t="str">
        <f t="shared" si="82"/>
        <v>&gt;=41640</v>
      </c>
      <c r="G836" s="1" t="str">
        <f t="shared" si="83"/>
        <v>&lt;41640</v>
      </c>
    </row>
    <row r="837" spans="2:7">
      <c r="B837" s="1"/>
      <c r="C837" s="3" t="s">
        <v>28</v>
      </c>
      <c r="D837" s="3" t="s">
        <v>28</v>
      </c>
      <c r="E837" s="8" t="s">
        <v>228</v>
      </c>
      <c r="F837" s="3" t="s">
        <v>28</v>
      </c>
      <c r="G837" s="3" t="s">
        <v>28</v>
      </c>
    </row>
    <row r="838" spans="2:7">
      <c r="B838" s="1">
        <v>417</v>
      </c>
      <c r="C838" s="1" t="str">
        <f t="shared" si="80"/>
        <v>&gt;=41640</v>
      </c>
      <c r="D838" s="1" t="str">
        <f t="shared" si="81"/>
        <v>&lt;=42004</v>
      </c>
      <c r="E838" s="7">
        <f>DMHH!$C$424</f>
        <v>0</v>
      </c>
      <c r="F838" s="1" t="str">
        <f t="shared" si="82"/>
        <v>&gt;=41640</v>
      </c>
      <c r="G838" s="1" t="str">
        <f t="shared" si="83"/>
        <v>&lt;41640</v>
      </c>
    </row>
    <row r="839" spans="2:7">
      <c r="B839" s="1"/>
      <c r="C839" s="3" t="s">
        <v>28</v>
      </c>
      <c r="D839" s="3" t="s">
        <v>28</v>
      </c>
      <c r="E839" s="8" t="s">
        <v>228</v>
      </c>
      <c r="F839" s="3" t="s">
        <v>28</v>
      </c>
      <c r="G839" s="3" t="s">
        <v>28</v>
      </c>
    </row>
    <row r="840" spans="2:7">
      <c r="B840" s="1">
        <v>418</v>
      </c>
      <c r="C840" s="1" t="str">
        <f t="shared" si="80"/>
        <v>&gt;=41640</v>
      </c>
      <c r="D840" s="1" t="str">
        <f t="shared" si="81"/>
        <v>&lt;=42004</v>
      </c>
      <c r="E840" s="7">
        <f>DMHH!$C$425</f>
        <v>0</v>
      </c>
      <c r="F840" s="1" t="str">
        <f t="shared" si="82"/>
        <v>&gt;=41640</v>
      </c>
      <c r="G840" s="1" t="str">
        <f t="shared" si="83"/>
        <v>&lt;41640</v>
      </c>
    </row>
    <row r="841" spans="2:7">
      <c r="B841" s="1"/>
      <c r="C841" s="3" t="s">
        <v>28</v>
      </c>
      <c r="D841" s="3" t="s">
        <v>28</v>
      </c>
      <c r="E841" s="8" t="s">
        <v>228</v>
      </c>
      <c r="F841" s="3" t="s">
        <v>28</v>
      </c>
      <c r="G841" s="3" t="s">
        <v>28</v>
      </c>
    </row>
    <row r="842" spans="2:7">
      <c r="B842" s="1">
        <v>419</v>
      </c>
      <c r="C842" s="1" t="str">
        <f t="shared" si="80"/>
        <v>&gt;=41640</v>
      </c>
      <c r="D842" s="1" t="str">
        <f t="shared" si="81"/>
        <v>&lt;=42004</v>
      </c>
      <c r="E842" s="7">
        <f>DMHH!$C$426</f>
        <v>0</v>
      </c>
      <c r="F842" s="1" t="str">
        <f t="shared" si="82"/>
        <v>&gt;=41640</v>
      </c>
      <c r="G842" s="1" t="str">
        <f t="shared" si="83"/>
        <v>&lt;41640</v>
      </c>
    </row>
    <row r="843" spans="2:7">
      <c r="B843" s="1"/>
      <c r="C843" s="3" t="s">
        <v>28</v>
      </c>
      <c r="D843" s="3" t="s">
        <v>28</v>
      </c>
      <c r="E843" s="8" t="s">
        <v>228</v>
      </c>
      <c r="F843" s="3" t="s">
        <v>28</v>
      </c>
      <c r="G843" s="3" t="s">
        <v>28</v>
      </c>
    </row>
    <row r="844" spans="2:7">
      <c r="B844" s="1">
        <v>420</v>
      </c>
      <c r="C844" s="1" t="str">
        <f t="shared" si="80"/>
        <v>&gt;=41640</v>
      </c>
      <c r="D844" s="1" t="str">
        <f t="shared" si="81"/>
        <v>&lt;=42004</v>
      </c>
      <c r="E844" s="7">
        <f>DMHH!$C$427</f>
        <v>0</v>
      </c>
      <c r="F844" s="1" t="str">
        <f t="shared" si="82"/>
        <v>&gt;=41640</v>
      </c>
      <c r="G844" s="1" t="str">
        <f t="shared" si="83"/>
        <v>&lt;41640</v>
      </c>
    </row>
    <row r="845" spans="2:7">
      <c r="B845" s="1"/>
      <c r="C845" s="3" t="s">
        <v>28</v>
      </c>
      <c r="D845" s="3" t="s">
        <v>28</v>
      </c>
      <c r="E845" s="8" t="s">
        <v>228</v>
      </c>
      <c r="F845" s="3" t="s">
        <v>28</v>
      </c>
      <c r="G845" s="3" t="s">
        <v>28</v>
      </c>
    </row>
    <row r="846" spans="2:7">
      <c r="B846" s="1">
        <v>421</v>
      </c>
      <c r="C846" s="1" t="str">
        <f t="shared" si="80"/>
        <v>&gt;=41640</v>
      </c>
      <c r="D846" s="1" t="str">
        <f t="shared" si="81"/>
        <v>&lt;=42004</v>
      </c>
      <c r="E846" s="7">
        <f>DMHH!$C$428</f>
        <v>0</v>
      </c>
      <c r="F846" s="1" t="str">
        <f t="shared" si="82"/>
        <v>&gt;=41640</v>
      </c>
      <c r="G846" s="1" t="str">
        <f t="shared" si="83"/>
        <v>&lt;41640</v>
      </c>
    </row>
    <row r="847" spans="2:7">
      <c r="B847" s="1"/>
      <c r="C847" s="3" t="s">
        <v>28</v>
      </c>
      <c r="D847" s="3" t="s">
        <v>28</v>
      </c>
      <c r="E847" s="8" t="s">
        <v>228</v>
      </c>
      <c r="F847" s="3" t="s">
        <v>28</v>
      </c>
      <c r="G847" s="3" t="s">
        <v>28</v>
      </c>
    </row>
    <row r="848" spans="2:7">
      <c r="B848" s="1">
        <v>422</v>
      </c>
      <c r="C848" s="1" t="str">
        <f t="shared" si="80"/>
        <v>&gt;=41640</v>
      </c>
      <c r="D848" s="1" t="str">
        <f t="shared" si="81"/>
        <v>&lt;=42004</v>
      </c>
      <c r="E848" s="7">
        <f>DMHH!$C$429</f>
        <v>0</v>
      </c>
      <c r="F848" s="1" t="str">
        <f t="shared" si="82"/>
        <v>&gt;=41640</v>
      </c>
      <c r="G848" s="1" t="str">
        <f t="shared" si="83"/>
        <v>&lt;41640</v>
      </c>
    </row>
    <row r="849" spans="2:7">
      <c r="B849" s="1"/>
      <c r="C849" s="3" t="s">
        <v>28</v>
      </c>
      <c r="D849" s="3" t="s">
        <v>28</v>
      </c>
      <c r="E849" s="8" t="s">
        <v>228</v>
      </c>
      <c r="F849" s="3" t="s">
        <v>28</v>
      </c>
      <c r="G849" s="3" t="s">
        <v>28</v>
      </c>
    </row>
    <row r="850" spans="2:7">
      <c r="B850" s="1">
        <v>423</v>
      </c>
      <c r="C850" s="1" t="str">
        <f t="shared" si="80"/>
        <v>&gt;=41640</v>
      </c>
      <c r="D850" s="1" t="str">
        <f t="shared" si="81"/>
        <v>&lt;=42004</v>
      </c>
      <c r="E850" s="7">
        <f>DMHH!$C$430</f>
        <v>0</v>
      </c>
      <c r="F850" s="1" t="str">
        <f t="shared" si="82"/>
        <v>&gt;=41640</v>
      </c>
      <c r="G850" s="1" t="str">
        <f t="shared" si="83"/>
        <v>&lt;41640</v>
      </c>
    </row>
    <row r="851" spans="2:7">
      <c r="B851" s="1"/>
      <c r="C851" s="3" t="s">
        <v>28</v>
      </c>
      <c r="D851" s="3" t="s">
        <v>28</v>
      </c>
      <c r="E851" s="8" t="s">
        <v>228</v>
      </c>
      <c r="F851" s="3" t="s">
        <v>28</v>
      </c>
      <c r="G851" s="3" t="s">
        <v>28</v>
      </c>
    </row>
    <row r="852" spans="2:7">
      <c r="B852" s="1">
        <v>424</v>
      </c>
      <c r="C852" s="1" t="str">
        <f t="shared" si="80"/>
        <v>&gt;=41640</v>
      </c>
      <c r="D852" s="1" t="str">
        <f t="shared" si="81"/>
        <v>&lt;=42004</v>
      </c>
      <c r="E852" s="7">
        <f>DMHH!$C$431</f>
        <v>0</v>
      </c>
      <c r="F852" s="1" t="str">
        <f t="shared" si="82"/>
        <v>&gt;=41640</v>
      </c>
      <c r="G852" s="1" t="str">
        <f t="shared" si="83"/>
        <v>&lt;41640</v>
      </c>
    </row>
    <row r="853" spans="2:7">
      <c r="B853" s="1"/>
      <c r="C853" s="3" t="s">
        <v>28</v>
      </c>
      <c r="D853" s="3" t="s">
        <v>28</v>
      </c>
      <c r="E853" s="8" t="s">
        <v>228</v>
      </c>
      <c r="F853" s="3" t="s">
        <v>28</v>
      </c>
      <c r="G853" s="3" t="s">
        <v>28</v>
      </c>
    </row>
    <row r="854" spans="2:7">
      <c r="B854" s="1">
        <v>425</v>
      </c>
      <c r="C854" s="1" t="str">
        <f t="shared" si="80"/>
        <v>&gt;=41640</v>
      </c>
      <c r="D854" s="1" t="str">
        <f t="shared" si="81"/>
        <v>&lt;=42004</v>
      </c>
      <c r="E854" s="7">
        <f>DMHH!$C$432</f>
        <v>0</v>
      </c>
      <c r="F854" s="1" t="str">
        <f t="shared" si="82"/>
        <v>&gt;=41640</v>
      </c>
      <c r="G854" s="1" t="str">
        <f t="shared" si="83"/>
        <v>&lt;41640</v>
      </c>
    </row>
    <row r="855" spans="2:7">
      <c r="B855" s="1"/>
      <c r="C855" s="3" t="s">
        <v>28</v>
      </c>
      <c r="D855" s="3" t="s">
        <v>28</v>
      </c>
      <c r="E855" s="8" t="s">
        <v>228</v>
      </c>
      <c r="F855" s="3" t="s">
        <v>28</v>
      </c>
      <c r="G855" s="3" t="s">
        <v>28</v>
      </c>
    </row>
    <row r="856" spans="2:7">
      <c r="B856" s="1">
        <v>426</v>
      </c>
      <c r="C856" s="1" t="str">
        <f t="shared" si="80"/>
        <v>&gt;=41640</v>
      </c>
      <c r="D856" s="1" t="str">
        <f t="shared" si="81"/>
        <v>&lt;=42004</v>
      </c>
      <c r="E856" s="7">
        <f>DMHH!$C$433</f>
        <v>0</v>
      </c>
      <c r="F856" s="1" t="str">
        <f t="shared" si="82"/>
        <v>&gt;=41640</v>
      </c>
      <c r="G856" s="1" t="str">
        <f t="shared" si="83"/>
        <v>&lt;41640</v>
      </c>
    </row>
    <row r="857" spans="2:7">
      <c r="B857" s="1"/>
      <c r="C857" s="3" t="s">
        <v>28</v>
      </c>
      <c r="D857" s="3" t="s">
        <v>28</v>
      </c>
      <c r="E857" s="8" t="s">
        <v>228</v>
      </c>
      <c r="F857" s="3" t="s">
        <v>28</v>
      </c>
      <c r="G857" s="3" t="s">
        <v>28</v>
      </c>
    </row>
    <row r="858" spans="2:7">
      <c r="B858" s="1">
        <v>427</v>
      </c>
      <c r="C858" s="1" t="str">
        <f t="shared" si="80"/>
        <v>&gt;=41640</v>
      </c>
      <c r="D858" s="1" t="str">
        <f t="shared" si="81"/>
        <v>&lt;=42004</v>
      </c>
      <c r="E858" s="7">
        <f>DMHH!$C$434</f>
        <v>0</v>
      </c>
      <c r="F858" s="1" t="str">
        <f t="shared" si="82"/>
        <v>&gt;=41640</v>
      </c>
      <c r="G858" s="1" t="str">
        <f t="shared" si="83"/>
        <v>&lt;41640</v>
      </c>
    </row>
    <row r="859" spans="2:7">
      <c r="B859" s="1"/>
      <c r="C859" s="3" t="s">
        <v>28</v>
      </c>
      <c r="D859" s="3" t="s">
        <v>28</v>
      </c>
      <c r="E859" s="8" t="s">
        <v>228</v>
      </c>
      <c r="F859" s="3" t="s">
        <v>28</v>
      </c>
      <c r="G859" s="3" t="s">
        <v>28</v>
      </c>
    </row>
    <row r="860" spans="2:7">
      <c r="B860" s="1">
        <v>428</v>
      </c>
      <c r="C860" s="1" t="str">
        <f t="shared" si="80"/>
        <v>&gt;=41640</v>
      </c>
      <c r="D860" s="1" t="str">
        <f t="shared" si="81"/>
        <v>&lt;=42004</v>
      </c>
      <c r="E860" s="7">
        <f>DMHH!$C$435</f>
        <v>0</v>
      </c>
      <c r="F860" s="1" t="str">
        <f t="shared" si="82"/>
        <v>&gt;=41640</v>
      </c>
      <c r="G860" s="1" t="str">
        <f t="shared" si="83"/>
        <v>&lt;41640</v>
      </c>
    </row>
    <row r="861" spans="2:7">
      <c r="B861" s="1"/>
      <c r="C861" s="3" t="s">
        <v>28</v>
      </c>
      <c r="D861" s="3" t="s">
        <v>28</v>
      </c>
      <c r="E861" s="8" t="s">
        <v>228</v>
      </c>
      <c r="F861" s="3" t="s">
        <v>28</v>
      </c>
      <c r="G861" s="3" t="s">
        <v>28</v>
      </c>
    </row>
    <row r="862" spans="2:7">
      <c r="B862" s="1">
        <v>429</v>
      </c>
      <c r="C862" s="1" t="str">
        <f t="shared" si="80"/>
        <v>&gt;=41640</v>
      </c>
      <c r="D862" s="1" t="str">
        <f t="shared" si="81"/>
        <v>&lt;=42004</v>
      </c>
      <c r="E862" s="7">
        <f>DMHH!$C$436</f>
        <v>0</v>
      </c>
      <c r="F862" s="1" t="str">
        <f t="shared" si="82"/>
        <v>&gt;=41640</v>
      </c>
      <c r="G862" s="1" t="str">
        <f t="shared" si="83"/>
        <v>&lt;41640</v>
      </c>
    </row>
    <row r="863" spans="2:7">
      <c r="B863" s="1"/>
      <c r="C863" s="3" t="s">
        <v>28</v>
      </c>
      <c r="D863" s="3" t="s">
        <v>28</v>
      </c>
      <c r="E863" s="8" t="s">
        <v>228</v>
      </c>
      <c r="F863" s="3" t="s">
        <v>28</v>
      </c>
      <c r="G863" s="3" t="s">
        <v>28</v>
      </c>
    </row>
    <row r="864" spans="2:7">
      <c r="B864" s="1">
        <v>430</v>
      </c>
      <c r="C864" s="1" t="str">
        <f t="shared" si="80"/>
        <v>&gt;=41640</v>
      </c>
      <c r="D864" s="1" t="str">
        <f t="shared" si="81"/>
        <v>&lt;=42004</v>
      </c>
      <c r="E864" s="7">
        <f>DMHH!$C$437</f>
        <v>0</v>
      </c>
      <c r="F864" s="1" t="str">
        <f t="shared" si="82"/>
        <v>&gt;=41640</v>
      </c>
      <c r="G864" s="1" t="str">
        <f t="shared" si="83"/>
        <v>&lt;41640</v>
      </c>
    </row>
    <row r="865" spans="2:7">
      <c r="B865" s="1"/>
      <c r="C865" s="3" t="s">
        <v>28</v>
      </c>
      <c r="D865" s="3" t="s">
        <v>28</v>
      </c>
      <c r="E865" s="8" t="s">
        <v>228</v>
      </c>
      <c r="F865" s="3" t="s">
        <v>28</v>
      </c>
      <c r="G865" s="3" t="s">
        <v>28</v>
      </c>
    </row>
    <row r="866" spans="2:7">
      <c r="B866" s="1">
        <v>431</v>
      </c>
      <c r="C866" s="1" t="str">
        <f t="shared" ref="C866:C928" si="84">"&gt;="&amp;$C$3</f>
        <v>&gt;=41640</v>
      </c>
      <c r="D866" s="1" t="str">
        <f t="shared" ref="D866:D928" si="85">"&lt;="&amp;$E$3</f>
        <v>&lt;=42004</v>
      </c>
      <c r="E866" s="7">
        <f>DMHH!$C$438</f>
        <v>0</v>
      </c>
      <c r="F866" s="1" t="str">
        <f t="shared" ref="F866:F928" si="86">"&gt;="&amp;$C$2</f>
        <v>&gt;=41640</v>
      </c>
      <c r="G866" s="1" t="str">
        <f t="shared" ref="G866:G928" si="87">"&lt;"&amp;$C$3</f>
        <v>&lt;41640</v>
      </c>
    </row>
    <row r="867" spans="2:7">
      <c r="B867" s="1"/>
      <c r="C867" s="3" t="s">
        <v>28</v>
      </c>
      <c r="D867" s="3" t="s">
        <v>28</v>
      </c>
      <c r="E867" s="8" t="s">
        <v>228</v>
      </c>
      <c r="F867" s="3" t="s">
        <v>28</v>
      </c>
      <c r="G867" s="3" t="s">
        <v>28</v>
      </c>
    </row>
    <row r="868" spans="2:7">
      <c r="B868" s="1">
        <v>432</v>
      </c>
      <c r="C868" s="1" t="str">
        <f t="shared" si="84"/>
        <v>&gt;=41640</v>
      </c>
      <c r="D868" s="1" t="str">
        <f t="shared" si="85"/>
        <v>&lt;=42004</v>
      </c>
      <c r="E868" s="7">
        <f>DMHH!$C$439</f>
        <v>0</v>
      </c>
      <c r="F868" s="1" t="str">
        <f t="shared" si="86"/>
        <v>&gt;=41640</v>
      </c>
      <c r="G868" s="1" t="str">
        <f t="shared" si="87"/>
        <v>&lt;41640</v>
      </c>
    </row>
    <row r="869" spans="2:7">
      <c r="B869" s="1"/>
      <c r="C869" s="3" t="s">
        <v>28</v>
      </c>
      <c r="D869" s="3" t="s">
        <v>28</v>
      </c>
      <c r="E869" s="8" t="s">
        <v>228</v>
      </c>
      <c r="F869" s="3" t="s">
        <v>28</v>
      </c>
      <c r="G869" s="3" t="s">
        <v>28</v>
      </c>
    </row>
    <row r="870" spans="2:7">
      <c r="B870" s="1">
        <v>433</v>
      </c>
      <c r="C870" s="1" t="str">
        <f t="shared" si="84"/>
        <v>&gt;=41640</v>
      </c>
      <c r="D870" s="1" t="str">
        <f t="shared" si="85"/>
        <v>&lt;=42004</v>
      </c>
      <c r="E870" s="7">
        <f>DMHH!$C$440</f>
        <v>0</v>
      </c>
      <c r="F870" s="1" t="str">
        <f t="shared" si="86"/>
        <v>&gt;=41640</v>
      </c>
      <c r="G870" s="1" t="str">
        <f t="shared" si="87"/>
        <v>&lt;41640</v>
      </c>
    </row>
    <row r="871" spans="2:7">
      <c r="B871" s="1"/>
      <c r="C871" s="3" t="s">
        <v>28</v>
      </c>
      <c r="D871" s="3" t="s">
        <v>28</v>
      </c>
      <c r="E871" s="8" t="s">
        <v>228</v>
      </c>
      <c r="F871" s="3" t="s">
        <v>28</v>
      </c>
      <c r="G871" s="3" t="s">
        <v>28</v>
      </c>
    </row>
    <row r="872" spans="2:7">
      <c r="B872" s="1">
        <v>434</v>
      </c>
      <c r="C872" s="1" t="str">
        <f t="shared" si="84"/>
        <v>&gt;=41640</v>
      </c>
      <c r="D872" s="1" t="str">
        <f t="shared" si="85"/>
        <v>&lt;=42004</v>
      </c>
      <c r="E872" s="7">
        <f>DMHH!$C$441</f>
        <v>0</v>
      </c>
      <c r="F872" s="1" t="str">
        <f t="shared" si="86"/>
        <v>&gt;=41640</v>
      </c>
      <c r="G872" s="1" t="str">
        <f t="shared" si="87"/>
        <v>&lt;41640</v>
      </c>
    </row>
    <row r="873" spans="2:7">
      <c r="B873" s="1"/>
      <c r="C873" s="3" t="s">
        <v>28</v>
      </c>
      <c r="D873" s="3" t="s">
        <v>28</v>
      </c>
      <c r="E873" s="8" t="s">
        <v>228</v>
      </c>
      <c r="F873" s="3" t="s">
        <v>28</v>
      </c>
      <c r="G873" s="3" t="s">
        <v>28</v>
      </c>
    </row>
    <row r="874" spans="2:7">
      <c r="B874" s="1">
        <v>435</v>
      </c>
      <c r="C874" s="1" t="str">
        <f t="shared" si="84"/>
        <v>&gt;=41640</v>
      </c>
      <c r="D874" s="1" t="str">
        <f t="shared" si="85"/>
        <v>&lt;=42004</v>
      </c>
      <c r="E874" s="7">
        <f>DMHH!$C$442</f>
        <v>0</v>
      </c>
      <c r="F874" s="1" t="str">
        <f t="shared" si="86"/>
        <v>&gt;=41640</v>
      </c>
      <c r="G874" s="1" t="str">
        <f t="shared" si="87"/>
        <v>&lt;41640</v>
      </c>
    </row>
    <row r="875" spans="2:7">
      <c r="B875" s="1"/>
      <c r="C875" s="3" t="s">
        <v>28</v>
      </c>
      <c r="D875" s="3" t="s">
        <v>28</v>
      </c>
      <c r="E875" s="8" t="s">
        <v>228</v>
      </c>
      <c r="F875" s="3" t="s">
        <v>28</v>
      </c>
      <c r="G875" s="3" t="s">
        <v>28</v>
      </c>
    </row>
    <row r="876" spans="2:7">
      <c r="B876" s="1">
        <v>436</v>
      </c>
      <c r="C876" s="1" t="str">
        <f t="shared" si="84"/>
        <v>&gt;=41640</v>
      </c>
      <c r="D876" s="1" t="str">
        <f t="shared" si="85"/>
        <v>&lt;=42004</v>
      </c>
      <c r="E876" s="7">
        <f>DMHH!$C$443</f>
        <v>0</v>
      </c>
      <c r="F876" s="1" t="str">
        <f t="shared" si="86"/>
        <v>&gt;=41640</v>
      </c>
      <c r="G876" s="1" t="str">
        <f t="shared" si="87"/>
        <v>&lt;41640</v>
      </c>
    </row>
    <row r="877" spans="2:7">
      <c r="B877" s="1"/>
      <c r="C877" s="3" t="s">
        <v>28</v>
      </c>
      <c r="D877" s="3" t="s">
        <v>28</v>
      </c>
      <c r="E877" s="8" t="s">
        <v>228</v>
      </c>
      <c r="F877" s="3" t="s">
        <v>28</v>
      </c>
      <c r="G877" s="3" t="s">
        <v>28</v>
      </c>
    </row>
    <row r="878" spans="2:7">
      <c r="B878" s="1">
        <v>437</v>
      </c>
      <c r="C878" s="1" t="str">
        <f t="shared" si="84"/>
        <v>&gt;=41640</v>
      </c>
      <c r="D878" s="1" t="str">
        <f t="shared" si="85"/>
        <v>&lt;=42004</v>
      </c>
      <c r="E878" s="7">
        <f>DMHH!$C$444</f>
        <v>0</v>
      </c>
      <c r="F878" s="1" t="str">
        <f t="shared" si="86"/>
        <v>&gt;=41640</v>
      </c>
      <c r="G878" s="1" t="str">
        <f t="shared" si="87"/>
        <v>&lt;41640</v>
      </c>
    </row>
    <row r="879" spans="2:7">
      <c r="B879" s="1"/>
      <c r="C879" s="3" t="s">
        <v>28</v>
      </c>
      <c r="D879" s="3" t="s">
        <v>28</v>
      </c>
      <c r="E879" s="8" t="s">
        <v>228</v>
      </c>
      <c r="F879" s="3" t="s">
        <v>28</v>
      </c>
      <c r="G879" s="3" t="s">
        <v>28</v>
      </c>
    </row>
    <row r="880" spans="2:7">
      <c r="B880" s="1">
        <v>438</v>
      </c>
      <c r="C880" s="1" t="str">
        <f t="shared" si="84"/>
        <v>&gt;=41640</v>
      </c>
      <c r="D880" s="1" t="str">
        <f t="shared" si="85"/>
        <v>&lt;=42004</v>
      </c>
      <c r="E880" s="7">
        <f>DMHH!$C$445</f>
        <v>0</v>
      </c>
      <c r="F880" s="1" t="str">
        <f t="shared" si="86"/>
        <v>&gt;=41640</v>
      </c>
      <c r="G880" s="1" t="str">
        <f t="shared" si="87"/>
        <v>&lt;41640</v>
      </c>
    </row>
    <row r="881" spans="2:7">
      <c r="B881" s="1"/>
      <c r="C881" s="3" t="s">
        <v>28</v>
      </c>
      <c r="D881" s="3" t="s">
        <v>28</v>
      </c>
      <c r="E881" s="8" t="s">
        <v>228</v>
      </c>
      <c r="F881" s="3" t="s">
        <v>28</v>
      </c>
      <c r="G881" s="3" t="s">
        <v>28</v>
      </c>
    </row>
    <row r="882" spans="2:7">
      <c r="B882" s="1">
        <v>439</v>
      </c>
      <c r="C882" s="1" t="str">
        <f t="shared" si="84"/>
        <v>&gt;=41640</v>
      </c>
      <c r="D882" s="1" t="str">
        <f t="shared" si="85"/>
        <v>&lt;=42004</v>
      </c>
      <c r="E882" s="7">
        <f>DMHH!$C$446</f>
        <v>0</v>
      </c>
      <c r="F882" s="1" t="str">
        <f t="shared" si="86"/>
        <v>&gt;=41640</v>
      </c>
      <c r="G882" s="1" t="str">
        <f t="shared" si="87"/>
        <v>&lt;41640</v>
      </c>
    </row>
    <row r="883" spans="2:7">
      <c r="B883" s="1"/>
      <c r="C883" s="3" t="s">
        <v>28</v>
      </c>
      <c r="D883" s="3" t="s">
        <v>28</v>
      </c>
      <c r="E883" s="8" t="s">
        <v>228</v>
      </c>
      <c r="F883" s="3" t="s">
        <v>28</v>
      </c>
      <c r="G883" s="3" t="s">
        <v>28</v>
      </c>
    </row>
    <row r="884" spans="2:7">
      <c r="B884" s="1">
        <v>440</v>
      </c>
      <c r="C884" s="1" t="str">
        <f t="shared" si="84"/>
        <v>&gt;=41640</v>
      </c>
      <c r="D884" s="1" t="str">
        <f t="shared" si="85"/>
        <v>&lt;=42004</v>
      </c>
      <c r="E884" s="7">
        <f>DMHH!$C$447</f>
        <v>0</v>
      </c>
      <c r="F884" s="1" t="str">
        <f t="shared" si="86"/>
        <v>&gt;=41640</v>
      </c>
      <c r="G884" s="1" t="str">
        <f t="shared" si="87"/>
        <v>&lt;41640</v>
      </c>
    </row>
    <row r="885" spans="2:7">
      <c r="B885" s="1"/>
      <c r="C885" s="3" t="s">
        <v>28</v>
      </c>
      <c r="D885" s="3" t="s">
        <v>28</v>
      </c>
      <c r="E885" s="8" t="s">
        <v>228</v>
      </c>
      <c r="F885" s="3" t="s">
        <v>28</v>
      </c>
      <c r="G885" s="3" t="s">
        <v>28</v>
      </c>
    </row>
    <row r="886" spans="2:7">
      <c r="B886" s="1">
        <v>441</v>
      </c>
      <c r="C886" s="1" t="str">
        <f t="shared" si="84"/>
        <v>&gt;=41640</v>
      </c>
      <c r="D886" s="1" t="str">
        <f t="shared" si="85"/>
        <v>&lt;=42004</v>
      </c>
      <c r="E886" s="7">
        <f>DMHH!$C$448</f>
        <v>0</v>
      </c>
      <c r="F886" s="1" t="str">
        <f t="shared" si="86"/>
        <v>&gt;=41640</v>
      </c>
      <c r="G886" s="1" t="str">
        <f t="shared" si="87"/>
        <v>&lt;41640</v>
      </c>
    </row>
    <row r="887" spans="2:7">
      <c r="B887" s="1"/>
      <c r="C887" s="3" t="s">
        <v>28</v>
      </c>
      <c r="D887" s="3" t="s">
        <v>28</v>
      </c>
      <c r="E887" s="8" t="s">
        <v>228</v>
      </c>
      <c r="F887" s="3" t="s">
        <v>28</v>
      </c>
      <c r="G887" s="3" t="s">
        <v>28</v>
      </c>
    </row>
    <row r="888" spans="2:7">
      <c r="B888" s="1">
        <v>442</v>
      </c>
      <c r="C888" s="1" t="str">
        <f t="shared" si="84"/>
        <v>&gt;=41640</v>
      </c>
      <c r="D888" s="1" t="str">
        <f t="shared" si="85"/>
        <v>&lt;=42004</v>
      </c>
      <c r="E888" s="7">
        <f>DMHH!$C$449</f>
        <v>0</v>
      </c>
      <c r="F888" s="1" t="str">
        <f t="shared" si="86"/>
        <v>&gt;=41640</v>
      </c>
      <c r="G888" s="1" t="str">
        <f t="shared" si="87"/>
        <v>&lt;41640</v>
      </c>
    </row>
    <row r="889" spans="2:7">
      <c r="B889" s="1"/>
      <c r="C889" s="3" t="s">
        <v>28</v>
      </c>
      <c r="D889" s="3" t="s">
        <v>28</v>
      </c>
      <c r="E889" s="8" t="s">
        <v>228</v>
      </c>
      <c r="F889" s="3" t="s">
        <v>28</v>
      </c>
      <c r="G889" s="3" t="s">
        <v>28</v>
      </c>
    </row>
    <row r="890" spans="2:7">
      <c r="B890" s="1">
        <v>443</v>
      </c>
      <c r="C890" s="1" t="str">
        <f t="shared" si="84"/>
        <v>&gt;=41640</v>
      </c>
      <c r="D890" s="1" t="str">
        <f t="shared" si="85"/>
        <v>&lt;=42004</v>
      </c>
      <c r="E890" s="7">
        <f>DMHH!$C$450</f>
        <v>0</v>
      </c>
      <c r="F890" s="1" t="str">
        <f t="shared" si="86"/>
        <v>&gt;=41640</v>
      </c>
      <c r="G890" s="1" t="str">
        <f t="shared" si="87"/>
        <v>&lt;41640</v>
      </c>
    </row>
    <row r="891" spans="2:7">
      <c r="B891" s="1"/>
      <c r="C891" s="3" t="s">
        <v>28</v>
      </c>
      <c r="D891" s="3" t="s">
        <v>28</v>
      </c>
      <c r="E891" s="8" t="s">
        <v>228</v>
      </c>
      <c r="F891" s="3" t="s">
        <v>28</v>
      </c>
      <c r="G891" s="3" t="s">
        <v>28</v>
      </c>
    </row>
    <row r="892" spans="2:7">
      <c r="B892" s="1">
        <v>444</v>
      </c>
      <c r="C892" s="1" t="str">
        <f t="shared" si="84"/>
        <v>&gt;=41640</v>
      </c>
      <c r="D892" s="1" t="str">
        <f t="shared" si="85"/>
        <v>&lt;=42004</v>
      </c>
      <c r="E892" s="7">
        <f>DMHH!$C$451</f>
        <v>0</v>
      </c>
      <c r="F892" s="1" t="str">
        <f t="shared" si="86"/>
        <v>&gt;=41640</v>
      </c>
      <c r="G892" s="1" t="str">
        <f t="shared" si="87"/>
        <v>&lt;41640</v>
      </c>
    </row>
    <row r="893" spans="2:7">
      <c r="B893" s="1"/>
      <c r="C893" s="3" t="s">
        <v>28</v>
      </c>
      <c r="D893" s="3" t="s">
        <v>28</v>
      </c>
      <c r="E893" s="8" t="s">
        <v>228</v>
      </c>
      <c r="F893" s="3" t="s">
        <v>28</v>
      </c>
      <c r="G893" s="3" t="s">
        <v>28</v>
      </c>
    </row>
    <row r="894" spans="2:7">
      <c r="B894" s="1">
        <v>445</v>
      </c>
      <c r="C894" s="1" t="str">
        <f t="shared" si="84"/>
        <v>&gt;=41640</v>
      </c>
      <c r="D894" s="1" t="str">
        <f t="shared" si="85"/>
        <v>&lt;=42004</v>
      </c>
      <c r="E894" s="7">
        <f>DMHH!$C$452</f>
        <v>0</v>
      </c>
      <c r="F894" s="1" t="str">
        <f t="shared" si="86"/>
        <v>&gt;=41640</v>
      </c>
      <c r="G894" s="1" t="str">
        <f t="shared" si="87"/>
        <v>&lt;41640</v>
      </c>
    </row>
    <row r="895" spans="2:7">
      <c r="B895" s="1"/>
      <c r="C895" s="3" t="s">
        <v>28</v>
      </c>
      <c r="D895" s="3" t="s">
        <v>28</v>
      </c>
      <c r="E895" s="8" t="s">
        <v>228</v>
      </c>
      <c r="F895" s="3" t="s">
        <v>28</v>
      </c>
      <c r="G895" s="3" t="s">
        <v>28</v>
      </c>
    </row>
    <row r="896" spans="2:7">
      <c r="B896" s="1">
        <v>446</v>
      </c>
      <c r="C896" s="1" t="str">
        <f t="shared" si="84"/>
        <v>&gt;=41640</v>
      </c>
      <c r="D896" s="1" t="str">
        <f t="shared" si="85"/>
        <v>&lt;=42004</v>
      </c>
      <c r="E896" s="7">
        <f>DMHH!$C$453</f>
        <v>0</v>
      </c>
      <c r="F896" s="1" t="str">
        <f t="shared" si="86"/>
        <v>&gt;=41640</v>
      </c>
      <c r="G896" s="1" t="str">
        <f t="shared" si="87"/>
        <v>&lt;41640</v>
      </c>
    </row>
    <row r="897" spans="2:7">
      <c r="B897" s="1"/>
      <c r="C897" s="3" t="s">
        <v>28</v>
      </c>
      <c r="D897" s="3" t="s">
        <v>28</v>
      </c>
      <c r="E897" s="8" t="s">
        <v>228</v>
      </c>
      <c r="F897" s="3" t="s">
        <v>28</v>
      </c>
      <c r="G897" s="3" t="s">
        <v>28</v>
      </c>
    </row>
    <row r="898" spans="2:7">
      <c r="B898" s="1">
        <v>447</v>
      </c>
      <c r="C898" s="1" t="str">
        <f t="shared" si="84"/>
        <v>&gt;=41640</v>
      </c>
      <c r="D898" s="1" t="str">
        <f t="shared" si="85"/>
        <v>&lt;=42004</v>
      </c>
      <c r="E898" s="7">
        <f>DMHH!$C$454</f>
        <v>0</v>
      </c>
      <c r="F898" s="1" t="str">
        <f t="shared" si="86"/>
        <v>&gt;=41640</v>
      </c>
      <c r="G898" s="1" t="str">
        <f t="shared" si="87"/>
        <v>&lt;41640</v>
      </c>
    </row>
    <row r="899" spans="2:7">
      <c r="B899" s="1"/>
      <c r="C899" s="3" t="s">
        <v>28</v>
      </c>
      <c r="D899" s="3" t="s">
        <v>28</v>
      </c>
      <c r="E899" s="8" t="s">
        <v>228</v>
      </c>
      <c r="F899" s="3" t="s">
        <v>28</v>
      </c>
      <c r="G899" s="3" t="s">
        <v>28</v>
      </c>
    </row>
    <row r="900" spans="2:7">
      <c r="B900" s="1">
        <v>448</v>
      </c>
      <c r="C900" s="1" t="str">
        <f t="shared" si="84"/>
        <v>&gt;=41640</v>
      </c>
      <c r="D900" s="1" t="str">
        <f t="shared" si="85"/>
        <v>&lt;=42004</v>
      </c>
      <c r="E900" s="7">
        <f>DMHH!$C$455</f>
        <v>0</v>
      </c>
      <c r="F900" s="1" t="str">
        <f t="shared" si="86"/>
        <v>&gt;=41640</v>
      </c>
      <c r="G900" s="1" t="str">
        <f t="shared" si="87"/>
        <v>&lt;41640</v>
      </c>
    </row>
    <row r="901" spans="2:7">
      <c r="B901" s="1"/>
      <c r="C901" s="3" t="s">
        <v>28</v>
      </c>
      <c r="D901" s="3" t="s">
        <v>28</v>
      </c>
      <c r="E901" s="8" t="s">
        <v>228</v>
      </c>
      <c r="F901" s="3" t="s">
        <v>28</v>
      </c>
      <c r="G901" s="3" t="s">
        <v>28</v>
      </c>
    </row>
    <row r="902" spans="2:7">
      <c r="B902" s="1">
        <v>449</v>
      </c>
      <c r="C902" s="1" t="str">
        <f t="shared" si="84"/>
        <v>&gt;=41640</v>
      </c>
      <c r="D902" s="1" t="str">
        <f t="shared" si="85"/>
        <v>&lt;=42004</v>
      </c>
      <c r="E902" s="7">
        <f>DMHH!$C$456</f>
        <v>0</v>
      </c>
      <c r="F902" s="1" t="str">
        <f t="shared" si="86"/>
        <v>&gt;=41640</v>
      </c>
      <c r="G902" s="1" t="str">
        <f t="shared" si="87"/>
        <v>&lt;41640</v>
      </c>
    </row>
    <row r="903" spans="2:7">
      <c r="B903" s="1"/>
      <c r="C903" s="3" t="s">
        <v>28</v>
      </c>
      <c r="D903" s="3" t="s">
        <v>28</v>
      </c>
      <c r="E903" s="8" t="s">
        <v>228</v>
      </c>
      <c r="F903" s="3" t="s">
        <v>28</v>
      </c>
      <c r="G903" s="3" t="s">
        <v>28</v>
      </c>
    </row>
    <row r="904" spans="2:7">
      <c r="B904" s="1">
        <v>450</v>
      </c>
      <c r="C904" s="1" t="str">
        <f t="shared" si="84"/>
        <v>&gt;=41640</v>
      </c>
      <c r="D904" s="1" t="str">
        <f t="shared" si="85"/>
        <v>&lt;=42004</v>
      </c>
      <c r="E904" s="7">
        <f>DMHH!$C$457</f>
        <v>0</v>
      </c>
      <c r="F904" s="1" t="str">
        <f t="shared" si="86"/>
        <v>&gt;=41640</v>
      </c>
      <c r="G904" s="1" t="str">
        <f t="shared" si="87"/>
        <v>&lt;41640</v>
      </c>
    </row>
    <row r="905" spans="2:7">
      <c r="B905" s="1"/>
      <c r="C905" s="3" t="s">
        <v>28</v>
      </c>
      <c r="D905" s="3" t="s">
        <v>28</v>
      </c>
      <c r="E905" s="8" t="s">
        <v>228</v>
      </c>
      <c r="F905" s="3" t="s">
        <v>28</v>
      </c>
      <c r="G905" s="3" t="s">
        <v>28</v>
      </c>
    </row>
    <row r="906" spans="2:7">
      <c r="B906" s="1">
        <v>451</v>
      </c>
      <c r="C906" s="1" t="str">
        <f t="shared" si="84"/>
        <v>&gt;=41640</v>
      </c>
      <c r="D906" s="1" t="str">
        <f t="shared" si="85"/>
        <v>&lt;=42004</v>
      </c>
      <c r="E906" s="7">
        <f>DMHH!$C$458</f>
        <v>0</v>
      </c>
      <c r="F906" s="1" t="str">
        <f t="shared" si="86"/>
        <v>&gt;=41640</v>
      </c>
      <c r="G906" s="1" t="str">
        <f t="shared" si="87"/>
        <v>&lt;41640</v>
      </c>
    </row>
    <row r="907" spans="2:7">
      <c r="B907" s="1"/>
      <c r="C907" s="3" t="s">
        <v>28</v>
      </c>
      <c r="D907" s="3" t="s">
        <v>28</v>
      </c>
      <c r="E907" s="8" t="s">
        <v>228</v>
      </c>
      <c r="F907" s="3" t="s">
        <v>28</v>
      </c>
      <c r="G907" s="3" t="s">
        <v>28</v>
      </c>
    </row>
    <row r="908" spans="2:7">
      <c r="B908" s="1">
        <v>452</v>
      </c>
      <c r="C908" s="1" t="str">
        <f t="shared" si="84"/>
        <v>&gt;=41640</v>
      </c>
      <c r="D908" s="1" t="str">
        <f t="shared" si="85"/>
        <v>&lt;=42004</v>
      </c>
      <c r="E908" s="7">
        <f>DMHH!$C$459</f>
        <v>0</v>
      </c>
      <c r="F908" s="1" t="str">
        <f t="shared" si="86"/>
        <v>&gt;=41640</v>
      </c>
      <c r="G908" s="1" t="str">
        <f t="shared" si="87"/>
        <v>&lt;41640</v>
      </c>
    </row>
    <row r="909" spans="2:7">
      <c r="B909" s="1"/>
      <c r="C909" s="3" t="s">
        <v>28</v>
      </c>
      <c r="D909" s="3" t="s">
        <v>28</v>
      </c>
      <c r="E909" s="8" t="s">
        <v>228</v>
      </c>
      <c r="F909" s="3" t="s">
        <v>28</v>
      </c>
      <c r="G909" s="3" t="s">
        <v>28</v>
      </c>
    </row>
    <row r="910" spans="2:7">
      <c r="B910" s="1">
        <v>453</v>
      </c>
      <c r="C910" s="1" t="str">
        <f t="shared" si="84"/>
        <v>&gt;=41640</v>
      </c>
      <c r="D910" s="1" t="str">
        <f t="shared" si="85"/>
        <v>&lt;=42004</v>
      </c>
      <c r="E910" s="7">
        <f>DMHH!$C$460</f>
        <v>0</v>
      </c>
      <c r="F910" s="1" t="str">
        <f t="shared" si="86"/>
        <v>&gt;=41640</v>
      </c>
      <c r="G910" s="1" t="str">
        <f t="shared" si="87"/>
        <v>&lt;41640</v>
      </c>
    </row>
    <row r="911" spans="2:7">
      <c r="B911" s="1"/>
      <c r="C911" s="3" t="s">
        <v>28</v>
      </c>
      <c r="D911" s="3" t="s">
        <v>28</v>
      </c>
      <c r="E911" s="8" t="s">
        <v>228</v>
      </c>
      <c r="F911" s="3" t="s">
        <v>28</v>
      </c>
      <c r="G911" s="3" t="s">
        <v>28</v>
      </c>
    </row>
    <row r="912" spans="2:7">
      <c r="B912" s="1">
        <v>454</v>
      </c>
      <c r="C912" s="1" t="str">
        <f t="shared" si="84"/>
        <v>&gt;=41640</v>
      </c>
      <c r="D912" s="1" t="str">
        <f t="shared" si="85"/>
        <v>&lt;=42004</v>
      </c>
      <c r="E912" s="7">
        <f>DMHH!$C$461</f>
        <v>0</v>
      </c>
      <c r="F912" s="1" t="str">
        <f t="shared" si="86"/>
        <v>&gt;=41640</v>
      </c>
      <c r="G912" s="1" t="str">
        <f t="shared" si="87"/>
        <v>&lt;41640</v>
      </c>
    </row>
    <row r="913" spans="2:7">
      <c r="B913" s="1"/>
      <c r="C913" s="3" t="s">
        <v>28</v>
      </c>
      <c r="D913" s="3" t="s">
        <v>28</v>
      </c>
      <c r="E913" s="8" t="s">
        <v>228</v>
      </c>
      <c r="F913" s="3" t="s">
        <v>28</v>
      </c>
      <c r="G913" s="3" t="s">
        <v>28</v>
      </c>
    </row>
    <row r="914" spans="2:7">
      <c r="B914" s="1">
        <v>455</v>
      </c>
      <c r="C914" s="1" t="str">
        <f t="shared" si="84"/>
        <v>&gt;=41640</v>
      </c>
      <c r="D914" s="1" t="str">
        <f t="shared" si="85"/>
        <v>&lt;=42004</v>
      </c>
      <c r="E914" s="7">
        <f>DMHH!$C$462</f>
        <v>0</v>
      </c>
      <c r="F914" s="1" t="str">
        <f t="shared" si="86"/>
        <v>&gt;=41640</v>
      </c>
      <c r="G914" s="1" t="str">
        <f t="shared" si="87"/>
        <v>&lt;41640</v>
      </c>
    </row>
    <row r="915" spans="2:7">
      <c r="B915" s="1"/>
      <c r="C915" s="3" t="s">
        <v>28</v>
      </c>
      <c r="D915" s="3" t="s">
        <v>28</v>
      </c>
      <c r="E915" s="8" t="s">
        <v>228</v>
      </c>
      <c r="F915" s="3" t="s">
        <v>28</v>
      </c>
      <c r="G915" s="3" t="s">
        <v>28</v>
      </c>
    </row>
    <row r="916" spans="2:7">
      <c r="B916" s="1">
        <v>456</v>
      </c>
      <c r="C916" s="1" t="str">
        <f t="shared" si="84"/>
        <v>&gt;=41640</v>
      </c>
      <c r="D916" s="1" t="str">
        <f t="shared" si="85"/>
        <v>&lt;=42004</v>
      </c>
      <c r="E916" s="7">
        <f>DMHH!$C$463</f>
        <v>0</v>
      </c>
      <c r="F916" s="1" t="str">
        <f t="shared" si="86"/>
        <v>&gt;=41640</v>
      </c>
      <c r="G916" s="1" t="str">
        <f t="shared" si="87"/>
        <v>&lt;41640</v>
      </c>
    </row>
    <row r="917" spans="2:7">
      <c r="B917" s="1"/>
      <c r="C917" s="3" t="s">
        <v>28</v>
      </c>
      <c r="D917" s="3" t="s">
        <v>28</v>
      </c>
      <c r="E917" s="8" t="s">
        <v>228</v>
      </c>
      <c r="F917" s="3" t="s">
        <v>28</v>
      </c>
      <c r="G917" s="3" t="s">
        <v>28</v>
      </c>
    </row>
    <row r="918" spans="2:7">
      <c r="B918" s="1">
        <v>457</v>
      </c>
      <c r="C918" s="1" t="str">
        <f t="shared" si="84"/>
        <v>&gt;=41640</v>
      </c>
      <c r="D918" s="1" t="str">
        <f t="shared" si="85"/>
        <v>&lt;=42004</v>
      </c>
      <c r="E918" s="7">
        <f>DMHH!$C$464</f>
        <v>0</v>
      </c>
      <c r="F918" s="1" t="str">
        <f t="shared" si="86"/>
        <v>&gt;=41640</v>
      </c>
      <c r="G918" s="1" t="str">
        <f t="shared" si="87"/>
        <v>&lt;41640</v>
      </c>
    </row>
    <row r="919" spans="2:7">
      <c r="B919" s="1"/>
      <c r="C919" s="3" t="s">
        <v>28</v>
      </c>
      <c r="D919" s="3" t="s">
        <v>28</v>
      </c>
      <c r="E919" s="8" t="s">
        <v>228</v>
      </c>
      <c r="F919" s="3" t="s">
        <v>28</v>
      </c>
      <c r="G919" s="3" t="s">
        <v>28</v>
      </c>
    </row>
    <row r="920" spans="2:7">
      <c r="B920" s="1">
        <v>458</v>
      </c>
      <c r="C920" s="1" t="str">
        <f t="shared" si="84"/>
        <v>&gt;=41640</v>
      </c>
      <c r="D920" s="1" t="str">
        <f t="shared" si="85"/>
        <v>&lt;=42004</v>
      </c>
      <c r="E920" s="7">
        <f>DMHH!$C$465</f>
        <v>0</v>
      </c>
      <c r="F920" s="1" t="str">
        <f t="shared" si="86"/>
        <v>&gt;=41640</v>
      </c>
      <c r="G920" s="1" t="str">
        <f t="shared" si="87"/>
        <v>&lt;41640</v>
      </c>
    </row>
    <row r="921" spans="2:7">
      <c r="B921" s="1"/>
      <c r="C921" s="3" t="s">
        <v>28</v>
      </c>
      <c r="D921" s="3" t="s">
        <v>28</v>
      </c>
      <c r="E921" s="8" t="s">
        <v>228</v>
      </c>
      <c r="F921" s="3" t="s">
        <v>28</v>
      </c>
      <c r="G921" s="3" t="s">
        <v>28</v>
      </c>
    </row>
    <row r="922" spans="2:7">
      <c r="B922" s="1">
        <v>459</v>
      </c>
      <c r="C922" s="1" t="str">
        <f t="shared" si="84"/>
        <v>&gt;=41640</v>
      </c>
      <c r="D922" s="1" t="str">
        <f t="shared" si="85"/>
        <v>&lt;=42004</v>
      </c>
      <c r="E922" s="7">
        <f>DMHH!$C$466</f>
        <v>0</v>
      </c>
      <c r="F922" s="1" t="str">
        <f t="shared" si="86"/>
        <v>&gt;=41640</v>
      </c>
      <c r="G922" s="1" t="str">
        <f t="shared" si="87"/>
        <v>&lt;41640</v>
      </c>
    </row>
    <row r="923" spans="2:7">
      <c r="B923" s="1"/>
      <c r="C923" s="3" t="s">
        <v>28</v>
      </c>
      <c r="D923" s="3" t="s">
        <v>28</v>
      </c>
      <c r="E923" s="8" t="s">
        <v>228</v>
      </c>
      <c r="F923" s="3" t="s">
        <v>28</v>
      </c>
      <c r="G923" s="3" t="s">
        <v>28</v>
      </c>
    </row>
    <row r="924" spans="2:7">
      <c r="B924" s="1">
        <v>460</v>
      </c>
      <c r="C924" s="1" t="str">
        <f t="shared" si="84"/>
        <v>&gt;=41640</v>
      </c>
      <c r="D924" s="1" t="str">
        <f t="shared" si="85"/>
        <v>&lt;=42004</v>
      </c>
      <c r="E924" s="7">
        <f>DMHH!$C$467</f>
        <v>0</v>
      </c>
      <c r="F924" s="1" t="str">
        <f t="shared" si="86"/>
        <v>&gt;=41640</v>
      </c>
      <c r="G924" s="1" t="str">
        <f t="shared" si="87"/>
        <v>&lt;41640</v>
      </c>
    </row>
    <row r="925" spans="2:7">
      <c r="B925" s="1"/>
      <c r="C925" s="3" t="s">
        <v>28</v>
      </c>
      <c r="D925" s="3" t="s">
        <v>28</v>
      </c>
      <c r="E925" s="8" t="s">
        <v>228</v>
      </c>
      <c r="F925" s="3" t="s">
        <v>28</v>
      </c>
      <c r="G925" s="3" t="s">
        <v>28</v>
      </c>
    </row>
    <row r="926" spans="2:7">
      <c r="B926" s="1">
        <v>461</v>
      </c>
      <c r="C926" s="1" t="str">
        <f t="shared" si="84"/>
        <v>&gt;=41640</v>
      </c>
      <c r="D926" s="1" t="str">
        <f t="shared" si="85"/>
        <v>&lt;=42004</v>
      </c>
      <c r="E926" s="7">
        <f>DMHH!$C$468</f>
        <v>0</v>
      </c>
      <c r="F926" s="1" t="str">
        <f t="shared" si="86"/>
        <v>&gt;=41640</v>
      </c>
      <c r="G926" s="1" t="str">
        <f t="shared" si="87"/>
        <v>&lt;41640</v>
      </c>
    </row>
    <row r="927" spans="2:7">
      <c r="B927" s="1"/>
      <c r="C927" s="3" t="s">
        <v>28</v>
      </c>
      <c r="D927" s="3" t="s">
        <v>28</v>
      </c>
      <c r="E927" s="8" t="s">
        <v>228</v>
      </c>
      <c r="F927" s="3" t="s">
        <v>28</v>
      </c>
      <c r="G927" s="3" t="s">
        <v>28</v>
      </c>
    </row>
    <row r="928" spans="2:7">
      <c r="B928" s="1">
        <v>462</v>
      </c>
      <c r="C928" s="1" t="str">
        <f t="shared" si="84"/>
        <v>&gt;=41640</v>
      </c>
      <c r="D928" s="1" t="str">
        <f t="shared" si="85"/>
        <v>&lt;=42004</v>
      </c>
      <c r="E928" s="7">
        <f>DMHH!$C$469</f>
        <v>0</v>
      </c>
      <c r="F928" s="1" t="str">
        <f t="shared" si="86"/>
        <v>&gt;=41640</v>
      </c>
      <c r="G928" s="1" t="str">
        <f t="shared" si="87"/>
        <v>&lt;41640</v>
      </c>
    </row>
    <row r="929" spans="2:7">
      <c r="B929" s="1"/>
      <c r="C929" s="3" t="s">
        <v>28</v>
      </c>
      <c r="D929" s="3" t="s">
        <v>28</v>
      </c>
      <c r="E929" s="8" t="s">
        <v>228</v>
      </c>
      <c r="F929" s="3" t="s">
        <v>28</v>
      </c>
      <c r="G929" s="3" t="s">
        <v>28</v>
      </c>
    </row>
    <row r="930" spans="2:7">
      <c r="B930" s="1">
        <v>463</v>
      </c>
      <c r="C930" s="1" t="str">
        <f t="shared" ref="C930:C992" si="88">"&gt;="&amp;$C$3</f>
        <v>&gt;=41640</v>
      </c>
      <c r="D930" s="1" t="str">
        <f t="shared" ref="D930:D992" si="89">"&lt;="&amp;$E$3</f>
        <v>&lt;=42004</v>
      </c>
      <c r="E930" s="7">
        <f>DMHH!$C$470</f>
        <v>0</v>
      </c>
      <c r="F930" s="1" t="str">
        <f t="shared" ref="F930:F992" si="90">"&gt;="&amp;$C$2</f>
        <v>&gt;=41640</v>
      </c>
      <c r="G930" s="1" t="str">
        <f t="shared" ref="G930:G992" si="91">"&lt;"&amp;$C$3</f>
        <v>&lt;41640</v>
      </c>
    </row>
    <row r="931" spans="2:7">
      <c r="B931" s="1"/>
      <c r="C931" s="3" t="s">
        <v>28</v>
      </c>
      <c r="D931" s="3" t="s">
        <v>28</v>
      </c>
      <c r="E931" s="8" t="s">
        <v>228</v>
      </c>
      <c r="F931" s="3" t="s">
        <v>28</v>
      </c>
      <c r="G931" s="3" t="s">
        <v>28</v>
      </c>
    </row>
    <row r="932" spans="2:7">
      <c r="B932" s="1">
        <v>464</v>
      </c>
      <c r="C932" s="1" t="str">
        <f t="shared" si="88"/>
        <v>&gt;=41640</v>
      </c>
      <c r="D932" s="1" t="str">
        <f t="shared" si="89"/>
        <v>&lt;=42004</v>
      </c>
      <c r="E932" s="7">
        <f>DMHH!$C$471</f>
        <v>0</v>
      </c>
      <c r="F932" s="1" t="str">
        <f t="shared" si="90"/>
        <v>&gt;=41640</v>
      </c>
      <c r="G932" s="1" t="str">
        <f t="shared" si="91"/>
        <v>&lt;41640</v>
      </c>
    </row>
    <row r="933" spans="2:7">
      <c r="B933" s="1"/>
      <c r="C933" s="3" t="s">
        <v>28</v>
      </c>
      <c r="D933" s="3" t="s">
        <v>28</v>
      </c>
      <c r="E933" s="8" t="s">
        <v>228</v>
      </c>
      <c r="F933" s="3" t="s">
        <v>28</v>
      </c>
      <c r="G933" s="3" t="s">
        <v>28</v>
      </c>
    </row>
    <row r="934" spans="2:7">
      <c r="B934" s="1">
        <v>465</v>
      </c>
      <c r="C934" s="1" t="str">
        <f t="shared" si="88"/>
        <v>&gt;=41640</v>
      </c>
      <c r="D934" s="1" t="str">
        <f t="shared" si="89"/>
        <v>&lt;=42004</v>
      </c>
      <c r="E934" s="7">
        <f>DMHH!$C$472</f>
        <v>0</v>
      </c>
      <c r="F934" s="1" t="str">
        <f t="shared" si="90"/>
        <v>&gt;=41640</v>
      </c>
      <c r="G934" s="1" t="str">
        <f t="shared" si="91"/>
        <v>&lt;41640</v>
      </c>
    </row>
    <row r="935" spans="2:7">
      <c r="B935" s="1"/>
      <c r="C935" s="3" t="s">
        <v>28</v>
      </c>
      <c r="D935" s="3" t="s">
        <v>28</v>
      </c>
      <c r="E935" s="8" t="s">
        <v>228</v>
      </c>
      <c r="F935" s="3" t="s">
        <v>28</v>
      </c>
      <c r="G935" s="3" t="s">
        <v>28</v>
      </c>
    </row>
    <row r="936" spans="2:7">
      <c r="B936" s="1">
        <v>466</v>
      </c>
      <c r="C936" s="1" t="str">
        <f t="shared" si="88"/>
        <v>&gt;=41640</v>
      </c>
      <c r="D936" s="1" t="str">
        <f t="shared" si="89"/>
        <v>&lt;=42004</v>
      </c>
      <c r="E936" s="7">
        <f>DMHH!$C$473</f>
        <v>0</v>
      </c>
      <c r="F936" s="1" t="str">
        <f t="shared" si="90"/>
        <v>&gt;=41640</v>
      </c>
      <c r="G936" s="1" t="str">
        <f t="shared" si="91"/>
        <v>&lt;41640</v>
      </c>
    </row>
    <row r="937" spans="2:7">
      <c r="B937" s="1"/>
      <c r="C937" s="3" t="s">
        <v>28</v>
      </c>
      <c r="D937" s="3" t="s">
        <v>28</v>
      </c>
      <c r="E937" s="8" t="s">
        <v>228</v>
      </c>
      <c r="F937" s="3" t="s">
        <v>28</v>
      </c>
      <c r="G937" s="3" t="s">
        <v>28</v>
      </c>
    </row>
    <row r="938" spans="2:7">
      <c r="B938" s="1">
        <v>467</v>
      </c>
      <c r="C938" s="1" t="str">
        <f t="shared" si="88"/>
        <v>&gt;=41640</v>
      </c>
      <c r="D938" s="1" t="str">
        <f t="shared" si="89"/>
        <v>&lt;=42004</v>
      </c>
      <c r="E938" s="7">
        <f>DMHH!$C$474</f>
        <v>0</v>
      </c>
      <c r="F938" s="1" t="str">
        <f t="shared" si="90"/>
        <v>&gt;=41640</v>
      </c>
      <c r="G938" s="1" t="str">
        <f t="shared" si="91"/>
        <v>&lt;41640</v>
      </c>
    </row>
    <row r="939" spans="2:7">
      <c r="B939" s="1"/>
      <c r="C939" s="3" t="s">
        <v>28</v>
      </c>
      <c r="D939" s="3" t="s">
        <v>28</v>
      </c>
      <c r="E939" s="8" t="s">
        <v>228</v>
      </c>
      <c r="F939" s="3" t="s">
        <v>28</v>
      </c>
      <c r="G939" s="3" t="s">
        <v>28</v>
      </c>
    </row>
    <row r="940" spans="2:7">
      <c r="B940" s="1">
        <v>468</v>
      </c>
      <c r="C940" s="1" t="str">
        <f t="shared" si="88"/>
        <v>&gt;=41640</v>
      </c>
      <c r="D940" s="1" t="str">
        <f t="shared" si="89"/>
        <v>&lt;=42004</v>
      </c>
      <c r="E940" s="7">
        <f>DMHH!$C$475</f>
        <v>0</v>
      </c>
      <c r="F940" s="1" t="str">
        <f t="shared" si="90"/>
        <v>&gt;=41640</v>
      </c>
      <c r="G940" s="1" t="str">
        <f t="shared" si="91"/>
        <v>&lt;41640</v>
      </c>
    </row>
    <row r="941" spans="2:7">
      <c r="B941" s="1"/>
      <c r="C941" s="3" t="s">
        <v>28</v>
      </c>
      <c r="D941" s="3" t="s">
        <v>28</v>
      </c>
      <c r="E941" s="8" t="s">
        <v>228</v>
      </c>
      <c r="F941" s="3" t="s">
        <v>28</v>
      </c>
      <c r="G941" s="3" t="s">
        <v>28</v>
      </c>
    </row>
    <row r="942" spans="2:7">
      <c r="B942" s="1">
        <v>469</v>
      </c>
      <c r="C942" s="1" t="str">
        <f t="shared" si="88"/>
        <v>&gt;=41640</v>
      </c>
      <c r="D942" s="1" t="str">
        <f t="shared" si="89"/>
        <v>&lt;=42004</v>
      </c>
      <c r="E942" s="7">
        <f>DMHH!$C$476</f>
        <v>0</v>
      </c>
      <c r="F942" s="1" t="str">
        <f t="shared" si="90"/>
        <v>&gt;=41640</v>
      </c>
      <c r="G942" s="1" t="str">
        <f t="shared" si="91"/>
        <v>&lt;41640</v>
      </c>
    </row>
    <row r="943" spans="2:7">
      <c r="B943" s="1"/>
      <c r="C943" s="3" t="s">
        <v>28</v>
      </c>
      <c r="D943" s="3" t="s">
        <v>28</v>
      </c>
      <c r="E943" s="8" t="s">
        <v>228</v>
      </c>
      <c r="F943" s="3" t="s">
        <v>28</v>
      </c>
      <c r="G943" s="3" t="s">
        <v>28</v>
      </c>
    </row>
    <row r="944" spans="2:7">
      <c r="B944" s="1">
        <v>470</v>
      </c>
      <c r="C944" s="1" t="str">
        <f t="shared" si="88"/>
        <v>&gt;=41640</v>
      </c>
      <c r="D944" s="1" t="str">
        <f t="shared" si="89"/>
        <v>&lt;=42004</v>
      </c>
      <c r="E944" s="7">
        <f>DMHH!$C$477</f>
        <v>0</v>
      </c>
      <c r="F944" s="1" t="str">
        <f t="shared" si="90"/>
        <v>&gt;=41640</v>
      </c>
      <c r="G944" s="1" t="str">
        <f t="shared" si="91"/>
        <v>&lt;41640</v>
      </c>
    </row>
    <row r="945" spans="2:7">
      <c r="B945" s="1"/>
      <c r="C945" s="3" t="s">
        <v>28</v>
      </c>
      <c r="D945" s="3" t="s">
        <v>28</v>
      </c>
      <c r="E945" s="8" t="s">
        <v>228</v>
      </c>
      <c r="F945" s="3" t="s">
        <v>28</v>
      </c>
      <c r="G945" s="3" t="s">
        <v>28</v>
      </c>
    </row>
    <row r="946" spans="2:7">
      <c r="B946" s="1">
        <v>471</v>
      </c>
      <c r="C946" s="1" t="str">
        <f t="shared" si="88"/>
        <v>&gt;=41640</v>
      </c>
      <c r="D946" s="1" t="str">
        <f t="shared" si="89"/>
        <v>&lt;=42004</v>
      </c>
      <c r="E946" s="7">
        <f>DMHH!$C$478</f>
        <v>0</v>
      </c>
      <c r="F946" s="1" t="str">
        <f t="shared" si="90"/>
        <v>&gt;=41640</v>
      </c>
      <c r="G946" s="1" t="str">
        <f t="shared" si="91"/>
        <v>&lt;41640</v>
      </c>
    </row>
    <row r="947" spans="2:7">
      <c r="B947" s="1"/>
      <c r="C947" s="3" t="s">
        <v>28</v>
      </c>
      <c r="D947" s="3" t="s">
        <v>28</v>
      </c>
      <c r="E947" s="8" t="s">
        <v>228</v>
      </c>
      <c r="F947" s="3" t="s">
        <v>28</v>
      </c>
      <c r="G947" s="3" t="s">
        <v>28</v>
      </c>
    </row>
    <row r="948" spans="2:7">
      <c r="B948" s="1">
        <v>472</v>
      </c>
      <c r="C948" s="1" t="str">
        <f t="shared" si="88"/>
        <v>&gt;=41640</v>
      </c>
      <c r="D948" s="1" t="str">
        <f t="shared" si="89"/>
        <v>&lt;=42004</v>
      </c>
      <c r="E948" s="7">
        <f>DMHH!$C$479</f>
        <v>0</v>
      </c>
      <c r="F948" s="1" t="str">
        <f t="shared" si="90"/>
        <v>&gt;=41640</v>
      </c>
      <c r="G948" s="1" t="str">
        <f t="shared" si="91"/>
        <v>&lt;41640</v>
      </c>
    </row>
    <row r="949" spans="2:7">
      <c r="B949" s="1"/>
      <c r="C949" s="3" t="s">
        <v>28</v>
      </c>
      <c r="D949" s="3" t="s">
        <v>28</v>
      </c>
      <c r="E949" s="8" t="s">
        <v>228</v>
      </c>
      <c r="F949" s="3" t="s">
        <v>28</v>
      </c>
      <c r="G949" s="3" t="s">
        <v>28</v>
      </c>
    </row>
    <row r="950" spans="2:7">
      <c r="B950" s="1">
        <v>473</v>
      </c>
      <c r="C950" s="1" t="str">
        <f t="shared" si="88"/>
        <v>&gt;=41640</v>
      </c>
      <c r="D950" s="1" t="str">
        <f t="shared" si="89"/>
        <v>&lt;=42004</v>
      </c>
      <c r="E950" s="7">
        <f>DMHH!$C$480</f>
        <v>0</v>
      </c>
      <c r="F950" s="1" t="str">
        <f t="shared" si="90"/>
        <v>&gt;=41640</v>
      </c>
      <c r="G950" s="1" t="str">
        <f t="shared" si="91"/>
        <v>&lt;41640</v>
      </c>
    </row>
    <row r="951" spans="2:7">
      <c r="B951" s="1"/>
      <c r="C951" s="3" t="s">
        <v>28</v>
      </c>
      <c r="D951" s="3" t="s">
        <v>28</v>
      </c>
      <c r="E951" s="8" t="s">
        <v>228</v>
      </c>
      <c r="F951" s="3" t="s">
        <v>28</v>
      </c>
      <c r="G951" s="3" t="s">
        <v>28</v>
      </c>
    </row>
    <row r="952" spans="2:7">
      <c r="B952" s="1">
        <v>474</v>
      </c>
      <c r="C952" s="1" t="str">
        <f t="shared" si="88"/>
        <v>&gt;=41640</v>
      </c>
      <c r="D952" s="1" t="str">
        <f t="shared" si="89"/>
        <v>&lt;=42004</v>
      </c>
      <c r="E952" s="7">
        <f>DMHH!$C$481</f>
        <v>0</v>
      </c>
      <c r="F952" s="1" t="str">
        <f t="shared" si="90"/>
        <v>&gt;=41640</v>
      </c>
      <c r="G952" s="1" t="str">
        <f t="shared" si="91"/>
        <v>&lt;41640</v>
      </c>
    </row>
    <row r="953" spans="2:7">
      <c r="B953" s="1"/>
      <c r="C953" s="3" t="s">
        <v>28</v>
      </c>
      <c r="D953" s="3" t="s">
        <v>28</v>
      </c>
      <c r="E953" s="8" t="s">
        <v>228</v>
      </c>
      <c r="F953" s="3" t="s">
        <v>28</v>
      </c>
      <c r="G953" s="3" t="s">
        <v>28</v>
      </c>
    </row>
    <row r="954" spans="2:7">
      <c r="B954" s="1">
        <v>475</v>
      </c>
      <c r="C954" s="1" t="str">
        <f t="shared" si="88"/>
        <v>&gt;=41640</v>
      </c>
      <c r="D954" s="1" t="str">
        <f t="shared" si="89"/>
        <v>&lt;=42004</v>
      </c>
      <c r="E954" s="7">
        <f>DMHH!$C$482</f>
        <v>0</v>
      </c>
      <c r="F954" s="1" t="str">
        <f t="shared" si="90"/>
        <v>&gt;=41640</v>
      </c>
      <c r="G954" s="1" t="str">
        <f t="shared" si="91"/>
        <v>&lt;41640</v>
      </c>
    </row>
    <row r="955" spans="2:7">
      <c r="B955" s="1"/>
      <c r="C955" s="3" t="s">
        <v>28</v>
      </c>
      <c r="D955" s="3" t="s">
        <v>28</v>
      </c>
      <c r="E955" s="8" t="s">
        <v>228</v>
      </c>
      <c r="F955" s="3" t="s">
        <v>28</v>
      </c>
      <c r="G955" s="3" t="s">
        <v>28</v>
      </c>
    </row>
    <row r="956" spans="2:7">
      <c r="B956" s="1">
        <v>476</v>
      </c>
      <c r="C956" s="1" t="str">
        <f t="shared" si="88"/>
        <v>&gt;=41640</v>
      </c>
      <c r="D956" s="1" t="str">
        <f t="shared" si="89"/>
        <v>&lt;=42004</v>
      </c>
      <c r="E956" s="7">
        <f>DMHH!$C$483</f>
        <v>0</v>
      </c>
      <c r="F956" s="1" t="str">
        <f t="shared" si="90"/>
        <v>&gt;=41640</v>
      </c>
      <c r="G956" s="1" t="str">
        <f t="shared" si="91"/>
        <v>&lt;41640</v>
      </c>
    </row>
    <row r="957" spans="2:7">
      <c r="B957" s="1"/>
      <c r="C957" s="3" t="s">
        <v>28</v>
      </c>
      <c r="D957" s="3" t="s">
        <v>28</v>
      </c>
      <c r="E957" s="8" t="s">
        <v>228</v>
      </c>
      <c r="F957" s="3" t="s">
        <v>28</v>
      </c>
      <c r="G957" s="3" t="s">
        <v>28</v>
      </c>
    </row>
    <row r="958" spans="2:7">
      <c r="B958" s="1">
        <v>477</v>
      </c>
      <c r="C958" s="1" t="str">
        <f t="shared" si="88"/>
        <v>&gt;=41640</v>
      </c>
      <c r="D958" s="1" t="str">
        <f t="shared" si="89"/>
        <v>&lt;=42004</v>
      </c>
      <c r="E958" s="7">
        <f>DMHH!$C$484</f>
        <v>0</v>
      </c>
      <c r="F958" s="1" t="str">
        <f t="shared" si="90"/>
        <v>&gt;=41640</v>
      </c>
      <c r="G958" s="1" t="str">
        <f t="shared" si="91"/>
        <v>&lt;41640</v>
      </c>
    </row>
    <row r="959" spans="2:7">
      <c r="B959" s="1"/>
      <c r="C959" s="3" t="s">
        <v>28</v>
      </c>
      <c r="D959" s="3" t="s">
        <v>28</v>
      </c>
      <c r="E959" s="8" t="s">
        <v>228</v>
      </c>
      <c r="F959" s="3" t="s">
        <v>28</v>
      </c>
      <c r="G959" s="3" t="s">
        <v>28</v>
      </c>
    </row>
    <row r="960" spans="2:7">
      <c r="B960" s="1">
        <v>478</v>
      </c>
      <c r="C960" s="1" t="str">
        <f t="shared" si="88"/>
        <v>&gt;=41640</v>
      </c>
      <c r="D960" s="1" t="str">
        <f t="shared" si="89"/>
        <v>&lt;=42004</v>
      </c>
      <c r="E960" s="7">
        <f>DMHH!$C$485</f>
        <v>0</v>
      </c>
      <c r="F960" s="1" t="str">
        <f t="shared" si="90"/>
        <v>&gt;=41640</v>
      </c>
      <c r="G960" s="1" t="str">
        <f t="shared" si="91"/>
        <v>&lt;41640</v>
      </c>
    </row>
    <row r="961" spans="2:7">
      <c r="B961" s="1"/>
      <c r="C961" s="3" t="s">
        <v>28</v>
      </c>
      <c r="D961" s="3" t="s">
        <v>28</v>
      </c>
      <c r="E961" s="8" t="s">
        <v>228</v>
      </c>
      <c r="F961" s="3" t="s">
        <v>28</v>
      </c>
      <c r="G961" s="3" t="s">
        <v>28</v>
      </c>
    </row>
    <row r="962" spans="2:7">
      <c r="B962" s="1">
        <v>479</v>
      </c>
      <c r="C962" s="1" t="str">
        <f t="shared" si="88"/>
        <v>&gt;=41640</v>
      </c>
      <c r="D962" s="1" t="str">
        <f t="shared" si="89"/>
        <v>&lt;=42004</v>
      </c>
      <c r="E962" s="7">
        <f>DMHH!$C$486</f>
        <v>0</v>
      </c>
      <c r="F962" s="1" t="str">
        <f t="shared" si="90"/>
        <v>&gt;=41640</v>
      </c>
      <c r="G962" s="1" t="str">
        <f t="shared" si="91"/>
        <v>&lt;41640</v>
      </c>
    </row>
    <row r="963" spans="2:7">
      <c r="B963" s="1"/>
      <c r="C963" s="3" t="s">
        <v>28</v>
      </c>
      <c r="D963" s="3" t="s">
        <v>28</v>
      </c>
      <c r="E963" s="8" t="s">
        <v>228</v>
      </c>
      <c r="F963" s="3" t="s">
        <v>28</v>
      </c>
      <c r="G963" s="3" t="s">
        <v>28</v>
      </c>
    </row>
    <row r="964" spans="2:7">
      <c r="B964" s="1">
        <v>480</v>
      </c>
      <c r="C964" s="1" t="str">
        <f t="shared" si="88"/>
        <v>&gt;=41640</v>
      </c>
      <c r="D964" s="1" t="str">
        <f t="shared" si="89"/>
        <v>&lt;=42004</v>
      </c>
      <c r="E964" s="7">
        <f>DMHH!$C$487</f>
        <v>0</v>
      </c>
      <c r="F964" s="1" t="str">
        <f t="shared" si="90"/>
        <v>&gt;=41640</v>
      </c>
      <c r="G964" s="1" t="str">
        <f t="shared" si="91"/>
        <v>&lt;41640</v>
      </c>
    </row>
    <row r="965" spans="2:7">
      <c r="B965" s="1"/>
      <c r="C965" s="3" t="s">
        <v>28</v>
      </c>
      <c r="D965" s="3" t="s">
        <v>28</v>
      </c>
      <c r="E965" s="8" t="s">
        <v>228</v>
      </c>
      <c r="F965" s="3" t="s">
        <v>28</v>
      </c>
      <c r="G965" s="3" t="s">
        <v>28</v>
      </c>
    </row>
    <row r="966" spans="2:7">
      <c r="B966" s="1">
        <v>481</v>
      </c>
      <c r="C966" s="1" t="str">
        <f t="shared" si="88"/>
        <v>&gt;=41640</v>
      </c>
      <c r="D966" s="1" t="str">
        <f t="shared" si="89"/>
        <v>&lt;=42004</v>
      </c>
      <c r="E966" s="7">
        <f>DMHH!$C$488</f>
        <v>0</v>
      </c>
      <c r="F966" s="1" t="str">
        <f t="shared" si="90"/>
        <v>&gt;=41640</v>
      </c>
      <c r="G966" s="1" t="str">
        <f t="shared" si="91"/>
        <v>&lt;41640</v>
      </c>
    </row>
    <row r="967" spans="2:7">
      <c r="B967" s="1"/>
      <c r="C967" s="3" t="s">
        <v>28</v>
      </c>
      <c r="D967" s="3" t="s">
        <v>28</v>
      </c>
      <c r="E967" s="8" t="s">
        <v>228</v>
      </c>
      <c r="F967" s="3" t="s">
        <v>28</v>
      </c>
      <c r="G967" s="3" t="s">
        <v>28</v>
      </c>
    </row>
    <row r="968" spans="2:7">
      <c r="B968" s="1">
        <v>482</v>
      </c>
      <c r="C968" s="1" t="str">
        <f t="shared" si="88"/>
        <v>&gt;=41640</v>
      </c>
      <c r="D968" s="1" t="str">
        <f t="shared" si="89"/>
        <v>&lt;=42004</v>
      </c>
      <c r="E968" s="7">
        <f>DMHH!$C$489</f>
        <v>0</v>
      </c>
      <c r="F968" s="1" t="str">
        <f t="shared" si="90"/>
        <v>&gt;=41640</v>
      </c>
      <c r="G968" s="1" t="str">
        <f t="shared" si="91"/>
        <v>&lt;41640</v>
      </c>
    </row>
    <row r="969" spans="2:7">
      <c r="B969" s="1"/>
      <c r="C969" s="3" t="s">
        <v>28</v>
      </c>
      <c r="D969" s="3" t="s">
        <v>28</v>
      </c>
      <c r="E969" s="8" t="s">
        <v>228</v>
      </c>
      <c r="F969" s="3" t="s">
        <v>28</v>
      </c>
      <c r="G969" s="3" t="s">
        <v>28</v>
      </c>
    </row>
    <row r="970" spans="2:7">
      <c r="B970" s="1">
        <v>483</v>
      </c>
      <c r="C970" s="1" t="str">
        <f t="shared" si="88"/>
        <v>&gt;=41640</v>
      </c>
      <c r="D970" s="1" t="str">
        <f t="shared" si="89"/>
        <v>&lt;=42004</v>
      </c>
      <c r="E970" s="7">
        <f>DMHH!$C$490</f>
        <v>0</v>
      </c>
      <c r="F970" s="1" t="str">
        <f t="shared" si="90"/>
        <v>&gt;=41640</v>
      </c>
      <c r="G970" s="1" t="str">
        <f t="shared" si="91"/>
        <v>&lt;41640</v>
      </c>
    </row>
    <row r="971" spans="2:7">
      <c r="B971" s="1"/>
      <c r="C971" s="3" t="s">
        <v>28</v>
      </c>
      <c r="D971" s="3" t="s">
        <v>28</v>
      </c>
      <c r="E971" s="8" t="s">
        <v>228</v>
      </c>
      <c r="F971" s="3" t="s">
        <v>28</v>
      </c>
      <c r="G971" s="3" t="s">
        <v>28</v>
      </c>
    </row>
    <row r="972" spans="2:7">
      <c r="B972" s="1">
        <v>484</v>
      </c>
      <c r="C972" s="1" t="str">
        <f t="shared" si="88"/>
        <v>&gt;=41640</v>
      </c>
      <c r="D972" s="1" t="str">
        <f t="shared" si="89"/>
        <v>&lt;=42004</v>
      </c>
      <c r="E972" s="7">
        <f>DMHH!$C$491</f>
        <v>0</v>
      </c>
      <c r="F972" s="1" t="str">
        <f t="shared" si="90"/>
        <v>&gt;=41640</v>
      </c>
      <c r="G972" s="1" t="str">
        <f t="shared" si="91"/>
        <v>&lt;41640</v>
      </c>
    </row>
    <row r="973" spans="2:7">
      <c r="B973" s="1"/>
      <c r="C973" s="3" t="s">
        <v>28</v>
      </c>
      <c r="D973" s="3" t="s">
        <v>28</v>
      </c>
      <c r="E973" s="8" t="s">
        <v>228</v>
      </c>
      <c r="F973" s="3" t="s">
        <v>28</v>
      </c>
      <c r="G973" s="3" t="s">
        <v>28</v>
      </c>
    </row>
    <row r="974" spans="2:7">
      <c r="B974" s="1">
        <v>485</v>
      </c>
      <c r="C974" s="1" t="str">
        <f t="shared" si="88"/>
        <v>&gt;=41640</v>
      </c>
      <c r="D974" s="1" t="str">
        <f t="shared" si="89"/>
        <v>&lt;=42004</v>
      </c>
      <c r="E974" s="7">
        <f>DMHH!$C$492</f>
        <v>0</v>
      </c>
      <c r="F974" s="1" t="str">
        <f t="shared" si="90"/>
        <v>&gt;=41640</v>
      </c>
      <c r="G974" s="1" t="str">
        <f t="shared" si="91"/>
        <v>&lt;41640</v>
      </c>
    </row>
    <row r="975" spans="2:7">
      <c r="B975" s="1"/>
      <c r="C975" s="3" t="s">
        <v>28</v>
      </c>
      <c r="D975" s="3" t="s">
        <v>28</v>
      </c>
      <c r="E975" s="8" t="s">
        <v>228</v>
      </c>
      <c r="F975" s="3" t="s">
        <v>28</v>
      </c>
      <c r="G975" s="3" t="s">
        <v>28</v>
      </c>
    </row>
    <row r="976" spans="2:7">
      <c r="B976" s="1">
        <v>486</v>
      </c>
      <c r="C976" s="1" t="str">
        <f t="shared" si="88"/>
        <v>&gt;=41640</v>
      </c>
      <c r="D976" s="1" t="str">
        <f t="shared" si="89"/>
        <v>&lt;=42004</v>
      </c>
      <c r="E976" s="7">
        <f>DMHH!$C$493</f>
        <v>0</v>
      </c>
      <c r="F976" s="1" t="str">
        <f t="shared" si="90"/>
        <v>&gt;=41640</v>
      </c>
      <c r="G976" s="1" t="str">
        <f t="shared" si="91"/>
        <v>&lt;41640</v>
      </c>
    </row>
    <row r="977" spans="2:7">
      <c r="B977" s="1"/>
      <c r="C977" s="3" t="s">
        <v>28</v>
      </c>
      <c r="D977" s="3" t="s">
        <v>28</v>
      </c>
      <c r="E977" s="8" t="s">
        <v>228</v>
      </c>
      <c r="F977" s="3" t="s">
        <v>28</v>
      </c>
      <c r="G977" s="3" t="s">
        <v>28</v>
      </c>
    </row>
    <row r="978" spans="2:7">
      <c r="B978" s="1">
        <v>487</v>
      </c>
      <c r="C978" s="1" t="str">
        <f t="shared" si="88"/>
        <v>&gt;=41640</v>
      </c>
      <c r="D978" s="1" t="str">
        <f t="shared" si="89"/>
        <v>&lt;=42004</v>
      </c>
      <c r="E978" s="7">
        <f>DMHH!$C$494</f>
        <v>0</v>
      </c>
      <c r="F978" s="1" t="str">
        <f t="shared" si="90"/>
        <v>&gt;=41640</v>
      </c>
      <c r="G978" s="1" t="str">
        <f t="shared" si="91"/>
        <v>&lt;41640</v>
      </c>
    </row>
    <row r="979" spans="2:7">
      <c r="B979" s="1"/>
      <c r="C979" s="3" t="s">
        <v>28</v>
      </c>
      <c r="D979" s="3" t="s">
        <v>28</v>
      </c>
      <c r="E979" s="8" t="s">
        <v>228</v>
      </c>
      <c r="F979" s="3" t="s">
        <v>28</v>
      </c>
      <c r="G979" s="3" t="s">
        <v>28</v>
      </c>
    </row>
    <row r="980" spans="2:7">
      <c r="B980" s="1">
        <v>488</v>
      </c>
      <c r="C980" s="1" t="str">
        <f t="shared" si="88"/>
        <v>&gt;=41640</v>
      </c>
      <c r="D980" s="1" t="str">
        <f t="shared" si="89"/>
        <v>&lt;=42004</v>
      </c>
      <c r="E980" s="7">
        <f>DMHH!$C$495</f>
        <v>0</v>
      </c>
      <c r="F980" s="1" t="str">
        <f t="shared" si="90"/>
        <v>&gt;=41640</v>
      </c>
      <c r="G980" s="1" t="str">
        <f t="shared" si="91"/>
        <v>&lt;41640</v>
      </c>
    </row>
    <row r="981" spans="2:7">
      <c r="B981" s="1"/>
      <c r="C981" s="3" t="s">
        <v>28</v>
      </c>
      <c r="D981" s="3" t="s">
        <v>28</v>
      </c>
      <c r="E981" s="8" t="s">
        <v>228</v>
      </c>
      <c r="F981" s="3" t="s">
        <v>28</v>
      </c>
      <c r="G981" s="3" t="s">
        <v>28</v>
      </c>
    </row>
    <row r="982" spans="2:7">
      <c r="B982" s="1">
        <v>489</v>
      </c>
      <c r="C982" s="1" t="str">
        <f t="shared" si="88"/>
        <v>&gt;=41640</v>
      </c>
      <c r="D982" s="1" t="str">
        <f t="shared" si="89"/>
        <v>&lt;=42004</v>
      </c>
      <c r="E982" s="7">
        <f>DMHH!$C$496</f>
        <v>0</v>
      </c>
      <c r="F982" s="1" t="str">
        <f t="shared" si="90"/>
        <v>&gt;=41640</v>
      </c>
      <c r="G982" s="1" t="str">
        <f t="shared" si="91"/>
        <v>&lt;41640</v>
      </c>
    </row>
    <row r="983" spans="2:7">
      <c r="B983" s="1"/>
      <c r="C983" s="3" t="s">
        <v>28</v>
      </c>
      <c r="D983" s="3" t="s">
        <v>28</v>
      </c>
      <c r="E983" s="8" t="s">
        <v>228</v>
      </c>
      <c r="F983" s="3" t="s">
        <v>28</v>
      </c>
      <c r="G983" s="3" t="s">
        <v>28</v>
      </c>
    </row>
    <row r="984" spans="2:7">
      <c r="B984" s="1">
        <v>490</v>
      </c>
      <c r="C984" s="1" t="str">
        <f t="shared" si="88"/>
        <v>&gt;=41640</v>
      </c>
      <c r="D984" s="1" t="str">
        <f t="shared" si="89"/>
        <v>&lt;=42004</v>
      </c>
      <c r="E984" s="7">
        <f>DMHH!$C$497</f>
        <v>0</v>
      </c>
      <c r="F984" s="1" t="str">
        <f t="shared" si="90"/>
        <v>&gt;=41640</v>
      </c>
      <c r="G984" s="1" t="str">
        <f t="shared" si="91"/>
        <v>&lt;41640</v>
      </c>
    </row>
    <row r="985" spans="2:7">
      <c r="B985" s="1"/>
      <c r="C985" s="3" t="s">
        <v>28</v>
      </c>
      <c r="D985" s="3" t="s">
        <v>28</v>
      </c>
      <c r="E985" s="8" t="s">
        <v>228</v>
      </c>
      <c r="F985" s="3" t="s">
        <v>28</v>
      </c>
      <c r="G985" s="3" t="s">
        <v>28</v>
      </c>
    </row>
    <row r="986" spans="2:7">
      <c r="B986" s="1">
        <v>491</v>
      </c>
      <c r="C986" s="1" t="str">
        <f t="shared" si="88"/>
        <v>&gt;=41640</v>
      </c>
      <c r="D986" s="1" t="str">
        <f t="shared" si="89"/>
        <v>&lt;=42004</v>
      </c>
      <c r="E986" s="7">
        <f>DMHH!$C$498</f>
        <v>0</v>
      </c>
      <c r="F986" s="1" t="str">
        <f t="shared" si="90"/>
        <v>&gt;=41640</v>
      </c>
      <c r="G986" s="1" t="str">
        <f t="shared" si="91"/>
        <v>&lt;41640</v>
      </c>
    </row>
    <row r="987" spans="2:7">
      <c r="B987" s="1"/>
      <c r="C987" s="3" t="s">
        <v>28</v>
      </c>
      <c r="D987" s="3" t="s">
        <v>28</v>
      </c>
      <c r="E987" s="8" t="s">
        <v>228</v>
      </c>
      <c r="F987" s="3" t="s">
        <v>28</v>
      </c>
      <c r="G987" s="3" t="s">
        <v>28</v>
      </c>
    </row>
    <row r="988" spans="2:7">
      <c r="B988" s="1">
        <v>492</v>
      </c>
      <c r="C988" s="1" t="str">
        <f t="shared" si="88"/>
        <v>&gt;=41640</v>
      </c>
      <c r="D988" s="1" t="str">
        <f t="shared" si="89"/>
        <v>&lt;=42004</v>
      </c>
      <c r="E988" s="7">
        <f>DMHH!$C$499</f>
        <v>0</v>
      </c>
      <c r="F988" s="1" t="str">
        <f t="shared" si="90"/>
        <v>&gt;=41640</v>
      </c>
      <c r="G988" s="1" t="str">
        <f t="shared" si="91"/>
        <v>&lt;41640</v>
      </c>
    </row>
    <row r="989" spans="2:7">
      <c r="B989" s="1"/>
      <c r="C989" s="3" t="s">
        <v>28</v>
      </c>
      <c r="D989" s="3" t="s">
        <v>28</v>
      </c>
      <c r="E989" s="8" t="s">
        <v>228</v>
      </c>
      <c r="F989" s="3" t="s">
        <v>28</v>
      </c>
      <c r="G989" s="3" t="s">
        <v>28</v>
      </c>
    </row>
    <row r="990" spans="2:7">
      <c r="B990" s="1">
        <v>493</v>
      </c>
      <c r="C990" s="1" t="str">
        <f t="shared" si="88"/>
        <v>&gt;=41640</v>
      </c>
      <c r="D990" s="1" t="str">
        <f t="shared" si="89"/>
        <v>&lt;=42004</v>
      </c>
      <c r="E990" s="7">
        <f>DMHH!$C$500</f>
        <v>0</v>
      </c>
      <c r="F990" s="1" t="str">
        <f t="shared" si="90"/>
        <v>&gt;=41640</v>
      </c>
      <c r="G990" s="1" t="str">
        <f t="shared" si="91"/>
        <v>&lt;41640</v>
      </c>
    </row>
    <row r="991" spans="2:7">
      <c r="B991" s="1"/>
      <c r="C991" s="3" t="s">
        <v>28</v>
      </c>
      <c r="D991" s="3" t="s">
        <v>28</v>
      </c>
      <c r="E991" s="8" t="s">
        <v>228</v>
      </c>
      <c r="F991" s="3" t="s">
        <v>28</v>
      </c>
      <c r="G991" s="3" t="s">
        <v>28</v>
      </c>
    </row>
    <row r="992" spans="2:7">
      <c r="B992" s="1">
        <v>494</v>
      </c>
      <c r="C992" s="1" t="str">
        <f t="shared" si="88"/>
        <v>&gt;=41640</v>
      </c>
      <c r="D992" s="1" t="str">
        <f t="shared" si="89"/>
        <v>&lt;=42004</v>
      </c>
      <c r="E992" s="7">
        <f>DMHH!$C$501</f>
        <v>0</v>
      </c>
      <c r="F992" s="1" t="str">
        <f t="shared" si="90"/>
        <v>&gt;=41640</v>
      </c>
      <c r="G992" s="1" t="str">
        <f t="shared" si="91"/>
        <v>&lt;41640</v>
      </c>
    </row>
    <row r="993" spans="2:7">
      <c r="B993" s="1"/>
      <c r="C993" s="3" t="s">
        <v>28</v>
      </c>
      <c r="D993" s="3" t="s">
        <v>28</v>
      </c>
      <c r="E993" s="8" t="s">
        <v>228</v>
      </c>
      <c r="F993" s="3" t="s">
        <v>28</v>
      </c>
      <c r="G993" s="3" t="s">
        <v>28</v>
      </c>
    </row>
    <row r="994" spans="2:7">
      <c r="B994" s="1">
        <v>495</v>
      </c>
      <c r="C994" s="1" t="str">
        <f t="shared" ref="C994:C1004" si="92">"&gt;="&amp;$C$3</f>
        <v>&gt;=41640</v>
      </c>
      <c r="D994" s="1" t="str">
        <f t="shared" ref="D994:D1004" si="93">"&lt;="&amp;$E$3</f>
        <v>&lt;=42004</v>
      </c>
      <c r="E994" s="7">
        <f>DMHH!$C$502</f>
        <v>0</v>
      </c>
      <c r="F994" s="1" t="str">
        <f t="shared" ref="F994:F1004" si="94">"&gt;="&amp;$C$2</f>
        <v>&gt;=41640</v>
      </c>
      <c r="G994" s="1" t="str">
        <f t="shared" ref="G994:G1004" si="95">"&lt;"&amp;$C$3</f>
        <v>&lt;41640</v>
      </c>
    </row>
    <row r="995" spans="2:7">
      <c r="B995" s="1"/>
      <c r="C995" s="3" t="s">
        <v>28</v>
      </c>
      <c r="D995" s="3" t="s">
        <v>28</v>
      </c>
      <c r="E995" s="8" t="s">
        <v>228</v>
      </c>
      <c r="F995" s="3" t="s">
        <v>28</v>
      </c>
      <c r="G995" s="3" t="s">
        <v>28</v>
      </c>
    </row>
    <row r="996" spans="2:7">
      <c r="B996" s="1">
        <v>496</v>
      </c>
      <c r="C996" s="1" t="str">
        <f t="shared" si="92"/>
        <v>&gt;=41640</v>
      </c>
      <c r="D996" s="1" t="str">
        <f t="shared" si="93"/>
        <v>&lt;=42004</v>
      </c>
      <c r="E996" s="7">
        <f>DMHH!$C$503</f>
        <v>0</v>
      </c>
      <c r="F996" s="1" t="str">
        <f t="shared" si="94"/>
        <v>&gt;=41640</v>
      </c>
      <c r="G996" s="1" t="str">
        <f t="shared" si="95"/>
        <v>&lt;41640</v>
      </c>
    </row>
    <row r="997" spans="2:7">
      <c r="B997" s="1"/>
      <c r="C997" s="3" t="s">
        <v>28</v>
      </c>
      <c r="D997" s="3" t="s">
        <v>28</v>
      </c>
      <c r="E997" s="8" t="s">
        <v>228</v>
      </c>
      <c r="F997" s="3" t="s">
        <v>28</v>
      </c>
      <c r="G997" s="3" t="s">
        <v>28</v>
      </c>
    </row>
    <row r="998" spans="2:7">
      <c r="B998" s="1">
        <v>497</v>
      </c>
      <c r="C998" s="1" t="str">
        <f t="shared" si="92"/>
        <v>&gt;=41640</v>
      </c>
      <c r="D998" s="1" t="str">
        <f t="shared" si="93"/>
        <v>&lt;=42004</v>
      </c>
      <c r="E998" s="7">
        <f>DMHH!$C$504</f>
        <v>0</v>
      </c>
      <c r="F998" s="1" t="str">
        <f t="shared" si="94"/>
        <v>&gt;=41640</v>
      </c>
      <c r="G998" s="1" t="str">
        <f t="shared" si="95"/>
        <v>&lt;41640</v>
      </c>
    </row>
    <row r="999" spans="2:7">
      <c r="B999" s="1"/>
      <c r="C999" s="3" t="s">
        <v>28</v>
      </c>
      <c r="D999" s="3" t="s">
        <v>28</v>
      </c>
      <c r="E999" s="8" t="s">
        <v>228</v>
      </c>
      <c r="F999" s="3" t="s">
        <v>28</v>
      </c>
      <c r="G999" s="3" t="s">
        <v>28</v>
      </c>
    </row>
    <row r="1000" spans="2:7">
      <c r="B1000" s="1">
        <v>498</v>
      </c>
      <c r="C1000" s="1" t="str">
        <f t="shared" si="92"/>
        <v>&gt;=41640</v>
      </c>
      <c r="D1000" s="1" t="str">
        <f t="shared" si="93"/>
        <v>&lt;=42004</v>
      </c>
      <c r="E1000" s="7">
        <f>DMHH!$C$505</f>
        <v>0</v>
      </c>
      <c r="F1000" s="1" t="str">
        <f t="shared" si="94"/>
        <v>&gt;=41640</v>
      </c>
      <c r="G1000" s="1" t="str">
        <f t="shared" si="95"/>
        <v>&lt;41640</v>
      </c>
    </row>
    <row r="1001" spans="2:7">
      <c r="B1001" s="1"/>
      <c r="C1001" s="3" t="s">
        <v>28</v>
      </c>
      <c r="D1001" s="3" t="s">
        <v>28</v>
      </c>
      <c r="E1001" s="8" t="s">
        <v>228</v>
      </c>
      <c r="F1001" s="3" t="s">
        <v>28</v>
      </c>
      <c r="G1001" s="3" t="s">
        <v>28</v>
      </c>
    </row>
    <row r="1002" spans="2:7">
      <c r="B1002" s="1">
        <v>499</v>
      </c>
      <c r="C1002" s="1" t="str">
        <f t="shared" si="92"/>
        <v>&gt;=41640</v>
      </c>
      <c r="D1002" s="1" t="str">
        <f t="shared" si="93"/>
        <v>&lt;=42004</v>
      </c>
      <c r="E1002" s="7">
        <f>DMHH!$C$506</f>
        <v>0</v>
      </c>
      <c r="F1002" s="1" t="str">
        <f t="shared" si="94"/>
        <v>&gt;=41640</v>
      </c>
      <c r="G1002" s="1" t="str">
        <f t="shared" si="95"/>
        <v>&lt;41640</v>
      </c>
    </row>
    <row r="1003" spans="2:7">
      <c r="B1003" s="1"/>
      <c r="C1003" s="6" t="s">
        <v>28</v>
      </c>
      <c r="D1003" s="6" t="s">
        <v>28</v>
      </c>
      <c r="E1003" s="8" t="s">
        <v>228</v>
      </c>
      <c r="F1003" s="3" t="s">
        <v>28</v>
      </c>
      <c r="G1003" s="3" t="s">
        <v>28</v>
      </c>
    </row>
    <row r="1004" spans="2:7">
      <c r="B1004" s="1">
        <v>500</v>
      </c>
      <c r="C1004" s="7" t="str">
        <f t="shared" si="92"/>
        <v>&gt;=41640</v>
      </c>
      <c r="D1004" s="7" t="str">
        <f t="shared" si="93"/>
        <v>&lt;=42004</v>
      </c>
      <c r="E1004" s="7">
        <f>DMHH!$C$507</f>
        <v>0</v>
      </c>
      <c r="F1004" s="1" t="str">
        <f t="shared" si="94"/>
        <v>&gt;=41640</v>
      </c>
      <c r="G1004" s="1" t="str">
        <f t="shared" si="95"/>
        <v>&lt;41640</v>
      </c>
    </row>
    <row r="1005" spans="2:7" hidden="1"/>
    <row r="1006" spans="2:7" hidden="1"/>
    <row r="1007" spans="2:7" hidden="1"/>
    <row r="1008" spans="2:7"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1041</vt:i4>
      </vt:variant>
    </vt:vector>
  </HeadingPairs>
  <TitlesOfParts>
    <vt:vector size="1050" baseType="lpstr">
      <vt:lpstr>HDSD</vt:lpstr>
      <vt:lpstr>MENU</vt:lpstr>
      <vt:lpstr>NHAP XUAT</vt:lpstr>
      <vt:lpstr>Ghi So</vt:lpstr>
      <vt:lpstr>TongHop</vt:lpstr>
      <vt:lpstr>Check Phong</vt:lpstr>
      <vt:lpstr>In</vt:lpstr>
      <vt:lpstr>DMHH</vt:lpstr>
      <vt:lpstr>DK</vt:lpstr>
      <vt:lpstr>A1_GHI_SO</vt:lpstr>
      <vt:lpstr>A1_NHAP_XUAT</vt:lpstr>
      <vt:lpstr>DanhMucHangHoa</vt:lpstr>
      <vt:lpstr>DG_ngay</vt:lpstr>
      <vt:lpstr>DG_nghigio</vt:lpstr>
      <vt:lpstr>DG_quadem</vt:lpstr>
      <vt:lpstr>DG_themgio</vt:lpstr>
      <vt:lpstr>DS_phong</vt:lpstr>
      <vt:lpstr>GHISO</vt:lpstr>
      <vt:lpstr>GS_giatui</vt:lpstr>
      <vt:lpstr>GS_tienphong</vt:lpstr>
      <vt:lpstr>List_mahang</vt:lpstr>
      <vt:lpstr>List_phong</vt:lpstr>
      <vt:lpstr>List_phong_cot_giatla</vt:lpstr>
      <vt:lpstr>List_phong_cot_tienphong</vt:lpstr>
      <vt:lpstr>Loc_NX</vt:lpstr>
      <vt:lpstr>NX_cot_SLNhap</vt:lpstr>
      <vt:lpstr>NX_cot_SLXuat</vt:lpstr>
      <vt:lpstr>In!Print_Area</vt:lpstr>
      <vt:lpstr>TongHop!Print_Area</vt:lpstr>
      <vt:lpstr>TongHop!Print_Titles</vt:lpstr>
      <vt:lpstr>ps_hang001</vt:lpstr>
      <vt:lpstr>ps_hang002</vt:lpstr>
      <vt:lpstr>ps_hang003</vt:lpstr>
      <vt:lpstr>ps_hang004</vt:lpstr>
      <vt:lpstr>ps_hang005</vt:lpstr>
      <vt:lpstr>ps_hang006</vt:lpstr>
      <vt:lpstr>ps_hang007</vt:lpstr>
      <vt:lpstr>ps_hang008</vt:lpstr>
      <vt:lpstr>ps_hang009</vt:lpstr>
      <vt:lpstr>ps_hang010</vt:lpstr>
      <vt:lpstr>ps_hang011</vt:lpstr>
      <vt:lpstr>ps_hang012</vt:lpstr>
      <vt:lpstr>ps_hang013</vt:lpstr>
      <vt:lpstr>ps_hang014</vt:lpstr>
      <vt:lpstr>ps_hang015</vt:lpstr>
      <vt:lpstr>ps_hang016</vt:lpstr>
      <vt:lpstr>ps_hang017</vt:lpstr>
      <vt:lpstr>ps_hang018</vt:lpstr>
      <vt:lpstr>ps_hang019</vt:lpstr>
      <vt:lpstr>ps_hang020</vt:lpstr>
      <vt:lpstr>ps_hang021</vt:lpstr>
      <vt:lpstr>ps_hang022</vt:lpstr>
      <vt:lpstr>ps_hang023</vt:lpstr>
      <vt:lpstr>ps_hang024</vt:lpstr>
      <vt:lpstr>ps_hang025</vt:lpstr>
      <vt:lpstr>ps_hang026</vt:lpstr>
      <vt:lpstr>ps_hang027</vt:lpstr>
      <vt:lpstr>ps_hang028</vt:lpstr>
      <vt:lpstr>ps_hang029</vt:lpstr>
      <vt:lpstr>ps_hang030</vt:lpstr>
      <vt:lpstr>ps_hang031</vt:lpstr>
      <vt:lpstr>ps_hang032</vt:lpstr>
      <vt:lpstr>ps_hang033</vt:lpstr>
      <vt:lpstr>ps_hang034</vt:lpstr>
      <vt:lpstr>ps_hang035</vt:lpstr>
      <vt:lpstr>ps_hang036</vt:lpstr>
      <vt:lpstr>ps_hang037</vt:lpstr>
      <vt:lpstr>ps_hang038</vt:lpstr>
      <vt:lpstr>ps_hang039</vt:lpstr>
      <vt:lpstr>ps_hang040</vt:lpstr>
      <vt:lpstr>ps_hang041</vt:lpstr>
      <vt:lpstr>ps_hang042</vt:lpstr>
      <vt:lpstr>ps_hang043</vt:lpstr>
      <vt:lpstr>ps_hang044</vt:lpstr>
      <vt:lpstr>ps_hang045</vt:lpstr>
      <vt:lpstr>ps_hang046</vt:lpstr>
      <vt:lpstr>ps_hang047</vt:lpstr>
      <vt:lpstr>ps_hang048</vt:lpstr>
      <vt:lpstr>ps_hang049</vt:lpstr>
      <vt:lpstr>ps_hang050</vt:lpstr>
      <vt:lpstr>ps_hang051</vt:lpstr>
      <vt:lpstr>ps_hang052</vt:lpstr>
      <vt:lpstr>ps_hang053</vt:lpstr>
      <vt:lpstr>ps_hang054</vt:lpstr>
      <vt:lpstr>ps_hang055</vt:lpstr>
      <vt:lpstr>ps_hang056</vt:lpstr>
      <vt:lpstr>ps_hang057</vt:lpstr>
      <vt:lpstr>ps_hang058</vt:lpstr>
      <vt:lpstr>ps_hang059</vt:lpstr>
      <vt:lpstr>ps_hang060</vt:lpstr>
      <vt:lpstr>ps_hang061</vt:lpstr>
      <vt:lpstr>ps_hang062</vt:lpstr>
      <vt:lpstr>ps_hang063</vt:lpstr>
      <vt:lpstr>ps_hang064</vt:lpstr>
      <vt:lpstr>ps_hang065</vt:lpstr>
      <vt:lpstr>ps_hang066</vt:lpstr>
      <vt:lpstr>ps_hang067</vt:lpstr>
      <vt:lpstr>ps_hang068</vt:lpstr>
      <vt:lpstr>ps_hang069</vt:lpstr>
      <vt:lpstr>ps_hang070</vt:lpstr>
      <vt:lpstr>ps_hang071</vt:lpstr>
      <vt:lpstr>ps_hang072</vt:lpstr>
      <vt:lpstr>ps_hang073</vt:lpstr>
      <vt:lpstr>ps_hang074</vt:lpstr>
      <vt:lpstr>ps_hang075</vt:lpstr>
      <vt:lpstr>ps_hang076</vt:lpstr>
      <vt:lpstr>ps_hang077</vt:lpstr>
      <vt:lpstr>ps_hang078</vt:lpstr>
      <vt:lpstr>ps_hang079</vt:lpstr>
      <vt:lpstr>ps_hang080</vt:lpstr>
      <vt:lpstr>ps_hang081</vt:lpstr>
      <vt:lpstr>ps_hang082</vt:lpstr>
      <vt:lpstr>ps_hang083</vt:lpstr>
      <vt:lpstr>ps_hang084</vt:lpstr>
      <vt:lpstr>ps_hang085</vt:lpstr>
      <vt:lpstr>ps_hang086</vt:lpstr>
      <vt:lpstr>ps_hang087</vt:lpstr>
      <vt:lpstr>ps_hang088</vt:lpstr>
      <vt:lpstr>ps_hang089</vt:lpstr>
      <vt:lpstr>ps_hang090</vt:lpstr>
      <vt:lpstr>ps_hang091</vt:lpstr>
      <vt:lpstr>ps_hang092</vt:lpstr>
      <vt:lpstr>ps_hang093</vt:lpstr>
      <vt:lpstr>ps_hang094</vt:lpstr>
      <vt:lpstr>ps_hang095</vt:lpstr>
      <vt:lpstr>ps_hang096</vt:lpstr>
      <vt:lpstr>ps_hang097</vt:lpstr>
      <vt:lpstr>ps_hang098</vt:lpstr>
      <vt:lpstr>ps_hang099</vt:lpstr>
      <vt:lpstr>ps_hang100</vt:lpstr>
      <vt:lpstr>ps_hang101</vt:lpstr>
      <vt:lpstr>ps_hang102</vt:lpstr>
      <vt:lpstr>ps_hang103</vt:lpstr>
      <vt:lpstr>ps_hang104</vt:lpstr>
      <vt:lpstr>ps_hang105</vt:lpstr>
      <vt:lpstr>ps_hang106</vt:lpstr>
      <vt:lpstr>ps_hang107</vt:lpstr>
      <vt:lpstr>ps_hang108</vt:lpstr>
      <vt:lpstr>ps_hang109</vt:lpstr>
      <vt:lpstr>ps_hang110</vt:lpstr>
      <vt:lpstr>ps_hang111</vt:lpstr>
      <vt:lpstr>ps_hang112</vt:lpstr>
      <vt:lpstr>ps_hang113</vt:lpstr>
      <vt:lpstr>ps_hang114</vt:lpstr>
      <vt:lpstr>ps_hang115</vt:lpstr>
      <vt:lpstr>ps_hang116</vt:lpstr>
      <vt:lpstr>ps_hang117</vt:lpstr>
      <vt:lpstr>ps_hang118</vt:lpstr>
      <vt:lpstr>ps_hang119</vt:lpstr>
      <vt:lpstr>ps_hang120</vt:lpstr>
      <vt:lpstr>ps_hang121</vt:lpstr>
      <vt:lpstr>ps_hang122</vt:lpstr>
      <vt:lpstr>ps_hang123</vt:lpstr>
      <vt:lpstr>ps_hang124</vt:lpstr>
      <vt:lpstr>ps_hang125</vt:lpstr>
      <vt:lpstr>ps_hang126</vt:lpstr>
      <vt:lpstr>ps_hang127</vt:lpstr>
      <vt:lpstr>ps_hang128</vt:lpstr>
      <vt:lpstr>ps_hang129</vt:lpstr>
      <vt:lpstr>ps_hang130</vt:lpstr>
      <vt:lpstr>ps_hang131</vt:lpstr>
      <vt:lpstr>ps_hang132</vt:lpstr>
      <vt:lpstr>ps_hang133</vt:lpstr>
      <vt:lpstr>ps_hang134</vt:lpstr>
      <vt:lpstr>ps_hang135</vt:lpstr>
      <vt:lpstr>ps_hang136</vt:lpstr>
      <vt:lpstr>ps_hang137</vt:lpstr>
      <vt:lpstr>ps_hang138</vt:lpstr>
      <vt:lpstr>ps_hang139</vt:lpstr>
      <vt:lpstr>ps_hang140</vt:lpstr>
      <vt:lpstr>ps_hang141</vt:lpstr>
      <vt:lpstr>ps_hang142</vt:lpstr>
      <vt:lpstr>ps_hang143</vt:lpstr>
      <vt:lpstr>ps_hang144</vt:lpstr>
      <vt:lpstr>ps_hang145</vt:lpstr>
      <vt:lpstr>ps_hang146</vt:lpstr>
      <vt:lpstr>ps_hang147</vt:lpstr>
      <vt:lpstr>ps_hang148</vt:lpstr>
      <vt:lpstr>ps_hang149</vt:lpstr>
      <vt:lpstr>ps_hang150</vt:lpstr>
      <vt:lpstr>ps_hang151</vt:lpstr>
      <vt:lpstr>ps_hang152</vt:lpstr>
      <vt:lpstr>ps_hang153</vt:lpstr>
      <vt:lpstr>ps_hang154</vt:lpstr>
      <vt:lpstr>ps_hang155</vt:lpstr>
      <vt:lpstr>ps_hang156</vt:lpstr>
      <vt:lpstr>ps_hang157</vt:lpstr>
      <vt:lpstr>ps_hang158</vt:lpstr>
      <vt:lpstr>ps_hang159</vt:lpstr>
      <vt:lpstr>ps_hang160</vt:lpstr>
      <vt:lpstr>ps_hang161</vt:lpstr>
      <vt:lpstr>ps_hang162</vt:lpstr>
      <vt:lpstr>ps_hang163</vt:lpstr>
      <vt:lpstr>ps_hang164</vt:lpstr>
      <vt:lpstr>ps_hang165</vt:lpstr>
      <vt:lpstr>ps_hang166</vt:lpstr>
      <vt:lpstr>ps_hang167</vt:lpstr>
      <vt:lpstr>ps_hang168</vt:lpstr>
      <vt:lpstr>ps_hang169</vt:lpstr>
      <vt:lpstr>ps_hang170</vt:lpstr>
      <vt:lpstr>ps_hang171</vt:lpstr>
      <vt:lpstr>ps_hang172</vt:lpstr>
      <vt:lpstr>ps_hang173</vt:lpstr>
      <vt:lpstr>ps_hang174</vt:lpstr>
      <vt:lpstr>ps_hang175</vt:lpstr>
      <vt:lpstr>ps_hang176</vt:lpstr>
      <vt:lpstr>ps_hang177</vt:lpstr>
      <vt:lpstr>ps_hang178</vt:lpstr>
      <vt:lpstr>ps_hang179</vt:lpstr>
      <vt:lpstr>ps_hang180</vt:lpstr>
      <vt:lpstr>ps_hang181</vt:lpstr>
      <vt:lpstr>ps_hang182</vt:lpstr>
      <vt:lpstr>ps_hang183</vt:lpstr>
      <vt:lpstr>ps_hang184</vt:lpstr>
      <vt:lpstr>ps_hang185</vt:lpstr>
      <vt:lpstr>ps_hang186</vt:lpstr>
      <vt:lpstr>ps_hang187</vt:lpstr>
      <vt:lpstr>ps_hang188</vt:lpstr>
      <vt:lpstr>ps_hang189</vt:lpstr>
      <vt:lpstr>ps_hang190</vt:lpstr>
      <vt:lpstr>ps_hang191</vt:lpstr>
      <vt:lpstr>ps_hang192</vt:lpstr>
      <vt:lpstr>ps_hang193</vt:lpstr>
      <vt:lpstr>ps_hang194</vt:lpstr>
      <vt:lpstr>ps_hang195</vt:lpstr>
      <vt:lpstr>ps_hang196</vt:lpstr>
      <vt:lpstr>ps_hang197</vt:lpstr>
      <vt:lpstr>ps_hang198</vt:lpstr>
      <vt:lpstr>ps_hang199</vt:lpstr>
      <vt:lpstr>ps_hang200</vt:lpstr>
      <vt:lpstr>ps_hang201</vt:lpstr>
      <vt:lpstr>ps_hang202</vt:lpstr>
      <vt:lpstr>ps_hang203</vt:lpstr>
      <vt:lpstr>ps_hang204</vt:lpstr>
      <vt:lpstr>ps_hang205</vt:lpstr>
      <vt:lpstr>ps_hang206</vt:lpstr>
      <vt:lpstr>ps_hang207</vt:lpstr>
      <vt:lpstr>ps_hang208</vt:lpstr>
      <vt:lpstr>ps_hang209</vt:lpstr>
      <vt:lpstr>ps_hang210</vt:lpstr>
      <vt:lpstr>ps_hang211</vt:lpstr>
      <vt:lpstr>ps_hang212</vt:lpstr>
      <vt:lpstr>ps_hang213</vt:lpstr>
      <vt:lpstr>ps_hang214</vt:lpstr>
      <vt:lpstr>ps_hang215</vt:lpstr>
      <vt:lpstr>ps_hang216</vt:lpstr>
      <vt:lpstr>ps_hang217</vt:lpstr>
      <vt:lpstr>ps_hang218</vt:lpstr>
      <vt:lpstr>ps_hang219</vt:lpstr>
      <vt:lpstr>ps_hang220</vt:lpstr>
      <vt:lpstr>ps_hang221</vt:lpstr>
      <vt:lpstr>ps_hang222</vt:lpstr>
      <vt:lpstr>ps_hang223</vt:lpstr>
      <vt:lpstr>ps_hang224</vt:lpstr>
      <vt:lpstr>ps_hang225</vt:lpstr>
      <vt:lpstr>ps_hang226</vt:lpstr>
      <vt:lpstr>ps_hang227</vt:lpstr>
      <vt:lpstr>ps_hang228</vt:lpstr>
      <vt:lpstr>ps_hang229</vt:lpstr>
      <vt:lpstr>ps_hang230</vt:lpstr>
      <vt:lpstr>ps_hang231</vt:lpstr>
      <vt:lpstr>ps_hang232</vt:lpstr>
      <vt:lpstr>ps_hang233</vt:lpstr>
      <vt:lpstr>ps_hang234</vt:lpstr>
      <vt:lpstr>ps_hang235</vt:lpstr>
      <vt:lpstr>ps_hang236</vt:lpstr>
      <vt:lpstr>ps_hang237</vt:lpstr>
      <vt:lpstr>ps_hang238</vt:lpstr>
      <vt:lpstr>ps_hang239</vt:lpstr>
      <vt:lpstr>ps_hang240</vt:lpstr>
      <vt:lpstr>ps_hang241</vt:lpstr>
      <vt:lpstr>ps_hang242</vt:lpstr>
      <vt:lpstr>ps_hang243</vt:lpstr>
      <vt:lpstr>ps_hang244</vt:lpstr>
      <vt:lpstr>ps_hang245</vt:lpstr>
      <vt:lpstr>ps_hang246</vt:lpstr>
      <vt:lpstr>ps_hang247</vt:lpstr>
      <vt:lpstr>ps_hang248</vt:lpstr>
      <vt:lpstr>ps_hang249</vt:lpstr>
      <vt:lpstr>ps_hang250</vt:lpstr>
      <vt:lpstr>ps_hang251</vt:lpstr>
      <vt:lpstr>ps_hang252</vt:lpstr>
      <vt:lpstr>ps_hang253</vt:lpstr>
      <vt:lpstr>ps_hang254</vt:lpstr>
      <vt:lpstr>ps_hang255</vt:lpstr>
      <vt:lpstr>ps_hang256</vt:lpstr>
      <vt:lpstr>ps_hang257</vt:lpstr>
      <vt:lpstr>ps_hang258</vt:lpstr>
      <vt:lpstr>ps_hang259</vt:lpstr>
      <vt:lpstr>ps_hang260</vt:lpstr>
      <vt:lpstr>ps_hang261</vt:lpstr>
      <vt:lpstr>ps_hang262</vt:lpstr>
      <vt:lpstr>ps_hang263</vt:lpstr>
      <vt:lpstr>ps_hang264</vt:lpstr>
      <vt:lpstr>ps_hang265</vt:lpstr>
      <vt:lpstr>ps_hang266</vt:lpstr>
      <vt:lpstr>ps_hang267</vt:lpstr>
      <vt:lpstr>ps_hang268</vt:lpstr>
      <vt:lpstr>ps_hang269</vt:lpstr>
      <vt:lpstr>ps_hang270</vt:lpstr>
      <vt:lpstr>ps_hang271</vt:lpstr>
      <vt:lpstr>ps_hang272</vt:lpstr>
      <vt:lpstr>ps_hang273</vt:lpstr>
      <vt:lpstr>ps_hang274</vt:lpstr>
      <vt:lpstr>ps_hang275</vt:lpstr>
      <vt:lpstr>ps_hang276</vt:lpstr>
      <vt:lpstr>ps_hang277</vt:lpstr>
      <vt:lpstr>ps_hang278</vt:lpstr>
      <vt:lpstr>ps_hang279</vt:lpstr>
      <vt:lpstr>ps_hang280</vt:lpstr>
      <vt:lpstr>ps_hang281</vt:lpstr>
      <vt:lpstr>ps_hang282</vt:lpstr>
      <vt:lpstr>ps_hang283</vt:lpstr>
      <vt:lpstr>ps_hang284</vt:lpstr>
      <vt:lpstr>ps_hang285</vt:lpstr>
      <vt:lpstr>ps_hang286</vt:lpstr>
      <vt:lpstr>ps_hang287</vt:lpstr>
      <vt:lpstr>ps_hang288</vt:lpstr>
      <vt:lpstr>ps_hang289</vt:lpstr>
      <vt:lpstr>ps_hang290</vt:lpstr>
      <vt:lpstr>ps_hang291</vt:lpstr>
      <vt:lpstr>ps_hang292</vt:lpstr>
      <vt:lpstr>ps_hang293</vt:lpstr>
      <vt:lpstr>ps_hang294</vt:lpstr>
      <vt:lpstr>ps_hang295</vt:lpstr>
      <vt:lpstr>ps_hang296</vt:lpstr>
      <vt:lpstr>ps_hang297</vt:lpstr>
      <vt:lpstr>ps_hang298</vt:lpstr>
      <vt:lpstr>ps_hang299</vt:lpstr>
      <vt:lpstr>ps_hang300</vt:lpstr>
      <vt:lpstr>ps_hang301</vt:lpstr>
      <vt:lpstr>ps_hang302</vt:lpstr>
      <vt:lpstr>ps_hang303</vt:lpstr>
      <vt:lpstr>ps_hang304</vt:lpstr>
      <vt:lpstr>ps_hang305</vt:lpstr>
      <vt:lpstr>ps_hang306</vt:lpstr>
      <vt:lpstr>ps_hang307</vt:lpstr>
      <vt:lpstr>ps_hang308</vt:lpstr>
      <vt:lpstr>ps_hang309</vt:lpstr>
      <vt:lpstr>ps_hang310</vt:lpstr>
      <vt:lpstr>ps_hang311</vt:lpstr>
      <vt:lpstr>ps_hang312</vt:lpstr>
      <vt:lpstr>ps_hang313</vt:lpstr>
      <vt:lpstr>ps_hang314</vt:lpstr>
      <vt:lpstr>ps_hang315</vt:lpstr>
      <vt:lpstr>ps_hang316</vt:lpstr>
      <vt:lpstr>ps_hang317</vt:lpstr>
      <vt:lpstr>ps_hang318</vt:lpstr>
      <vt:lpstr>ps_hang319</vt:lpstr>
      <vt:lpstr>ps_hang320</vt:lpstr>
      <vt:lpstr>ps_hang321</vt:lpstr>
      <vt:lpstr>ps_hang322</vt:lpstr>
      <vt:lpstr>ps_hang323</vt:lpstr>
      <vt:lpstr>ps_hang324</vt:lpstr>
      <vt:lpstr>ps_hang325</vt:lpstr>
      <vt:lpstr>ps_hang326</vt:lpstr>
      <vt:lpstr>ps_hang327</vt:lpstr>
      <vt:lpstr>ps_hang328</vt:lpstr>
      <vt:lpstr>ps_hang329</vt:lpstr>
      <vt:lpstr>ps_hang330</vt:lpstr>
      <vt:lpstr>ps_hang331</vt:lpstr>
      <vt:lpstr>ps_hang332</vt:lpstr>
      <vt:lpstr>ps_hang333</vt:lpstr>
      <vt:lpstr>ps_hang334</vt:lpstr>
      <vt:lpstr>ps_hang335</vt:lpstr>
      <vt:lpstr>ps_hang336</vt:lpstr>
      <vt:lpstr>ps_hang337</vt:lpstr>
      <vt:lpstr>ps_hang338</vt:lpstr>
      <vt:lpstr>ps_hang339</vt:lpstr>
      <vt:lpstr>ps_hang340</vt:lpstr>
      <vt:lpstr>ps_hang341</vt:lpstr>
      <vt:lpstr>ps_hang342</vt:lpstr>
      <vt:lpstr>ps_hang343</vt:lpstr>
      <vt:lpstr>ps_hang344</vt:lpstr>
      <vt:lpstr>ps_hang345</vt:lpstr>
      <vt:lpstr>ps_hang346</vt:lpstr>
      <vt:lpstr>ps_hang347</vt:lpstr>
      <vt:lpstr>ps_hang348</vt:lpstr>
      <vt:lpstr>ps_hang349</vt:lpstr>
      <vt:lpstr>ps_hang350</vt:lpstr>
      <vt:lpstr>ps_hang351</vt:lpstr>
      <vt:lpstr>ps_hang352</vt:lpstr>
      <vt:lpstr>ps_hang353</vt:lpstr>
      <vt:lpstr>ps_hang354</vt:lpstr>
      <vt:lpstr>ps_hang355</vt:lpstr>
      <vt:lpstr>ps_hang356</vt:lpstr>
      <vt:lpstr>ps_hang357</vt:lpstr>
      <vt:lpstr>ps_hang358</vt:lpstr>
      <vt:lpstr>ps_hang359</vt:lpstr>
      <vt:lpstr>ps_hang360</vt:lpstr>
      <vt:lpstr>ps_hang361</vt:lpstr>
      <vt:lpstr>ps_hang362</vt:lpstr>
      <vt:lpstr>ps_hang363</vt:lpstr>
      <vt:lpstr>ps_hang364</vt:lpstr>
      <vt:lpstr>ps_hang365</vt:lpstr>
      <vt:lpstr>ps_hang366</vt:lpstr>
      <vt:lpstr>ps_hang367</vt:lpstr>
      <vt:lpstr>ps_hang368</vt:lpstr>
      <vt:lpstr>ps_hang369</vt:lpstr>
      <vt:lpstr>ps_hang370</vt:lpstr>
      <vt:lpstr>ps_hang371</vt:lpstr>
      <vt:lpstr>ps_hang372</vt:lpstr>
      <vt:lpstr>ps_hang373</vt:lpstr>
      <vt:lpstr>ps_hang374</vt:lpstr>
      <vt:lpstr>ps_hang375</vt:lpstr>
      <vt:lpstr>ps_hang376</vt:lpstr>
      <vt:lpstr>ps_hang377</vt:lpstr>
      <vt:lpstr>ps_hang378</vt:lpstr>
      <vt:lpstr>ps_hang379</vt:lpstr>
      <vt:lpstr>ps_hang380</vt:lpstr>
      <vt:lpstr>ps_hang381</vt:lpstr>
      <vt:lpstr>ps_hang382</vt:lpstr>
      <vt:lpstr>ps_hang383</vt:lpstr>
      <vt:lpstr>ps_hang384</vt:lpstr>
      <vt:lpstr>ps_hang385</vt:lpstr>
      <vt:lpstr>ps_hang386</vt:lpstr>
      <vt:lpstr>ps_hang387</vt:lpstr>
      <vt:lpstr>ps_hang388</vt:lpstr>
      <vt:lpstr>ps_hang389</vt:lpstr>
      <vt:lpstr>ps_hang390</vt:lpstr>
      <vt:lpstr>ps_hang391</vt:lpstr>
      <vt:lpstr>ps_hang392</vt:lpstr>
      <vt:lpstr>ps_hang393</vt:lpstr>
      <vt:lpstr>ps_hang394</vt:lpstr>
      <vt:lpstr>ps_hang395</vt:lpstr>
      <vt:lpstr>ps_hang396</vt:lpstr>
      <vt:lpstr>ps_hang397</vt:lpstr>
      <vt:lpstr>ps_hang398</vt:lpstr>
      <vt:lpstr>ps_hang399</vt:lpstr>
      <vt:lpstr>ps_hang400</vt:lpstr>
      <vt:lpstr>ps_hang401</vt:lpstr>
      <vt:lpstr>ps_hang402</vt:lpstr>
      <vt:lpstr>ps_hang403</vt:lpstr>
      <vt:lpstr>ps_hang404</vt:lpstr>
      <vt:lpstr>ps_hang405</vt:lpstr>
      <vt:lpstr>ps_hang406</vt:lpstr>
      <vt:lpstr>ps_hang407</vt:lpstr>
      <vt:lpstr>ps_hang408</vt:lpstr>
      <vt:lpstr>ps_hang409</vt:lpstr>
      <vt:lpstr>ps_hang410</vt:lpstr>
      <vt:lpstr>ps_hang411</vt:lpstr>
      <vt:lpstr>ps_hang412</vt:lpstr>
      <vt:lpstr>ps_hang413</vt:lpstr>
      <vt:lpstr>ps_hang414</vt:lpstr>
      <vt:lpstr>ps_hang415</vt:lpstr>
      <vt:lpstr>ps_hang416</vt:lpstr>
      <vt:lpstr>ps_hang417</vt:lpstr>
      <vt:lpstr>ps_hang418</vt:lpstr>
      <vt:lpstr>ps_hang419</vt:lpstr>
      <vt:lpstr>ps_hang420</vt:lpstr>
      <vt:lpstr>ps_hang421</vt:lpstr>
      <vt:lpstr>ps_hang422</vt:lpstr>
      <vt:lpstr>ps_hang423</vt:lpstr>
      <vt:lpstr>ps_hang424</vt:lpstr>
      <vt:lpstr>ps_hang425</vt:lpstr>
      <vt:lpstr>ps_hang426</vt:lpstr>
      <vt:lpstr>ps_hang427</vt:lpstr>
      <vt:lpstr>ps_hang428</vt:lpstr>
      <vt:lpstr>ps_hang429</vt:lpstr>
      <vt:lpstr>ps_hang430</vt:lpstr>
      <vt:lpstr>ps_hang431</vt:lpstr>
      <vt:lpstr>ps_hang432</vt:lpstr>
      <vt:lpstr>ps_hang433</vt:lpstr>
      <vt:lpstr>ps_hang434</vt:lpstr>
      <vt:lpstr>ps_hang435</vt:lpstr>
      <vt:lpstr>ps_hang436</vt:lpstr>
      <vt:lpstr>ps_hang437</vt:lpstr>
      <vt:lpstr>ps_hang438</vt:lpstr>
      <vt:lpstr>ps_hang439</vt:lpstr>
      <vt:lpstr>ps_hang440</vt:lpstr>
      <vt:lpstr>ps_hang441</vt:lpstr>
      <vt:lpstr>ps_hang442</vt:lpstr>
      <vt:lpstr>ps_hang443</vt:lpstr>
      <vt:lpstr>ps_hang444</vt:lpstr>
      <vt:lpstr>ps_hang445</vt:lpstr>
      <vt:lpstr>ps_hang446</vt:lpstr>
      <vt:lpstr>ps_hang447</vt:lpstr>
      <vt:lpstr>ps_hang448</vt:lpstr>
      <vt:lpstr>ps_hang449</vt:lpstr>
      <vt:lpstr>ps_hang450</vt:lpstr>
      <vt:lpstr>ps_hang451</vt:lpstr>
      <vt:lpstr>ps_hang452</vt:lpstr>
      <vt:lpstr>ps_hang453</vt:lpstr>
      <vt:lpstr>ps_hang454</vt:lpstr>
      <vt:lpstr>ps_hang455</vt:lpstr>
      <vt:lpstr>ps_hang456</vt:lpstr>
      <vt:lpstr>ps_hang457</vt:lpstr>
      <vt:lpstr>ps_hang458</vt:lpstr>
      <vt:lpstr>ps_hang459</vt:lpstr>
      <vt:lpstr>ps_hang460</vt:lpstr>
      <vt:lpstr>ps_hang461</vt:lpstr>
      <vt:lpstr>ps_hang462</vt:lpstr>
      <vt:lpstr>ps_hang463</vt:lpstr>
      <vt:lpstr>ps_hang464</vt:lpstr>
      <vt:lpstr>ps_hang465</vt:lpstr>
      <vt:lpstr>ps_hang466</vt:lpstr>
      <vt:lpstr>ps_hang467</vt:lpstr>
      <vt:lpstr>ps_hang468</vt:lpstr>
      <vt:lpstr>ps_hang469</vt:lpstr>
      <vt:lpstr>ps_hang470</vt:lpstr>
      <vt:lpstr>ps_hang471</vt:lpstr>
      <vt:lpstr>ps_hang472</vt:lpstr>
      <vt:lpstr>ps_hang473</vt:lpstr>
      <vt:lpstr>ps_hang474</vt:lpstr>
      <vt:lpstr>ps_hang475</vt:lpstr>
      <vt:lpstr>ps_hang476</vt:lpstr>
      <vt:lpstr>ps_hang477</vt:lpstr>
      <vt:lpstr>ps_hang478</vt:lpstr>
      <vt:lpstr>ps_hang479</vt:lpstr>
      <vt:lpstr>ps_hang480</vt:lpstr>
      <vt:lpstr>ps_hang481</vt:lpstr>
      <vt:lpstr>ps_hang482</vt:lpstr>
      <vt:lpstr>ps_hang483</vt:lpstr>
      <vt:lpstr>ps_hang484</vt:lpstr>
      <vt:lpstr>ps_hang485</vt:lpstr>
      <vt:lpstr>ps_hang486</vt:lpstr>
      <vt:lpstr>ps_hang487</vt:lpstr>
      <vt:lpstr>ps_hang488</vt:lpstr>
      <vt:lpstr>ps_hang489</vt:lpstr>
      <vt:lpstr>ps_hang490</vt:lpstr>
      <vt:lpstr>ps_hang491</vt:lpstr>
      <vt:lpstr>ps_hang492</vt:lpstr>
      <vt:lpstr>ps_hang493</vt:lpstr>
      <vt:lpstr>ps_hang494</vt:lpstr>
      <vt:lpstr>ps_hang495</vt:lpstr>
      <vt:lpstr>ps_hang496</vt:lpstr>
      <vt:lpstr>ps_hang497</vt:lpstr>
      <vt:lpstr>ps_hang498</vt:lpstr>
      <vt:lpstr>ps_hang499</vt:lpstr>
      <vt:lpstr>ps_hang500</vt:lpstr>
      <vt:lpstr>ps_phong01</vt:lpstr>
      <vt:lpstr>ps_phong02</vt:lpstr>
      <vt:lpstr>ps_phong03</vt:lpstr>
      <vt:lpstr>ps_phong04</vt:lpstr>
      <vt:lpstr>ps_phong05</vt:lpstr>
      <vt:lpstr>ps_phong06</vt:lpstr>
      <vt:lpstr>ps_phong07</vt:lpstr>
      <vt:lpstr>ps_phong08</vt:lpstr>
      <vt:lpstr>ps_phong09</vt:lpstr>
      <vt:lpstr>ps_phong10</vt:lpstr>
      <vt:lpstr>ps_phong11</vt:lpstr>
      <vt:lpstr>ps_phong12</vt:lpstr>
      <vt:lpstr>ps_phong13</vt:lpstr>
      <vt:lpstr>ps_phong14</vt:lpstr>
      <vt:lpstr>ps_phong15</vt:lpstr>
      <vt:lpstr>QuanLyHangHoa</vt:lpstr>
      <vt:lpstr>td_hang001</vt:lpstr>
      <vt:lpstr>td_hang002</vt:lpstr>
      <vt:lpstr>td_hang003</vt:lpstr>
      <vt:lpstr>td_hang004</vt:lpstr>
      <vt:lpstr>td_hang005</vt:lpstr>
      <vt:lpstr>td_hang006</vt:lpstr>
      <vt:lpstr>td_hang007</vt:lpstr>
      <vt:lpstr>td_hang008</vt:lpstr>
      <vt:lpstr>td_hang009</vt:lpstr>
      <vt:lpstr>td_hang010</vt:lpstr>
      <vt:lpstr>td_hang011</vt:lpstr>
      <vt:lpstr>td_hang012</vt:lpstr>
      <vt:lpstr>td_hang013</vt:lpstr>
      <vt:lpstr>td_hang014</vt:lpstr>
      <vt:lpstr>td_hang015</vt:lpstr>
      <vt:lpstr>td_hang016</vt:lpstr>
      <vt:lpstr>td_hang017</vt:lpstr>
      <vt:lpstr>td_hang018</vt:lpstr>
      <vt:lpstr>td_hang019</vt:lpstr>
      <vt:lpstr>td_hang020</vt:lpstr>
      <vt:lpstr>td_hang021</vt:lpstr>
      <vt:lpstr>td_hang022</vt:lpstr>
      <vt:lpstr>td_hang023</vt:lpstr>
      <vt:lpstr>td_hang024</vt:lpstr>
      <vt:lpstr>td_hang025</vt:lpstr>
      <vt:lpstr>td_hang026</vt:lpstr>
      <vt:lpstr>td_hang027</vt:lpstr>
      <vt:lpstr>td_hang028</vt:lpstr>
      <vt:lpstr>td_hang029</vt:lpstr>
      <vt:lpstr>td_hang030</vt:lpstr>
      <vt:lpstr>td_hang031</vt:lpstr>
      <vt:lpstr>td_hang032</vt:lpstr>
      <vt:lpstr>td_hang033</vt:lpstr>
      <vt:lpstr>td_hang034</vt:lpstr>
      <vt:lpstr>td_hang035</vt:lpstr>
      <vt:lpstr>td_hang036</vt:lpstr>
      <vt:lpstr>td_hang037</vt:lpstr>
      <vt:lpstr>td_hang038</vt:lpstr>
      <vt:lpstr>td_hang039</vt:lpstr>
      <vt:lpstr>td_hang040</vt:lpstr>
      <vt:lpstr>td_hang041</vt:lpstr>
      <vt:lpstr>td_hang042</vt:lpstr>
      <vt:lpstr>td_hang043</vt:lpstr>
      <vt:lpstr>td_hang044</vt:lpstr>
      <vt:lpstr>td_hang045</vt:lpstr>
      <vt:lpstr>td_hang046</vt:lpstr>
      <vt:lpstr>td_hang047</vt:lpstr>
      <vt:lpstr>td_hang048</vt:lpstr>
      <vt:lpstr>td_hang049</vt:lpstr>
      <vt:lpstr>td_hang050</vt:lpstr>
      <vt:lpstr>td_hang051</vt:lpstr>
      <vt:lpstr>td_hang052</vt:lpstr>
      <vt:lpstr>td_hang053</vt:lpstr>
      <vt:lpstr>td_hang054</vt:lpstr>
      <vt:lpstr>td_hang055</vt:lpstr>
      <vt:lpstr>td_hang056</vt:lpstr>
      <vt:lpstr>td_hang057</vt:lpstr>
      <vt:lpstr>td_hang058</vt:lpstr>
      <vt:lpstr>td_hang059</vt:lpstr>
      <vt:lpstr>td_hang060</vt:lpstr>
      <vt:lpstr>td_hang061</vt:lpstr>
      <vt:lpstr>td_hang062</vt:lpstr>
      <vt:lpstr>td_hang063</vt:lpstr>
      <vt:lpstr>td_hang064</vt:lpstr>
      <vt:lpstr>td_hang065</vt:lpstr>
      <vt:lpstr>td_hang066</vt:lpstr>
      <vt:lpstr>td_hang067</vt:lpstr>
      <vt:lpstr>td_hang068</vt:lpstr>
      <vt:lpstr>td_hang069</vt:lpstr>
      <vt:lpstr>td_hang070</vt:lpstr>
      <vt:lpstr>td_hang071</vt:lpstr>
      <vt:lpstr>td_hang072</vt:lpstr>
      <vt:lpstr>td_hang073</vt:lpstr>
      <vt:lpstr>td_hang074</vt:lpstr>
      <vt:lpstr>td_hang075</vt:lpstr>
      <vt:lpstr>td_hang076</vt:lpstr>
      <vt:lpstr>td_hang077</vt:lpstr>
      <vt:lpstr>td_hang078</vt:lpstr>
      <vt:lpstr>td_hang079</vt:lpstr>
      <vt:lpstr>td_hang080</vt:lpstr>
      <vt:lpstr>td_hang081</vt:lpstr>
      <vt:lpstr>td_hang082</vt:lpstr>
      <vt:lpstr>td_hang083</vt:lpstr>
      <vt:lpstr>td_hang084</vt:lpstr>
      <vt:lpstr>td_hang085</vt:lpstr>
      <vt:lpstr>td_hang086</vt:lpstr>
      <vt:lpstr>td_hang087</vt:lpstr>
      <vt:lpstr>td_hang088</vt:lpstr>
      <vt:lpstr>td_hang089</vt:lpstr>
      <vt:lpstr>td_hang090</vt:lpstr>
      <vt:lpstr>td_hang091</vt:lpstr>
      <vt:lpstr>td_hang092</vt:lpstr>
      <vt:lpstr>td_hang093</vt:lpstr>
      <vt:lpstr>td_hang094</vt:lpstr>
      <vt:lpstr>td_hang095</vt:lpstr>
      <vt:lpstr>td_hang096</vt:lpstr>
      <vt:lpstr>td_hang097</vt:lpstr>
      <vt:lpstr>td_hang098</vt:lpstr>
      <vt:lpstr>td_hang099</vt:lpstr>
      <vt:lpstr>td_hang100</vt:lpstr>
      <vt:lpstr>td_hang101</vt:lpstr>
      <vt:lpstr>td_hang102</vt:lpstr>
      <vt:lpstr>td_hang103</vt:lpstr>
      <vt:lpstr>td_hang104</vt:lpstr>
      <vt:lpstr>td_hang105</vt:lpstr>
      <vt:lpstr>td_hang106</vt:lpstr>
      <vt:lpstr>td_hang107</vt:lpstr>
      <vt:lpstr>td_hang108</vt:lpstr>
      <vt:lpstr>td_hang109</vt:lpstr>
      <vt:lpstr>td_hang110</vt:lpstr>
      <vt:lpstr>td_hang111</vt:lpstr>
      <vt:lpstr>td_hang112</vt:lpstr>
      <vt:lpstr>td_hang113</vt:lpstr>
      <vt:lpstr>td_hang114</vt:lpstr>
      <vt:lpstr>td_hang115</vt:lpstr>
      <vt:lpstr>td_hang116</vt:lpstr>
      <vt:lpstr>td_hang117</vt:lpstr>
      <vt:lpstr>td_hang118</vt:lpstr>
      <vt:lpstr>td_hang119</vt:lpstr>
      <vt:lpstr>td_hang120</vt:lpstr>
      <vt:lpstr>td_hang121</vt:lpstr>
      <vt:lpstr>td_hang122</vt:lpstr>
      <vt:lpstr>td_hang123</vt:lpstr>
      <vt:lpstr>td_hang124</vt:lpstr>
      <vt:lpstr>td_hang125</vt:lpstr>
      <vt:lpstr>td_hang126</vt:lpstr>
      <vt:lpstr>td_hang127</vt:lpstr>
      <vt:lpstr>td_hang128</vt:lpstr>
      <vt:lpstr>td_hang129</vt:lpstr>
      <vt:lpstr>td_hang130</vt:lpstr>
      <vt:lpstr>td_hang131</vt:lpstr>
      <vt:lpstr>td_hang132</vt:lpstr>
      <vt:lpstr>td_hang133</vt:lpstr>
      <vt:lpstr>td_hang134</vt:lpstr>
      <vt:lpstr>td_hang135</vt:lpstr>
      <vt:lpstr>td_hang136</vt:lpstr>
      <vt:lpstr>td_hang137</vt:lpstr>
      <vt:lpstr>td_hang138</vt:lpstr>
      <vt:lpstr>td_hang139</vt:lpstr>
      <vt:lpstr>td_hang140</vt:lpstr>
      <vt:lpstr>td_hang141</vt:lpstr>
      <vt:lpstr>td_hang142</vt:lpstr>
      <vt:lpstr>td_hang143</vt:lpstr>
      <vt:lpstr>td_hang144</vt:lpstr>
      <vt:lpstr>td_hang145</vt:lpstr>
      <vt:lpstr>td_hang146</vt:lpstr>
      <vt:lpstr>td_hang147</vt:lpstr>
      <vt:lpstr>td_hang148</vt:lpstr>
      <vt:lpstr>td_hang149</vt:lpstr>
      <vt:lpstr>td_hang150</vt:lpstr>
      <vt:lpstr>td_hang151</vt:lpstr>
      <vt:lpstr>td_hang152</vt:lpstr>
      <vt:lpstr>td_hang153</vt:lpstr>
      <vt:lpstr>td_hang154</vt:lpstr>
      <vt:lpstr>td_hang155</vt:lpstr>
      <vt:lpstr>td_hang156</vt:lpstr>
      <vt:lpstr>td_hang157</vt:lpstr>
      <vt:lpstr>td_hang158</vt:lpstr>
      <vt:lpstr>td_hang159</vt:lpstr>
      <vt:lpstr>td_hang160</vt:lpstr>
      <vt:lpstr>td_hang161</vt:lpstr>
      <vt:lpstr>td_hang162</vt:lpstr>
      <vt:lpstr>td_hang163</vt:lpstr>
      <vt:lpstr>td_hang164</vt:lpstr>
      <vt:lpstr>td_hang165</vt:lpstr>
      <vt:lpstr>td_hang166</vt:lpstr>
      <vt:lpstr>td_hang167</vt:lpstr>
      <vt:lpstr>td_hang168</vt:lpstr>
      <vt:lpstr>td_hang169</vt:lpstr>
      <vt:lpstr>td_hang170</vt:lpstr>
      <vt:lpstr>td_hang171</vt:lpstr>
      <vt:lpstr>td_hang172</vt:lpstr>
      <vt:lpstr>td_hang173</vt:lpstr>
      <vt:lpstr>td_hang174</vt:lpstr>
      <vt:lpstr>td_hang175</vt:lpstr>
      <vt:lpstr>td_hang176</vt:lpstr>
      <vt:lpstr>td_hang177</vt:lpstr>
      <vt:lpstr>td_hang178</vt:lpstr>
      <vt:lpstr>td_hang179</vt:lpstr>
      <vt:lpstr>td_hang180</vt:lpstr>
      <vt:lpstr>td_hang181</vt:lpstr>
      <vt:lpstr>td_hang182</vt:lpstr>
      <vt:lpstr>td_hang183</vt:lpstr>
      <vt:lpstr>td_hang184</vt:lpstr>
      <vt:lpstr>td_hang185</vt:lpstr>
      <vt:lpstr>td_hang186</vt:lpstr>
      <vt:lpstr>td_hang187</vt:lpstr>
      <vt:lpstr>td_hang188</vt:lpstr>
      <vt:lpstr>td_hang189</vt:lpstr>
      <vt:lpstr>td_hang190</vt:lpstr>
      <vt:lpstr>td_hang191</vt:lpstr>
      <vt:lpstr>td_hang192</vt:lpstr>
      <vt:lpstr>td_hang193</vt:lpstr>
      <vt:lpstr>td_hang194</vt:lpstr>
      <vt:lpstr>td_hang195</vt:lpstr>
      <vt:lpstr>td_hang196</vt:lpstr>
      <vt:lpstr>td_hang197</vt:lpstr>
      <vt:lpstr>td_hang198</vt:lpstr>
      <vt:lpstr>td_hang199</vt:lpstr>
      <vt:lpstr>td_hang200</vt:lpstr>
      <vt:lpstr>td_hang201</vt:lpstr>
      <vt:lpstr>td_hang202</vt:lpstr>
      <vt:lpstr>td_hang203</vt:lpstr>
      <vt:lpstr>td_hang204</vt:lpstr>
      <vt:lpstr>td_hang205</vt:lpstr>
      <vt:lpstr>td_hang206</vt:lpstr>
      <vt:lpstr>td_hang207</vt:lpstr>
      <vt:lpstr>td_hang208</vt:lpstr>
      <vt:lpstr>td_hang209</vt:lpstr>
      <vt:lpstr>td_hang210</vt:lpstr>
      <vt:lpstr>td_hang211</vt:lpstr>
      <vt:lpstr>td_hang212</vt:lpstr>
      <vt:lpstr>td_hang213</vt:lpstr>
      <vt:lpstr>td_hang214</vt:lpstr>
      <vt:lpstr>td_hang215</vt:lpstr>
      <vt:lpstr>td_hang216</vt:lpstr>
      <vt:lpstr>td_hang217</vt:lpstr>
      <vt:lpstr>td_hang218</vt:lpstr>
      <vt:lpstr>td_hang219</vt:lpstr>
      <vt:lpstr>td_hang220</vt:lpstr>
      <vt:lpstr>td_hang221</vt:lpstr>
      <vt:lpstr>td_hang222</vt:lpstr>
      <vt:lpstr>td_hang223</vt:lpstr>
      <vt:lpstr>td_hang224</vt:lpstr>
      <vt:lpstr>td_hang225</vt:lpstr>
      <vt:lpstr>td_hang226</vt:lpstr>
      <vt:lpstr>td_hang227</vt:lpstr>
      <vt:lpstr>td_hang228</vt:lpstr>
      <vt:lpstr>td_hang229</vt:lpstr>
      <vt:lpstr>td_hang230</vt:lpstr>
      <vt:lpstr>td_hang231</vt:lpstr>
      <vt:lpstr>td_hang232</vt:lpstr>
      <vt:lpstr>td_hang233</vt:lpstr>
      <vt:lpstr>td_hang234</vt:lpstr>
      <vt:lpstr>td_hang235</vt:lpstr>
      <vt:lpstr>td_hang236</vt:lpstr>
      <vt:lpstr>td_hang237</vt:lpstr>
      <vt:lpstr>td_hang238</vt:lpstr>
      <vt:lpstr>td_hang239</vt:lpstr>
      <vt:lpstr>td_hang240</vt:lpstr>
      <vt:lpstr>td_hang241</vt:lpstr>
      <vt:lpstr>td_hang242</vt:lpstr>
      <vt:lpstr>td_hang243</vt:lpstr>
      <vt:lpstr>td_hang244</vt:lpstr>
      <vt:lpstr>td_hang245</vt:lpstr>
      <vt:lpstr>td_hang246</vt:lpstr>
      <vt:lpstr>td_hang247</vt:lpstr>
      <vt:lpstr>td_hang248</vt:lpstr>
      <vt:lpstr>td_hang249</vt:lpstr>
      <vt:lpstr>td_hang250</vt:lpstr>
      <vt:lpstr>td_hang251</vt:lpstr>
      <vt:lpstr>td_hang252</vt:lpstr>
      <vt:lpstr>td_hang253</vt:lpstr>
      <vt:lpstr>td_hang254</vt:lpstr>
      <vt:lpstr>td_hang255</vt:lpstr>
      <vt:lpstr>td_hang256</vt:lpstr>
      <vt:lpstr>td_hang257</vt:lpstr>
      <vt:lpstr>td_hang258</vt:lpstr>
      <vt:lpstr>td_hang259</vt:lpstr>
      <vt:lpstr>td_hang260</vt:lpstr>
      <vt:lpstr>td_hang261</vt:lpstr>
      <vt:lpstr>td_hang262</vt:lpstr>
      <vt:lpstr>td_hang263</vt:lpstr>
      <vt:lpstr>td_hang264</vt:lpstr>
      <vt:lpstr>td_hang265</vt:lpstr>
      <vt:lpstr>td_hang266</vt:lpstr>
      <vt:lpstr>td_hang267</vt:lpstr>
      <vt:lpstr>td_hang268</vt:lpstr>
      <vt:lpstr>td_hang269</vt:lpstr>
      <vt:lpstr>td_hang270</vt:lpstr>
      <vt:lpstr>td_hang271</vt:lpstr>
      <vt:lpstr>td_hang272</vt:lpstr>
      <vt:lpstr>td_hang273</vt:lpstr>
      <vt:lpstr>td_hang274</vt:lpstr>
      <vt:lpstr>td_hang275</vt:lpstr>
      <vt:lpstr>td_hang276</vt:lpstr>
      <vt:lpstr>td_hang277</vt:lpstr>
      <vt:lpstr>td_hang278</vt:lpstr>
      <vt:lpstr>td_hang279</vt:lpstr>
      <vt:lpstr>td_hang280</vt:lpstr>
      <vt:lpstr>td_hang281</vt:lpstr>
      <vt:lpstr>td_hang282</vt:lpstr>
      <vt:lpstr>td_hang283</vt:lpstr>
      <vt:lpstr>td_hang284</vt:lpstr>
      <vt:lpstr>td_hang285</vt:lpstr>
      <vt:lpstr>td_hang286</vt:lpstr>
      <vt:lpstr>td_hang287</vt:lpstr>
      <vt:lpstr>td_hang288</vt:lpstr>
      <vt:lpstr>td_hang289</vt:lpstr>
      <vt:lpstr>td_hang290</vt:lpstr>
      <vt:lpstr>td_hang291</vt:lpstr>
      <vt:lpstr>td_hang292</vt:lpstr>
      <vt:lpstr>td_hang293</vt:lpstr>
      <vt:lpstr>td_hang294</vt:lpstr>
      <vt:lpstr>td_hang295</vt:lpstr>
      <vt:lpstr>td_hang296</vt:lpstr>
      <vt:lpstr>td_hang297</vt:lpstr>
      <vt:lpstr>td_hang298</vt:lpstr>
      <vt:lpstr>td_hang299</vt:lpstr>
      <vt:lpstr>td_hang300</vt:lpstr>
      <vt:lpstr>td_hang301</vt:lpstr>
      <vt:lpstr>td_hang302</vt:lpstr>
      <vt:lpstr>td_hang303</vt:lpstr>
      <vt:lpstr>td_hang304</vt:lpstr>
      <vt:lpstr>td_hang305</vt:lpstr>
      <vt:lpstr>td_hang306</vt:lpstr>
      <vt:lpstr>td_hang307</vt:lpstr>
      <vt:lpstr>td_hang308</vt:lpstr>
      <vt:lpstr>td_hang309</vt:lpstr>
      <vt:lpstr>td_hang310</vt:lpstr>
      <vt:lpstr>td_hang311</vt:lpstr>
      <vt:lpstr>td_hang312</vt:lpstr>
      <vt:lpstr>td_hang313</vt:lpstr>
      <vt:lpstr>td_hang314</vt:lpstr>
      <vt:lpstr>td_hang315</vt:lpstr>
      <vt:lpstr>td_hang316</vt:lpstr>
      <vt:lpstr>td_hang317</vt:lpstr>
      <vt:lpstr>td_hang318</vt:lpstr>
      <vt:lpstr>td_hang319</vt:lpstr>
      <vt:lpstr>td_hang320</vt:lpstr>
      <vt:lpstr>td_hang321</vt:lpstr>
      <vt:lpstr>td_hang322</vt:lpstr>
      <vt:lpstr>td_hang323</vt:lpstr>
      <vt:lpstr>td_hang324</vt:lpstr>
      <vt:lpstr>td_hang325</vt:lpstr>
      <vt:lpstr>td_hang326</vt:lpstr>
      <vt:lpstr>td_hang327</vt:lpstr>
      <vt:lpstr>td_hang328</vt:lpstr>
      <vt:lpstr>td_hang329</vt:lpstr>
      <vt:lpstr>td_hang330</vt:lpstr>
      <vt:lpstr>td_hang331</vt:lpstr>
      <vt:lpstr>td_hang332</vt:lpstr>
      <vt:lpstr>td_hang333</vt:lpstr>
      <vt:lpstr>td_hang334</vt:lpstr>
      <vt:lpstr>td_hang335</vt:lpstr>
      <vt:lpstr>td_hang336</vt:lpstr>
      <vt:lpstr>td_hang337</vt:lpstr>
      <vt:lpstr>td_hang338</vt:lpstr>
      <vt:lpstr>td_hang339</vt:lpstr>
      <vt:lpstr>td_hang340</vt:lpstr>
      <vt:lpstr>td_hang341</vt:lpstr>
      <vt:lpstr>td_hang342</vt:lpstr>
      <vt:lpstr>td_hang343</vt:lpstr>
      <vt:lpstr>td_hang344</vt:lpstr>
      <vt:lpstr>td_hang345</vt:lpstr>
      <vt:lpstr>td_hang346</vt:lpstr>
      <vt:lpstr>td_hang347</vt:lpstr>
      <vt:lpstr>td_hang348</vt:lpstr>
      <vt:lpstr>td_hang349</vt:lpstr>
      <vt:lpstr>td_hang350</vt:lpstr>
      <vt:lpstr>td_hang351</vt:lpstr>
      <vt:lpstr>td_hang352</vt:lpstr>
      <vt:lpstr>td_hang353</vt:lpstr>
      <vt:lpstr>td_hang354</vt:lpstr>
      <vt:lpstr>td_hang355</vt:lpstr>
      <vt:lpstr>td_hang356</vt:lpstr>
      <vt:lpstr>td_hang357</vt:lpstr>
      <vt:lpstr>td_hang358</vt:lpstr>
      <vt:lpstr>td_hang359</vt:lpstr>
      <vt:lpstr>td_hang360</vt:lpstr>
      <vt:lpstr>td_hang361</vt:lpstr>
      <vt:lpstr>td_hang362</vt:lpstr>
      <vt:lpstr>td_hang363</vt:lpstr>
      <vt:lpstr>td_hang364</vt:lpstr>
      <vt:lpstr>td_hang365</vt:lpstr>
      <vt:lpstr>td_hang366</vt:lpstr>
      <vt:lpstr>td_hang367</vt:lpstr>
      <vt:lpstr>td_hang368</vt:lpstr>
      <vt:lpstr>td_hang369</vt:lpstr>
      <vt:lpstr>td_hang370</vt:lpstr>
      <vt:lpstr>td_hang371</vt:lpstr>
      <vt:lpstr>td_hang372</vt:lpstr>
      <vt:lpstr>td_hang373</vt:lpstr>
      <vt:lpstr>td_hang374</vt:lpstr>
      <vt:lpstr>td_hang375</vt:lpstr>
      <vt:lpstr>td_hang376</vt:lpstr>
      <vt:lpstr>td_hang377</vt:lpstr>
      <vt:lpstr>td_hang378</vt:lpstr>
      <vt:lpstr>td_hang379</vt:lpstr>
      <vt:lpstr>td_hang380</vt:lpstr>
      <vt:lpstr>td_hang381</vt:lpstr>
      <vt:lpstr>td_hang382</vt:lpstr>
      <vt:lpstr>td_hang383</vt:lpstr>
      <vt:lpstr>td_hang384</vt:lpstr>
      <vt:lpstr>td_hang385</vt:lpstr>
      <vt:lpstr>td_hang386</vt:lpstr>
      <vt:lpstr>td_hang387</vt:lpstr>
      <vt:lpstr>td_hang388</vt:lpstr>
      <vt:lpstr>td_hang389</vt:lpstr>
      <vt:lpstr>td_hang390</vt:lpstr>
      <vt:lpstr>td_hang391</vt:lpstr>
      <vt:lpstr>td_hang392</vt:lpstr>
      <vt:lpstr>td_hang393</vt:lpstr>
      <vt:lpstr>td_hang394</vt:lpstr>
      <vt:lpstr>td_hang395</vt:lpstr>
      <vt:lpstr>td_hang396</vt:lpstr>
      <vt:lpstr>td_hang397</vt:lpstr>
      <vt:lpstr>td_hang398</vt:lpstr>
      <vt:lpstr>td_hang399</vt:lpstr>
      <vt:lpstr>td_hang400</vt:lpstr>
      <vt:lpstr>td_hang401</vt:lpstr>
      <vt:lpstr>td_hang402</vt:lpstr>
      <vt:lpstr>td_hang403</vt:lpstr>
      <vt:lpstr>td_hang404</vt:lpstr>
      <vt:lpstr>td_hang405</vt:lpstr>
      <vt:lpstr>td_hang406</vt:lpstr>
      <vt:lpstr>td_hang407</vt:lpstr>
      <vt:lpstr>td_hang408</vt:lpstr>
      <vt:lpstr>td_hang409</vt:lpstr>
      <vt:lpstr>td_hang410</vt:lpstr>
      <vt:lpstr>td_hang411</vt:lpstr>
      <vt:lpstr>td_hang412</vt:lpstr>
      <vt:lpstr>td_hang413</vt:lpstr>
      <vt:lpstr>td_hang414</vt:lpstr>
      <vt:lpstr>td_hang415</vt:lpstr>
      <vt:lpstr>td_hang416</vt:lpstr>
      <vt:lpstr>td_hang417</vt:lpstr>
      <vt:lpstr>td_hang418</vt:lpstr>
      <vt:lpstr>td_hang419</vt:lpstr>
      <vt:lpstr>td_hang420</vt:lpstr>
      <vt:lpstr>td_hang421</vt:lpstr>
      <vt:lpstr>td_hang422</vt:lpstr>
      <vt:lpstr>td_hang423</vt:lpstr>
      <vt:lpstr>td_hang424</vt:lpstr>
      <vt:lpstr>td_hang425</vt:lpstr>
      <vt:lpstr>td_hang426</vt:lpstr>
      <vt:lpstr>td_hang427</vt:lpstr>
      <vt:lpstr>td_hang428</vt:lpstr>
      <vt:lpstr>td_hang429</vt:lpstr>
      <vt:lpstr>td_hang430</vt:lpstr>
      <vt:lpstr>td_hang431</vt:lpstr>
      <vt:lpstr>td_hang432</vt:lpstr>
      <vt:lpstr>td_hang433</vt:lpstr>
      <vt:lpstr>td_hang434</vt:lpstr>
      <vt:lpstr>td_hang435</vt:lpstr>
      <vt:lpstr>td_hang436</vt:lpstr>
      <vt:lpstr>td_hang437</vt:lpstr>
      <vt:lpstr>td_hang438</vt:lpstr>
      <vt:lpstr>td_hang439</vt:lpstr>
      <vt:lpstr>td_hang440</vt:lpstr>
      <vt:lpstr>td_hang441</vt:lpstr>
      <vt:lpstr>td_hang442</vt:lpstr>
      <vt:lpstr>td_hang443</vt:lpstr>
      <vt:lpstr>td_hang444</vt:lpstr>
      <vt:lpstr>td_hang445</vt:lpstr>
      <vt:lpstr>td_hang446</vt:lpstr>
      <vt:lpstr>td_hang447</vt:lpstr>
      <vt:lpstr>td_hang448</vt:lpstr>
      <vt:lpstr>td_hang449</vt:lpstr>
      <vt:lpstr>td_hang450</vt:lpstr>
      <vt:lpstr>td_hang451</vt:lpstr>
      <vt:lpstr>td_hang452</vt:lpstr>
      <vt:lpstr>td_hang453</vt:lpstr>
      <vt:lpstr>td_hang454</vt:lpstr>
      <vt:lpstr>td_hang455</vt:lpstr>
      <vt:lpstr>td_hang456</vt:lpstr>
      <vt:lpstr>td_hang457</vt:lpstr>
      <vt:lpstr>td_hang458</vt:lpstr>
      <vt:lpstr>td_hang459</vt:lpstr>
      <vt:lpstr>td_hang460</vt:lpstr>
      <vt:lpstr>td_hang461</vt:lpstr>
      <vt:lpstr>td_hang462</vt:lpstr>
      <vt:lpstr>td_hang463</vt:lpstr>
      <vt:lpstr>td_hang464</vt:lpstr>
      <vt:lpstr>td_hang465</vt:lpstr>
      <vt:lpstr>td_hang466</vt:lpstr>
      <vt:lpstr>td_hang467</vt:lpstr>
      <vt:lpstr>td_hang468</vt:lpstr>
      <vt:lpstr>td_hang469</vt:lpstr>
      <vt:lpstr>td_hang470</vt:lpstr>
      <vt:lpstr>td_hang471</vt:lpstr>
      <vt:lpstr>td_hang472</vt:lpstr>
      <vt:lpstr>td_hang473</vt:lpstr>
      <vt:lpstr>td_hang474</vt:lpstr>
      <vt:lpstr>td_hang475</vt:lpstr>
      <vt:lpstr>td_hang476</vt:lpstr>
      <vt:lpstr>td_hang477</vt:lpstr>
      <vt:lpstr>td_hang478</vt:lpstr>
      <vt:lpstr>td_hang479</vt:lpstr>
      <vt:lpstr>td_hang480</vt:lpstr>
      <vt:lpstr>td_hang481</vt:lpstr>
      <vt:lpstr>td_hang482</vt:lpstr>
      <vt:lpstr>td_hang483</vt:lpstr>
      <vt:lpstr>td_hang484</vt:lpstr>
      <vt:lpstr>td_hang485</vt:lpstr>
      <vt:lpstr>td_hang486</vt:lpstr>
      <vt:lpstr>td_hang487</vt:lpstr>
      <vt:lpstr>td_hang488</vt:lpstr>
      <vt:lpstr>td_hang489</vt:lpstr>
      <vt:lpstr>td_hang490</vt:lpstr>
      <vt:lpstr>td_hang491</vt:lpstr>
      <vt:lpstr>td_hang492</vt:lpstr>
      <vt:lpstr>td_hang493</vt:lpstr>
      <vt:lpstr>td_hang494</vt:lpstr>
      <vt:lpstr>td_hang495</vt:lpstr>
      <vt:lpstr>td_hang496</vt:lpstr>
      <vt:lpstr>td_hang497</vt:lpstr>
      <vt:lpstr>td_hang498</vt:lpstr>
      <vt:lpstr>td_hang499</vt:lpstr>
      <vt:lpstr>td_hang500</vt:lpstr>
      <vt:lpstr>tinh_SLnhap</vt:lpstr>
      <vt:lpstr>tinh_SLtondau</vt:lpstr>
      <vt:lpstr>tinh_SLxuat</vt:lpstr>
      <vt:lpstr>ton_khi_bd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MrQ</dc:creator>
  <cp:lastModifiedBy>dell</cp:lastModifiedBy>
  <cp:lastPrinted>2014-09-25T12:13:30Z</cp:lastPrinted>
  <dcterms:created xsi:type="dcterms:W3CDTF">2013-04-11T04:24:31Z</dcterms:created>
  <dcterms:modified xsi:type="dcterms:W3CDTF">2018-08-01T10:12:26Z</dcterms:modified>
</cp:coreProperties>
</file>