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2.xml" ContentType="application/vnd.openxmlformats-officedocument.spreadsheetml.table+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trlProps/ctrlProp3.xml" ContentType="application/vnd.ms-excel.controlproperties+xml"/>
  <Override PartName="/xl/ctrlProps/ctrlProp4.xml" ContentType="application/vnd.ms-excel.controlproperties+xml"/>
  <Override PartName="/xl/tables/table3.xml" ContentType="application/vnd.openxmlformats-officedocument.spreadsheetml.table+xml"/>
  <Override PartName="/xl/charts/chart3.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trlProps/ctrlProp6.xml" ContentType="application/vnd.ms-excel.controlproperties+xml"/>
  <Override PartName="/xl/tables/table4.xml" ContentType="application/vnd.openxmlformats-officedocument.spreadsheetml.table+xml"/>
  <Override PartName="/xl/charts/chart4.xml" ContentType="application/vnd.openxmlformats-officedocument.drawingml.chart+xml"/>
  <Override PartName="/xl/drawings/drawing6.xml" ContentType="application/vnd.openxmlformats-officedocument.drawingml.chartshape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hidePivotFieldList="1"/>
  <bookViews>
    <workbookView xWindow="0" yWindow="0" windowWidth="20730" windowHeight="11760" activeTab="3"/>
  </bookViews>
  <sheets>
    <sheet name="Mota" sheetId="1" r:id="rId1"/>
    <sheet name="Form ghi tay" sheetId="2" r:id="rId2"/>
    <sheet name="Bunset" sheetId="3" r:id="rId3"/>
    <sheet name="TPHm" sheetId="5" r:id="rId4"/>
    <sheet name="TPHt" sheetId="6" r:id="rId5"/>
    <sheet name="Kethop" sheetId="7" r:id="rId6"/>
    <sheet name="Doam" sheetId="4" r:id="rId7"/>
  </sheets>
  <definedNames>
    <definedName name="hang">TPHm!$N$2</definedName>
    <definedName name="hang1">TPHm!$N$1</definedName>
    <definedName name="_xlnm.Print_Area" localSheetId="0">Mota!$A$1:$G$35</definedName>
    <definedName name="_xlnm.Print_Titles" localSheetId="0">Mota!$1:$1</definedName>
  </definedNames>
  <calcPr calcId="144525"/>
  <pivotCaches>
    <pivotCache cacheId="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 i="7" l="1"/>
  <c r="D19" i="7"/>
  <c r="E19" i="7"/>
  <c r="C19" i="7"/>
  <c r="Q5" i="6"/>
  <c r="Q6" i="6"/>
  <c r="Q7" i="6"/>
  <c r="Q8" i="6"/>
  <c r="Q9" i="6"/>
  <c r="Q4" i="6"/>
  <c r="P5" i="6"/>
  <c r="P6" i="6"/>
  <c r="P7" i="6"/>
  <c r="P8" i="6"/>
  <c r="P9" i="6"/>
  <c r="P4" i="6"/>
  <c r="O5" i="6"/>
  <c r="O6" i="6"/>
  <c r="O7" i="6"/>
  <c r="O8" i="6"/>
  <c r="O9" i="6"/>
  <c r="O4" i="6"/>
  <c r="J4" i="6"/>
  <c r="K4" i="6"/>
  <c r="L4" i="6"/>
  <c r="M4" i="6"/>
  <c r="J5" i="6"/>
  <c r="K5" i="6"/>
  <c r="L5" i="6"/>
  <c r="M5" i="6"/>
  <c r="L4" i="5"/>
  <c r="M4" i="5"/>
  <c r="U4" i="5"/>
  <c r="V4" i="5"/>
  <c r="W4" i="5"/>
  <c r="X4" i="5"/>
  <c r="Y4" i="5"/>
  <c r="V2" i="7"/>
  <c r="R1" i="6"/>
  <c r="T2" i="7"/>
  <c r="R2" i="6"/>
  <c r="U5" i="7"/>
  <c r="Q5" i="7"/>
  <c r="O1" i="6"/>
  <c r="T5" i="7"/>
  <c r="S2" i="7"/>
  <c r="P1" i="6"/>
  <c r="O2" i="6"/>
  <c r="O2" i="7"/>
  <c r="N2" i="7"/>
  <c r="N5" i="7"/>
  <c r="O5" i="7"/>
  <c r="U2" i="7"/>
  <c r="P2" i="6"/>
  <c r="E13" i="7" l="1"/>
  <c r="C13" i="7"/>
  <c r="D13" i="7"/>
  <c r="J19" i="7"/>
  <c r="F19" i="7"/>
  <c r="F13" i="7" s="1"/>
  <c r="G19" i="7"/>
  <c r="H19" i="7"/>
  <c r="I19" i="7"/>
  <c r="N4" i="6"/>
  <c r="N5" i="6"/>
  <c r="N4" i="5"/>
  <c r="T4" i="5"/>
  <c r="S4" i="5"/>
  <c r="R4" i="5"/>
  <c r="P4" i="5"/>
  <c r="Q4" i="5"/>
  <c r="C52" i="3"/>
  <c r="C51" i="3"/>
  <c r="C50" i="3"/>
  <c r="C49" i="3"/>
  <c r="C48" i="3"/>
  <c r="L16" i="5"/>
  <c r="M16" i="5"/>
  <c r="U16" i="5"/>
  <c r="V16" i="5"/>
  <c r="W16" i="5"/>
  <c r="X16" i="5"/>
  <c r="Y16" i="5"/>
  <c r="L15" i="5"/>
  <c r="M15" i="5"/>
  <c r="U15" i="5"/>
  <c r="V15" i="5"/>
  <c r="W15" i="5"/>
  <c r="X15" i="5"/>
  <c r="Y15" i="5"/>
  <c r="J9" i="6"/>
  <c r="K9" i="6"/>
  <c r="L9" i="6"/>
  <c r="M9" i="6"/>
  <c r="L7" i="6"/>
  <c r="L8" i="6"/>
  <c r="L6" i="6"/>
  <c r="K7" i="6"/>
  <c r="K8" i="6"/>
  <c r="K6" i="6"/>
  <c r="W2" i="7"/>
  <c r="M1" i="5"/>
  <c r="L1" i="6"/>
  <c r="S5" i="7"/>
  <c r="Q1" i="6"/>
  <c r="U1" i="5"/>
  <c r="L2" i="6"/>
  <c r="K1" i="6"/>
  <c r="O1" i="5"/>
  <c r="L1" i="5"/>
  <c r="K2" i="6"/>
  <c r="I13" i="7" l="1"/>
  <c r="J13" i="7"/>
  <c r="H13" i="7"/>
  <c r="G13" i="7"/>
  <c r="P15" i="5"/>
  <c r="N9" i="6"/>
  <c r="R16" i="5"/>
  <c r="N16" i="5"/>
  <c r="P16" i="5"/>
  <c r="S16" i="5"/>
  <c r="T16" i="5"/>
  <c r="Q16" i="5"/>
  <c r="N15" i="5"/>
  <c r="T15" i="5"/>
  <c r="S15" i="5"/>
  <c r="R15" i="5"/>
  <c r="Q15" i="5"/>
  <c r="M8" i="6"/>
  <c r="J8" i="6"/>
  <c r="N8" i="6" s="1"/>
  <c r="M7" i="6"/>
  <c r="J7" i="6"/>
  <c r="N7" i="6" s="1"/>
  <c r="M6" i="6"/>
  <c r="J6" i="6"/>
  <c r="N6" i="6" s="1"/>
  <c r="Y14" i="5"/>
  <c r="X14" i="5"/>
  <c r="W14" i="5"/>
  <c r="V14" i="5"/>
  <c r="U14" i="5"/>
  <c r="P14" i="5"/>
  <c r="M14" i="5"/>
  <c r="L14" i="5"/>
  <c r="Y13" i="5"/>
  <c r="X13" i="5"/>
  <c r="W13" i="5"/>
  <c r="V13" i="5"/>
  <c r="U13" i="5"/>
  <c r="M13" i="5"/>
  <c r="L13" i="5"/>
  <c r="Y12" i="5"/>
  <c r="X12" i="5"/>
  <c r="W12" i="5"/>
  <c r="V12" i="5"/>
  <c r="U12" i="5"/>
  <c r="M12" i="5"/>
  <c r="L12" i="5"/>
  <c r="Y11" i="5"/>
  <c r="X11" i="5"/>
  <c r="W11" i="5"/>
  <c r="V11" i="5"/>
  <c r="U11" i="5"/>
  <c r="M11" i="5"/>
  <c r="L11" i="5"/>
  <c r="Y10" i="5"/>
  <c r="X10" i="5"/>
  <c r="W10" i="5"/>
  <c r="V10" i="5"/>
  <c r="U10" i="5"/>
  <c r="M10" i="5"/>
  <c r="L10" i="5"/>
  <c r="Y9" i="5"/>
  <c r="X9" i="5"/>
  <c r="W9" i="5"/>
  <c r="V9" i="5"/>
  <c r="U9" i="5"/>
  <c r="M9" i="5"/>
  <c r="L9" i="5"/>
  <c r="Y8" i="5"/>
  <c r="X8" i="5"/>
  <c r="W8" i="5"/>
  <c r="V8" i="5"/>
  <c r="U8" i="5"/>
  <c r="M8" i="5"/>
  <c r="L8" i="5"/>
  <c r="Y7" i="5"/>
  <c r="X7" i="5"/>
  <c r="W7" i="5"/>
  <c r="V7" i="5"/>
  <c r="U7" i="5"/>
  <c r="M7" i="5"/>
  <c r="L7" i="5"/>
  <c r="Y6" i="5"/>
  <c r="X6" i="5"/>
  <c r="W6" i="5"/>
  <c r="V6" i="5"/>
  <c r="U6" i="5"/>
  <c r="M6" i="5"/>
  <c r="L6" i="5"/>
  <c r="Y5" i="5"/>
  <c r="X5" i="5"/>
  <c r="W5" i="5"/>
  <c r="V5" i="5"/>
  <c r="U5" i="5"/>
  <c r="M5" i="5"/>
  <c r="L5" i="5"/>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V5" i="7"/>
  <c r="L2" i="5"/>
  <c r="O2" i="5"/>
  <c r="J1" i="6"/>
  <c r="M2" i="5"/>
  <c r="P1" i="5"/>
  <c r="M2" i="6"/>
  <c r="Q2" i="6"/>
  <c r="M1" i="6"/>
  <c r="J2" i="6"/>
  <c r="P6" i="5" l="1"/>
  <c r="P5" i="5"/>
  <c r="P13" i="5"/>
  <c r="Q12" i="5"/>
  <c r="Q13" i="5"/>
  <c r="S12" i="5"/>
  <c r="R9" i="5"/>
  <c r="S7" i="5"/>
  <c r="N11" i="5"/>
  <c r="S14" i="5"/>
  <c r="T10" i="5"/>
  <c r="T8" i="5"/>
  <c r="Q9" i="5"/>
  <c r="N14" i="5"/>
  <c r="T7" i="5"/>
  <c r="N8" i="5"/>
  <c r="P9" i="5"/>
  <c r="P11" i="5"/>
  <c r="T11" i="5"/>
  <c r="R12" i="5"/>
  <c r="Q14" i="5"/>
  <c r="T13" i="5"/>
  <c r="T14" i="5"/>
  <c r="T9" i="5"/>
  <c r="T5" i="5"/>
  <c r="S6" i="5"/>
  <c r="N6" i="5"/>
  <c r="R14" i="5"/>
  <c r="Q6" i="5"/>
  <c r="R7" i="5"/>
  <c r="P8" i="5"/>
  <c r="S9" i="5"/>
  <c r="Q11" i="5"/>
  <c r="T12" i="5"/>
  <c r="N13" i="5"/>
  <c r="R6" i="5"/>
  <c r="Q5" i="5"/>
  <c r="T6" i="5"/>
  <c r="N7" i="5"/>
  <c r="R8" i="5"/>
  <c r="P10" i="5"/>
  <c r="S11" i="5"/>
  <c r="N5" i="5"/>
  <c r="R11" i="5"/>
  <c r="R5" i="5"/>
  <c r="P7" i="5"/>
  <c r="S8" i="5"/>
  <c r="Q10" i="5"/>
  <c r="N12" i="5"/>
  <c r="R13" i="5"/>
  <c r="Q8" i="5"/>
  <c r="N10" i="5"/>
  <c r="S5" i="5"/>
  <c r="Q7" i="5"/>
  <c r="N9" i="5"/>
  <c r="R10" i="5"/>
  <c r="P12" i="5"/>
  <c r="S13" i="5"/>
  <c r="S10" i="5"/>
  <c r="U2" i="5"/>
  <c r="Q1" i="5"/>
  <c r="R5" i="7"/>
  <c r="S1" i="5"/>
  <c r="Q2" i="7"/>
  <c r="R2" i="5"/>
  <c r="S2" i="5"/>
  <c r="P2" i="5"/>
  <c r="R2" i="7"/>
  <c r="T2" i="5"/>
  <c r="R1" i="5"/>
  <c r="T1" i="5"/>
  <c r="Q2" i="5"/>
</calcChain>
</file>

<file path=xl/sharedStrings.xml><?xml version="1.0" encoding="utf-8"?>
<sst xmlns="http://schemas.openxmlformats.org/spreadsheetml/2006/main" count="366" uniqueCount="182">
  <si>
    <t>TẦN SUẤT</t>
  </si>
  <si>
    <t>DANH MỤC</t>
  </si>
  <si>
    <t>THÔNG SỐ KIỂM SOÁT</t>
  </si>
  <si>
    <t>NGƯỜI PHỤ TRÁCH</t>
  </si>
  <si>
    <t>PHƯƠNG PHÁP</t>
  </si>
  <si>
    <t>SỔ GHI CHÉP</t>
  </si>
  <si>
    <t>Hàng ngày</t>
  </si>
  <si>
    <t>Mỗi buổi sáng</t>
  </si>
  <si>
    <t>KCS, Thịnh</t>
  </si>
  <si>
    <t>2. Cốt liệu mịn (Cát sông, cát nghiền)</t>
  </si>
  <si>
    <t>1. Cốt liệu lớn (Đá 1x2, đá mi)</t>
  </si>
  <si>
    <t>Kiểm tra nhãn quang, bụi bùn sét, than gỗ, lá cây, túi nilon…</t>
  </si>
  <si>
    <t>Kiểm tra nhãn quang, đá có nhiễm bẩn, sét, vật thể lạ (xe tải, bãi cốt liệu)</t>
  </si>
  <si>
    <t>Thí nghiệm bụi bùn sét theo BS 812</t>
  </si>
  <si>
    <t>3. Xi măng</t>
  </si>
  <si>
    <t>Lấy 5kg mẫu, ghi chú lại ngày, số xe (lưu mẫu 1 tháng)</t>
  </si>
  <si>
    <t>4. Phụ gia</t>
  </si>
  <si>
    <t>Lấy mẫu vào hũ 1 lit, test tỷ trọng (lưu 1 tháng)</t>
  </si>
  <si>
    <t>Mỗi đợt giao hàng</t>
  </si>
  <si>
    <t>I Nguyên vật liệu đầu vào</t>
  </si>
  <si>
    <t>II. Kiểm soát cấp phối chạy</t>
  </si>
  <si>
    <t>Thí nghiệm độ ẩm</t>
  </si>
  <si>
    <t>1. Phụ gia mới</t>
  </si>
  <si>
    <t>2. Xi măng mới</t>
  </si>
  <si>
    <t>3. Thay đổi nguồn vật liệu</t>
  </si>
  <si>
    <t>4. Điều chỉnh cấp phối trạm</t>
  </si>
  <si>
    <t>3. Kiểm tra chi tiết mẻ trộn</t>
  </si>
  <si>
    <t>Hàng tuần</t>
  </si>
  <si>
    <t>Hàng tháng</t>
  </si>
  <si>
    <t>Lịch không cố định</t>
  </si>
  <si>
    <t>1. Hồ sơ năng lực</t>
  </si>
  <si>
    <t>2. Cấp phối PTN</t>
  </si>
  <si>
    <t>3. BB kiểm tra trạm trộn</t>
  </si>
  <si>
    <t>4. BB lấy mẫu vật liệu</t>
  </si>
  <si>
    <t>5. BB kiểm tra cấp phối</t>
  </si>
  <si>
    <t>6. Hợp đồng nguyên tắc</t>
  </si>
  <si>
    <t>Sáng, chiều, sau khi mưa</t>
  </si>
  <si>
    <t>IV. Báo cáo tuần</t>
  </si>
  <si>
    <t>V. Vệ sinh dụng cụ, thiết bị</t>
  </si>
  <si>
    <t>VI. Báo cáo tháng</t>
  </si>
  <si>
    <t>VII. Kiểm tra máy nén</t>
  </si>
  <si>
    <t>VIII. Vệ sinh hồ ngâm mẫu, dụng cụ, thiết bị</t>
  </si>
  <si>
    <t>X. Thử nghiệm cấp phối</t>
  </si>
  <si>
    <t>XI. Trial mix khách hàng</t>
  </si>
  <si>
    <t>So sánh với cấp phối cũ, cối nhỏ</t>
  </si>
  <si>
    <t>Trộn thử 1m3 cối lớn</t>
  </si>
  <si>
    <t>Check list</t>
  </si>
  <si>
    <t>2. Cường độ</t>
  </si>
  <si>
    <t>1. Độ sụt</t>
  </si>
  <si>
    <t>TCVN</t>
  </si>
  <si>
    <t>Mẫu nén 3, 7, 28 ngày theo TCVN</t>
  </si>
  <si>
    <t>Khi sản xuất</t>
  </si>
  <si>
    <t>IX. Kiểm tra cân, định lượng, giấy tờ hiệu chuẩn trạm, hồ sơ vật liệu</t>
  </si>
  <si>
    <t>XII. Đi công trình</t>
  </si>
  <si>
    <t>1. Quan hệ khách hàng</t>
  </si>
  <si>
    <t>2. Kiểm tra chất lượng bê tông khi lên cấu kiện (độ linh động, dễ thi công ?)</t>
  </si>
  <si>
    <t>Thái độ, quan điểm</t>
  </si>
  <si>
    <t>Thông tin đối thủ</t>
  </si>
  <si>
    <t>Thông tin dự án mới</t>
  </si>
  <si>
    <t>Thông tin mẻ đổ sắp tới</t>
  </si>
  <si>
    <t>Sản phẩm, nhu cầu mới</t>
  </si>
  <si>
    <t>TCVN, sử dụng mẫu test bụi hàng ngày</t>
  </si>
  <si>
    <t>File báo cáo trạm</t>
  </si>
  <si>
    <t>Thành phần hạt</t>
  </si>
  <si>
    <t>III. Kiểm tra cốt liệu</t>
  </si>
  <si>
    <t>1. Thành phần hạt cát sông, cát nghiền</t>
  </si>
  <si>
    <t>2. Cường độ đá 1-2</t>
  </si>
  <si>
    <t>Kết quả thí nghiệm tổng hợp, kết quả nén R28</t>
  </si>
  <si>
    <t>Kết quả thí nghiệm cốt liệu
Kết quả thí nghiệm cấp phối
Kết quả nén R3, R7</t>
  </si>
  <si>
    <t xml:space="preserve">Van dầu, rỉ sét </t>
  </si>
  <si>
    <t>Thay nước hồ ngâm mẫu
Thanh lý mẫu</t>
  </si>
  <si>
    <t>Hồ sơ trạm</t>
  </si>
  <si>
    <t>Thịnh</t>
  </si>
  <si>
    <t>Hình ảnh, video</t>
  </si>
  <si>
    <t>THÍ NGHIỆM BỤI BÙN SÉT CÁT</t>
  </si>
  <si>
    <t>KẾT QUẢ THÍ NGHIỆM</t>
  </si>
  <si>
    <t>Ngày</t>
  </si>
  <si>
    <t>Mã</t>
  </si>
  <si>
    <t>Nhà cung cung cấp</t>
  </si>
  <si>
    <t>% bụi bùn sét (BS 812)</t>
  </si>
  <si>
    <t>THÍ NGHIỆM ĐỘ ẨM</t>
  </si>
  <si>
    <t>Giờ</t>
  </si>
  <si>
    <t>Ghi chú</t>
  </si>
  <si>
    <t>Vật liệu</t>
  </si>
  <si>
    <t>Độ ẩm</t>
  </si>
  <si>
    <t>STT</t>
  </si>
  <si>
    <t>Số xe</t>
  </si>
  <si>
    <t>Công trình</t>
  </si>
  <si>
    <t>Mác</t>
  </si>
  <si>
    <t>Độ sụt thực</t>
  </si>
  <si>
    <t>Số viên mẫu</t>
  </si>
  <si>
    <t>NHẬT KÝ MẪU NỘI BỘ</t>
  </si>
  <si>
    <t>R1</t>
  </si>
  <si>
    <t>R3</t>
  </si>
  <si>
    <t>R7</t>
  </si>
  <si>
    <t>R28</t>
  </si>
  <si>
    <t>KHÁC</t>
  </si>
  <si>
    <t>Đáy</t>
  </si>
  <si>
    <t>Nhà cung cấp</t>
  </si>
  <si>
    <t>THÍ NGHIỆM THÀNH PHẦN HẠT CỐT LIỆU MỊN</t>
  </si>
  <si>
    <t>THÍ NGHIỆM THÀNH PHẦN HẠT CỐT LIỆU THÔ</t>
  </si>
  <si>
    <t>ĐÁY</t>
  </si>
  <si>
    <t>Thời gian:</t>
  </si>
  <si>
    <t>Hoàn thành:</t>
  </si>
  <si>
    <t>20</t>
  </si>
  <si>
    <t>10</t>
  </si>
  <si>
    <t>5</t>
  </si>
  <si>
    <t>2.5</t>
  </si>
  <si>
    <t>1.25</t>
  </si>
  <si>
    <t>0.63</t>
  </si>
  <si>
    <t>0.315</t>
  </si>
  <si>
    <t>0.14</t>
  </si>
  <si>
    <t>Thuan Vinh</t>
  </si>
  <si>
    <t>Kim Anh</t>
  </si>
  <si>
    <t>Lena Anh Trung</t>
  </si>
  <si>
    <t>Quang Huy</t>
  </si>
  <si>
    <t>Anh Hai</t>
  </si>
  <si>
    <t>Ha Vinh</t>
  </si>
  <si>
    <t>CS anh Trang GD</t>
  </si>
  <si>
    <t>CN</t>
  </si>
  <si>
    <t>Loại</t>
  </si>
  <si>
    <t>CS</t>
  </si>
  <si>
    <t>CN Trạm</t>
  </si>
  <si>
    <t>Chi Linh</t>
  </si>
  <si>
    <t>CN trạm</t>
  </si>
  <si>
    <t>Thanh Nhan</t>
  </si>
  <si>
    <t>Ho Hanh</t>
  </si>
  <si>
    <t>HT Cam Lam</t>
  </si>
  <si>
    <t>Duc mau</t>
  </si>
  <si>
    <t>Tram</t>
  </si>
  <si>
    <t>Phuc Loc</t>
  </si>
  <si>
    <t>Anh Tuan</t>
  </si>
  <si>
    <t>%&gt;5</t>
  </si>
  <si>
    <t>%&lt;0.14</t>
  </si>
  <si>
    <t>%-2.5</t>
  </si>
  <si>
    <t>%-1.25</t>
  </si>
  <si>
    <t>%0.63</t>
  </si>
  <si>
    <t>%-0.315</t>
  </si>
  <si>
    <t>%-0.14</t>
  </si>
  <si>
    <t>Modul</t>
  </si>
  <si>
    <t>2.5 tl</t>
  </si>
  <si>
    <t>1.25 tl</t>
  </si>
  <si>
    <t>0.63 tl</t>
  </si>
  <si>
    <t>0.315 tl</t>
  </si>
  <si>
    <t>0.14 tl</t>
  </si>
  <si>
    <t>Phuc Dat</t>
  </si>
  <si>
    <t>a Sơn</t>
  </si>
  <si>
    <t>%bui</t>
  </si>
  <si>
    <t>%bụi bùn</t>
  </si>
  <si>
    <t>Months</t>
  </si>
  <si>
    <t>Da mi</t>
  </si>
  <si>
    <t>%tl-20</t>
  </si>
  <si>
    <t>%tl-10</t>
  </si>
  <si>
    <t>%tl-5</t>
  </si>
  <si>
    <t>Nov</t>
  </si>
  <si>
    <t>191101-25</t>
  </si>
  <si>
    <t>191104-31</t>
  </si>
  <si>
    <t>191108-38</t>
  </si>
  <si>
    <t>191109-40</t>
  </si>
  <si>
    <t>191112-43</t>
  </si>
  <si>
    <t>191116-45</t>
  </si>
  <si>
    <t>Đường 1</t>
  </si>
  <si>
    <t>Đường 2</t>
  </si>
  <si>
    <t>Cát tiêu chuẩn</t>
  </si>
  <si>
    <t>cát chuẩn</t>
  </si>
  <si>
    <t>Module</t>
  </si>
  <si>
    <t>5x20</t>
  </si>
  <si>
    <t>5x10</t>
  </si>
  <si>
    <t>Đường chuẩn 5x20</t>
  </si>
  <si>
    <t>Đường chuẩn 5x10</t>
  </si>
  <si>
    <t>Tỷ lệ</t>
  </si>
  <si>
    <t>ROW</t>
  </si>
  <si>
    <t>%20</t>
  </si>
  <si>
    <t>%10</t>
  </si>
  <si>
    <t>%5</t>
  </si>
  <si>
    <t>NGÀY</t>
  </si>
  <si>
    <t>NHÀ CUNG CẤP</t>
  </si>
  <si>
    <t>GHI CHÚ</t>
  </si>
  <si>
    <t>BỤI</t>
  </si>
  <si>
    <t>BẢNG CÁT</t>
  </si>
  <si>
    <t>BẢNG ĐÁ</t>
  </si>
  <si>
    <t>% QUA SÀNG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</si>
</sst>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b/>
      <sz val="11"/>
      <color theme="1"/>
      <name val="Calibri"/>
      <family val="2"/>
      <scheme val="minor"/>
    </font>
    <font>
      <b/>
      <sz val="16"/>
      <color rgb="FFC00000"/>
      <name val="Calibri"/>
      <family val="2"/>
      <scheme val="minor"/>
    </font>
    <font>
      <b/>
      <sz val="12"/>
      <color rgb="FFC00000"/>
      <name val="Calibri"/>
      <family val="2"/>
      <scheme val="minor"/>
    </font>
    <font>
      <b/>
      <sz val="14"/>
      <color theme="1"/>
      <name val="Calibri"/>
      <family val="2"/>
      <scheme val="minor"/>
    </font>
    <font>
      <b/>
      <u/>
      <sz val="12"/>
      <color theme="1"/>
      <name val="Calibri"/>
      <family val="2"/>
      <scheme val="minor"/>
    </font>
    <font>
      <sz val="11"/>
      <color theme="1"/>
      <name val="Calibri"/>
      <family val="2"/>
      <scheme val="minor"/>
    </font>
    <font>
      <sz val="12"/>
      <color rgb="FF006100"/>
      <name val="Times New Roman"/>
      <family val="2"/>
    </font>
    <font>
      <sz val="12"/>
      <color rgb="FF9C6500"/>
      <name val="Times New Roman"/>
      <family val="2"/>
    </font>
    <font>
      <b/>
      <sz val="11"/>
      <color theme="0"/>
      <name val="Calibri"/>
      <family val="2"/>
      <scheme val="minor"/>
    </font>
    <font>
      <b/>
      <sz val="12"/>
      <color theme="7" tint="-0.249977111117893"/>
      <name val="Calibri"/>
      <family val="2"/>
      <scheme val="minor"/>
    </font>
    <font>
      <b/>
      <i/>
      <u/>
      <sz val="12"/>
      <color theme="7" tint="-0.249977111117893"/>
      <name val="Calibri"/>
      <family val="2"/>
      <scheme val="minor"/>
    </font>
    <font>
      <b/>
      <sz val="12"/>
      <color theme="9" tint="-0.499984740745262"/>
      <name val="Calibri"/>
      <family val="2"/>
      <scheme val="minor"/>
    </font>
    <font>
      <b/>
      <i/>
      <u/>
      <sz val="12"/>
      <color theme="9" tint="-0.499984740745262"/>
      <name val="Calibri"/>
      <family val="2"/>
      <scheme val="minor"/>
    </font>
    <font>
      <b/>
      <i/>
      <u/>
      <sz val="12"/>
      <color theme="7"/>
      <name val="Calibri"/>
      <family val="2"/>
      <scheme val="minor"/>
    </font>
    <font>
      <b/>
      <sz val="12"/>
      <color theme="7"/>
      <name val="Calibri"/>
      <family val="2"/>
      <scheme val="minor"/>
    </font>
    <font>
      <b/>
      <i/>
      <u/>
      <sz val="12"/>
      <color theme="9"/>
      <name val="Calibri"/>
      <family val="2"/>
      <scheme val="minor"/>
    </font>
    <font>
      <b/>
      <sz val="12"/>
      <color theme="9"/>
      <name val="Calibri"/>
      <family val="2"/>
      <scheme val="minor"/>
    </font>
    <font>
      <b/>
      <sz val="11"/>
      <name val="Calibri"/>
      <family val="2"/>
      <scheme val="minor"/>
    </font>
    <font>
      <sz val="12"/>
      <color theme="7" tint="-0.249977111117893"/>
      <name val="Calibri"/>
      <family val="2"/>
      <scheme val="minor"/>
    </font>
    <font>
      <i/>
      <u/>
      <sz val="12"/>
      <color theme="7" tint="-0.249977111117893"/>
      <name val="Calibri"/>
      <family val="2"/>
      <scheme val="minor"/>
    </font>
    <font>
      <sz val="12"/>
      <color theme="7"/>
      <name val="Calibri"/>
      <family val="2"/>
      <scheme val="minor"/>
    </font>
    <font>
      <i/>
      <u/>
      <sz val="12"/>
      <color theme="7"/>
      <name val="Calibri"/>
      <family val="2"/>
      <scheme val="minor"/>
    </font>
    <font>
      <b/>
      <sz val="16"/>
      <color theme="7" tint="-0.249977111117893"/>
      <name val="Calibri"/>
      <family val="2"/>
      <scheme val="minor"/>
    </font>
    <font>
      <b/>
      <sz val="14"/>
      <color theme="7"/>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7" tint="0.79998168889431442"/>
        <bgColor indexed="64"/>
      </patternFill>
    </fill>
    <fill>
      <patternFill patternType="solid">
        <fgColor rgb="FFC6EFCE"/>
      </patternFill>
    </fill>
    <fill>
      <patternFill patternType="solid">
        <fgColor rgb="FFFFEB9C"/>
      </patternFill>
    </fill>
    <fill>
      <patternFill patternType="solid">
        <fgColor theme="0" tint="-4.9989318521683403E-2"/>
        <bgColor indexed="64"/>
      </patternFill>
    </fill>
    <fill>
      <patternFill patternType="solid">
        <fgColor theme="0"/>
        <bgColor indexed="64"/>
      </patternFill>
    </fill>
    <fill>
      <patternFill patternType="solid">
        <fgColor theme="0"/>
        <bgColor theme="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ck">
        <color rgb="FFFFFF00"/>
      </top>
      <bottom style="thin">
        <color indexed="64"/>
      </bottom>
      <diagonal/>
    </border>
    <border>
      <left style="thin">
        <color indexed="64"/>
      </left>
      <right style="thin">
        <color indexed="64"/>
      </right>
      <top style="thick">
        <color theme="5"/>
      </top>
      <bottom/>
      <diagonal/>
    </border>
    <border>
      <left style="thin">
        <color indexed="64"/>
      </left>
      <right style="thin">
        <color indexed="64"/>
      </right>
      <top style="thick">
        <color theme="5"/>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n">
        <color indexed="64"/>
      </right>
      <top style="thick">
        <color theme="4"/>
      </top>
      <bottom style="thin">
        <color indexed="64"/>
      </bottom>
      <diagonal/>
    </border>
    <border>
      <left/>
      <right/>
      <top style="thin">
        <color auto="1"/>
      </top>
      <bottom style="thin">
        <color auto="1"/>
      </bottom>
      <diagonal/>
    </border>
    <border>
      <left/>
      <right/>
      <top style="thin">
        <color auto="1"/>
      </top>
      <bottom/>
      <diagonal/>
    </border>
    <border>
      <left/>
      <right/>
      <top/>
      <bottom style="dashed">
        <color auto="1"/>
      </bottom>
      <diagonal/>
    </border>
    <border>
      <left/>
      <right style="thin">
        <color indexed="64"/>
      </right>
      <top/>
      <bottom/>
      <diagonal/>
    </border>
    <border>
      <left/>
      <right style="thin">
        <color indexed="64"/>
      </right>
      <top style="thin">
        <color auto="1"/>
      </top>
      <bottom style="thin">
        <color auto="1"/>
      </bottom>
      <diagonal/>
    </border>
    <border>
      <left/>
      <right/>
      <top/>
      <bottom style="hair">
        <color auto="1"/>
      </bottom>
      <diagonal/>
    </border>
    <border>
      <left/>
      <right/>
      <top style="hair">
        <color auto="1"/>
      </top>
      <bottom style="hair">
        <color auto="1"/>
      </bottom>
      <diagonal/>
    </border>
    <border>
      <left/>
      <right/>
      <top style="hair">
        <color auto="1"/>
      </top>
      <bottom style="thin">
        <color auto="1"/>
      </bottom>
      <diagonal/>
    </border>
    <border>
      <left/>
      <right/>
      <top style="hair">
        <color auto="1"/>
      </top>
      <bottom/>
      <diagonal/>
    </border>
    <border>
      <left/>
      <right/>
      <top/>
      <bottom style="thin">
        <color theme="4" tint="0.39997558519241921"/>
      </bottom>
      <diagonal/>
    </border>
  </borders>
  <cellStyleXfs count="4">
    <xf numFmtId="0" fontId="0" fillId="0" borderId="0"/>
    <xf numFmtId="9" fontId="6" fillId="0" borderId="0" applyFont="0" applyFill="0" applyBorder="0" applyAlignment="0" applyProtection="0"/>
    <xf numFmtId="0" fontId="7" fillId="7" borderId="0" applyNumberFormat="0" applyBorder="0" applyAlignment="0" applyProtection="0"/>
    <xf numFmtId="0" fontId="8" fillId="8" borderId="0" applyNumberFormat="0" applyBorder="0" applyAlignment="0" applyProtection="0"/>
  </cellStyleXfs>
  <cellXfs count="174">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1" fillId="0" borderId="1" xfId="0" applyFont="1" applyBorder="1" applyAlignment="1">
      <alignment horizontal="left" vertical="center" wrapText="1"/>
    </xf>
    <xf numFmtId="0" fontId="0" fillId="0" borderId="0" xfId="0" applyAlignment="1">
      <alignment vertical="center" wrapText="1"/>
    </xf>
    <xf numFmtId="0" fontId="0" fillId="0" borderId="2" xfId="0" applyBorder="1" applyAlignment="1">
      <alignment wrapText="1"/>
    </xf>
    <xf numFmtId="0" fontId="2" fillId="6" borderId="2" xfId="0" applyFont="1" applyFill="1" applyBorder="1" applyAlignment="1">
      <alignment horizontal="center" vertical="center" wrapText="1"/>
    </xf>
    <xf numFmtId="0" fontId="0" fillId="0" borderId="5" xfId="0" applyBorder="1" applyAlignment="1">
      <alignment horizontal="left" vertical="center" wrapText="1"/>
    </xf>
    <xf numFmtId="0" fontId="0" fillId="0" borderId="2" xfId="0" applyBorder="1" applyAlignment="1">
      <alignment horizontal="left" vertical="center" wrapText="1"/>
    </xf>
    <xf numFmtId="0" fontId="0" fillId="0" borderId="7" xfId="0"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3" fillId="6" borderId="2" xfId="0" applyFont="1" applyFill="1" applyBorder="1" applyAlignment="1">
      <alignment horizontal="center"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vertical="top" wrapText="1"/>
    </xf>
    <xf numFmtId="0" fontId="0" fillId="0" borderId="0" xfId="0" applyBorder="1" applyAlignment="1">
      <alignment wrapText="1"/>
    </xf>
    <xf numFmtId="0" fontId="0" fillId="0" borderId="10" xfId="0" applyBorder="1" applyAlignment="1">
      <alignment wrapText="1"/>
    </xf>
    <xf numFmtId="0" fontId="1" fillId="0" borderId="0" xfId="0" applyFont="1" applyBorder="1" applyAlignment="1">
      <alignment horizontal="center" wrapText="1"/>
    </xf>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wrapText="1"/>
    </xf>
    <xf numFmtId="0" fontId="0" fillId="0" borderId="10" xfId="0" applyBorder="1" applyAlignment="1">
      <alignment horizontal="center" vertical="center" wrapText="1"/>
    </xf>
    <xf numFmtId="0" fontId="1" fillId="0" borderId="13" xfId="0" applyFont="1" applyBorder="1" applyAlignment="1">
      <alignment horizontal="center" vertical="center"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4" fillId="0" borderId="12" xfId="0" applyFont="1" applyBorder="1" applyAlignment="1">
      <alignment wrapText="1"/>
    </xf>
    <xf numFmtId="0" fontId="4" fillId="0" borderId="12" xfId="0" applyFont="1" applyBorder="1" applyAlignment="1">
      <alignment horizontal="left"/>
    </xf>
    <xf numFmtId="0" fontId="4" fillId="0" borderId="12" xfId="0" applyFont="1" applyBorder="1" applyAlignment="1">
      <alignment vertical="center"/>
    </xf>
    <xf numFmtId="0" fontId="1" fillId="0" borderId="0" xfId="0" applyFont="1" applyBorder="1" applyAlignment="1">
      <alignment horizontal="center" vertical="center"/>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1" xfId="0" applyBorder="1" applyAlignment="1">
      <alignment horizontal="center" wrapText="1"/>
    </xf>
    <xf numFmtId="0" fontId="0" fillId="0" borderId="11" xfId="0" applyBorder="1" applyAlignment="1">
      <alignment wrapText="1"/>
    </xf>
    <xf numFmtId="16" fontId="0" fillId="0" borderId="10" xfId="0" applyNumberFormat="1" applyBorder="1" applyAlignment="1">
      <alignment wrapText="1"/>
    </xf>
    <xf numFmtId="164" fontId="0" fillId="0" borderId="10" xfId="1" applyNumberFormat="1" applyFont="1" applyBorder="1" applyAlignment="1">
      <alignment wrapText="1"/>
    </xf>
    <xf numFmtId="164" fontId="0" fillId="0" borderId="11" xfId="1" applyNumberFormat="1" applyFont="1" applyBorder="1" applyAlignment="1">
      <alignment wrapText="1"/>
    </xf>
    <xf numFmtId="0" fontId="0" fillId="0" borderId="11" xfId="0" applyBorder="1" applyAlignment="1">
      <alignment horizontal="center" vertical="center" wrapText="1"/>
    </xf>
    <xf numFmtId="16" fontId="0" fillId="0" borderId="10" xfId="0" applyNumberFormat="1" applyBorder="1" applyAlignment="1">
      <alignment horizontal="center" vertical="center" wrapText="1"/>
    </xf>
    <xf numFmtId="164" fontId="0" fillId="0" borderId="10" xfId="1" applyNumberFormat="1" applyFont="1" applyBorder="1" applyAlignment="1">
      <alignment horizontal="center" vertical="center" wrapText="1"/>
    </xf>
    <xf numFmtId="164" fontId="0" fillId="0" borderId="11" xfId="1" applyNumberFormat="1" applyFont="1" applyBorder="1" applyAlignment="1">
      <alignment horizontal="center" vertical="center" wrapText="1"/>
    </xf>
    <xf numFmtId="16" fontId="0" fillId="0" borderId="11" xfId="0" applyNumberFormat="1" applyBorder="1" applyAlignment="1">
      <alignment horizontal="center" vertical="center" wrapText="1"/>
    </xf>
    <xf numFmtId="20" fontId="0" fillId="0" borderId="10" xfId="0" applyNumberFormat="1" applyBorder="1" applyAlignment="1">
      <alignment wrapText="1"/>
    </xf>
    <xf numFmtId="0" fontId="0" fillId="0" borderId="0" xfId="0" applyProtection="1">
      <protection locked="0"/>
    </xf>
    <xf numFmtId="0" fontId="1" fillId="0" borderId="0" xfId="0" applyFont="1" applyBorder="1" applyAlignment="1" applyProtection="1">
      <alignment horizontal="center" vertical="center" wrapText="1"/>
      <protection locked="0"/>
    </xf>
    <xf numFmtId="164" fontId="1" fillId="0" borderId="0" xfId="1" applyNumberFormat="1" applyFont="1" applyBorder="1" applyAlignment="1" applyProtection="1">
      <alignment horizontal="center" vertical="center" wrapText="1"/>
      <protection locked="0"/>
    </xf>
    <xf numFmtId="10" fontId="1" fillId="0" borderId="0" xfId="0" quotePrefix="1" applyNumberFormat="1" applyFont="1" applyBorder="1" applyAlignment="1" applyProtection="1">
      <alignment horizontal="center" vertical="center" wrapText="1"/>
      <protection locked="0"/>
    </xf>
    <xf numFmtId="0" fontId="1" fillId="0" borderId="0" xfId="0" quotePrefix="1" applyFont="1" applyBorder="1" applyAlignment="1" applyProtection="1">
      <alignment horizontal="center" vertical="center" wrapText="1"/>
      <protection locked="0"/>
    </xf>
    <xf numFmtId="0" fontId="0" fillId="0" borderId="15" xfId="0" applyBorder="1" applyAlignment="1" applyProtection="1">
      <alignment horizontal="center" wrapText="1"/>
      <protection locked="0"/>
    </xf>
    <xf numFmtId="16" fontId="0" fillId="0" borderId="15" xfId="0" applyNumberFormat="1" applyBorder="1" applyAlignment="1" applyProtection="1">
      <alignment wrapText="1"/>
      <protection locked="0"/>
    </xf>
    <xf numFmtId="0" fontId="0" fillId="0" borderId="15" xfId="0" applyBorder="1" applyAlignment="1" applyProtection="1">
      <alignment wrapText="1"/>
      <protection locked="0"/>
    </xf>
    <xf numFmtId="0" fontId="0" fillId="0" borderId="15" xfId="0" applyBorder="1" applyAlignment="1" applyProtection="1">
      <alignment horizontal="center" vertical="center" wrapText="1"/>
      <protection locked="0"/>
    </xf>
    <xf numFmtId="0" fontId="0" fillId="0" borderId="16" xfId="0" applyBorder="1" applyAlignment="1" applyProtection="1">
      <alignment horizontal="center" wrapText="1"/>
      <protection locked="0"/>
    </xf>
    <xf numFmtId="16" fontId="0" fillId="0" borderId="16" xfId="0" applyNumberFormat="1" applyBorder="1" applyAlignment="1" applyProtection="1">
      <alignment wrapText="1"/>
      <protection locked="0"/>
    </xf>
    <xf numFmtId="0" fontId="0" fillId="0" borderId="16" xfId="0" applyBorder="1" applyAlignment="1" applyProtection="1">
      <alignment wrapText="1"/>
      <protection locked="0"/>
    </xf>
    <xf numFmtId="0" fontId="0" fillId="0" borderId="16" xfId="0" applyBorder="1" applyAlignment="1" applyProtection="1">
      <alignment horizontal="center" vertical="center" wrapText="1"/>
      <protection locked="0"/>
    </xf>
    <xf numFmtId="0" fontId="0" fillId="0" borderId="18" xfId="0" applyBorder="1" applyAlignment="1" applyProtection="1">
      <alignment horizontal="center" wrapText="1"/>
      <protection locked="0"/>
    </xf>
    <xf numFmtId="0" fontId="0" fillId="0" borderId="18" xfId="0" applyBorder="1" applyAlignment="1" applyProtection="1">
      <alignment wrapText="1"/>
      <protection locked="0"/>
    </xf>
    <xf numFmtId="0" fontId="0" fillId="0" borderId="18" xfId="0" applyBorder="1" applyAlignment="1" applyProtection="1">
      <alignment horizontal="center" vertical="center" wrapText="1"/>
      <protection locked="0"/>
    </xf>
    <xf numFmtId="16" fontId="0" fillId="0" borderId="18" xfId="0" applyNumberFormat="1" applyBorder="1" applyAlignment="1" applyProtection="1">
      <alignment wrapText="1"/>
      <protection locked="0"/>
    </xf>
    <xf numFmtId="2" fontId="0" fillId="0" borderId="18" xfId="0" applyNumberFormat="1" applyBorder="1" applyAlignment="1" applyProtection="1">
      <alignment horizontal="center" vertical="center" wrapText="1"/>
      <protection locked="0"/>
    </xf>
    <xf numFmtId="164" fontId="0" fillId="0" borderId="15" xfId="1" applyNumberFormat="1" applyFont="1" applyBorder="1" applyAlignment="1" applyProtection="1">
      <alignment horizontal="center" vertical="center" wrapText="1"/>
    </xf>
    <xf numFmtId="2" fontId="0" fillId="0" borderId="15" xfId="0" applyNumberFormat="1" applyBorder="1" applyAlignment="1" applyProtection="1">
      <alignment horizontal="center" vertical="center" wrapText="1"/>
    </xf>
    <xf numFmtId="164" fontId="0" fillId="0" borderId="18" xfId="1" applyNumberFormat="1" applyFont="1" applyBorder="1" applyAlignment="1" applyProtection="1">
      <alignment horizontal="center" vertical="center" wrapText="1"/>
    </xf>
    <xf numFmtId="2" fontId="0" fillId="0" borderId="18" xfId="0" applyNumberFormat="1" applyBorder="1" applyAlignment="1" applyProtection="1">
      <alignment horizontal="center" vertical="center" wrapText="1"/>
    </xf>
    <xf numFmtId="164" fontId="0" fillId="0" borderId="0" xfId="1" applyNumberFormat="1" applyFont="1" applyBorder="1" applyAlignment="1" applyProtection="1">
      <alignment horizontal="center" vertical="center" wrapText="1"/>
    </xf>
    <xf numFmtId="0" fontId="1" fillId="0" borderId="0" xfId="0" quotePrefix="1" applyFont="1" applyAlignment="1">
      <alignment horizontal="center" vertical="center" wrapText="1"/>
    </xf>
    <xf numFmtId="0" fontId="0" fillId="0" borderId="0" xfId="0" pivotButton="1"/>
    <xf numFmtId="164" fontId="0" fillId="0" borderId="0" xfId="0" applyNumberFormat="1"/>
    <xf numFmtId="0" fontId="1" fillId="0" borderId="0" xfId="0" applyFont="1" applyBorder="1" applyAlignment="1">
      <alignment horizontal="center" vertical="center"/>
    </xf>
    <xf numFmtId="0" fontId="8" fillId="8" borderId="1" xfId="3" applyBorder="1" applyAlignment="1" applyProtection="1">
      <alignment horizontal="center" vertical="center"/>
      <protection locked="0"/>
    </xf>
    <xf numFmtId="0" fontId="7" fillId="7" borderId="1" xfId="2" applyBorder="1" applyAlignment="1" applyProtection="1">
      <alignment horizontal="center" vertical="center"/>
      <protection locked="0"/>
    </xf>
    <xf numFmtId="16" fontId="10" fillId="0" borderId="1" xfId="0" applyNumberFormat="1" applyFont="1" applyFill="1" applyBorder="1" applyAlignment="1" applyProtection="1">
      <alignment horizontal="center" vertical="top" wrapText="1"/>
    </xf>
    <xf numFmtId="0" fontId="10" fillId="0" borderId="1" xfId="0" applyFont="1" applyBorder="1" applyAlignment="1" applyProtection="1">
      <alignment horizontal="center" vertical="top" wrapText="1"/>
    </xf>
    <xf numFmtId="0" fontId="10" fillId="0" borderId="1" xfId="0" applyFont="1" applyBorder="1" applyAlignment="1" applyProtection="1">
      <alignment horizontal="center" vertical="top"/>
      <protection locked="0"/>
    </xf>
    <xf numFmtId="164" fontId="11" fillId="0" borderId="1" xfId="1" applyNumberFormat="1" applyFont="1" applyBorder="1" applyAlignment="1" applyProtection="1">
      <alignment horizontal="center" vertical="top"/>
    </xf>
    <xf numFmtId="0" fontId="12" fillId="0" borderId="1" xfId="0" applyFont="1" applyBorder="1" applyAlignment="1" applyProtection="1">
      <alignment horizontal="center" vertical="top"/>
      <protection locked="0"/>
    </xf>
    <xf numFmtId="16" fontId="12" fillId="0" borderId="1" xfId="0" applyNumberFormat="1" applyFont="1" applyFill="1" applyBorder="1" applyAlignment="1" applyProtection="1">
      <alignment horizontal="center" vertical="top" wrapText="1"/>
    </xf>
    <xf numFmtId="0" fontId="12" fillId="0" borderId="1" xfId="0" applyFont="1" applyBorder="1" applyAlignment="1" applyProtection="1">
      <alignment horizontal="center" vertical="top" wrapText="1"/>
    </xf>
    <xf numFmtId="164" fontId="13" fillId="0" borderId="1" xfId="1" applyNumberFormat="1" applyFont="1" applyBorder="1" applyAlignment="1" applyProtection="1">
      <alignment horizontal="center" vertical="top"/>
    </xf>
    <xf numFmtId="0" fontId="1" fillId="0" borderId="16" xfId="0" applyFont="1" applyBorder="1" applyAlignment="1" applyProtection="1">
      <alignment horizontal="center" wrapText="1"/>
      <protection locked="0"/>
    </xf>
    <xf numFmtId="0" fontId="1" fillId="0" borderId="16" xfId="0" applyFont="1" applyBorder="1" applyAlignment="1" applyProtection="1">
      <alignment wrapText="1"/>
      <protection locked="0"/>
    </xf>
    <xf numFmtId="0" fontId="1" fillId="0" borderId="16" xfId="0" applyFont="1" applyBorder="1" applyAlignment="1" applyProtection="1">
      <alignment horizontal="center" vertical="center" wrapText="1"/>
      <protection locked="0"/>
    </xf>
    <xf numFmtId="164" fontId="1" fillId="0" borderId="18" xfId="1" applyNumberFormat="1" applyFont="1" applyBorder="1" applyAlignment="1" applyProtection="1">
      <alignment horizontal="center" vertical="center" wrapText="1"/>
    </xf>
    <xf numFmtId="2" fontId="1" fillId="0" borderId="18" xfId="0" applyNumberFormat="1" applyFont="1" applyBorder="1" applyAlignment="1" applyProtection="1">
      <alignment horizontal="center" vertical="center" wrapText="1"/>
    </xf>
    <xf numFmtId="2" fontId="1" fillId="0" borderId="18" xfId="0" applyNumberFormat="1" applyFont="1" applyBorder="1" applyAlignment="1" applyProtection="1">
      <alignment horizontal="center" vertical="center" wrapText="1"/>
      <protection locked="0"/>
    </xf>
    <xf numFmtId="164" fontId="1" fillId="0" borderId="15" xfId="1" applyNumberFormat="1" applyFont="1" applyBorder="1" applyAlignment="1" applyProtection="1">
      <alignment horizontal="center" vertical="center" wrapText="1"/>
    </xf>
    <xf numFmtId="164" fontId="1" fillId="0" borderId="18" xfId="1" quotePrefix="1" applyNumberFormat="1" applyFont="1" applyBorder="1" applyAlignment="1" applyProtection="1">
      <alignment horizontal="center" vertical="center" wrapText="1"/>
    </xf>
    <xf numFmtId="16" fontId="1" fillId="0" borderId="16" xfId="0" applyNumberFormat="1" applyFont="1" applyBorder="1" applyAlignment="1" applyProtection="1">
      <alignment wrapText="1"/>
      <protection locked="0"/>
    </xf>
    <xf numFmtId="0" fontId="0" fillId="0" borderId="1" xfId="0" applyBorder="1"/>
    <xf numFmtId="0" fontId="1" fillId="0" borderId="0" xfId="0" applyFont="1" applyAlignment="1">
      <alignment horizontal="center" vertical="center" wrapText="1"/>
    </xf>
    <xf numFmtId="164" fontId="14" fillId="9" borderId="1" xfId="1" applyNumberFormat="1" applyFont="1" applyFill="1" applyBorder="1" applyAlignment="1">
      <alignment horizontal="center" vertical="top"/>
    </xf>
    <xf numFmtId="0" fontId="15" fillId="9" borderId="1" xfId="0" applyFont="1" applyFill="1" applyBorder="1" applyAlignment="1">
      <alignment horizontal="center" vertical="top"/>
    </xf>
    <xf numFmtId="164" fontId="16" fillId="9" borderId="1" xfId="1" applyNumberFormat="1" applyFont="1" applyFill="1" applyBorder="1" applyAlignment="1">
      <alignment horizontal="center" vertical="top"/>
    </xf>
    <xf numFmtId="0" fontId="17" fillId="9" borderId="1" xfId="0" applyFont="1" applyFill="1" applyBorder="1" applyAlignment="1">
      <alignment horizontal="center" vertical="top"/>
    </xf>
    <xf numFmtId="0" fontId="1" fillId="0" borderId="16" xfId="0" applyFont="1" applyBorder="1" applyAlignment="1">
      <alignment horizontal="center" vertical="center" wrapText="1"/>
    </xf>
    <xf numFmtId="16" fontId="1" fillId="0" borderId="16" xfId="0" applyNumberFormat="1" applyFont="1" applyBorder="1" applyAlignment="1">
      <alignment horizontal="center" vertical="center" wrapText="1"/>
    </xf>
    <xf numFmtId="17" fontId="1" fillId="0" borderId="16" xfId="0" applyNumberFormat="1" applyFont="1" applyBorder="1" applyAlignment="1">
      <alignment horizontal="center" vertical="center" wrapText="1"/>
    </xf>
    <xf numFmtId="164" fontId="1" fillId="0" borderId="16" xfId="1" quotePrefix="1" applyNumberFormat="1" applyFont="1" applyBorder="1" applyAlignment="1">
      <alignment horizontal="center" vertical="center" wrapText="1"/>
    </xf>
    <xf numFmtId="0" fontId="0" fillId="0" borderId="15" xfId="0" applyBorder="1" applyAlignment="1">
      <alignment horizontal="center" vertical="center" wrapText="1"/>
    </xf>
    <xf numFmtId="16" fontId="0" fillId="0" borderId="15" xfId="0" applyNumberFormat="1" applyBorder="1" applyAlignment="1">
      <alignment horizontal="center" vertical="center" wrapText="1"/>
    </xf>
    <xf numFmtId="164" fontId="0" fillId="0" borderId="15" xfId="1" applyNumberFormat="1" applyFont="1" applyBorder="1" applyAlignment="1">
      <alignment horizontal="center" vertical="center" wrapText="1"/>
    </xf>
    <xf numFmtId="2" fontId="0" fillId="0" borderId="15" xfId="1" applyNumberFormat="1" applyFont="1" applyBorder="1" applyAlignment="1">
      <alignment horizontal="center" vertical="center" wrapText="1"/>
    </xf>
    <xf numFmtId="0" fontId="0" fillId="0" borderId="16" xfId="0" applyBorder="1" applyAlignment="1">
      <alignment horizontal="center" vertical="center" wrapText="1"/>
    </xf>
    <xf numFmtId="16" fontId="0" fillId="0" borderId="16" xfId="0" applyNumberFormat="1" applyBorder="1" applyAlignment="1">
      <alignment horizontal="center" vertical="center" wrapText="1"/>
    </xf>
    <xf numFmtId="0" fontId="0" fillId="0" borderId="18" xfId="0" applyBorder="1" applyAlignment="1">
      <alignment horizontal="center" vertical="center" wrapText="1"/>
    </xf>
    <xf numFmtId="16" fontId="0" fillId="0" borderId="18" xfId="0" applyNumberFormat="1" applyBorder="1" applyAlignment="1">
      <alignment horizontal="center" vertical="center" wrapText="1"/>
    </xf>
    <xf numFmtId="164" fontId="0" fillId="0" borderId="18" xfId="1" applyNumberFormat="1" applyFont="1" applyBorder="1" applyAlignment="1">
      <alignment horizontal="center" vertical="center" wrapText="1"/>
    </xf>
    <xf numFmtId="16" fontId="15" fillId="9" borderId="1" xfId="0" applyNumberFormat="1" applyFont="1" applyFill="1" applyBorder="1" applyAlignment="1">
      <alignment horizontal="center" vertical="top" wrapText="1"/>
    </xf>
    <xf numFmtId="0" fontId="15" fillId="9" borderId="1" xfId="0" applyFont="1" applyFill="1" applyBorder="1" applyAlignment="1">
      <alignment horizontal="center" vertical="top" wrapText="1"/>
    </xf>
    <xf numFmtId="16" fontId="17" fillId="9" borderId="1" xfId="0" applyNumberFormat="1" applyFont="1" applyFill="1" applyBorder="1" applyAlignment="1">
      <alignment horizontal="center" vertical="top" wrapText="1"/>
    </xf>
    <xf numFmtId="0" fontId="17" fillId="9" borderId="1" xfId="0" applyFont="1" applyFill="1" applyBorder="1" applyAlignment="1">
      <alignment horizontal="center" vertical="top" wrapText="1"/>
    </xf>
    <xf numFmtId="2" fontId="1" fillId="0" borderId="16" xfId="1" applyNumberFormat="1" applyFont="1" applyBorder="1" applyAlignment="1">
      <alignment horizontal="center" vertical="center" wrapText="1"/>
    </xf>
    <xf numFmtId="9" fontId="1" fillId="0" borderId="0" xfId="0" quotePrefix="1" applyNumberFormat="1" applyFont="1" applyAlignment="1">
      <alignment horizontal="center" vertical="center" wrapText="1"/>
    </xf>
    <xf numFmtId="164" fontId="1" fillId="0" borderId="15" xfId="1" applyNumberFormat="1" applyFont="1" applyBorder="1" applyAlignment="1">
      <alignment horizontal="center" vertical="center" wrapText="1"/>
    </xf>
    <xf numFmtId="16" fontId="10" fillId="0" borderId="0" xfId="0" applyNumberFormat="1" applyFont="1" applyFill="1" applyBorder="1" applyAlignment="1" applyProtection="1">
      <alignment horizontal="center" vertical="top" wrapText="1"/>
    </xf>
    <xf numFmtId="0" fontId="10" fillId="0" borderId="0" xfId="0" applyFont="1" applyBorder="1" applyAlignment="1" applyProtection="1">
      <alignment horizontal="center" vertical="top" wrapText="1"/>
    </xf>
    <xf numFmtId="0" fontId="18" fillId="11" borderId="1" xfId="0" applyFont="1" applyFill="1" applyBorder="1" applyAlignment="1">
      <alignment horizontal="center" vertical="center" wrapText="1"/>
    </xf>
    <xf numFmtId="9" fontId="18" fillId="11" borderId="1" xfId="0" quotePrefix="1" applyNumberFormat="1" applyFont="1" applyFill="1" applyBorder="1" applyAlignment="1">
      <alignment horizontal="center" vertical="center" wrapText="1"/>
    </xf>
    <xf numFmtId="0" fontId="18" fillId="11" borderId="1" xfId="0" quotePrefix="1" applyFont="1" applyFill="1" applyBorder="1" applyAlignment="1">
      <alignment horizontal="center" vertical="center" wrapText="1"/>
    </xf>
    <xf numFmtId="16" fontId="19" fillId="10" borderId="1" xfId="0" applyNumberFormat="1" applyFont="1" applyFill="1" applyBorder="1" applyAlignment="1" applyProtection="1">
      <alignment horizontal="center" vertical="top" wrapText="1"/>
    </xf>
    <xf numFmtId="0" fontId="19" fillId="10" borderId="1" xfId="0" applyFont="1" applyFill="1" applyBorder="1" applyAlignment="1" applyProtection="1">
      <alignment horizontal="center" vertical="top" wrapText="1"/>
    </xf>
    <xf numFmtId="16" fontId="21" fillId="10" borderId="1" xfId="0" applyNumberFormat="1" applyFont="1" applyFill="1" applyBorder="1" applyAlignment="1">
      <alignment horizontal="center" vertical="top" wrapText="1"/>
    </xf>
    <xf numFmtId="0" fontId="21" fillId="10" borderId="1" xfId="0" applyFont="1" applyFill="1" applyBorder="1" applyAlignment="1">
      <alignment horizontal="center" vertical="top" wrapText="1"/>
    </xf>
    <xf numFmtId="0" fontId="23" fillId="10" borderId="1" xfId="0" applyFont="1" applyFill="1" applyBorder="1" applyAlignment="1" applyProtection="1">
      <alignment horizontal="center" vertical="top" wrapText="1"/>
      <protection locked="0"/>
    </xf>
    <xf numFmtId="164" fontId="20" fillId="10" borderId="1" xfId="1" applyNumberFormat="1" applyFont="1" applyFill="1" applyBorder="1" applyAlignment="1" applyProtection="1">
      <alignment horizontal="center" vertical="top" wrapText="1"/>
    </xf>
    <xf numFmtId="0" fontId="10" fillId="0" borderId="0" xfId="0" applyFont="1" applyBorder="1" applyAlignment="1" applyProtection="1">
      <alignment horizontal="center" vertical="top" wrapText="1"/>
      <protection locked="0"/>
    </xf>
    <xf numFmtId="164" fontId="11" fillId="0" borderId="0" xfId="1" applyNumberFormat="1" applyFont="1" applyBorder="1" applyAlignment="1" applyProtection="1">
      <alignment horizontal="center" vertical="top" wrapText="1"/>
    </xf>
    <xf numFmtId="0" fontId="18" fillId="10" borderId="1" xfId="0" applyFont="1" applyFill="1" applyBorder="1" applyAlignment="1">
      <alignment horizontal="center" wrapText="1"/>
    </xf>
    <xf numFmtId="0" fontId="24" fillId="10" borderId="1" xfId="0" applyFont="1" applyFill="1" applyBorder="1" applyAlignment="1">
      <alignment horizontal="center" vertical="top" wrapText="1"/>
    </xf>
    <xf numFmtId="164" fontId="22" fillId="10" borderId="1" xfId="1" applyNumberFormat="1" applyFont="1" applyFill="1" applyBorder="1" applyAlignment="1">
      <alignment horizontal="center" vertical="top" wrapText="1"/>
    </xf>
    <xf numFmtId="9" fontId="0" fillId="0" borderId="0" xfId="1" applyFont="1" applyFill="1" applyAlignment="1">
      <alignment horizontal="center" vertical="center"/>
    </xf>
    <xf numFmtId="164" fontId="0" fillId="0" borderId="0" xfId="1" applyNumberFormat="1" applyFont="1" applyFill="1" applyAlignment="1">
      <alignment horizontal="center" vertical="center"/>
    </xf>
    <xf numFmtId="0" fontId="0" fillId="0" borderId="0" xfId="0" applyFill="1" applyAlignment="1">
      <alignment horizontal="center" vertical="center" wrapText="1"/>
    </xf>
    <xf numFmtId="164" fontId="0" fillId="0" borderId="0" xfId="0" applyNumberFormat="1" applyFont="1" applyFill="1" applyAlignment="1">
      <alignment horizontal="center" vertical="center"/>
    </xf>
    <xf numFmtId="0" fontId="9" fillId="0" borderId="19" xfId="0" applyFont="1" applyFill="1" applyBorder="1" applyAlignment="1">
      <alignment horizontal="center" vertical="center" wrapText="1"/>
    </xf>
    <xf numFmtId="9" fontId="0" fillId="0" borderId="1" xfId="1" applyFont="1" applyBorder="1"/>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0" borderId="5" xfId="0" applyFont="1" applyBorder="1" applyAlignment="1">
      <alignment horizontal="left" vertical="center" wrapText="1"/>
    </xf>
    <xf numFmtId="0" fontId="1" fillId="0" borderId="1" xfId="0" applyFont="1" applyBorder="1" applyAlignment="1">
      <alignment horizontal="left" vertical="center" wrapText="1"/>
    </xf>
    <xf numFmtId="0" fontId="0" fillId="0" borderId="5" xfId="0" applyBorder="1" applyAlignment="1">
      <alignment horizontal="left" vertical="top" wrapText="1"/>
    </xf>
    <xf numFmtId="0" fontId="0" fillId="0" borderId="1" xfId="0" applyBorder="1" applyAlignment="1">
      <alignment horizontal="left" vertical="top" wrapText="1"/>
    </xf>
    <xf numFmtId="0" fontId="4" fillId="3" borderId="7"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4" fillId="4" borderId="8"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1" fillId="0" borderId="9" xfId="0" applyFont="1" applyBorder="1" applyAlignment="1">
      <alignment horizontal="left" vertical="center" wrapText="1"/>
    </xf>
    <xf numFmtId="0" fontId="4" fillId="5" borderId="9"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0" borderId="12" xfId="0" applyFont="1" applyBorder="1" applyAlignment="1">
      <alignment horizontal="left" wrapText="1"/>
    </xf>
    <xf numFmtId="0" fontId="5" fillId="0" borderId="0" xfId="0" applyFont="1" applyBorder="1" applyAlignment="1">
      <alignment horizontal="center" wrapText="1"/>
    </xf>
    <xf numFmtId="0" fontId="5" fillId="0" borderId="11" xfId="0" applyFont="1" applyBorder="1" applyAlignment="1">
      <alignment horizontal="center" wrapText="1"/>
    </xf>
    <xf numFmtId="0" fontId="1" fillId="0" borderId="0" xfId="0" applyFont="1" applyBorder="1" applyAlignment="1">
      <alignment horizontal="center" vertical="center"/>
    </xf>
    <xf numFmtId="0" fontId="1" fillId="10" borderId="1" xfId="0" applyFont="1" applyFill="1" applyBorder="1" applyAlignment="1">
      <alignment horizontal="center" textRotation="45" wrapText="1"/>
    </xf>
  </cellXfs>
  <cellStyles count="4">
    <cellStyle name="Good" xfId="2" builtinId="26"/>
    <cellStyle name="Neutral" xfId="3" builtinId="28"/>
    <cellStyle name="Normal" xfId="0" builtinId="0"/>
    <cellStyle name="Percent" xfId="1" builtinId="5"/>
  </cellStyles>
  <dxfs count="99">
    <dxf>
      <alignment horizontal="general" vertical="bottom" textRotation="0" wrapText="1" indent="0" justifyLastLine="0" shrinkToFit="0" readingOrder="0"/>
      <border diagonalUp="0" diagonalDown="0" outline="0">
        <left/>
        <right/>
        <top style="thin">
          <color auto="1"/>
        </top>
        <bottom style="thin">
          <color auto="1"/>
        </bottom>
      </border>
    </dxf>
    <dxf>
      <numFmt numFmtId="164" formatCode="0.0%"/>
      <alignment horizontal="general" vertical="bottom" textRotation="0" wrapText="1" indent="0" justifyLastLine="0" shrinkToFit="0" readingOrder="0"/>
      <border diagonalUp="0" diagonalDown="0" outline="0">
        <left/>
        <right/>
        <top style="thin">
          <color auto="1"/>
        </top>
        <bottom style="thin">
          <color auto="1"/>
        </bottom>
      </border>
    </dxf>
    <dxf>
      <alignment horizontal="general" vertical="bottom" textRotation="0" wrapText="1" indent="0" justifyLastLine="0" shrinkToFit="0" readingOrder="0"/>
      <border diagonalUp="0" diagonalDown="0" outline="0">
        <left/>
        <right/>
        <top style="thin">
          <color auto="1"/>
        </top>
        <bottom style="thin">
          <color auto="1"/>
        </bottom>
      </border>
    </dxf>
    <dxf>
      <alignment horizontal="general" vertical="bottom" textRotation="0" wrapText="1" indent="0" justifyLastLine="0" shrinkToFit="0" readingOrder="0"/>
      <border diagonalUp="0" diagonalDown="0">
        <left/>
        <right/>
        <top style="thin">
          <color auto="1"/>
        </top>
        <bottom style="thin">
          <color auto="1"/>
        </bottom>
        <vertical/>
        <horizontal/>
      </border>
    </dxf>
    <dxf>
      <alignment horizontal="general" vertical="bottom" textRotation="0" wrapText="1" indent="0" justifyLastLine="0" shrinkToFit="0" readingOrder="0"/>
      <border diagonalUp="0" diagonalDown="0">
        <left/>
        <right/>
        <top style="thin">
          <color auto="1"/>
        </top>
        <bottom style="thin">
          <color auto="1"/>
        </bottom>
        <vertical/>
        <horizontal/>
      </border>
    </dxf>
    <dxf>
      <alignment horizontal="center" vertical="bottom" textRotation="0" wrapText="1" indent="0" justifyLastLine="0" shrinkToFit="0" readingOrder="0"/>
      <border diagonalUp="0" diagonalDown="0">
        <left/>
        <right/>
        <top style="thin">
          <color auto="1"/>
        </top>
        <bottom style="thin">
          <color auto="1"/>
        </bottom>
        <vertical/>
        <horizontal/>
      </border>
    </dxf>
    <dxf>
      <border outline="0">
        <bottom style="thin">
          <color auto="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numFmt numFmtId="164" formatCode="0.0%"/>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numFmt numFmtId="164" formatCode="0.0%"/>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numFmt numFmtId="164" formatCode="0.0%"/>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numFmt numFmtId="164" formatCode="0.0%"/>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numFmt numFmtId="164" formatCode="0.0%"/>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numFmt numFmtId="164" formatCode="0.0%"/>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numFmt numFmtId="164" formatCode="0.0%"/>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numFmt numFmtId="164" formatCode="0.0%"/>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numFmt numFmtId="164" formatCode="0.0%"/>
      <fill>
        <patternFill patternType="none">
          <bgColor auto="1"/>
        </patternFill>
      </fill>
      <alignment horizontal="center" vertical="center" textRotation="0"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bgColor auto="1"/>
        </patternFill>
      </fill>
      <alignment horizontal="center" vertical="center" textRotation="0" indent="0" justifyLastLine="0" shrinkToFit="0" readingOrder="0"/>
    </dxf>
    <dxf>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auto="1"/>
        </patternFill>
      </fill>
      <alignment horizontal="center" vertical="center" textRotation="0" wrapText="1" indent="0" justifyLastLine="0" shrinkToFit="0" readingOrder="0"/>
    </dxf>
    <dxf>
      <fill>
        <patternFill>
          <bgColor rgb="FFFFFF00"/>
        </patternFill>
      </fill>
    </dxf>
    <dxf>
      <fill>
        <patternFill>
          <bgColor rgb="FFFFFF00"/>
        </patternFill>
      </fill>
    </dxf>
    <dxf>
      <fill>
        <patternFill>
          <bgColor rgb="FFFFFF00"/>
        </patternFill>
      </fill>
    </dxf>
    <dxf>
      <numFmt numFmtId="164" formatCode="0.0%"/>
      <alignment horizontal="center" vertical="center" textRotation="0" wrapText="1" indent="0" justifyLastLine="0" shrinkToFit="0" readingOrder="0"/>
      <border diagonalUp="0" diagonalDown="0">
        <left/>
        <right/>
        <top style="hair">
          <color auto="1"/>
        </top>
        <bottom style="hair">
          <color auto="1"/>
        </bottom>
      </border>
    </dxf>
    <dxf>
      <numFmt numFmtId="164" formatCode="0.0%"/>
      <alignment horizontal="center" vertical="center" textRotation="0" wrapText="1" indent="0" justifyLastLine="0" shrinkToFit="0" readingOrder="0"/>
      <border diagonalUp="0" diagonalDown="0">
        <left/>
        <right/>
        <top style="hair">
          <color auto="1"/>
        </top>
        <bottom style="hair">
          <color auto="1"/>
        </bottom>
      </border>
    </dxf>
    <dxf>
      <numFmt numFmtId="164" formatCode="0.0%"/>
      <alignment horizontal="center" vertical="center" textRotation="0" wrapText="1" indent="0" justifyLastLine="0" shrinkToFit="0" readingOrder="0"/>
      <border diagonalUp="0" diagonalDown="0">
        <left/>
        <right/>
        <top style="hair">
          <color auto="1"/>
        </top>
        <bottom style="hair">
          <color auto="1"/>
        </bottom>
      </border>
    </dxf>
    <dxf>
      <numFmt numFmtId="2" formatCode="0.00"/>
      <alignment horizontal="center" vertical="center" textRotation="0" wrapText="1" indent="0" justifyLastLine="0" shrinkToFit="0" readingOrder="0"/>
      <border diagonalUp="0" diagonalDown="0" outline="0">
        <left/>
        <right/>
        <top style="hair">
          <color auto="1"/>
        </top>
        <bottom style="hair">
          <color auto="1"/>
        </bottom>
      </border>
    </dxf>
    <dxf>
      <numFmt numFmtId="164" formatCode="0.0%"/>
      <alignment horizontal="center" vertical="center" textRotation="0" wrapText="1" indent="0" justifyLastLine="0" shrinkToFit="0" readingOrder="0"/>
      <border diagonalUp="0" diagonalDown="0" outline="0">
        <left/>
        <right/>
        <top style="hair">
          <color auto="1"/>
        </top>
        <bottom style="hair">
          <color auto="1"/>
        </bottom>
      </border>
    </dxf>
    <dxf>
      <numFmt numFmtId="164" formatCode="0.0%"/>
      <alignment horizontal="center" vertical="center" textRotation="0" wrapText="1" indent="0" justifyLastLine="0" shrinkToFit="0" readingOrder="0"/>
      <border diagonalUp="0" diagonalDown="0" outline="0">
        <left/>
        <right/>
        <top style="hair">
          <color auto="1"/>
        </top>
        <bottom style="hair">
          <color auto="1"/>
        </bottom>
      </border>
    </dxf>
    <dxf>
      <numFmt numFmtId="164" formatCode="0.0%"/>
      <alignment horizontal="center" vertical="center" textRotation="0" wrapText="1" indent="0" justifyLastLine="0" shrinkToFit="0" readingOrder="0"/>
      <border diagonalUp="0" diagonalDown="0" outline="0">
        <left/>
        <right/>
        <top style="hair">
          <color auto="1"/>
        </top>
        <bottom style="hair">
          <color auto="1"/>
        </bottom>
      </border>
    </dxf>
    <dxf>
      <numFmt numFmtId="164" formatCode="0.0%"/>
      <alignment horizontal="center" vertical="center" textRotation="0" wrapText="1" indent="0" justifyLastLine="0" shrinkToFit="0" readingOrder="0"/>
      <border diagonalUp="0" diagonalDown="0" outline="0">
        <left/>
        <right/>
        <top style="hair">
          <color auto="1"/>
        </top>
        <bottom style="hair">
          <color auto="1"/>
        </bottom>
      </border>
    </dxf>
    <dxf>
      <alignment horizontal="center" vertical="center" textRotation="0" wrapText="1" indent="0" justifyLastLine="0" shrinkToFit="0" readingOrder="0"/>
      <border diagonalUp="0" diagonalDown="0" outline="0">
        <left/>
        <right/>
        <top style="hair">
          <color auto="1"/>
        </top>
        <bottom style="hair">
          <color auto="1"/>
        </bottom>
      </border>
    </dxf>
    <dxf>
      <alignment horizontal="center" vertical="center" textRotation="0" wrapText="1" indent="0" justifyLastLine="0" shrinkToFit="0" readingOrder="0"/>
      <border diagonalUp="0" diagonalDown="0" outline="0">
        <left/>
        <right/>
        <top style="hair">
          <color auto="1"/>
        </top>
        <bottom style="hair">
          <color auto="1"/>
        </bottom>
      </border>
    </dxf>
    <dxf>
      <alignment horizontal="center" vertical="center" textRotation="0" wrapText="1" indent="0" justifyLastLine="0" shrinkToFit="0" readingOrder="0"/>
      <border diagonalUp="0" diagonalDown="0" outline="0">
        <left/>
        <right/>
        <top style="hair">
          <color auto="1"/>
        </top>
        <bottom style="hair">
          <color auto="1"/>
        </bottom>
      </border>
    </dxf>
    <dxf>
      <alignment horizontal="center" vertical="center" textRotation="0" wrapText="1" indent="0" justifyLastLine="0" shrinkToFit="0" readingOrder="0"/>
      <border diagonalUp="0" diagonalDown="0" outline="0">
        <left/>
        <right/>
        <top style="hair">
          <color auto="1"/>
        </top>
        <bottom style="hair">
          <color auto="1"/>
        </bottom>
      </border>
    </dxf>
    <dxf>
      <alignment horizontal="center" vertical="center" textRotation="0" wrapText="1" indent="0" justifyLastLine="0" shrinkToFit="0" readingOrder="0"/>
      <border diagonalUp="0" diagonalDown="0" outline="0">
        <left/>
        <right/>
        <top style="hair">
          <color auto="1"/>
        </top>
        <bottom style="hair">
          <color auto="1"/>
        </bottom>
      </border>
    </dxf>
    <dxf>
      <alignment horizontal="center" vertical="center" textRotation="0" wrapText="1" indent="0" justifyLastLine="0" shrinkToFit="0" readingOrder="0"/>
      <border diagonalUp="0" diagonalDown="0" outline="0">
        <left/>
        <right/>
        <top style="hair">
          <color auto="1"/>
        </top>
        <bottom style="hair">
          <color auto="1"/>
        </bottom>
      </border>
    </dxf>
    <dxf>
      <alignment horizontal="center" vertical="center" textRotation="0" wrapText="1" indent="0" justifyLastLine="0" shrinkToFit="0" readingOrder="0"/>
      <border diagonalUp="0" diagonalDown="0" outline="0">
        <left/>
        <right/>
        <top style="hair">
          <color auto="1"/>
        </top>
        <bottom style="hair">
          <color auto="1"/>
        </bottom>
      </border>
    </dxf>
    <dxf>
      <alignment horizontal="center" vertical="center" textRotation="0" wrapText="1" indent="0" justifyLastLine="0" shrinkToFit="0" readingOrder="0"/>
      <border diagonalUp="0" diagonalDown="0" outline="0">
        <left/>
        <right/>
        <top style="hair">
          <color auto="1"/>
        </top>
        <bottom style="hair">
          <color auto="1"/>
        </bottom>
      </border>
    </dxf>
    <dxf>
      <alignment horizontal="center" vertical="center" textRotation="0" wrapText="1" indent="0" justifyLastLine="0" shrinkToFit="0" readingOrder="0"/>
      <border diagonalUp="0" diagonalDown="0" outline="0">
        <left/>
        <right/>
        <top style="hair">
          <color auto="1"/>
        </top>
        <bottom style="hair">
          <color auto="1"/>
        </bottom>
      </border>
    </dxf>
    <dxf>
      <border outline="0">
        <bottom style="thin">
          <color auto="1"/>
        </bottom>
      </border>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ill>
        <patternFill>
          <bgColor rgb="FFFFFF00"/>
        </patternFill>
      </fill>
    </dxf>
    <dxf>
      <fill>
        <patternFill>
          <bgColor rgb="FF58F222"/>
        </patternFill>
      </fill>
    </dxf>
    <dxf>
      <fill>
        <patternFill>
          <bgColor rgb="FFFFFF00"/>
        </patternFill>
      </fill>
    </dxf>
    <dxf>
      <fill>
        <patternFill>
          <bgColor rgb="FFFFFF00"/>
        </patternFill>
      </fill>
    </dxf>
    <dxf>
      <fill>
        <patternFill>
          <bgColor rgb="FFFFFF00"/>
        </patternFill>
      </fill>
    </dxf>
    <dxf>
      <numFmt numFmtId="164" formatCode="0.0%"/>
      <alignment horizontal="center" vertical="center" textRotation="0" wrapText="1" indent="0" justifyLastLine="0" shrinkToFit="0" readingOrder="0"/>
      <border diagonalUp="0" diagonalDown="0" outline="0">
        <left/>
        <right/>
        <top style="hair">
          <color auto="1"/>
        </top>
        <bottom/>
      </border>
      <protection locked="1" hidden="0"/>
    </dxf>
    <dxf>
      <numFmt numFmtId="164" formatCode="0.0%"/>
      <alignment horizontal="center" vertical="center" textRotation="0" wrapText="1" indent="0" justifyLastLine="0" shrinkToFit="0" readingOrder="0"/>
      <border diagonalUp="0" diagonalDown="0" outline="0">
        <left/>
        <right/>
        <top style="hair">
          <color auto="1"/>
        </top>
        <bottom/>
      </border>
      <protection locked="1" hidden="0"/>
    </dxf>
    <dxf>
      <numFmt numFmtId="164" formatCode="0.0%"/>
      <alignment horizontal="center" vertical="center" textRotation="0" wrapText="1" indent="0" justifyLastLine="0" shrinkToFit="0" readingOrder="0"/>
      <border diagonalUp="0" diagonalDown="0" outline="0">
        <left/>
        <right/>
        <top style="hair">
          <color auto="1"/>
        </top>
        <bottom/>
      </border>
      <protection locked="1" hidden="0"/>
    </dxf>
    <dxf>
      <numFmt numFmtId="164" formatCode="0.0%"/>
      <alignment horizontal="center" vertical="center" textRotation="0" wrapText="1" indent="0" justifyLastLine="0" shrinkToFit="0" readingOrder="0"/>
      <border diagonalUp="0" diagonalDown="0" outline="0">
        <left/>
        <right/>
        <top style="hair">
          <color auto="1"/>
        </top>
        <bottom/>
      </border>
      <protection locked="1" hidden="0"/>
    </dxf>
    <dxf>
      <numFmt numFmtId="164" formatCode="0.0%"/>
      <alignment horizontal="center" vertical="center" textRotation="0" wrapText="1" indent="0" justifyLastLine="0" shrinkToFit="0" readingOrder="0"/>
      <border diagonalUp="0" diagonalDown="0" outline="0">
        <left/>
        <right/>
        <top style="hair">
          <color auto="1"/>
        </top>
        <bottom/>
      </border>
      <protection locked="1" hidden="0"/>
    </dxf>
    <dxf>
      <numFmt numFmtId="164" formatCode="0.0%"/>
      <alignment horizontal="center" vertical="center" textRotation="0" wrapText="1" indent="0" justifyLastLine="0" shrinkToFit="0" readingOrder="0"/>
      <border diagonalUp="0" diagonalDown="0" outline="0">
        <left/>
        <right/>
        <top/>
        <bottom style="hair">
          <color auto="1"/>
        </bottom>
      </border>
      <protection locked="1" hidden="0"/>
    </dxf>
    <dxf>
      <numFmt numFmtId="164" formatCode="0.0%"/>
      <alignment horizontal="center" vertical="center" textRotation="0" wrapText="1" indent="0" justifyLastLine="0" shrinkToFit="0" readingOrder="0"/>
      <border diagonalUp="0" diagonalDown="0">
        <left/>
        <right/>
        <top/>
        <bottom style="hair">
          <color auto="1"/>
        </bottom>
      </border>
      <protection locked="1" hidden="0"/>
    </dxf>
    <dxf>
      <numFmt numFmtId="164" formatCode="0.0%"/>
      <alignment horizontal="center" vertical="center" textRotation="0" wrapText="1" indent="0" justifyLastLine="0" shrinkToFit="0" readingOrder="0"/>
      <border diagonalUp="0" diagonalDown="0">
        <left/>
        <right/>
        <top/>
        <bottom style="hair">
          <color auto="1"/>
        </bottom>
      </border>
      <protection locked="1" hidden="0"/>
    </dxf>
    <dxf>
      <numFmt numFmtId="164" formatCode="0.0%"/>
      <alignment horizontal="center" vertical="center" textRotation="0" wrapText="1" indent="0" justifyLastLine="0" shrinkToFit="0" readingOrder="0"/>
      <border diagonalUp="0" diagonalDown="0">
        <left/>
        <right/>
        <top/>
        <bottom style="hair">
          <color auto="1"/>
        </bottom>
      </border>
      <protection locked="1" hidden="0"/>
    </dxf>
    <dxf>
      <numFmt numFmtId="164" formatCode="0.0%"/>
      <alignment horizontal="center" vertical="center" textRotation="0" wrapText="1" indent="0" justifyLastLine="0" shrinkToFit="0" readingOrder="0"/>
      <border diagonalUp="0" diagonalDown="0">
        <left/>
        <right/>
        <top/>
        <bottom style="hair">
          <color auto="1"/>
        </bottom>
      </border>
      <protection locked="1" hidden="0"/>
    </dxf>
    <dxf>
      <numFmt numFmtId="2" formatCode="0.00"/>
      <alignment horizontal="center" vertical="center" textRotation="0" wrapText="1" indent="0" justifyLastLine="0" shrinkToFit="0" readingOrder="0"/>
      <border diagonalUp="0" diagonalDown="0">
        <left/>
        <right/>
        <top style="hair">
          <color auto="1"/>
        </top>
        <bottom/>
        <vertical/>
        <horizontal/>
      </border>
      <protection locked="0" hidden="0"/>
    </dxf>
    <dxf>
      <numFmt numFmtId="2" formatCode="0.00"/>
      <alignment horizontal="center" vertical="center" textRotation="0" wrapText="1" indent="0" justifyLastLine="0" shrinkToFit="0" readingOrder="0"/>
      <border diagonalUp="0" diagonalDown="0">
        <left/>
        <right/>
        <top style="hair">
          <color auto="1"/>
        </top>
        <bottom/>
      </border>
      <protection locked="1" hidden="0"/>
    </dxf>
    <dxf>
      <numFmt numFmtId="164" formatCode="0.0%"/>
      <alignment horizontal="center" vertical="center" textRotation="0" wrapText="1" indent="0" justifyLastLine="0" shrinkToFit="0" readingOrder="0"/>
      <border diagonalUp="0" diagonalDown="0">
        <left/>
        <right/>
        <top style="hair">
          <color auto="1"/>
        </top>
        <bottom/>
      </border>
      <protection locked="1" hidden="0"/>
    </dxf>
    <dxf>
      <numFmt numFmtId="164" formatCode="0.0%"/>
      <alignment horizontal="center" vertical="center" textRotation="0" wrapText="1" indent="0" justifyLastLine="0" shrinkToFit="0" readingOrder="0"/>
      <border diagonalUp="0" diagonalDown="0">
        <left/>
        <right/>
        <top style="hair">
          <color auto="1"/>
        </top>
        <bottom/>
      </border>
      <protection locked="1" hidden="0"/>
    </dxf>
    <dxf>
      <alignment horizontal="center" vertical="center" textRotation="0" wrapText="1" indent="0" justifyLastLine="0" shrinkToFit="0" readingOrder="0"/>
      <border diagonalUp="0" diagonalDown="0">
        <left/>
        <right/>
        <top style="hair">
          <color auto="1"/>
        </top>
        <bottom style="hair">
          <color auto="1"/>
        </bottom>
      </border>
      <protection locked="0" hidden="0"/>
    </dxf>
    <dxf>
      <alignment horizontal="center" vertical="center" textRotation="0" wrapText="1" indent="0" justifyLastLine="0" shrinkToFit="0" readingOrder="0"/>
      <border diagonalUp="0" diagonalDown="0">
        <left/>
        <right/>
        <top style="hair">
          <color auto="1"/>
        </top>
        <bottom style="hair">
          <color auto="1"/>
        </bottom>
      </border>
      <protection locked="0" hidden="0"/>
    </dxf>
    <dxf>
      <alignment horizontal="center" vertical="center" textRotation="0" wrapText="1" indent="0" justifyLastLine="0" shrinkToFit="0" readingOrder="0"/>
      <border diagonalUp="0" diagonalDown="0">
        <left/>
        <right/>
        <top style="hair">
          <color auto="1"/>
        </top>
        <bottom style="hair">
          <color auto="1"/>
        </bottom>
      </border>
      <protection locked="0" hidden="0"/>
    </dxf>
    <dxf>
      <alignment horizontal="center" vertical="center" textRotation="0" wrapText="1" indent="0" justifyLastLine="0" shrinkToFit="0" readingOrder="0"/>
      <border diagonalUp="0" diagonalDown="0">
        <left/>
        <right/>
        <top style="hair">
          <color auto="1"/>
        </top>
        <bottom style="hair">
          <color auto="1"/>
        </bottom>
      </border>
      <protection locked="0" hidden="0"/>
    </dxf>
    <dxf>
      <alignment horizontal="center" vertical="center" textRotation="0" wrapText="1" indent="0" justifyLastLine="0" shrinkToFit="0" readingOrder="0"/>
      <border diagonalUp="0" diagonalDown="0">
        <left/>
        <right/>
        <top style="hair">
          <color auto="1"/>
        </top>
        <bottom style="hair">
          <color auto="1"/>
        </bottom>
      </border>
      <protection locked="0" hidden="0"/>
    </dxf>
    <dxf>
      <alignment horizontal="center" vertical="center" textRotation="0" wrapText="1" indent="0" justifyLastLine="0" shrinkToFit="0" readingOrder="0"/>
      <border diagonalUp="0" diagonalDown="0">
        <left/>
        <right/>
        <top style="hair">
          <color auto="1"/>
        </top>
        <bottom style="hair">
          <color auto="1"/>
        </bottom>
      </border>
      <protection locked="0" hidden="0"/>
    </dxf>
    <dxf>
      <alignment horizontal="center" vertical="center" textRotation="0" wrapText="1" indent="0" justifyLastLine="0" shrinkToFit="0" readingOrder="0"/>
      <border diagonalUp="0" diagonalDown="0">
        <left/>
        <right/>
        <top style="hair">
          <color auto="1"/>
        </top>
        <bottom style="hair">
          <color auto="1"/>
        </bottom>
      </border>
      <protection locked="0" hidden="0"/>
    </dxf>
    <dxf>
      <alignment horizontal="general" vertical="bottom" textRotation="0" wrapText="1" indent="0" justifyLastLine="0" shrinkToFit="0" readingOrder="0"/>
      <border diagonalUp="0" diagonalDown="0">
        <left/>
        <right/>
        <top style="hair">
          <color auto="1"/>
        </top>
        <bottom style="hair">
          <color auto="1"/>
        </bottom>
      </border>
      <protection locked="0" hidden="0"/>
    </dxf>
    <dxf>
      <alignment horizontal="general" vertical="bottom" textRotation="0" wrapText="1" indent="0" justifyLastLine="0" shrinkToFit="0" readingOrder="0"/>
      <border diagonalUp="0" diagonalDown="0">
        <left/>
        <right/>
        <top style="hair">
          <color auto="1"/>
        </top>
        <bottom style="hair">
          <color auto="1"/>
        </bottom>
        <vertical/>
        <horizontal/>
      </border>
      <protection locked="0" hidden="0"/>
    </dxf>
    <dxf>
      <alignment horizontal="general" vertical="bottom" textRotation="0" wrapText="1" indent="0" justifyLastLine="0" shrinkToFit="0" readingOrder="0"/>
      <border diagonalUp="0" diagonalDown="0">
        <left/>
        <right/>
        <top style="hair">
          <color auto="1"/>
        </top>
        <bottom style="hair">
          <color auto="1"/>
        </bottom>
        <vertical/>
        <horizontal/>
      </border>
      <protection locked="0" hidden="0"/>
    </dxf>
    <dxf>
      <alignment horizontal="center" vertical="bottom" textRotation="0" wrapText="1" indent="0" justifyLastLine="0" shrinkToFit="0" readingOrder="0"/>
      <border diagonalUp="0" diagonalDown="0">
        <left/>
        <right/>
        <top style="hair">
          <color auto="1"/>
        </top>
        <bottom style="hair">
          <color auto="1"/>
        </bottom>
        <vertical/>
        <horizontal/>
      </border>
      <protection locked="0" hidden="0"/>
    </dxf>
    <dxf>
      <border outline="0">
        <bottom style="thin">
          <color auto="1"/>
        </bottom>
      </border>
    </dxf>
    <dxf>
      <alignment horizontal="general" vertical="bottom"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protection locked="0" hidden="0"/>
    </dxf>
    <dxf>
      <fill>
        <patternFill>
          <bgColor rgb="FFFFFF00"/>
        </patternFill>
      </fill>
    </dxf>
    <dxf>
      <fill>
        <patternFill>
          <bgColor rgb="FF1EF014"/>
        </patternFill>
      </fill>
    </dxf>
    <dxf>
      <alignment horizontal="center" vertical="center" textRotation="0" wrapText="1" indent="0" justifyLastLine="0" shrinkToFit="0" readingOrder="0"/>
      <border diagonalUp="0" diagonalDown="0" outline="0">
        <left/>
        <right/>
        <top style="thin">
          <color auto="1"/>
        </top>
        <bottom style="thin">
          <color auto="1"/>
        </bottom>
      </border>
    </dxf>
    <dxf>
      <numFmt numFmtId="164" formatCode="0.0%"/>
      <alignment horizontal="center" vertical="center" textRotation="0" wrapText="1" indent="0" justifyLastLine="0" shrinkToFit="0" readingOrder="0"/>
      <border diagonalUp="0" diagonalDown="0" outline="0">
        <left/>
        <right/>
        <top style="thin">
          <color auto="1"/>
        </top>
        <bottom style="thin">
          <color auto="1"/>
        </bottom>
      </border>
    </dxf>
    <dxf>
      <alignment horizontal="center" vertical="center" textRotation="0" wrapText="1" indent="0" justifyLastLine="0" shrinkToFit="0" readingOrder="0"/>
      <border diagonalUp="0" diagonalDown="0" outline="0">
        <left/>
        <right/>
        <top style="thin">
          <color auto="1"/>
        </top>
        <bottom style="thin">
          <color auto="1"/>
        </bottom>
      </border>
    </dxf>
    <dxf>
      <alignment horizontal="center" vertical="center" textRotation="0" wrapText="1" indent="0" justifyLastLine="0" shrinkToFit="0" readingOrder="0"/>
      <border diagonalUp="0" diagonalDown="0" outline="0">
        <left/>
        <right/>
        <top style="thin">
          <color auto="1"/>
        </top>
        <bottom style="thin">
          <color auto="1"/>
        </bottom>
      </border>
    </dxf>
    <dxf>
      <alignment horizontal="center" vertical="center" textRotation="0" wrapText="1" indent="0" justifyLastLine="0" shrinkToFit="0" readingOrder="0"/>
      <border diagonalUp="0" diagonalDown="0" outline="0">
        <left/>
        <right/>
        <top style="thin">
          <color auto="1"/>
        </top>
        <bottom style="thin">
          <color auto="1"/>
        </bottom>
      </border>
    </dxf>
    <dxf>
      <alignment horizontal="center" vertical="center" textRotation="0" wrapText="1" indent="0" justifyLastLine="0" shrinkToFit="0" readingOrder="0"/>
      <border diagonalUp="0" diagonalDown="0" outline="0">
        <left/>
        <right/>
        <top style="thin">
          <color auto="1"/>
        </top>
        <bottom style="thin">
          <color auto="1"/>
        </bottom>
      </border>
    </dxf>
    <dxf>
      <border outline="0">
        <right style="thin">
          <color indexed="64"/>
        </right>
        <bottom style="thin">
          <color auto="1"/>
        </bottom>
      </border>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s>
  <tableStyles count="0" defaultTableStyle="TableStyleMedium2" defaultPivotStyle="PivotStyleLight16"/>
  <colors>
    <mruColors>
      <color rgb="FF1EF014"/>
      <color rgb="FF58F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[191029_Du lieu thi nghiem nvl.xlsx]Bunset!PivotTable2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7"/>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8"/>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9"/>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0"/>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1"/>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2"/>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3"/>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4"/>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5"/>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6"/>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7"/>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8"/>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9"/>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6"/>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7"/>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9"/>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1"/>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3"/>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4"/>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6"/>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7"/>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7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Bunset!$L$3:$L$4</c:f>
              <c:strCache>
                <c:ptCount val="1"/>
                <c:pt idx="0">
                  <c:v>Lena Anh Trung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multiLvlStrRef>
              <c:f>Bunset!$I$5:$K$16</c:f>
              <c:multiLvlStrCache>
                <c:ptCount val="6"/>
                <c:lvl>
                  <c:pt idx="0">
                    <c:v>Nov</c:v>
                  </c:pt>
                  <c:pt idx="1">
                    <c:v>Nov</c:v>
                  </c:pt>
                  <c:pt idx="2">
                    <c:v>Nov</c:v>
                  </c:pt>
                  <c:pt idx="3">
                    <c:v>Nov</c:v>
                  </c:pt>
                  <c:pt idx="4">
                    <c:v>Nov</c:v>
                  </c:pt>
                  <c:pt idx="5">
                    <c:v>Nov</c:v>
                  </c:pt>
                </c:lvl>
                <c:lvl>
                  <c:pt idx="0">
                    <c:v>191101-25</c:v>
                  </c:pt>
                  <c:pt idx="1">
                    <c:v>191104-31</c:v>
                  </c:pt>
                  <c:pt idx="2">
                    <c:v>191108-38</c:v>
                  </c:pt>
                  <c:pt idx="3">
                    <c:v>191109-40</c:v>
                  </c:pt>
                  <c:pt idx="4">
                    <c:v>191112-43</c:v>
                  </c:pt>
                  <c:pt idx="5">
                    <c:v>191116-45</c:v>
                  </c:pt>
                </c:lvl>
              </c:multiLvlStrCache>
            </c:multiLvlStrRef>
          </c:cat>
          <c:val>
            <c:numRef>
              <c:f>Bunset!$L$5:$L$16</c:f>
              <c:numCache>
                <c:formatCode>0.0%</c:formatCode>
                <c:ptCount val="6"/>
                <c:pt idx="0">
                  <c:v>0.214</c:v>
                </c:pt>
                <c:pt idx="1">
                  <c:v>0.21099999999999999</c:v>
                </c:pt>
                <c:pt idx="2">
                  <c:v>0.158</c:v>
                </c:pt>
                <c:pt idx="3">
                  <c:v>0.183</c:v>
                </c:pt>
                <c:pt idx="4">
                  <c:v>0.17599999999999999</c:v>
                </c:pt>
                <c:pt idx="5">
                  <c:v>0.123</c:v>
                </c:pt>
              </c:numCache>
            </c:numRef>
          </c:val>
          <c:extLst xmlns:c16r2="http://schemas.microsoft.com/office/drawing/2015/06/chart">
            <c:ext xmlns:c16="http://schemas.microsoft.com/office/drawing/2014/chart" uri="{C3380CC4-5D6E-409C-BE32-E72D297353CC}">
              <c16:uniqueId val="{00000010-3FC7-42FA-9755-419FF43A8A8A}"/>
            </c:ext>
          </c:extLst>
        </c:ser>
        <c:dLbls>
          <c:showLegendKey val="0"/>
          <c:showVal val="1"/>
          <c:showCatName val="0"/>
          <c:showSerName val="0"/>
          <c:showPercent val="0"/>
          <c:showBubbleSize val="0"/>
        </c:dLbls>
        <c:gapWidth val="150"/>
        <c:axId val="88514560"/>
        <c:axId val="88516096"/>
      </c:barChart>
      <c:catAx>
        <c:axId val="8851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6096"/>
        <c:crosses val="autoZero"/>
        <c:auto val="1"/>
        <c:lblAlgn val="ctr"/>
        <c:lblOffset val="100"/>
        <c:noMultiLvlLbl val="0"/>
      </c:catAx>
      <c:valAx>
        <c:axId val="88516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4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Times New Roman" pitchFamily="18" charset="0"/>
                <a:cs typeface="Times New Roman" pitchFamily="18" charset="0"/>
              </a:defRPr>
            </a:pPr>
            <a:r>
              <a:rPr lang="en-US" b="1">
                <a:latin typeface="Times New Roman" pitchFamily="18" charset="0"/>
                <a:cs typeface="Times New Roman" pitchFamily="18" charset="0"/>
              </a:rPr>
              <a:t>Thành</a:t>
            </a:r>
            <a:r>
              <a:rPr lang="en-US" b="1" baseline="0">
                <a:latin typeface="Times New Roman" pitchFamily="18" charset="0"/>
                <a:cs typeface="Times New Roman" pitchFamily="18" charset="0"/>
              </a:rPr>
              <a:t> phần hạt/ </a:t>
            </a:r>
            <a:r>
              <a:rPr lang="en-US" b="1" i="1" baseline="0">
                <a:latin typeface="Times New Roman" pitchFamily="18" charset="0"/>
                <a:cs typeface="Times New Roman" pitchFamily="18" charset="0"/>
              </a:rPr>
              <a:t>Grading</a:t>
            </a:r>
            <a:endParaRPr lang="en-US" b="1" i="1">
              <a:latin typeface="Times New Roman" pitchFamily="18" charset="0"/>
              <a:cs typeface="Times New Roman" pitchFamily="18" charset="0"/>
            </a:endParaRPr>
          </a:p>
        </c:rich>
      </c:tx>
      <c:layout/>
      <c:overlay val="0"/>
    </c:title>
    <c:autoTitleDeleted val="0"/>
    <c:plotArea>
      <c:layout>
        <c:manualLayout>
          <c:layoutTarget val="inner"/>
          <c:xMode val="edge"/>
          <c:yMode val="edge"/>
          <c:x val="9.8553320083844251E-2"/>
          <c:y val="0.14071696272518291"/>
          <c:w val="0.6788309700901809"/>
          <c:h val="0.73294369968506135"/>
        </c:manualLayout>
      </c:layout>
      <c:scatterChart>
        <c:scatterStyle val="lineMarker"/>
        <c:varyColors val="0"/>
        <c:ser>
          <c:idx val="4"/>
          <c:order val="0"/>
          <c:tx>
            <c:v>Line 1</c:v>
          </c:tx>
          <c:spPr>
            <a:ln w="28575">
              <a:solidFill>
                <a:srgbClr val="FFC000"/>
              </a:solidFill>
            </a:ln>
          </c:spPr>
          <c:marker>
            <c:spPr>
              <a:ln w="28575">
                <a:solidFill>
                  <a:srgbClr val="FFC000"/>
                </a:solidFill>
              </a:ln>
            </c:spPr>
          </c:marker>
          <c:xVal>
            <c:numLit>
              <c:formatCode>General</c:formatCode>
              <c:ptCount val="5"/>
              <c:pt idx="0">
                <c:v>2.5</c:v>
              </c:pt>
              <c:pt idx="1">
                <c:v>1.25</c:v>
              </c:pt>
              <c:pt idx="2">
                <c:v>0.63000000000000012</c:v>
              </c:pt>
              <c:pt idx="3">
                <c:v>0.31500000000000006</c:v>
              </c:pt>
              <c:pt idx="4">
                <c:v>0.14000000000000001</c:v>
              </c:pt>
            </c:numLit>
          </c:xVal>
          <c:yVal>
            <c:numRef>
              <c:f>TPHm!$P$1:$T$1</c:f>
              <c:numCache>
                <c:formatCode>0.0%</c:formatCode>
                <c:ptCount val="5"/>
                <c:pt idx="0">
                  <c:v>7.0351758793969849E-2</c:v>
                </c:pt>
                <c:pt idx="1">
                  <c:v>0.33165829145728642</c:v>
                </c:pt>
                <c:pt idx="2">
                  <c:v>0.6733668341708543</c:v>
                </c:pt>
                <c:pt idx="3">
                  <c:v>0.87437185929648242</c:v>
                </c:pt>
                <c:pt idx="4">
                  <c:v>0.99497487437185927</c:v>
                </c:pt>
              </c:numCache>
            </c:numRef>
          </c:yVal>
          <c:smooth val="0"/>
          <c:extLst xmlns:c16r2="http://schemas.microsoft.com/office/drawing/2015/06/chart">
            <c:ext xmlns:c16="http://schemas.microsoft.com/office/drawing/2014/chart" uri="{C3380CC4-5D6E-409C-BE32-E72D297353CC}">
              <c16:uniqueId val="{00000000-D10F-43F8-99F0-FAD6611034DE}"/>
            </c:ext>
          </c:extLst>
        </c:ser>
        <c:ser>
          <c:idx val="2"/>
          <c:order val="1"/>
          <c:tx>
            <c:v>Line 2</c:v>
          </c:tx>
          <c:spPr>
            <a:ln w="28575">
              <a:solidFill>
                <a:schemeClr val="accent6">
                  <a:lumMod val="75000"/>
                </a:schemeClr>
              </a:solidFill>
            </a:ln>
          </c:spPr>
          <c:marker>
            <c:symbol val="circle"/>
            <c:size val="4"/>
            <c:spPr>
              <a:ln w="28575">
                <a:solidFill>
                  <a:schemeClr val="accent6">
                    <a:lumMod val="75000"/>
                  </a:schemeClr>
                </a:solidFill>
                <a:prstDash val="sysDash"/>
              </a:ln>
            </c:spPr>
          </c:marker>
          <c:xVal>
            <c:numLit>
              <c:formatCode>General</c:formatCode>
              <c:ptCount val="5"/>
              <c:pt idx="0">
                <c:v>2.5</c:v>
              </c:pt>
              <c:pt idx="1">
                <c:v>1.25</c:v>
              </c:pt>
              <c:pt idx="2">
                <c:v>0.63000000000000012</c:v>
              </c:pt>
              <c:pt idx="3">
                <c:v>0.31500000000000006</c:v>
              </c:pt>
              <c:pt idx="4">
                <c:v>0.14000000000000001</c:v>
              </c:pt>
            </c:numLit>
          </c:xVal>
          <c:yVal>
            <c:numRef>
              <c:f>TPHm!$P$2:$T$2</c:f>
              <c:numCache>
                <c:formatCode>0.0%</c:formatCode>
                <c:ptCount val="5"/>
                <c:pt idx="0">
                  <c:v>0.26136363636363635</c:v>
                </c:pt>
                <c:pt idx="1">
                  <c:v>0.44318181818181818</c:v>
                </c:pt>
                <c:pt idx="2">
                  <c:v>0.57954545454545459</c:v>
                </c:pt>
                <c:pt idx="3">
                  <c:v>0.83522727272727271</c:v>
                </c:pt>
                <c:pt idx="4">
                  <c:v>0.96590909090909083</c:v>
                </c:pt>
              </c:numCache>
            </c:numRef>
          </c:yVal>
          <c:smooth val="0"/>
          <c:extLst xmlns:c16r2="http://schemas.microsoft.com/office/drawing/2015/06/chart">
            <c:ext xmlns:c16="http://schemas.microsoft.com/office/drawing/2014/chart" uri="{C3380CC4-5D6E-409C-BE32-E72D297353CC}">
              <c16:uniqueId val="{00000000-C118-47B0-9782-69F27CE42622}"/>
            </c:ext>
          </c:extLst>
        </c:ser>
        <c:ser>
          <c:idx val="0"/>
          <c:order val="2"/>
          <c:tx>
            <c:v>1</c:v>
          </c:tx>
          <c:spPr>
            <a:ln w="12700">
              <a:prstDash val="dash"/>
            </a:ln>
          </c:spPr>
          <c:marker>
            <c:symbol val="none"/>
          </c:marker>
          <c:xVal>
            <c:numLit>
              <c:formatCode>General</c:formatCode>
              <c:ptCount val="7"/>
              <c:pt idx="0">
                <c:v>5</c:v>
              </c:pt>
              <c:pt idx="1">
                <c:v>2.5</c:v>
              </c:pt>
              <c:pt idx="2">
                <c:v>1.25</c:v>
              </c:pt>
              <c:pt idx="3">
                <c:v>0.63000000000000078</c:v>
              </c:pt>
              <c:pt idx="4">
                <c:v>0.31500000000000034</c:v>
              </c:pt>
              <c:pt idx="5">
                <c:v>0.14000000000000001</c:v>
              </c:pt>
              <c:pt idx="6">
                <c:v>0</c:v>
              </c:pt>
            </c:numLit>
          </c:xVal>
          <c:yVal>
            <c:numLit>
              <c:formatCode>General</c:formatCode>
              <c:ptCount val="7"/>
              <c:pt idx="0">
                <c:v>0</c:v>
              </c:pt>
              <c:pt idx="1">
                <c:v>0</c:v>
              </c:pt>
              <c:pt idx="2">
                <c:v>0.15000000000000002</c:v>
              </c:pt>
              <c:pt idx="3">
                <c:v>0.35000000000000003</c:v>
              </c:pt>
              <c:pt idx="4">
                <c:v>0.65000000000000013</c:v>
              </c:pt>
              <c:pt idx="5">
                <c:v>0.9</c:v>
              </c:pt>
              <c:pt idx="6">
                <c:v>1</c:v>
              </c:pt>
            </c:numLit>
          </c:yVal>
          <c:smooth val="0"/>
          <c:extLst xmlns:c16r2="http://schemas.microsoft.com/office/drawing/2015/06/chart">
            <c:ext xmlns:c16="http://schemas.microsoft.com/office/drawing/2014/chart" uri="{C3380CC4-5D6E-409C-BE32-E72D297353CC}">
              <c16:uniqueId val="{00000001-C118-47B0-9782-69F27CE42622}"/>
            </c:ext>
          </c:extLst>
        </c:ser>
        <c:ser>
          <c:idx val="1"/>
          <c:order val="3"/>
          <c:tx>
            <c:v>2</c:v>
          </c:tx>
          <c:spPr>
            <a:ln w="12700">
              <a:prstDash val="dash"/>
            </a:ln>
          </c:spPr>
          <c:marker>
            <c:symbol val="none"/>
          </c:marker>
          <c:xVal>
            <c:numLit>
              <c:formatCode>General</c:formatCode>
              <c:ptCount val="7"/>
              <c:pt idx="0">
                <c:v>5</c:v>
              </c:pt>
              <c:pt idx="1">
                <c:v>2.5</c:v>
              </c:pt>
              <c:pt idx="2">
                <c:v>1.25</c:v>
              </c:pt>
              <c:pt idx="3">
                <c:v>0.63000000000000078</c:v>
              </c:pt>
              <c:pt idx="4">
                <c:v>0.31500000000000034</c:v>
              </c:pt>
              <c:pt idx="5">
                <c:v>0.14000000000000001</c:v>
              </c:pt>
              <c:pt idx="6">
                <c:v>0</c:v>
              </c:pt>
            </c:numLit>
          </c:xVal>
          <c:yVal>
            <c:numLit>
              <c:formatCode>General</c:formatCode>
              <c:ptCount val="7"/>
              <c:pt idx="0">
                <c:v>0</c:v>
              </c:pt>
              <c:pt idx="1">
                <c:v>0.2</c:v>
              </c:pt>
              <c:pt idx="2">
                <c:v>0.45</c:v>
              </c:pt>
              <c:pt idx="3">
                <c:v>0.70000000000000007</c:v>
              </c:pt>
              <c:pt idx="4">
                <c:v>0.91</c:v>
              </c:pt>
              <c:pt idx="5">
                <c:v>1</c:v>
              </c:pt>
              <c:pt idx="6">
                <c:v>1</c:v>
              </c:pt>
            </c:numLit>
          </c:yVal>
          <c:smooth val="0"/>
          <c:extLst xmlns:c16r2="http://schemas.microsoft.com/office/drawing/2015/06/chart">
            <c:ext xmlns:c16="http://schemas.microsoft.com/office/drawing/2014/chart" uri="{C3380CC4-5D6E-409C-BE32-E72D297353CC}">
              <c16:uniqueId val="{00000002-C118-47B0-9782-69F27CE42622}"/>
            </c:ext>
          </c:extLst>
        </c:ser>
        <c:ser>
          <c:idx val="3"/>
          <c:order val="4"/>
          <c:tx>
            <c:v>3</c:v>
          </c:tx>
          <c:spPr>
            <a:ln w="12700">
              <a:prstDash val="dash"/>
            </a:ln>
          </c:spPr>
          <c:marker>
            <c:symbol val="none"/>
          </c:marker>
          <c:xVal>
            <c:numLit>
              <c:formatCode>General</c:formatCode>
              <c:ptCount val="7"/>
              <c:pt idx="0">
                <c:v>5</c:v>
              </c:pt>
              <c:pt idx="1">
                <c:v>2.5</c:v>
              </c:pt>
              <c:pt idx="2">
                <c:v>1.25</c:v>
              </c:pt>
              <c:pt idx="3">
                <c:v>0.63000000000000078</c:v>
              </c:pt>
              <c:pt idx="4">
                <c:v>0.31500000000000034</c:v>
              </c:pt>
              <c:pt idx="5">
                <c:v>0.14000000000000001</c:v>
              </c:pt>
              <c:pt idx="6">
                <c:v>0</c:v>
              </c:pt>
            </c:numLit>
          </c:xVal>
          <c:yVal>
            <c:numLit>
              <c:formatCode>General</c:formatCode>
              <c:ptCount val="7"/>
              <c:pt idx="0">
                <c:v>0</c:v>
              </c:pt>
              <c:pt idx="1">
                <c:v>0</c:v>
              </c:pt>
              <c:pt idx="2">
                <c:v>0</c:v>
              </c:pt>
              <c:pt idx="3">
                <c:v>0</c:v>
              </c:pt>
              <c:pt idx="4">
                <c:v>0.05</c:v>
              </c:pt>
              <c:pt idx="5">
                <c:v>0.65000000000000013</c:v>
              </c:pt>
              <c:pt idx="6">
                <c:v>1</c:v>
              </c:pt>
            </c:numLit>
          </c:yVal>
          <c:smooth val="0"/>
          <c:extLst xmlns:c16r2="http://schemas.microsoft.com/office/drawing/2015/06/chart">
            <c:ext xmlns:c16="http://schemas.microsoft.com/office/drawing/2014/chart" uri="{C3380CC4-5D6E-409C-BE32-E72D297353CC}">
              <c16:uniqueId val="{00000003-C118-47B0-9782-69F27CE42622}"/>
            </c:ext>
          </c:extLst>
        </c:ser>
        <c:dLbls>
          <c:showLegendKey val="0"/>
          <c:showVal val="0"/>
          <c:showCatName val="0"/>
          <c:showSerName val="0"/>
          <c:showPercent val="0"/>
          <c:showBubbleSize val="0"/>
        </c:dLbls>
        <c:axId val="87813120"/>
        <c:axId val="91427968"/>
      </c:scatterChart>
      <c:valAx>
        <c:axId val="87813120"/>
        <c:scaling>
          <c:orientation val="minMax"/>
          <c:max val="5"/>
          <c:min val="0"/>
        </c:scaling>
        <c:delete val="0"/>
        <c:axPos val="b"/>
        <c:title>
          <c:tx>
            <c:rich>
              <a:bodyPr/>
              <a:lstStyle/>
              <a:p>
                <a:pPr>
                  <a:defRPr sz="800"/>
                </a:pPr>
                <a:r>
                  <a:rPr lang="en-US" sz="800" b="1"/>
                  <a:t>Kích</a:t>
                </a:r>
                <a:r>
                  <a:rPr lang="en-US" sz="800" b="1" baseline="0"/>
                  <a:t> thước mắt sàng (mm)</a:t>
                </a:r>
                <a:endParaRPr lang="en-US" sz="800" b="1"/>
              </a:p>
            </c:rich>
          </c:tx>
          <c:layout/>
          <c:overlay val="0"/>
        </c:title>
        <c:numFmt formatCode="0.0"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91427968"/>
        <c:crosses val="max"/>
        <c:crossBetween val="midCat"/>
        <c:majorUnit val="0.5"/>
      </c:valAx>
      <c:valAx>
        <c:axId val="91427968"/>
        <c:scaling>
          <c:orientation val="maxMin"/>
          <c:max val="1"/>
        </c:scaling>
        <c:delete val="0"/>
        <c:axPos val="l"/>
        <c:title>
          <c:tx>
            <c:rich>
              <a:bodyPr rot="-5400000" vert="horz"/>
              <a:lstStyle/>
              <a:p>
                <a:pPr>
                  <a:defRPr b="1"/>
                </a:pPr>
                <a:r>
                  <a:rPr lang="en-US" b="1"/>
                  <a:t>Lượng</a:t>
                </a:r>
                <a:r>
                  <a:rPr lang="en-US" b="1" baseline="0"/>
                  <a:t> sót sàng tích lũy (%)</a:t>
                </a:r>
                <a:endParaRPr lang="vi-VN" b="1"/>
              </a:p>
            </c:rich>
          </c:tx>
          <c:layout>
            <c:manualLayout>
              <c:xMode val="edge"/>
              <c:yMode val="edge"/>
              <c:x val="8.3143464539067059E-3"/>
              <c:y val="0.23624088092732812"/>
            </c:manualLayout>
          </c:layout>
          <c:overlay val="0"/>
        </c:title>
        <c:numFmt formatCode="0%"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87813120"/>
        <c:crosses val="autoZero"/>
        <c:crossBetween val="midCat"/>
      </c:valAx>
    </c:plotArea>
    <c:legend>
      <c:legendPos val="r"/>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23622047244094491" l="0.3543307086614173" r="0" t="0.23622047244094491" header="0.15748031496063125" footer="0.15748031496063125"/>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Times New Roman" pitchFamily="18" charset="0"/>
                <a:cs typeface="Times New Roman" pitchFamily="18" charset="0"/>
              </a:defRPr>
            </a:pPr>
            <a:r>
              <a:rPr lang="en-US" b="1">
                <a:latin typeface="Times New Roman" pitchFamily="18" charset="0"/>
                <a:cs typeface="Times New Roman" pitchFamily="18" charset="0"/>
              </a:rPr>
              <a:t>Thành</a:t>
            </a:r>
            <a:r>
              <a:rPr lang="en-US" b="1" baseline="0">
                <a:latin typeface="Times New Roman" pitchFamily="18" charset="0"/>
                <a:cs typeface="Times New Roman" pitchFamily="18" charset="0"/>
              </a:rPr>
              <a:t> phần hạt/ </a:t>
            </a:r>
            <a:r>
              <a:rPr lang="en-US" b="1" i="1" baseline="0">
                <a:latin typeface="Times New Roman" pitchFamily="18" charset="0"/>
                <a:cs typeface="Times New Roman" pitchFamily="18" charset="0"/>
              </a:rPr>
              <a:t>Grading</a:t>
            </a:r>
            <a:endParaRPr lang="en-US" b="1" i="1">
              <a:latin typeface="Times New Roman" pitchFamily="18" charset="0"/>
              <a:cs typeface="Times New Roman" pitchFamily="18" charset="0"/>
            </a:endParaRPr>
          </a:p>
        </c:rich>
      </c:tx>
      <c:overlay val="0"/>
    </c:title>
    <c:autoTitleDeleted val="0"/>
    <c:plotArea>
      <c:layout>
        <c:manualLayout>
          <c:layoutTarget val="inner"/>
          <c:xMode val="edge"/>
          <c:yMode val="edge"/>
          <c:x val="7.5688785838549724E-2"/>
          <c:y val="0.14071683537422439"/>
          <c:w val="0.7015622640856205"/>
          <c:h val="0.73294369968506101"/>
        </c:manualLayout>
      </c:layout>
      <c:scatterChart>
        <c:scatterStyle val="lineMarker"/>
        <c:varyColors val="0"/>
        <c:ser>
          <c:idx val="3"/>
          <c:order val="0"/>
          <c:tx>
            <c:v>Line 1</c:v>
          </c:tx>
          <c:spPr>
            <a:ln w="38100"/>
          </c:spPr>
          <c:marker>
            <c:spPr>
              <a:ln w="38100"/>
            </c:spPr>
          </c:marker>
          <c:xVal>
            <c:numLit>
              <c:formatCode>General</c:formatCode>
              <c:ptCount val="3"/>
              <c:pt idx="0">
                <c:v>20</c:v>
              </c:pt>
              <c:pt idx="1">
                <c:v>10</c:v>
              </c:pt>
              <c:pt idx="2">
                <c:v>5</c:v>
              </c:pt>
            </c:numLit>
          </c:xVal>
          <c:yVal>
            <c:numRef>
              <c:f>TPHt!$J$1:$L$1</c:f>
              <c:numCache>
                <c:formatCode>0.0%</c:formatCode>
                <c:ptCount val="3"/>
                <c:pt idx="0">
                  <c:v>1.0362694300518135E-2</c:v>
                </c:pt>
                <c:pt idx="1">
                  <c:v>0.5803108808290155</c:v>
                </c:pt>
                <c:pt idx="2">
                  <c:v>0.99481865284974091</c:v>
                </c:pt>
              </c:numCache>
            </c:numRef>
          </c:yVal>
          <c:smooth val="0"/>
          <c:extLst xmlns:c16r2="http://schemas.microsoft.com/office/drawing/2015/06/chart">
            <c:ext xmlns:c16="http://schemas.microsoft.com/office/drawing/2014/chart" uri="{C3380CC4-5D6E-409C-BE32-E72D297353CC}">
              <c16:uniqueId val="{00000000-FDF1-413E-849B-564B9D8EF4F3}"/>
            </c:ext>
          </c:extLst>
        </c:ser>
        <c:ser>
          <c:idx val="2"/>
          <c:order val="1"/>
          <c:tx>
            <c:v>Line 2</c:v>
          </c:tx>
          <c:spPr>
            <a:ln w="38100">
              <a:solidFill>
                <a:srgbClr val="00B050"/>
              </a:solidFill>
            </a:ln>
          </c:spPr>
          <c:marker>
            <c:symbol val="triangle"/>
            <c:size val="5"/>
            <c:spPr>
              <a:ln w="38100">
                <a:solidFill>
                  <a:srgbClr val="00B050"/>
                </a:solidFill>
                <a:prstDash val="sysDash"/>
              </a:ln>
            </c:spPr>
          </c:marker>
          <c:xVal>
            <c:numLit>
              <c:formatCode>General</c:formatCode>
              <c:ptCount val="3"/>
              <c:pt idx="0">
                <c:v>20</c:v>
              </c:pt>
              <c:pt idx="1">
                <c:v>10</c:v>
              </c:pt>
              <c:pt idx="2">
                <c:v>5</c:v>
              </c:pt>
            </c:numLit>
          </c:xVal>
          <c:yVal>
            <c:numRef>
              <c:f>TPHt!$J$2:$L$2</c:f>
              <c:numCache>
                <c:formatCode>0.0%</c:formatCode>
                <c:ptCount val="3"/>
                <c:pt idx="0">
                  <c:v>0.34868421052631576</c:v>
                </c:pt>
                <c:pt idx="1">
                  <c:v>0.88157894736842102</c:v>
                </c:pt>
                <c:pt idx="2">
                  <c:v>0.99342105263157898</c:v>
                </c:pt>
              </c:numCache>
            </c:numRef>
          </c:yVal>
          <c:smooth val="0"/>
          <c:extLst xmlns:c16r2="http://schemas.microsoft.com/office/drawing/2015/06/chart">
            <c:ext xmlns:c16="http://schemas.microsoft.com/office/drawing/2014/chart" uri="{C3380CC4-5D6E-409C-BE32-E72D297353CC}">
              <c16:uniqueId val="{00000002-B4AD-45D4-A7D5-F09D3F305D3E}"/>
            </c:ext>
          </c:extLst>
        </c:ser>
        <c:ser>
          <c:idx val="0"/>
          <c:order val="2"/>
          <c:tx>
            <c:v>CẬN TRÊN</c:v>
          </c:tx>
          <c:spPr>
            <a:ln>
              <a:solidFill>
                <a:schemeClr val="tx1"/>
              </a:solidFill>
              <a:prstDash val="dash"/>
            </a:ln>
          </c:spPr>
          <c:marker>
            <c:symbol val="diamond"/>
            <c:size val="5"/>
            <c:spPr>
              <a:ln w="12700">
                <a:solidFill>
                  <a:schemeClr val="tx1"/>
                </a:solidFill>
                <a:prstDash val="dash"/>
              </a:ln>
            </c:spPr>
          </c:marker>
          <c:xVal>
            <c:numLit>
              <c:formatCode>General</c:formatCode>
              <c:ptCount val="4"/>
              <c:pt idx="0">
                <c:v>20</c:v>
              </c:pt>
              <c:pt idx="1">
                <c:v>10</c:v>
              </c:pt>
              <c:pt idx="2">
                <c:v>5</c:v>
              </c:pt>
              <c:pt idx="3">
                <c:v>0</c:v>
              </c:pt>
            </c:numLit>
          </c:xVal>
          <c:yVal>
            <c:numLit>
              <c:formatCode>General</c:formatCode>
              <c:ptCount val="4"/>
              <c:pt idx="0">
                <c:v>0.1</c:v>
              </c:pt>
              <c:pt idx="1">
                <c:v>0.70000000000000007</c:v>
              </c:pt>
              <c:pt idx="2">
                <c:v>1</c:v>
              </c:pt>
              <c:pt idx="3">
                <c:v>1</c:v>
              </c:pt>
            </c:numLit>
          </c:yVal>
          <c:smooth val="0"/>
          <c:extLst xmlns:c16r2="http://schemas.microsoft.com/office/drawing/2015/06/chart">
            <c:ext xmlns:c16="http://schemas.microsoft.com/office/drawing/2014/chart" uri="{C3380CC4-5D6E-409C-BE32-E72D297353CC}">
              <c16:uniqueId val="{00000000-B4AD-45D4-A7D5-F09D3F305D3E}"/>
            </c:ext>
          </c:extLst>
        </c:ser>
        <c:ser>
          <c:idx val="1"/>
          <c:order val="3"/>
          <c:tx>
            <c:v>CẬN DƯỚI</c:v>
          </c:tx>
          <c:spPr>
            <a:ln>
              <a:solidFill>
                <a:schemeClr val="tx1"/>
              </a:solidFill>
              <a:prstDash val="dash"/>
            </a:ln>
          </c:spPr>
          <c:marker>
            <c:symbol val="square"/>
            <c:size val="4"/>
            <c:spPr>
              <a:ln w="12700">
                <a:solidFill>
                  <a:schemeClr val="tx1"/>
                </a:solidFill>
                <a:prstDash val="dash"/>
              </a:ln>
            </c:spPr>
          </c:marker>
          <c:xVal>
            <c:numLit>
              <c:formatCode>General</c:formatCode>
              <c:ptCount val="4"/>
              <c:pt idx="0">
                <c:v>20</c:v>
              </c:pt>
              <c:pt idx="1">
                <c:v>10</c:v>
              </c:pt>
              <c:pt idx="2">
                <c:v>5</c:v>
              </c:pt>
              <c:pt idx="3">
                <c:v>0</c:v>
              </c:pt>
            </c:numLit>
          </c:xVal>
          <c:yVal>
            <c:numLit>
              <c:formatCode>General</c:formatCode>
              <c:ptCount val="4"/>
              <c:pt idx="0">
                <c:v>0</c:v>
              </c:pt>
              <c:pt idx="1">
                <c:v>0.4</c:v>
              </c:pt>
              <c:pt idx="2">
                <c:v>0.9</c:v>
              </c:pt>
              <c:pt idx="3">
                <c:v>1</c:v>
              </c:pt>
            </c:numLit>
          </c:yVal>
          <c:smooth val="0"/>
          <c:extLst xmlns:c16r2="http://schemas.microsoft.com/office/drawing/2015/06/chart">
            <c:ext xmlns:c16="http://schemas.microsoft.com/office/drawing/2014/chart" uri="{C3380CC4-5D6E-409C-BE32-E72D297353CC}">
              <c16:uniqueId val="{00000001-B4AD-45D4-A7D5-F09D3F305D3E}"/>
            </c:ext>
          </c:extLst>
        </c:ser>
        <c:dLbls>
          <c:showLegendKey val="0"/>
          <c:showVal val="0"/>
          <c:showCatName val="0"/>
          <c:showSerName val="0"/>
          <c:showPercent val="0"/>
          <c:showBubbleSize val="0"/>
        </c:dLbls>
        <c:axId val="91919488"/>
        <c:axId val="91921024"/>
      </c:scatterChart>
      <c:valAx>
        <c:axId val="91919488"/>
        <c:scaling>
          <c:orientation val="minMax"/>
          <c:max val="20"/>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1921024"/>
        <c:crosses val="max"/>
        <c:crossBetween val="midCat"/>
        <c:majorUnit val="5"/>
      </c:valAx>
      <c:valAx>
        <c:axId val="91921024"/>
        <c:scaling>
          <c:orientation val="maxMin"/>
          <c:max val="1"/>
          <c:min val="0"/>
        </c:scaling>
        <c:delete val="0"/>
        <c:axPos val="l"/>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1919488"/>
        <c:crosses val="autoZero"/>
        <c:crossBetween val="midCat"/>
      </c:valAx>
    </c:plotArea>
    <c:legend>
      <c:legendPos val="r"/>
      <c:layout>
        <c:manualLayout>
          <c:xMode val="edge"/>
          <c:yMode val="edge"/>
          <c:x val="0.77933123560319806"/>
          <c:y val="0.27003125226095243"/>
          <c:w val="0.16616137498941663"/>
          <c:h val="0.21349601647468394"/>
        </c:manualLayout>
      </c:layout>
      <c:overlay val="0"/>
      <c:txPr>
        <a:bodyPr/>
        <a:lstStyle/>
        <a:p>
          <a:pPr>
            <a:defRPr sz="800" b="0" i="0" u="none" strike="noStrike" baseline="0">
              <a:solidFill>
                <a:srgbClr val="000000"/>
              </a:solidFill>
              <a:latin typeface="Times New Roman" pitchFamily="18" charset="0"/>
              <a:ea typeface="Calibri"/>
              <a:cs typeface="Times New Roman" pitchFamily="18"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23622047244094491" l="0.3543307086614173" r="0" t="0.23622047244094491" header="0.15748031496063114" footer="0.15748031496063114"/>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Times New Roman" pitchFamily="18" charset="0"/>
                <a:cs typeface="Times New Roman" pitchFamily="18" charset="0"/>
              </a:defRPr>
            </a:pPr>
            <a:r>
              <a:rPr lang="en-US" b="1">
                <a:latin typeface="Times New Roman" pitchFamily="18" charset="0"/>
                <a:cs typeface="Times New Roman" pitchFamily="18" charset="0"/>
              </a:rPr>
              <a:t>Thành</a:t>
            </a:r>
            <a:r>
              <a:rPr lang="en-US" b="1" baseline="0">
                <a:latin typeface="Times New Roman" pitchFamily="18" charset="0"/>
                <a:cs typeface="Times New Roman" pitchFamily="18" charset="0"/>
              </a:rPr>
              <a:t> phần hạt/ </a:t>
            </a:r>
            <a:r>
              <a:rPr lang="en-US" b="1" i="1" baseline="0">
                <a:latin typeface="Times New Roman" pitchFamily="18" charset="0"/>
                <a:cs typeface="Times New Roman" pitchFamily="18" charset="0"/>
              </a:rPr>
              <a:t>Grading</a:t>
            </a:r>
            <a:endParaRPr lang="en-US" b="1" i="1">
              <a:latin typeface="Times New Roman" pitchFamily="18" charset="0"/>
              <a:cs typeface="Times New Roman" pitchFamily="18" charset="0"/>
            </a:endParaRPr>
          </a:p>
        </c:rich>
      </c:tx>
      <c:overlay val="0"/>
    </c:title>
    <c:autoTitleDeleted val="0"/>
    <c:plotArea>
      <c:layout>
        <c:manualLayout>
          <c:layoutTarget val="inner"/>
          <c:xMode val="edge"/>
          <c:yMode val="edge"/>
          <c:x val="9.8553320083844251E-2"/>
          <c:y val="0.14071696272518291"/>
          <c:w val="0.6788309700901809"/>
          <c:h val="0.73294369968506135"/>
        </c:manualLayout>
      </c:layout>
      <c:scatterChart>
        <c:scatterStyle val="lineMarker"/>
        <c:varyColors val="0"/>
        <c:ser>
          <c:idx val="0"/>
          <c:order val="0"/>
          <c:tx>
            <c:v>1</c:v>
          </c:tx>
          <c:spPr>
            <a:ln w="12700">
              <a:solidFill>
                <a:srgbClr val="FFC000"/>
              </a:solidFill>
              <a:prstDash val="dash"/>
            </a:ln>
          </c:spPr>
          <c:marker>
            <c:spPr>
              <a:ln w="12700">
                <a:solidFill>
                  <a:srgbClr val="FFC000"/>
                </a:solidFill>
                <a:prstDash val="dash"/>
              </a:ln>
            </c:spPr>
          </c:marker>
          <c:xVal>
            <c:numLit>
              <c:formatCode>General</c:formatCode>
              <c:ptCount val="9"/>
              <c:pt idx="0">
                <c:v>20</c:v>
              </c:pt>
              <c:pt idx="1">
                <c:v>10</c:v>
              </c:pt>
              <c:pt idx="2">
                <c:v>5</c:v>
              </c:pt>
              <c:pt idx="3">
                <c:v>2.5</c:v>
              </c:pt>
              <c:pt idx="4">
                <c:v>1.25</c:v>
              </c:pt>
              <c:pt idx="5">
                <c:v>0.63000000000000012</c:v>
              </c:pt>
              <c:pt idx="6">
                <c:v>0.31500000000000006</c:v>
              </c:pt>
              <c:pt idx="7">
                <c:v>0.14000000000000001</c:v>
              </c:pt>
              <c:pt idx="8">
                <c:v>0</c:v>
              </c:pt>
            </c:numLit>
          </c:xVal>
          <c:yVal>
            <c:numLit>
              <c:formatCode>General</c:formatCode>
              <c:ptCount val="9"/>
              <c:pt idx="0">
                <c:v>0</c:v>
              </c:pt>
              <c:pt idx="1">
                <c:v>0.30000000000000004</c:v>
              </c:pt>
              <c:pt idx="2">
                <c:v>0.45</c:v>
              </c:pt>
              <c:pt idx="3">
                <c:v>0.55000000000000004</c:v>
              </c:pt>
              <c:pt idx="4">
                <c:v>0.60000000000000009</c:v>
              </c:pt>
              <c:pt idx="5">
                <c:v>0.65000000000000013</c:v>
              </c:pt>
              <c:pt idx="6">
                <c:v>0.75000000000000011</c:v>
              </c:pt>
              <c:pt idx="7">
                <c:v>1</c:v>
              </c:pt>
              <c:pt idx="8">
                <c:v>1</c:v>
              </c:pt>
            </c:numLit>
          </c:yVal>
          <c:smooth val="0"/>
          <c:extLst xmlns:c16r2="http://schemas.microsoft.com/office/drawing/2015/06/chart">
            <c:ext xmlns:c16="http://schemas.microsoft.com/office/drawing/2014/chart" uri="{C3380CC4-5D6E-409C-BE32-E72D297353CC}">
              <c16:uniqueId val="{00000002-7310-477C-846E-1AF10A501666}"/>
            </c:ext>
          </c:extLst>
        </c:ser>
        <c:ser>
          <c:idx val="1"/>
          <c:order val="1"/>
          <c:tx>
            <c:v>2</c:v>
          </c:tx>
          <c:spPr>
            <a:ln w="12700">
              <a:solidFill>
                <a:srgbClr val="FFC000"/>
              </a:solidFill>
              <a:prstDash val="dash"/>
            </a:ln>
          </c:spPr>
          <c:marker>
            <c:symbol val="none"/>
          </c:marker>
          <c:xVal>
            <c:numLit>
              <c:formatCode>General</c:formatCode>
              <c:ptCount val="9"/>
              <c:pt idx="0">
                <c:v>20</c:v>
              </c:pt>
              <c:pt idx="1">
                <c:v>10</c:v>
              </c:pt>
              <c:pt idx="2">
                <c:v>5</c:v>
              </c:pt>
              <c:pt idx="3">
                <c:v>2.5</c:v>
              </c:pt>
              <c:pt idx="4">
                <c:v>1.25</c:v>
              </c:pt>
              <c:pt idx="5">
                <c:v>0.63000000000000012</c:v>
              </c:pt>
              <c:pt idx="6">
                <c:v>0.31500000000000006</c:v>
              </c:pt>
              <c:pt idx="7">
                <c:v>0.14000000000000001</c:v>
              </c:pt>
              <c:pt idx="8">
                <c:v>0</c:v>
              </c:pt>
            </c:numLit>
          </c:xVal>
          <c:yVal>
            <c:numLit>
              <c:formatCode>General</c:formatCode>
              <c:ptCount val="9"/>
              <c:pt idx="0">
                <c:v>0.05</c:v>
              </c:pt>
              <c:pt idx="1">
                <c:v>0.55000000000000004</c:v>
              </c:pt>
              <c:pt idx="2">
                <c:v>0.65000000000000013</c:v>
              </c:pt>
              <c:pt idx="3">
                <c:v>0.75000000000000011</c:v>
              </c:pt>
              <c:pt idx="4">
                <c:v>0.8</c:v>
              </c:pt>
              <c:pt idx="5">
                <c:v>0.9</c:v>
              </c:pt>
              <c:pt idx="6">
                <c:v>0.95000000000000007</c:v>
              </c:pt>
              <c:pt idx="7">
                <c:v>1</c:v>
              </c:pt>
              <c:pt idx="8">
                <c:v>1</c:v>
              </c:pt>
            </c:numLit>
          </c:yVal>
          <c:smooth val="0"/>
          <c:extLst xmlns:c16r2="http://schemas.microsoft.com/office/drawing/2015/06/chart">
            <c:ext xmlns:c16="http://schemas.microsoft.com/office/drawing/2014/chart" uri="{C3380CC4-5D6E-409C-BE32-E72D297353CC}">
              <c16:uniqueId val="{00000003-7310-477C-846E-1AF10A501666}"/>
            </c:ext>
          </c:extLst>
        </c:ser>
        <c:ser>
          <c:idx val="2"/>
          <c:order val="2"/>
          <c:tx>
            <c:v>Line 1</c:v>
          </c:tx>
          <c:spPr>
            <a:ln w="28575"/>
          </c:spPr>
          <c:marker>
            <c:spPr>
              <a:ln w="28575"/>
            </c:spPr>
          </c:marker>
          <c:xVal>
            <c:numLit>
              <c:formatCode>General</c:formatCode>
              <c:ptCount val="8"/>
              <c:pt idx="0">
                <c:v>20</c:v>
              </c:pt>
              <c:pt idx="1">
                <c:v>10</c:v>
              </c:pt>
              <c:pt idx="2">
                <c:v>5</c:v>
              </c:pt>
              <c:pt idx="3">
                <c:v>2.5</c:v>
              </c:pt>
              <c:pt idx="4">
                <c:v>1.25</c:v>
              </c:pt>
              <c:pt idx="5">
                <c:v>0.63000000000000012</c:v>
              </c:pt>
              <c:pt idx="6">
                <c:v>0.31500000000000006</c:v>
              </c:pt>
              <c:pt idx="7">
                <c:v>0.14000000000000001</c:v>
              </c:pt>
            </c:numLit>
          </c:xVal>
          <c:yVal>
            <c:numRef>
              <c:f>Kethop!$C$13:$J$13</c:f>
              <c:numCache>
                <c:formatCode>0%</c:formatCode>
                <c:ptCount val="8"/>
                <c:pt idx="0">
                  <c:v>8.1683168316831686E-2</c:v>
                </c:pt>
                <c:pt idx="1">
                  <c:v>0.37871287128712872</c:v>
                </c:pt>
                <c:pt idx="2">
                  <c:v>0.49628712871287128</c:v>
                </c:pt>
                <c:pt idx="3">
                  <c:v>0.53146300810985625</c:v>
                </c:pt>
                <c:pt idx="4">
                  <c:v>0.66211627444151455</c:v>
                </c:pt>
                <c:pt idx="5">
                  <c:v>0.83297054579829843</c:v>
                </c:pt>
                <c:pt idx="6">
                  <c:v>0.9334730583611125</c:v>
                </c:pt>
                <c:pt idx="7">
                  <c:v>0.99377456589880098</c:v>
                </c:pt>
              </c:numCache>
            </c:numRef>
          </c:yVal>
          <c:smooth val="0"/>
          <c:extLst xmlns:c16r2="http://schemas.microsoft.com/office/drawing/2015/06/chart">
            <c:ext xmlns:c16="http://schemas.microsoft.com/office/drawing/2014/chart" uri="{C3380CC4-5D6E-409C-BE32-E72D297353CC}">
              <c16:uniqueId val="{00000006-7310-477C-846E-1AF10A501666}"/>
            </c:ext>
          </c:extLst>
        </c:ser>
        <c:dLbls>
          <c:showLegendKey val="0"/>
          <c:showVal val="0"/>
          <c:showCatName val="0"/>
          <c:showSerName val="0"/>
          <c:showPercent val="0"/>
          <c:showBubbleSize val="0"/>
        </c:dLbls>
        <c:axId val="92032384"/>
        <c:axId val="92046848"/>
      </c:scatterChart>
      <c:valAx>
        <c:axId val="92032384"/>
        <c:scaling>
          <c:orientation val="minMax"/>
          <c:max val="20"/>
          <c:min val="0"/>
        </c:scaling>
        <c:delete val="0"/>
        <c:axPos val="b"/>
        <c:title>
          <c:tx>
            <c:rich>
              <a:bodyPr/>
              <a:lstStyle/>
              <a:p>
                <a:pPr>
                  <a:defRPr sz="800"/>
                </a:pPr>
                <a:r>
                  <a:rPr lang="en-US" sz="800" b="1"/>
                  <a:t>Kích</a:t>
                </a:r>
                <a:r>
                  <a:rPr lang="en-US" sz="800" b="1" baseline="0"/>
                  <a:t> thước mắt sàng (mm)</a:t>
                </a:r>
                <a:endParaRPr lang="en-US" sz="800" b="1"/>
              </a:p>
            </c:rich>
          </c:tx>
          <c:overlay val="0"/>
        </c:title>
        <c:numFmt formatCode="0.0"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92046848"/>
        <c:crosses val="max"/>
        <c:crossBetween val="midCat"/>
      </c:valAx>
      <c:valAx>
        <c:axId val="92046848"/>
        <c:scaling>
          <c:orientation val="maxMin"/>
          <c:max val="1"/>
        </c:scaling>
        <c:delete val="0"/>
        <c:axPos val="l"/>
        <c:title>
          <c:tx>
            <c:rich>
              <a:bodyPr rot="-5400000" vert="horz"/>
              <a:lstStyle/>
              <a:p>
                <a:pPr>
                  <a:defRPr b="1"/>
                </a:pPr>
                <a:r>
                  <a:rPr lang="en-US" b="1"/>
                  <a:t>Lượng</a:t>
                </a:r>
                <a:r>
                  <a:rPr lang="en-US" b="1" baseline="0"/>
                  <a:t> sót sàng tích lũy (%)</a:t>
                </a:r>
                <a:endParaRPr lang="vi-VN" b="1"/>
              </a:p>
            </c:rich>
          </c:tx>
          <c:layout>
            <c:manualLayout>
              <c:xMode val="edge"/>
              <c:yMode val="edge"/>
              <c:x val="8.3143464539067059E-3"/>
              <c:y val="0.23624088092732812"/>
            </c:manualLayout>
          </c:layout>
          <c:overlay val="0"/>
        </c:title>
        <c:numFmt formatCode="0%"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92032384"/>
        <c:crosses val="autoZero"/>
        <c:crossBetween val="midCat"/>
      </c:valAx>
    </c:plotArea>
    <c:legend>
      <c:legendPos val="r"/>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23622047244094491" l="0.3543307086614173" r="0" t="0.23622047244094491" header="0.15748031496063125" footer="0.15748031496063125"/>
    <c:pageSetup orientation="portrait"/>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22" fmlaLink="$N$2" max="30000" min="3" noThreeD="1" page="10" val="10"/>
</file>

<file path=xl/ctrlProps/ctrlProp2.xml><?xml version="1.0" encoding="utf-8"?>
<formControlPr xmlns="http://schemas.microsoft.com/office/spreadsheetml/2009/9/main" objectType="Spin" dx="22" fmlaLink="$N$1" max="30000" min="3" noThreeD="1" page="10" val="4"/>
</file>

<file path=xl/ctrlProps/ctrlProp3.xml><?xml version="1.0" encoding="utf-8"?>
<formControlPr xmlns="http://schemas.microsoft.com/office/spreadsheetml/2009/9/main" objectType="Spin" dx="22" fmlaLink="$N$2" max="30000" min="3" noThreeD="1" page="10" val="8"/>
</file>

<file path=xl/ctrlProps/ctrlProp4.xml><?xml version="1.0" encoding="utf-8"?>
<formControlPr xmlns="http://schemas.microsoft.com/office/spreadsheetml/2009/9/main" objectType="Spin" dx="22" fmlaLink="$N$1" max="30000" min="3" noThreeD="1" page="10" val="5"/>
</file>

<file path=xl/ctrlProps/ctrlProp5.xml><?xml version="1.0" encoding="utf-8"?>
<formControlPr xmlns="http://schemas.microsoft.com/office/spreadsheetml/2009/9/main" objectType="Spin" dx="22" fmlaLink="$P$2" max="30000" noThreeD="1" page="10" val="4"/>
</file>

<file path=xl/ctrlProps/ctrlProp6.xml><?xml version="1.0" encoding="utf-8"?>
<formControlPr xmlns="http://schemas.microsoft.com/office/spreadsheetml/2009/9/main" objectType="Spin" dx="22" fmlaLink="$P$5" max="30000" noThreeD="1" page="10" val="7"/>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1</xdr:rowOff>
    </xdr:from>
    <xdr:to>
      <xdr:col>17</xdr:col>
      <xdr:colOff>314325</xdr:colOff>
      <xdr:row>32</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247650</xdr:colOff>
      <xdr:row>0</xdr:row>
      <xdr:rowOff>47626</xdr:rowOff>
    </xdr:from>
    <xdr:to>
      <xdr:col>22</xdr:col>
      <xdr:colOff>295275</xdr:colOff>
      <xdr:row>32</xdr:row>
      <xdr:rowOff>95250</xdr:rowOff>
    </xdr:to>
    <xdr:grpSp>
      <xdr:nvGrpSpPr>
        <xdr:cNvPr id="8" name="Group 7"/>
        <xdr:cNvGrpSpPr/>
      </xdr:nvGrpSpPr>
      <xdr:grpSpPr>
        <a:xfrm>
          <a:off x="11877675" y="47626"/>
          <a:ext cx="3400425" cy="6534149"/>
          <a:chOff x="4204381" y="4829176"/>
          <a:chExt cx="9012129" cy="1571624"/>
        </a:xfrm>
      </xdr:grpSpPr>
      <xdr:sp macro="" textlink="">
        <xdr:nvSpPr>
          <xdr:cNvPr id="5" name="Rounded Rectangle 4"/>
          <xdr:cNvSpPr/>
        </xdr:nvSpPr>
        <xdr:spPr>
          <a:xfrm>
            <a:off x="4204381" y="4829176"/>
            <a:ext cx="9012129" cy="156209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 name="Group 6"/>
          <xdr:cNvGrpSpPr/>
        </xdr:nvGrpSpPr>
        <xdr:grpSpPr>
          <a:xfrm>
            <a:off x="4817632" y="4848225"/>
            <a:ext cx="7652309" cy="1552575"/>
            <a:chOff x="4817632" y="4848225"/>
            <a:chExt cx="7652309" cy="1552575"/>
          </a:xfrm>
        </xdr:grpSpPr>
        <xdr:sp macro="" textlink="">
          <xdr:nvSpPr>
            <xdr:cNvPr id="6" name="Rectangle 5"/>
            <xdr:cNvSpPr>
              <a:spLocks noTextEdit="1"/>
            </xdr:cNvSpPr>
          </xdr:nvSpPr>
          <xdr:spPr>
            <a:xfrm>
              <a:off x="13303013" y="126824"/>
              <a:ext cx="1693394" cy="6454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sp macro="" textlink="">
          <xdr:nvSpPr>
            <xdr:cNvPr id="9" name="Rectangle 8"/>
            <xdr:cNvSpPr>
              <a:spLocks noTextEdit="1"/>
            </xdr:cNvSpPr>
          </xdr:nvSpPr>
          <xdr:spPr>
            <a:xfrm>
              <a:off x="12109065" y="127057"/>
              <a:ext cx="1183168" cy="6375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28575</xdr:rowOff>
    </xdr:from>
    <xdr:to>
      <xdr:col>10</xdr:col>
      <xdr:colOff>19050</xdr:colOff>
      <xdr:row>1</xdr:row>
      <xdr:rowOff>2476499</xdr:rowOff>
    </xdr:to>
    <xdr:graphicFrame macro="">
      <xdr:nvGraphicFramePr>
        <xdr:cNvPr id="2" name="TP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13</xdr:col>
          <xdr:colOff>38100</xdr:colOff>
          <xdr:row>1</xdr:row>
          <xdr:rowOff>466725</xdr:rowOff>
        </xdr:from>
        <xdr:to>
          <xdr:col>13</xdr:col>
          <xdr:colOff>638175</xdr:colOff>
          <xdr:row>1</xdr:row>
          <xdr:rowOff>1647825</xdr:rowOff>
        </xdr:to>
        <xdr:sp macro="" textlink="">
          <xdr:nvSpPr>
            <xdr:cNvPr id="5138" name="Spinner 18" hidden="1">
              <a:extLst>
                <a:ext uri="{63B3BB69-23CF-44E3-9099-C40C66FF867C}">
                  <a14:compatExt spid="_x0000_s5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28575</xdr:colOff>
          <xdr:row>0</xdr:row>
          <xdr:rowOff>409575</xdr:rowOff>
        </xdr:from>
        <xdr:to>
          <xdr:col>13</xdr:col>
          <xdr:colOff>628650</xdr:colOff>
          <xdr:row>0</xdr:row>
          <xdr:rowOff>1590675</xdr:rowOff>
        </xdr:to>
        <xdr:sp macro="" textlink="">
          <xdr:nvSpPr>
            <xdr:cNvPr id="5139" name="Spinner 19" hidden="1">
              <a:extLst>
                <a:ext uri="{63B3BB69-23CF-44E3-9099-C40C66FF867C}">
                  <a14:compatExt spid="_x0000_s5139"/>
                </a:ext>
              </a:extLst>
            </xdr:cNvPr>
            <xdr:cNvSpPr/>
          </xdr:nvSpPr>
          <xdr:spPr>
            <a:xfrm>
              <a:off x="0" y="0"/>
              <a:ext cx="0" cy="0"/>
            </a:xfrm>
            <a:prstGeom prst="rect">
              <a:avLst/>
            </a:prstGeom>
          </xdr:spPr>
        </xdr:sp>
        <xdr:clientData/>
      </xdr:twoCellAnchor>
    </mc:Choice>
    <mc:Fallback/>
  </mc:AlternateContent>
</xdr:wsDr>
</file>

<file path=xl/drawings/drawing3.xml><?xml version="1.0" encoding="utf-8"?>
<c:userShapes xmlns:c="http://schemas.openxmlformats.org/drawingml/2006/chart">
  <cdr:relSizeAnchor xmlns:cdr="http://schemas.openxmlformats.org/drawingml/2006/chartDrawing">
    <cdr:from>
      <cdr:x>0.79016</cdr:x>
      <cdr:y>0.1473</cdr:y>
    </cdr:from>
    <cdr:to>
      <cdr:x>0.98254</cdr:x>
      <cdr:y>0.27298</cdr:y>
    </cdr:to>
    <cdr:sp macro="" textlink="">
      <cdr:nvSpPr>
        <cdr:cNvPr id="2" name="TextBox 1"/>
        <cdr:cNvSpPr txBox="1"/>
      </cdr:nvSpPr>
      <cdr:spPr>
        <a:xfrm xmlns:a="http://schemas.openxmlformats.org/drawingml/2006/main">
          <a:off x="4741532" y="503677"/>
          <a:ext cx="1154443" cy="42977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Vùng</a:t>
          </a:r>
          <a:r>
            <a:rPr lang="en-US" sz="900" baseline="0"/>
            <a:t> 1: Cát thô-vừa</a:t>
          </a:r>
        </a:p>
        <a:p xmlns:a="http://schemas.openxmlformats.org/drawingml/2006/main">
          <a:r>
            <a:rPr lang="en-US" sz="900" baseline="0"/>
            <a:t>Vùng 2: Cát mịn</a:t>
          </a:r>
          <a:endParaRPr lang="en-US" sz="900"/>
        </a:p>
      </cdr:txBody>
    </cdr:sp>
  </cdr:relSizeAnchor>
  <cdr:relSizeAnchor xmlns:cdr="http://schemas.openxmlformats.org/drawingml/2006/chartDrawing">
    <cdr:from>
      <cdr:x>0.23852</cdr:x>
      <cdr:y>0.26459</cdr:y>
    </cdr:from>
    <cdr:to>
      <cdr:x>0.33925</cdr:x>
      <cdr:y>0.346</cdr:y>
    </cdr:to>
    <cdr:sp macro="" textlink="">
      <cdr:nvSpPr>
        <cdr:cNvPr id="3" name="TextBox 2"/>
        <cdr:cNvSpPr txBox="1"/>
      </cdr:nvSpPr>
      <cdr:spPr>
        <a:xfrm xmlns:a="http://schemas.openxmlformats.org/drawingml/2006/main">
          <a:off x="1457324" y="714378"/>
          <a:ext cx="615462" cy="2198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Vùng</a:t>
          </a:r>
          <a:r>
            <a:rPr lang="en-US" sz="900" baseline="0"/>
            <a:t> 1</a:t>
          </a:r>
          <a:endParaRPr lang="en-US" sz="900"/>
        </a:p>
      </cdr:txBody>
    </cdr:sp>
  </cdr:relSizeAnchor>
  <cdr:relSizeAnchor xmlns:cdr="http://schemas.openxmlformats.org/drawingml/2006/chartDrawing">
    <cdr:from>
      <cdr:x>0.12579</cdr:x>
      <cdr:y>0.18046</cdr:y>
    </cdr:from>
    <cdr:to>
      <cdr:x>0.22653</cdr:x>
      <cdr:y>0.26187</cdr:y>
    </cdr:to>
    <cdr:sp macro="" textlink="">
      <cdr:nvSpPr>
        <cdr:cNvPr id="4" name="TextBox 3"/>
        <cdr:cNvSpPr txBox="1"/>
      </cdr:nvSpPr>
      <cdr:spPr>
        <a:xfrm xmlns:a="http://schemas.openxmlformats.org/drawingml/2006/main">
          <a:off x="768593" y="487244"/>
          <a:ext cx="615462" cy="2198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Vùng</a:t>
          </a:r>
          <a:r>
            <a:rPr lang="en-US" sz="900" baseline="0"/>
            <a:t> 2</a:t>
          </a:r>
          <a:endParaRPr lang="en-US" sz="9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28576</xdr:colOff>
      <xdr:row>0</xdr:row>
      <xdr:rowOff>28575</xdr:rowOff>
    </xdr:from>
    <xdr:to>
      <xdr:col>7</xdr:col>
      <xdr:colOff>533401</xdr:colOff>
      <xdr:row>2</xdr:row>
      <xdr:rowOff>1</xdr:rowOff>
    </xdr:to>
    <xdr:graphicFrame macro="">
      <xdr:nvGraphicFramePr>
        <xdr:cNvPr id="2" name="TP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13</xdr:col>
          <xdr:colOff>28575</xdr:colOff>
          <xdr:row>1</xdr:row>
          <xdr:rowOff>323850</xdr:rowOff>
        </xdr:from>
        <xdr:to>
          <xdr:col>13</xdr:col>
          <xdr:colOff>581025</xdr:colOff>
          <xdr:row>1</xdr:row>
          <xdr:rowOff>1152525</xdr:rowOff>
        </xdr:to>
        <xdr:sp macro="" textlink="">
          <xdr:nvSpPr>
            <xdr:cNvPr id="6145" name="Spinner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28575</xdr:colOff>
          <xdr:row>0</xdr:row>
          <xdr:rowOff>323850</xdr:rowOff>
        </xdr:from>
        <xdr:to>
          <xdr:col>13</xdr:col>
          <xdr:colOff>581025</xdr:colOff>
          <xdr:row>0</xdr:row>
          <xdr:rowOff>1152525</xdr:rowOff>
        </xdr:to>
        <xdr:sp macro="" textlink="">
          <xdr:nvSpPr>
            <xdr:cNvPr id="6146" name="Spinner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10</xdr:col>
      <xdr:colOff>600075</xdr:colOff>
      <xdr:row>11</xdr:row>
      <xdr:rowOff>57150</xdr:rowOff>
    </xdr:to>
    <xdr:graphicFrame macro="">
      <xdr:nvGraphicFramePr>
        <xdr:cNvPr id="7" name="TP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15</xdr:col>
          <xdr:colOff>114300</xdr:colOff>
          <xdr:row>1</xdr:row>
          <xdr:rowOff>323850</xdr:rowOff>
        </xdr:from>
        <xdr:to>
          <xdr:col>15</xdr:col>
          <xdr:colOff>552450</xdr:colOff>
          <xdr:row>1</xdr:row>
          <xdr:rowOff>723900</xdr:rowOff>
        </xdr:to>
        <xdr:sp macro="" textlink="">
          <xdr:nvSpPr>
            <xdr:cNvPr id="10248" name="Spinner 8" hidden="1">
              <a:extLst>
                <a:ext uri="{63B3BB69-23CF-44E3-9099-C40C66FF867C}">
                  <a14:compatExt spid="_x0000_s10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114300</xdr:colOff>
          <xdr:row>4</xdr:row>
          <xdr:rowOff>266700</xdr:rowOff>
        </xdr:from>
        <xdr:to>
          <xdr:col>15</xdr:col>
          <xdr:colOff>552450</xdr:colOff>
          <xdr:row>4</xdr:row>
          <xdr:rowOff>666750</xdr:rowOff>
        </xdr:to>
        <xdr:sp macro="" textlink="">
          <xdr:nvSpPr>
            <xdr:cNvPr id="10249" name="Spinner 9" hidden="1">
              <a:extLst>
                <a:ext uri="{63B3BB69-23CF-44E3-9099-C40C66FF867C}">
                  <a14:compatExt spid="_x0000_s10249"/>
                </a:ext>
              </a:extLst>
            </xdr:cNvPr>
            <xdr:cNvSpPr/>
          </xdr:nvSpPr>
          <xdr:spPr>
            <a:xfrm>
              <a:off x="0" y="0"/>
              <a:ext cx="0" cy="0"/>
            </a:xfrm>
            <a:prstGeom prst="rect">
              <a:avLst/>
            </a:prstGeom>
          </xdr:spPr>
        </xdr:sp>
        <xdr:clientData/>
      </xdr:twoCellAnchor>
    </mc:Choice>
    <mc:Fallback/>
  </mc:AlternateContent>
</xdr:wsDr>
</file>

<file path=xl/drawings/drawing6.xml><?xml version="1.0" encoding="utf-8"?>
<c:userShapes xmlns:c="http://schemas.openxmlformats.org/drawingml/2006/chart">
  <cdr:relSizeAnchor xmlns:cdr="http://schemas.openxmlformats.org/drawingml/2006/chartDrawing">
    <cdr:from>
      <cdr:x>0.23852</cdr:x>
      <cdr:y>0.26459</cdr:y>
    </cdr:from>
    <cdr:to>
      <cdr:x>0.33925</cdr:x>
      <cdr:y>0.346</cdr:y>
    </cdr:to>
    <cdr:sp macro="" textlink="">
      <cdr:nvSpPr>
        <cdr:cNvPr id="3" name="TextBox 2"/>
        <cdr:cNvSpPr txBox="1"/>
      </cdr:nvSpPr>
      <cdr:spPr>
        <a:xfrm xmlns:a="http://schemas.openxmlformats.org/drawingml/2006/main">
          <a:off x="1457324" y="714378"/>
          <a:ext cx="615462" cy="2198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Vùng</a:t>
          </a:r>
          <a:r>
            <a:rPr lang="en-US" sz="900" baseline="0"/>
            <a:t> 1</a:t>
          </a:r>
          <a:endParaRPr lang="en-US" sz="900"/>
        </a:p>
      </cdr:txBody>
    </cdr:sp>
  </cdr:relSizeAnchor>
  <cdr:relSizeAnchor xmlns:cdr="http://schemas.openxmlformats.org/drawingml/2006/chartDrawing">
    <cdr:from>
      <cdr:x>0.12579</cdr:x>
      <cdr:y>0.18046</cdr:y>
    </cdr:from>
    <cdr:to>
      <cdr:x>0.22653</cdr:x>
      <cdr:y>0.26187</cdr:y>
    </cdr:to>
    <cdr:sp macro="" textlink="">
      <cdr:nvSpPr>
        <cdr:cNvPr id="4" name="TextBox 3"/>
        <cdr:cNvSpPr txBox="1"/>
      </cdr:nvSpPr>
      <cdr:spPr>
        <a:xfrm xmlns:a="http://schemas.openxmlformats.org/drawingml/2006/main">
          <a:off x="768593" y="487244"/>
          <a:ext cx="615462" cy="2198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Vùng</a:t>
          </a:r>
          <a:r>
            <a:rPr lang="en-US" sz="900" baseline="0"/>
            <a:t> 2</a:t>
          </a:r>
          <a:endParaRPr lang="en-US" sz="900"/>
        </a:p>
      </cdr:txBody>
    </cdr:sp>
  </cdr:relSizeAnchor>
</c:userShape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191029_M&#244;%20t&#7843;%20c&#244;ng%20vi&#7879;c_Thinh%20(version%201).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Author" refreshedDate="43792.729363888888" createdVersion="6" refreshedVersion="6" minRefreshableVersion="3" recordCount="46">
  <cacheSource type="worksheet">
    <worksheetSource name="Bunset" r:id="rId2"/>
  </cacheSource>
  <cacheFields count="7">
    <cacheField name="STT" numFmtId="0">
      <sharedItems containsSemiMixedTypes="0" containsString="0" containsNumber="1" containsInteger="1" minValue="1" maxValue="46"/>
    </cacheField>
    <cacheField name="Ngày" numFmtId="16">
      <sharedItems containsSemiMixedTypes="0" containsNonDate="0" containsDate="1" containsString="0" minDate="2019-10-02T00:00:00" maxDate="2019-11-18T00:00:00" count="19">
        <d v="2019-10-02T00:00:00"/>
        <d v="2019-10-03T00:00:00"/>
        <d v="2019-10-05T00:00:00"/>
        <d v="2019-10-07T00:00:00"/>
        <d v="2019-10-08T00:00:00"/>
        <d v="2019-10-09T00:00:00"/>
        <d v="2019-10-10T00:00:00"/>
        <d v="2019-10-14T00:00:00"/>
        <d v="2019-10-30T00:00:00"/>
        <d v="2019-10-31T00:00:00"/>
        <d v="2019-11-01T00:00:00"/>
        <d v="2019-11-02T00:00:00"/>
        <d v="2019-11-04T00:00:00"/>
        <d v="2019-11-06T00:00:00"/>
        <d v="2019-11-08T00:00:00"/>
        <d v="2019-11-09T00:00:00"/>
        <d v="2019-11-12T00:00:00"/>
        <d v="2019-11-16T00:00:00"/>
        <d v="2019-11-17T00:00:00"/>
      </sharedItems>
      <fieldGroup par="6" base="1">
        <rangePr groupBy="days" startDate="2019-10-02T00:00:00" endDate="2019-11-18T00:00:00"/>
        <groupItems count="368">
          <s v="&lt;02-1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8-11-19"/>
        </groupItems>
      </fieldGroup>
    </cacheField>
    <cacheField name="Mã" numFmtId="0">
      <sharedItems count="46">
        <s v="191002-1"/>
        <s v="191002-2"/>
        <s v="191003-3"/>
        <s v="191003-4"/>
        <s v="191005-5"/>
        <s v="191005-6"/>
        <s v="191005-7"/>
        <s v="191005-8"/>
        <s v="191005-9"/>
        <s v="191007-10"/>
        <s v="191008-11"/>
        <s v="191008-12"/>
        <s v="191008-13"/>
        <s v="191008-14"/>
        <s v="191008-15"/>
        <s v="191009-16"/>
        <s v="191010-17"/>
        <s v="191010-18"/>
        <s v="191014-19"/>
        <s v="191014-20"/>
        <s v="191014-21"/>
        <s v="191030-22"/>
        <s v="191030-23"/>
        <s v="191031-24"/>
        <s v="191101-25"/>
        <s v="191101-26"/>
        <s v="191102-27"/>
        <s v="191102-28"/>
        <s v="191104-29"/>
        <s v="191104-30"/>
        <s v="191104-31"/>
        <s v="191104-32"/>
        <s v="191106-33"/>
        <s v="191106-34"/>
        <s v="191108-35"/>
        <s v="191108-36"/>
        <s v="191108-37"/>
        <s v="191108-38"/>
        <s v="191108-39"/>
        <s v="191109-40"/>
        <s v="191109-41"/>
        <s v="191112-42"/>
        <s v="191112-43"/>
        <s v="191116-44"/>
        <s v="191116-45"/>
        <s v="191117-46"/>
      </sharedItems>
    </cacheField>
    <cacheField name="Nhà cung cung cấp" numFmtId="0">
      <sharedItems count="13">
        <s v="Thuan Vinh"/>
        <s v="Kim Anh"/>
        <s v="Lena Anh Trung"/>
        <s v="Quang Huy"/>
        <s v="Anh Hai"/>
        <s v="Chi Linh"/>
        <s v="Ha Vinh"/>
        <s v="CN trạm"/>
        <s v="Thanh Nhan"/>
        <s v="HT Cam Lam"/>
        <s v="Duc mau"/>
        <s v="Phuc Loc"/>
        <s v="Anh Tuan"/>
      </sharedItems>
    </cacheField>
    <cacheField name="% bụi bùn sét (BS 812)" numFmtId="164">
      <sharedItems containsSemiMixedTypes="0" containsString="0" containsNumber="1" minValue="5.6300000000000003E-2" maxValue="0.66600000000000004"/>
    </cacheField>
    <cacheField name="Ghi chú" numFmtId="0">
      <sharedItems containsNonDate="0" containsString="0" containsBlank="1" count="1">
        <m/>
      </sharedItems>
    </cacheField>
    <cacheField name="Months" numFmtId="0" databaseField="0">
      <fieldGroup base="1">
        <rangePr groupBy="months" startDate="2019-10-02T00:00:00" endDate="2019-11-18T00:00:00"/>
        <groupItems count="14">
          <s v="&lt;02-10-19"/>
          <s v="Jan"/>
          <s v="Feb"/>
          <s v="Mar"/>
          <s v="Apr"/>
          <s v="May"/>
          <s v="Jun"/>
          <s v="Jul"/>
          <s v="Aug"/>
          <s v="Sep"/>
          <s v="Oct"/>
          <s v="Nov"/>
          <s v="Dec"/>
          <s v="&gt;18-11-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6">
  <r>
    <n v="1"/>
    <x v="0"/>
    <x v="0"/>
    <x v="0"/>
    <n v="0.28799999999999998"/>
    <x v="0"/>
  </r>
  <r>
    <n v="2"/>
    <x v="0"/>
    <x v="1"/>
    <x v="1"/>
    <n v="5.6300000000000003E-2"/>
    <x v="0"/>
  </r>
  <r>
    <n v="3"/>
    <x v="1"/>
    <x v="2"/>
    <x v="2"/>
    <n v="7.6999999999999999E-2"/>
    <x v="0"/>
  </r>
  <r>
    <n v="4"/>
    <x v="1"/>
    <x v="3"/>
    <x v="2"/>
    <n v="0.33300000000000002"/>
    <x v="0"/>
  </r>
  <r>
    <n v="5"/>
    <x v="2"/>
    <x v="4"/>
    <x v="3"/>
    <n v="0.13100000000000001"/>
    <x v="0"/>
  </r>
  <r>
    <n v="6"/>
    <x v="2"/>
    <x v="5"/>
    <x v="0"/>
    <n v="0.45"/>
    <x v="0"/>
  </r>
  <r>
    <n v="7"/>
    <x v="2"/>
    <x v="6"/>
    <x v="1"/>
    <n v="0.11799999999999999"/>
    <x v="0"/>
  </r>
  <r>
    <n v="8"/>
    <x v="2"/>
    <x v="7"/>
    <x v="0"/>
    <n v="0.66600000000000004"/>
    <x v="0"/>
  </r>
  <r>
    <n v="9"/>
    <x v="2"/>
    <x v="8"/>
    <x v="4"/>
    <n v="0.5"/>
    <x v="0"/>
  </r>
  <r>
    <n v="10"/>
    <x v="3"/>
    <x v="9"/>
    <x v="0"/>
    <n v="0.5"/>
    <x v="0"/>
  </r>
  <r>
    <n v="11"/>
    <x v="4"/>
    <x v="10"/>
    <x v="3"/>
    <n v="0.129"/>
    <x v="0"/>
  </r>
  <r>
    <n v="12"/>
    <x v="4"/>
    <x v="11"/>
    <x v="3"/>
    <n v="0.09"/>
    <x v="0"/>
  </r>
  <r>
    <n v="13"/>
    <x v="4"/>
    <x v="12"/>
    <x v="2"/>
    <n v="0.246"/>
    <x v="0"/>
  </r>
  <r>
    <n v="14"/>
    <x v="4"/>
    <x v="13"/>
    <x v="2"/>
    <n v="0.26100000000000001"/>
    <x v="0"/>
  </r>
  <r>
    <n v="15"/>
    <x v="4"/>
    <x v="14"/>
    <x v="5"/>
    <n v="0.22800000000000001"/>
    <x v="0"/>
  </r>
  <r>
    <n v="16"/>
    <x v="5"/>
    <x v="15"/>
    <x v="6"/>
    <n v="0.35099999999999998"/>
    <x v="0"/>
  </r>
  <r>
    <n v="17"/>
    <x v="6"/>
    <x v="16"/>
    <x v="4"/>
    <n v="0.14000000000000001"/>
    <x v="0"/>
  </r>
  <r>
    <n v="18"/>
    <x v="6"/>
    <x v="17"/>
    <x v="7"/>
    <n v="0.41599999999999998"/>
    <x v="0"/>
  </r>
  <r>
    <n v="19"/>
    <x v="7"/>
    <x v="18"/>
    <x v="2"/>
    <n v="0.26800000000000002"/>
    <x v="0"/>
  </r>
  <r>
    <n v="20"/>
    <x v="7"/>
    <x v="19"/>
    <x v="3"/>
    <n v="0.214"/>
    <x v="0"/>
  </r>
  <r>
    <n v="21"/>
    <x v="7"/>
    <x v="20"/>
    <x v="3"/>
    <n v="0.253"/>
    <x v="0"/>
  </r>
  <r>
    <n v="22"/>
    <x v="8"/>
    <x v="21"/>
    <x v="5"/>
    <n v="0.254"/>
    <x v="0"/>
  </r>
  <r>
    <n v="23"/>
    <x v="8"/>
    <x v="22"/>
    <x v="8"/>
    <n v="0.22800000000000001"/>
    <x v="0"/>
  </r>
  <r>
    <n v="24"/>
    <x v="9"/>
    <x v="23"/>
    <x v="8"/>
    <n v="0.20300000000000001"/>
    <x v="0"/>
  </r>
  <r>
    <n v="25"/>
    <x v="10"/>
    <x v="24"/>
    <x v="2"/>
    <n v="0.214"/>
    <x v="0"/>
  </r>
  <r>
    <n v="26"/>
    <x v="10"/>
    <x v="25"/>
    <x v="1"/>
    <n v="0.13600000000000001"/>
    <x v="0"/>
  </r>
  <r>
    <n v="27"/>
    <x v="11"/>
    <x v="26"/>
    <x v="6"/>
    <n v="0.16"/>
    <x v="0"/>
  </r>
  <r>
    <n v="28"/>
    <x v="11"/>
    <x v="27"/>
    <x v="1"/>
    <n v="0.17699999999999999"/>
    <x v="0"/>
  </r>
  <r>
    <n v="29"/>
    <x v="12"/>
    <x v="28"/>
    <x v="0"/>
    <n v="0.26800000000000002"/>
    <x v="0"/>
  </r>
  <r>
    <n v="30"/>
    <x v="12"/>
    <x v="29"/>
    <x v="6"/>
    <n v="0.40600000000000003"/>
    <x v="0"/>
  </r>
  <r>
    <n v="31"/>
    <x v="12"/>
    <x v="30"/>
    <x v="2"/>
    <n v="0.21099999999999999"/>
    <x v="0"/>
  </r>
  <r>
    <n v="32"/>
    <x v="12"/>
    <x v="31"/>
    <x v="9"/>
    <n v="0.22"/>
    <x v="0"/>
  </r>
  <r>
    <n v="33"/>
    <x v="13"/>
    <x v="32"/>
    <x v="8"/>
    <n v="0.14199999999999999"/>
    <x v="0"/>
  </r>
  <r>
    <n v="34"/>
    <x v="13"/>
    <x v="33"/>
    <x v="10"/>
    <n v="0.111"/>
    <x v="0"/>
  </r>
  <r>
    <n v="35"/>
    <x v="14"/>
    <x v="34"/>
    <x v="6"/>
    <n v="0.28299999999999997"/>
    <x v="0"/>
  </r>
  <r>
    <n v="36"/>
    <x v="14"/>
    <x v="35"/>
    <x v="8"/>
    <n v="0.2"/>
    <x v="0"/>
  </r>
  <r>
    <n v="37"/>
    <x v="14"/>
    <x v="36"/>
    <x v="0"/>
    <n v="0.28799999999999998"/>
    <x v="0"/>
  </r>
  <r>
    <n v="38"/>
    <x v="14"/>
    <x v="37"/>
    <x v="2"/>
    <n v="0.158"/>
    <x v="0"/>
  </r>
  <r>
    <n v="39"/>
    <x v="14"/>
    <x v="38"/>
    <x v="11"/>
    <n v="0.19700000000000001"/>
    <x v="0"/>
  </r>
  <r>
    <n v="40"/>
    <x v="15"/>
    <x v="39"/>
    <x v="2"/>
    <n v="0.183"/>
    <x v="0"/>
  </r>
  <r>
    <n v="41"/>
    <x v="15"/>
    <x v="40"/>
    <x v="1"/>
    <n v="0.161"/>
    <x v="0"/>
  </r>
  <r>
    <n v="42"/>
    <x v="16"/>
    <x v="41"/>
    <x v="6"/>
    <n v="0.45450000000000002"/>
    <x v="0"/>
  </r>
  <r>
    <n v="43"/>
    <x v="16"/>
    <x v="42"/>
    <x v="2"/>
    <n v="0.17599999999999999"/>
    <x v="0"/>
  </r>
  <r>
    <n v="44"/>
    <x v="17"/>
    <x v="43"/>
    <x v="6"/>
    <n v="0.16600000000000001"/>
    <x v="0"/>
  </r>
  <r>
    <n v="45"/>
    <x v="17"/>
    <x v="44"/>
    <x v="2"/>
    <n v="0.123"/>
    <x v="0"/>
  </r>
  <r>
    <n v="46"/>
    <x v="18"/>
    <x v="45"/>
    <x v="12"/>
    <n v="0.21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chartFormat="1">
  <location ref="I3:L16" firstHeaderRow="1" firstDataRow="2" firstDataCol="3"/>
  <pivotFields count="7">
    <pivotField compact="0" showAll="0"/>
    <pivotField axis="axisRow" compact="0"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Nhà cung cấp" axis="axisCol" compact="0" showAll="0">
      <items count="14">
        <item h="1" x="4"/>
        <item h="1" x="12"/>
        <item h="1" x="5"/>
        <item h="1" x="7"/>
        <item h="1" x="10"/>
        <item h="1" x="6"/>
        <item h="1" x="9"/>
        <item h="1" x="1"/>
        <item x="2"/>
        <item h="1" x="11"/>
        <item h="1" x="3"/>
        <item h="1" x="8"/>
        <item h="1" x="0"/>
        <item t="default"/>
      </items>
    </pivotField>
    <pivotField dataField="1" compact="0" numFmtId="164" showAll="0"/>
    <pivotField compact="0" showAll="0">
      <items count="2">
        <item x="0"/>
        <item t="default"/>
      </items>
    </pivotField>
    <pivotField axis="axisRow" compact="0" showAll="0" defaultSubtotal="0">
      <items count="14">
        <item h="1" sd="0" x="0"/>
        <item h="1" sd="0" x="1"/>
        <item h="1" sd="0" x="2"/>
        <item h="1" sd="0" x="3"/>
        <item h="1" sd="0" x="4"/>
        <item h="1" sd="0" x="5"/>
        <item h="1" sd="0" x="6"/>
        <item h="1" sd="0" x="7"/>
        <item h="1" sd="0" x="8"/>
        <item h="1" sd="0" x="9"/>
        <item h="1" sd="0" x="10"/>
        <item sd="0" x="11"/>
        <item h="1" sd="0" x="12"/>
        <item h="1" sd="0" x="13"/>
      </items>
    </pivotField>
  </pivotFields>
  <rowFields count="3">
    <field x="2"/>
    <field x="6"/>
    <field x="1"/>
  </rowFields>
  <rowItems count="12">
    <i>
      <x v="24"/>
    </i>
    <i r="1">
      <x v="11"/>
    </i>
    <i>
      <x v="30"/>
    </i>
    <i r="1">
      <x v="11"/>
    </i>
    <i>
      <x v="37"/>
    </i>
    <i r="1">
      <x v="11"/>
    </i>
    <i>
      <x v="39"/>
    </i>
    <i r="1">
      <x v="11"/>
    </i>
    <i>
      <x v="42"/>
    </i>
    <i r="1">
      <x v="11"/>
    </i>
    <i>
      <x v="44"/>
    </i>
    <i r="1">
      <x v="11"/>
    </i>
  </rowItems>
  <colFields count="1">
    <field x="3"/>
  </colFields>
  <colItems count="1">
    <i>
      <x v="8"/>
    </i>
  </colItems>
  <dataFields count="1">
    <dataField name="%bụi bùn" fld="4" baseField="2" baseItem="2" numFmtId="164"/>
  </dataFields>
  <chartFormats count="14">
    <chartFormat chart="0" format="160" series="1">
      <pivotArea type="data" outline="0" fieldPosition="0">
        <references count="2">
          <reference field="4294967294" count="1" selected="0">
            <x v="0"/>
          </reference>
          <reference field="3" count="1" selected="0">
            <x v="1"/>
          </reference>
        </references>
      </pivotArea>
    </chartFormat>
    <chartFormat chart="0" format="161" series="1">
      <pivotArea type="data" outline="0" fieldPosition="0">
        <references count="2">
          <reference field="4294967294" count="1" selected="0">
            <x v="0"/>
          </reference>
          <reference field="3" count="1" selected="0">
            <x v="4"/>
          </reference>
        </references>
      </pivotArea>
    </chartFormat>
    <chartFormat chart="0" format="162" series="1">
      <pivotArea type="data" outline="0" fieldPosition="0">
        <references count="2">
          <reference field="4294967294" count="1" selected="0">
            <x v="0"/>
          </reference>
          <reference field="3" count="1" selected="0">
            <x v="5"/>
          </reference>
        </references>
      </pivotArea>
    </chartFormat>
    <chartFormat chart="0" format="163" series="1">
      <pivotArea type="data" outline="0" fieldPosition="0">
        <references count="2">
          <reference field="4294967294" count="1" selected="0">
            <x v="0"/>
          </reference>
          <reference field="3" count="1" selected="0">
            <x v="6"/>
          </reference>
        </references>
      </pivotArea>
    </chartFormat>
    <chartFormat chart="0" format="164" series="1">
      <pivotArea type="data" outline="0" fieldPosition="0">
        <references count="2">
          <reference field="4294967294" count="1" selected="0">
            <x v="0"/>
          </reference>
          <reference field="3" count="1" selected="0">
            <x v="7"/>
          </reference>
        </references>
      </pivotArea>
    </chartFormat>
    <chartFormat chart="0" format="165" series="1">
      <pivotArea type="data" outline="0" fieldPosition="0">
        <references count="2">
          <reference field="4294967294" count="1" selected="0">
            <x v="0"/>
          </reference>
          <reference field="3" count="1" selected="0">
            <x v="8"/>
          </reference>
        </references>
      </pivotArea>
    </chartFormat>
    <chartFormat chart="0" format="166" series="1">
      <pivotArea type="data" outline="0" fieldPosition="0">
        <references count="2">
          <reference field="4294967294" count="1" selected="0">
            <x v="0"/>
          </reference>
          <reference field="3" count="1" selected="0">
            <x v="9"/>
          </reference>
        </references>
      </pivotArea>
    </chartFormat>
    <chartFormat chart="0" format="167" series="1">
      <pivotArea type="data" outline="0" fieldPosition="0">
        <references count="2">
          <reference field="4294967294" count="1" selected="0">
            <x v="0"/>
          </reference>
          <reference field="3" count="1" selected="0">
            <x v="11"/>
          </reference>
        </references>
      </pivotArea>
    </chartFormat>
    <chartFormat chart="0" format="168" series="1">
      <pivotArea type="data" outline="0" fieldPosition="0">
        <references count="2">
          <reference field="4294967294" count="1" selected="0">
            <x v="0"/>
          </reference>
          <reference field="3" count="1" selected="0">
            <x v="12"/>
          </reference>
        </references>
      </pivotArea>
    </chartFormat>
    <chartFormat chart="0" format="169" series="1">
      <pivotArea type="data" outline="0" fieldPosition="0">
        <references count="1">
          <reference field="4294967294" count="1" selected="0">
            <x v="0"/>
          </reference>
        </references>
      </pivotArea>
    </chartFormat>
    <chartFormat chart="0" format="170" series="1">
      <pivotArea type="data" outline="0" fieldPosition="0">
        <references count="2">
          <reference field="4294967294" count="1" selected="0">
            <x v="0"/>
          </reference>
          <reference field="3" count="1" selected="0">
            <x v="2"/>
          </reference>
        </references>
      </pivotArea>
    </chartFormat>
    <chartFormat chart="0" format="171" series="1">
      <pivotArea type="data" outline="0" fieldPosition="0">
        <references count="2">
          <reference field="4294967294" count="1" selected="0">
            <x v="0"/>
          </reference>
          <reference field="3" count="1" selected="0">
            <x v="3"/>
          </reference>
        </references>
      </pivotArea>
    </chartFormat>
    <chartFormat chart="0" format="172" series="1">
      <pivotArea type="data" outline="0" fieldPosition="0">
        <references count="2">
          <reference field="4294967294" count="1" selected="0">
            <x v="0"/>
          </reference>
          <reference field="3" count="1" selected="0">
            <x v="10"/>
          </reference>
        </references>
      </pivotArea>
    </chartFormat>
    <chartFormat chart="0" format="173"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1" showColStripes="0" showLastColumn="1"/>
</pivotTableDefinition>
</file>

<file path=xl/tables/table1.xml><?xml version="1.0" encoding="utf-8"?>
<table xmlns="http://schemas.openxmlformats.org/spreadsheetml/2006/main" id="4" name="Bunset" displayName="Bunset" ref="A1:F52" totalsRowShown="0" headerRowDxfId="98" dataDxfId="97" tableBorderDxfId="96">
  <autoFilter ref="A1:F52"/>
  <sortState ref="A2:F47">
    <sortCondition ref="A1:A47"/>
  </sortState>
  <tableColumns count="6">
    <tableColumn id="1" name="STT" dataDxfId="95"/>
    <tableColumn id="2" name="Ngày" dataDxfId="94"/>
    <tableColumn id="3" name="Mã" dataDxfId="93">
      <calculatedColumnFormula>TEXT(Bunset[[#This Row],[Ngày]],"yymmdd")&amp;"-"&amp;Bunset[[#This Row],[STT]]</calculatedColumnFormula>
    </tableColumn>
    <tableColumn id="4" name="Nhà cung cấp" dataDxfId="92"/>
    <tableColumn id="5" name="% bụi bùn sét (BS 812)" dataDxfId="91" dataCellStyle="Percent"/>
    <tableColumn id="6" name="Ghi chú" dataDxfId="90"/>
  </tableColumns>
  <tableStyleInfo name="TableStyleMedium2" showFirstColumn="0" showLastColumn="0" showRowStripes="1" showColumnStripes="0"/>
</table>
</file>

<file path=xl/tables/table2.xml><?xml version="1.0" encoding="utf-8"?>
<table xmlns="http://schemas.openxmlformats.org/spreadsheetml/2006/main" id="2" name="TPHm" displayName="TPHm" ref="A3:Y16" totalsRowShown="0" headerRowDxfId="87" dataDxfId="86" tableBorderDxfId="85">
  <autoFilter ref="A3:Y16"/>
  <sortState ref="A3:Y12">
    <sortCondition ref="A2:A12"/>
  </sortState>
  <tableColumns count="25">
    <tableColumn id="1" name="STT" dataDxfId="84"/>
    <tableColumn id="2" name="Ngày" dataDxfId="83"/>
    <tableColumn id="3" name="Nhà cung cấp" dataDxfId="82"/>
    <tableColumn id="12" name="Loại" dataDxfId="81"/>
    <tableColumn id="4" name="5" dataDxfId="80"/>
    <tableColumn id="5" name="2.5" dataDxfId="79"/>
    <tableColumn id="6" name="1.25" dataDxfId="78"/>
    <tableColumn id="7" name="0.63" dataDxfId="77"/>
    <tableColumn id="8" name="0.315" dataDxfId="76"/>
    <tableColumn id="9" name="0.14" dataDxfId="75"/>
    <tableColumn id="10" name="Đáy" dataDxfId="74"/>
    <tableColumn id="19" name="%&gt;5" dataDxfId="73" dataCellStyle="Percent">
      <calculatedColumnFormula>IFERROR(TPHm[[#This Row],[5]]/SUM(TPHm[[#This Row],[5]:[Đáy]]),0)</calculatedColumnFormula>
    </tableColumn>
    <tableColumn id="18" name="%&lt;0.14" dataDxfId="72" dataCellStyle="Percent">
      <calculatedColumnFormula>IFERROR(TPHm[[#This Row],[Đáy]]/SUM(TPHm[[#This Row],[5]:[0.14]]),0)</calculatedColumnFormula>
    </tableColumn>
    <tableColumn id="17" name="Modul" dataDxfId="71">
      <calculatedColumnFormula>TPHm[[#This Row],[%-2.5]]*5+TPHm[[#This Row],[%-1.25]]*4+TPHm[[#This Row],[%0.63]]*3+TPHm[[#This Row],[%-0.315]]*2+TPHm[[#This Row],[%-0.14]]</calculatedColumnFormula>
    </tableColumn>
    <tableColumn id="11" name="Ghi chú" dataDxfId="70"/>
    <tableColumn id="21" name="2.5 tl" dataDxfId="69" dataCellStyle="Percent">
      <calculatedColumnFormula>TPHm[[#This Row],[%-2.5]]</calculatedColumnFormula>
    </tableColumn>
    <tableColumn id="22" name="1.25 tl" dataDxfId="68" dataCellStyle="Percent">
      <calculatedColumnFormula>SUM(TPHm[[#This Row],[%-2.5]:[%-1.25]])</calculatedColumnFormula>
    </tableColumn>
    <tableColumn id="23" name="0.63 tl" dataDxfId="67" dataCellStyle="Percent">
      <calculatedColumnFormula>SUM(TPHm[[#This Row],[%-2.5]:[%0.63]])</calculatedColumnFormula>
    </tableColumn>
    <tableColumn id="24" name="0.315 tl" dataDxfId="66" dataCellStyle="Percent">
      <calculatedColumnFormula>SUM(TPHm[[#This Row],[%-2.5]:[%-0.315]])</calculatedColumnFormula>
    </tableColumn>
    <tableColumn id="25" name="0.14 tl" dataDxfId="65" dataCellStyle="Percent">
      <calculatedColumnFormula>SUM(TPHm[[#This Row],[%-2.5]:[%-0.14]])</calculatedColumnFormula>
    </tableColumn>
    <tableColumn id="16" name="%-2.5" dataDxfId="64" dataCellStyle="Percent">
      <calculatedColumnFormula>IFERROR(TPHm[[#This Row],[2.5]]/SUM(TPHm[[#This Row],[2.5]:[Đáy]]),0)</calculatedColumnFormula>
    </tableColumn>
    <tableColumn id="15" name="%-1.25" dataDxfId="63" dataCellStyle="Percent">
      <calculatedColumnFormula>IFERROR(TPHm[[#This Row],[1.25]]/SUM(TPHm[[#This Row],[2.5]:[Đáy]]),0)</calculatedColumnFormula>
    </tableColumn>
    <tableColumn id="14" name="%0.63" dataDxfId="62" dataCellStyle="Percent">
      <calculatedColumnFormula>IFERROR(TPHm[[#This Row],[0.63]]/SUM(TPHm[[#This Row],[2.5]:[Đáy]]),0)</calculatedColumnFormula>
    </tableColumn>
    <tableColumn id="13" name="%-0.315" dataDxfId="61" dataCellStyle="Percent">
      <calculatedColumnFormula>IFERROR(TPHm[[#This Row],[0.315]]/SUM(TPHm[[#This Row],[2.5]:[Đáy]]),0)</calculatedColumnFormula>
    </tableColumn>
    <tableColumn id="20" name="%-0.14" dataDxfId="60" dataCellStyle="Percent">
      <calculatedColumnFormula>IFERROR(TPHm[[#This Row],[0.14]]/SUM(TPHm[[#This Row],[2.5]:[Đáy]]),0)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 name="TPHt" displayName="TPHt" ref="A3:Q9" totalsRowShown="0" headerRowDxfId="54" dataDxfId="53" tableBorderDxfId="52">
  <autoFilter ref="A3:Q9"/>
  <tableColumns count="17">
    <tableColumn id="1" name="STT" dataDxfId="51"/>
    <tableColumn id="2" name="Ngày" dataDxfId="50"/>
    <tableColumn id="3" name="Nhà cung cấp" dataDxfId="49"/>
    <tableColumn id="4" name="Loại" dataDxfId="48"/>
    <tableColumn id="6" name="20" dataDxfId="47"/>
    <tableColumn id="7" name="10" dataDxfId="46"/>
    <tableColumn id="8" name="5" dataDxfId="45"/>
    <tableColumn id="9" name="ĐÁY" dataDxfId="44"/>
    <tableColumn id="10" name="Ghi chú" dataDxfId="43"/>
    <tableColumn id="11" name="%tl-20" dataDxfId="42" dataCellStyle="Percent">
      <calculatedColumnFormula>IFERROR(TPHt[[#This Row],[20]]/SUM(TPHt[[#This Row],[20]:[ĐÁY]]),0)</calculatedColumnFormula>
    </tableColumn>
    <tableColumn id="12" name="%tl-10" dataDxfId="41" dataCellStyle="Percent">
      <calculatedColumnFormula>IFERROR((TPHt[[#This Row],[20]]+TPHt[[#This Row],[10]])/SUM(TPHt[[#This Row],[20]:[ĐÁY]]),0)</calculatedColumnFormula>
    </tableColumn>
    <tableColumn id="13" name="%tl-5" dataDxfId="40" dataCellStyle="Percent">
      <calculatedColumnFormula>IFERROR((TPHt[[#This Row],[20]]+TPHt[[#This Row],[10]]+TPHt[[#This Row],[5]])/SUM(TPHt[[#This Row],[20]:[ĐÁY]]),0)</calculatedColumnFormula>
    </tableColumn>
    <tableColumn id="14" name="%bui" dataDxfId="39" dataCellStyle="Percent">
      <calculatedColumnFormula>IFERROR(TPHt[[#This Row],[ĐÁY]]/SUM(TPHt[[#This Row],[20]:[ĐÁY]]),0)</calculatedColumnFormula>
    </tableColumn>
    <tableColumn id="5" name="Module" dataDxfId="38" dataCellStyle="Percent">
      <calculatedColumnFormula>SUM(TPHt[[#This Row],[%tl-20]:[%tl-5]])+5</calculatedColumnFormula>
    </tableColumn>
    <tableColumn id="15" name="%20" dataDxfId="37" dataCellStyle="Percent">
      <calculatedColumnFormula>TPHt[[#This Row],[20]]/SUM(TPHt[[#This Row],[20]:[ĐÁY]])</calculatedColumnFormula>
    </tableColumn>
    <tableColumn id="16" name="%10" dataDxfId="36" dataCellStyle="Percent">
      <calculatedColumnFormula>TPHt[[#This Row],[10]]/SUM(TPHt[[#This Row],[20]:[ĐÁY]])</calculatedColumnFormula>
    </tableColumn>
    <tableColumn id="17" name="%5" dataDxfId="35" dataCellStyle="Percent">
      <calculatedColumnFormula>TPHt[[#This Row],[5]]/SUM(TPHt[[#This Row],[20]:[ĐÁY]])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5" name="KH" displayName="KH" ref="B14:K19" totalsRowCount="1" headerRowDxfId="31" dataDxfId="30" totalsRowDxfId="29">
  <autoFilter ref="B14:K18"/>
  <tableColumns count="10">
    <tableColumn id="4" name="Tỷ lệ" totalsRowLabel="% QUA SÀNG" dataDxfId="28" totalsRowDxfId="27" dataCellStyle="Percent"/>
    <tableColumn id="6" name="20" totalsRowFunction="custom" dataDxfId="26" totalsRowDxfId="25" dataCellStyle="Percent">
      <totalsRowFormula>SUMPRODUCT(KH[[Tỷ lệ]:[Tỷ lệ]],KH[20])</totalsRowFormula>
    </tableColumn>
    <tableColumn id="7" name="10" totalsRowFunction="custom" dataDxfId="24" totalsRowDxfId="23" dataCellStyle="Percent">
      <totalsRowFormula>SUMPRODUCT(KH[[Tỷ lệ]:[Tỷ lệ]],KH[10])</totalsRowFormula>
    </tableColumn>
    <tableColumn id="8" name="5" totalsRowFunction="custom" dataDxfId="22" totalsRowDxfId="21" dataCellStyle="Percent">
      <totalsRowFormula>SUMPRODUCT(KH[[Tỷ lệ]:[Tỷ lệ]],KH[5])</totalsRowFormula>
    </tableColumn>
    <tableColumn id="9" name="2.5" totalsRowFunction="custom" dataDxfId="20" totalsRowDxfId="19" dataCellStyle="Percent">
      <totalsRowFormula>SUMPRODUCT(KH[[Tỷ lệ]:[Tỷ lệ]],KH[2.5])</totalsRowFormula>
    </tableColumn>
    <tableColumn id="10" name="1.25" totalsRowFunction="custom" dataDxfId="18" totalsRowDxfId="17" dataCellStyle="Percent">
      <totalsRowFormula>SUMPRODUCT(KH[[Tỷ lệ]:[Tỷ lệ]],KH[1.25])</totalsRowFormula>
    </tableColumn>
    <tableColumn id="11" name="0.63" totalsRowFunction="custom" dataDxfId="16" totalsRowDxfId="15" dataCellStyle="Percent">
      <totalsRowFormula>SUMPRODUCT(KH[[Tỷ lệ]:[Tỷ lệ]],KH[0.63])</totalsRowFormula>
    </tableColumn>
    <tableColumn id="12" name="0.315" totalsRowFunction="custom" dataDxfId="14" totalsRowDxfId="13" dataCellStyle="Percent">
      <totalsRowFormula>SUMPRODUCT(KH[[Tỷ lệ]:[Tỷ lệ]],KH[0.315])</totalsRowFormula>
    </tableColumn>
    <tableColumn id="13" name="0.14" totalsRowFunction="custom" dataDxfId="12" totalsRowDxfId="11" dataCellStyle="Percent">
      <totalsRowFormula>SUMPRODUCT(KH[[Tỷ lệ]:[Tỷ lệ]],KH[0.14])</totalsRowFormula>
    </tableColumn>
    <tableColumn id="16" name="Đáy" totalsRowFunction="custom" dataDxfId="10" totalsRowDxfId="9" dataCellStyle="Percent">
      <totalsRowFormula>SUMPRODUCT(KH[[Tỷ lệ]:[Tỷ lệ]],KH[Đáy])</totalsRowFormula>
    </tableColumn>
  </tableColumns>
  <tableStyleInfo name="TableStyleMedium3" showFirstColumn="0" showLastColumn="0" showRowStripes="1" showColumnStripes="0"/>
</table>
</file>

<file path=xl/tables/table5.xml><?xml version="1.0" encoding="utf-8"?>
<table xmlns="http://schemas.openxmlformats.org/spreadsheetml/2006/main" id="3" name="Doam" displayName="Doam" ref="A1:F15" totalsRowShown="0" headerRowDxfId="8" dataDxfId="7" tableBorderDxfId="6">
  <autoFilter ref="A1:F15"/>
  <tableColumns count="6">
    <tableColumn id="1" name="STT" dataDxfId="5"/>
    <tableColumn id="2" name="Ngày" dataDxfId="4"/>
    <tableColumn id="3" name="Giờ" dataDxfId="3"/>
    <tableColumn id="4" name="Vật liệu" dataDxfId="2"/>
    <tableColumn id="5" name="Độ ẩm" dataDxfId="1" dataCellStyle="Percent"/>
    <tableColumn id="6" name="Ghi chú"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2.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table" Target="../tables/table3.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3.vml"/><Relationship Id="rId1" Type="http://schemas.openxmlformats.org/officeDocument/2006/relationships/drawing" Target="../drawings/drawing5.xml"/><Relationship Id="rId5" Type="http://schemas.openxmlformats.org/officeDocument/2006/relationships/table" Target="../tables/table4.xml"/><Relationship Id="rId4" Type="http://schemas.openxmlformats.org/officeDocument/2006/relationships/ctrlProp" Target="../ctrlProps/ctrlProp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view="pageLayout" topLeftCell="A22" zoomScaleNormal="120" workbookViewId="0">
      <selection activeCell="D39" sqref="D39"/>
    </sheetView>
  </sheetViews>
  <sheetFormatPr defaultRowHeight="15" x14ac:dyDescent="0.25"/>
  <cols>
    <col min="1" max="1" width="7.85546875" style="1" customWidth="1"/>
    <col min="2" max="2" width="19.28515625" style="1" customWidth="1"/>
    <col min="3" max="3" width="26" style="1" customWidth="1"/>
    <col min="4" max="4" width="34.28515625" style="7" customWidth="1"/>
    <col min="5" max="5" width="13.5703125" style="1" customWidth="1"/>
    <col min="6" max="6" width="10.42578125" style="5" customWidth="1"/>
    <col min="7" max="7" width="7.7109375" style="1" bestFit="1" customWidth="1"/>
    <col min="8" max="16384" width="9.140625" style="1"/>
  </cols>
  <sheetData>
    <row r="1" spans="1:7" ht="48" thickBot="1" x14ac:dyDescent="0.3">
      <c r="A1" s="8"/>
      <c r="B1" s="9" t="s">
        <v>1</v>
      </c>
      <c r="C1" s="9" t="s">
        <v>2</v>
      </c>
      <c r="D1" s="9" t="s">
        <v>4</v>
      </c>
      <c r="E1" s="9" t="s">
        <v>0</v>
      </c>
      <c r="F1" s="17" t="s">
        <v>3</v>
      </c>
      <c r="G1" s="17" t="s">
        <v>5</v>
      </c>
    </row>
    <row r="2" spans="1:7" ht="45.75" thickTop="1" x14ac:dyDescent="0.25">
      <c r="A2" s="149" t="s">
        <v>6</v>
      </c>
      <c r="B2" s="152" t="s">
        <v>19</v>
      </c>
      <c r="C2" s="154" t="s">
        <v>10</v>
      </c>
      <c r="D2" s="10" t="s">
        <v>12</v>
      </c>
      <c r="E2" s="10" t="s">
        <v>7</v>
      </c>
      <c r="F2" s="10" t="s">
        <v>8</v>
      </c>
      <c r="G2" s="10"/>
    </row>
    <row r="3" spans="1:7" x14ac:dyDescent="0.25">
      <c r="A3" s="150"/>
      <c r="B3" s="153"/>
      <c r="C3" s="155"/>
      <c r="D3" s="4" t="s">
        <v>63</v>
      </c>
      <c r="E3" s="4" t="s">
        <v>7</v>
      </c>
      <c r="F3" s="4" t="s">
        <v>72</v>
      </c>
      <c r="G3" s="4"/>
    </row>
    <row r="4" spans="1:7" ht="30" x14ac:dyDescent="0.25">
      <c r="A4" s="150"/>
      <c r="B4" s="153"/>
      <c r="C4" s="155" t="s">
        <v>9</v>
      </c>
      <c r="D4" s="4" t="s">
        <v>11</v>
      </c>
      <c r="E4" s="4" t="s">
        <v>7</v>
      </c>
      <c r="F4" s="4" t="s">
        <v>8</v>
      </c>
      <c r="G4" s="4"/>
    </row>
    <row r="5" spans="1:7" x14ac:dyDescent="0.25">
      <c r="A5" s="150"/>
      <c r="B5" s="153"/>
      <c r="C5" s="155"/>
      <c r="D5" s="4" t="s">
        <v>13</v>
      </c>
      <c r="E5" s="4" t="s">
        <v>7</v>
      </c>
      <c r="F5" s="4" t="s">
        <v>72</v>
      </c>
      <c r="G5" s="4"/>
    </row>
    <row r="6" spans="1:7" ht="30" x14ac:dyDescent="0.25">
      <c r="A6" s="150"/>
      <c r="B6" s="153"/>
      <c r="C6" s="155"/>
      <c r="D6" s="4" t="s">
        <v>21</v>
      </c>
      <c r="E6" s="4" t="s">
        <v>36</v>
      </c>
      <c r="F6" s="4" t="s">
        <v>72</v>
      </c>
      <c r="G6" s="4"/>
    </row>
    <row r="7" spans="1:7" ht="30" x14ac:dyDescent="0.25">
      <c r="A7" s="150"/>
      <c r="B7" s="153"/>
      <c r="C7" s="18" t="s">
        <v>14</v>
      </c>
      <c r="D7" s="4" t="s">
        <v>15</v>
      </c>
      <c r="E7" s="4" t="s">
        <v>18</v>
      </c>
      <c r="F7" s="4" t="s">
        <v>72</v>
      </c>
      <c r="G7" s="4"/>
    </row>
    <row r="8" spans="1:7" ht="30" x14ac:dyDescent="0.25">
      <c r="A8" s="150"/>
      <c r="B8" s="153"/>
      <c r="C8" s="18" t="s">
        <v>16</v>
      </c>
      <c r="D8" s="4" t="s">
        <v>17</v>
      </c>
      <c r="E8" s="4" t="s">
        <v>18</v>
      </c>
      <c r="F8" s="4" t="s">
        <v>72</v>
      </c>
      <c r="G8" s="4"/>
    </row>
    <row r="9" spans="1:7" x14ac:dyDescent="0.25">
      <c r="A9" s="150"/>
      <c r="B9" s="159" t="s">
        <v>20</v>
      </c>
      <c r="C9" s="18" t="s">
        <v>48</v>
      </c>
      <c r="D9" s="4" t="s">
        <v>49</v>
      </c>
      <c r="E9" s="2" t="s">
        <v>51</v>
      </c>
      <c r="F9" s="4" t="s">
        <v>8</v>
      </c>
      <c r="G9" s="4"/>
    </row>
    <row r="10" spans="1:7" x14ac:dyDescent="0.25">
      <c r="A10" s="150"/>
      <c r="B10" s="160"/>
      <c r="C10" s="18" t="s">
        <v>47</v>
      </c>
      <c r="D10" s="4" t="s">
        <v>50</v>
      </c>
      <c r="E10" s="2" t="s">
        <v>51</v>
      </c>
      <c r="F10" s="4" t="s">
        <v>72</v>
      </c>
      <c r="G10" s="4"/>
    </row>
    <row r="11" spans="1:7" ht="15.75" thickBot="1" x14ac:dyDescent="0.3">
      <c r="A11" s="151"/>
      <c r="B11" s="160"/>
      <c r="C11" s="19" t="s">
        <v>26</v>
      </c>
      <c r="D11" s="11" t="s">
        <v>62</v>
      </c>
      <c r="E11" s="11" t="s">
        <v>7</v>
      </c>
      <c r="F11" s="11" t="s">
        <v>72</v>
      </c>
      <c r="G11" s="11"/>
    </row>
    <row r="12" spans="1:7" ht="30.75" thickTop="1" x14ac:dyDescent="0.25">
      <c r="A12" s="156" t="s">
        <v>27</v>
      </c>
      <c r="B12" s="161" t="s">
        <v>64</v>
      </c>
      <c r="C12" s="20" t="s">
        <v>65</v>
      </c>
      <c r="D12" s="12" t="s">
        <v>61</v>
      </c>
      <c r="E12" s="12"/>
      <c r="F12" s="12" t="s">
        <v>72</v>
      </c>
      <c r="G12" s="12"/>
    </row>
    <row r="13" spans="1:7" x14ac:dyDescent="0.25">
      <c r="A13" s="157"/>
      <c r="B13" s="162"/>
      <c r="C13" s="18" t="s">
        <v>66</v>
      </c>
      <c r="D13" s="4" t="s">
        <v>49</v>
      </c>
      <c r="E13" s="4"/>
      <c r="F13" s="4" t="s">
        <v>72</v>
      </c>
      <c r="G13" s="4"/>
    </row>
    <row r="14" spans="1:7" ht="45" x14ac:dyDescent="0.25">
      <c r="A14" s="157"/>
      <c r="B14" s="6" t="s">
        <v>37</v>
      </c>
      <c r="C14" s="18" t="s">
        <v>68</v>
      </c>
      <c r="D14" s="4"/>
      <c r="E14" s="4"/>
      <c r="F14" s="4" t="s">
        <v>72</v>
      </c>
      <c r="G14" s="4"/>
    </row>
    <row r="15" spans="1:7" ht="30.75" thickBot="1" x14ac:dyDescent="0.3">
      <c r="A15" s="158"/>
      <c r="B15" s="13" t="s">
        <v>38</v>
      </c>
      <c r="C15" s="19"/>
      <c r="D15" s="11"/>
      <c r="E15" s="11"/>
      <c r="F15" s="11" t="s">
        <v>72</v>
      </c>
      <c r="G15" s="11"/>
    </row>
    <row r="16" spans="1:7" ht="30.75" thickTop="1" x14ac:dyDescent="0.25">
      <c r="A16" s="163" t="s">
        <v>28</v>
      </c>
      <c r="B16" s="14" t="s">
        <v>39</v>
      </c>
      <c r="C16" s="21" t="s">
        <v>67</v>
      </c>
      <c r="D16" s="15"/>
      <c r="E16" s="15"/>
      <c r="F16" s="15" t="s">
        <v>72</v>
      </c>
      <c r="G16" s="15"/>
    </row>
    <row r="17" spans="1:7" ht="15" customHeight="1" x14ac:dyDescent="0.25">
      <c r="A17" s="164"/>
      <c r="B17" s="6" t="s">
        <v>40</v>
      </c>
      <c r="C17" s="18" t="s">
        <v>69</v>
      </c>
      <c r="D17" s="4"/>
      <c r="E17" s="4"/>
      <c r="F17" s="4" t="s">
        <v>72</v>
      </c>
      <c r="G17" s="4"/>
    </row>
    <row r="18" spans="1:7" ht="45" x14ac:dyDescent="0.25">
      <c r="A18" s="164"/>
      <c r="B18" s="6" t="s">
        <v>41</v>
      </c>
      <c r="C18" s="18" t="s">
        <v>70</v>
      </c>
      <c r="D18" s="4"/>
      <c r="E18" s="4"/>
      <c r="F18" s="4" t="s">
        <v>72</v>
      </c>
      <c r="G18" s="4"/>
    </row>
    <row r="19" spans="1:7" ht="60.75" thickBot="1" x14ac:dyDescent="0.3">
      <c r="A19" s="165"/>
      <c r="B19" s="13" t="s">
        <v>52</v>
      </c>
      <c r="C19" s="19" t="s">
        <v>71</v>
      </c>
      <c r="D19" s="11"/>
      <c r="E19" s="11"/>
      <c r="F19" s="11" t="s">
        <v>72</v>
      </c>
      <c r="G19" s="11"/>
    </row>
    <row r="20" spans="1:7" ht="15.75" thickTop="1" x14ac:dyDescent="0.25">
      <c r="A20" s="167" t="s">
        <v>29</v>
      </c>
      <c r="B20" s="166" t="s">
        <v>42</v>
      </c>
      <c r="C20" s="22" t="s">
        <v>22</v>
      </c>
      <c r="D20" s="16" t="s">
        <v>44</v>
      </c>
      <c r="E20" s="16"/>
      <c r="F20" s="16" t="s">
        <v>72</v>
      </c>
      <c r="G20" s="16"/>
    </row>
    <row r="21" spans="1:7" x14ac:dyDescent="0.25">
      <c r="A21" s="168"/>
      <c r="B21" s="153"/>
      <c r="C21" s="18" t="s">
        <v>23</v>
      </c>
      <c r="D21" s="4" t="s">
        <v>44</v>
      </c>
      <c r="E21" s="4"/>
      <c r="F21" s="4" t="s">
        <v>72</v>
      </c>
      <c r="G21" s="4"/>
    </row>
    <row r="22" spans="1:7" x14ac:dyDescent="0.25">
      <c r="A22" s="168"/>
      <c r="B22" s="153"/>
      <c r="C22" s="18" t="s">
        <v>24</v>
      </c>
      <c r="D22" s="4" t="s">
        <v>44</v>
      </c>
      <c r="E22" s="4"/>
      <c r="F22" s="4" t="s">
        <v>72</v>
      </c>
      <c r="G22" s="4"/>
    </row>
    <row r="23" spans="1:7" x14ac:dyDescent="0.25">
      <c r="A23" s="168"/>
      <c r="B23" s="153"/>
      <c r="C23" s="18" t="s">
        <v>25</v>
      </c>
      <c r="D23" s="4" t="s">
        <v>45</v>
      </c>
      <c r="E23" s="4"/>
      <c r="F23" s="4" t="s">
        <v>72</v>
      </c>
      <c r="G23" s="4"/>
    </row>
    <row r="24" spans="1:7" x14ac:dyDescent="0.25">
      <c r="A24" s="168"/>
      <c r="B24" s="153" t="s">
        <v>43</v>
      </c>
      <c r="C24" s="18" t="s">
        <v>30</v>
      </c>
      <c r="D24" s="4" t="s">
        <v>46</v>
      </c>
      <c r="E24" s="4"/>
      <c r="F24" s="4" t="s">
        <v>72</v>
      </c>
      <c r="G24" s="4"/>
    </row>
    <row r="25" spans="1:7" x14ac:dyDescent="0.25">
      <c r="A25" s="168"/>
      <c r="B25" s="153"/>
      <c r="C25" s="18" t="s">
        <v>31</v>
      </c>
      <c r="D25" s="4" t="s">
        <v>46</v>
      </c>
      <c r="E25" s="4"/>
      <c r="F25" s="4" t="s">
        <v>72</v>
      </c>
      <c r="G25" s="4"/>
    </row>
    <row r="26" spans="1:7" x14ac:dyDescent="0.25">
      <c r="A26" s="168"/>
      <c r="B26" s="153"/>
      <c r="C26" s="18" t="s">
        <v>32</v>
      </c>
      <c r="D26" s="4" t="s">
        <v>46</v>
      </c>
      <c r="E26" s="4"/>
      <c r="F26" s="4" t="s">
        <v>72</v>
      </c>
      <c r="G26" s="4"/>
    </row>
    <row r="27" spans="1:7" x14ac:dyDescent="0.25">
      <c r="A27" s="168"/>
      <c r="B27" s="153"/>
      <c r="C27" s="18" t="s">
        <v>33</v>
      </c>
      <c r="D27" s="4" t="s">
        <v>46</v>
      </c>
      <c r="E27" s="4"/>
      <c r="F27" s="4" t="s">
        <v>72</v>
      </c>
      <c r="G27" s="4"/>
    </row>
    <row r="28" spans="1:7" x14ac:dyDescent="0.25">
      <c r="A28" s="168"/>
      <c r="B28" s="153"/>
      <c r="C28" s="18" t="s">
        <v>34</v>
      </c>
      <c r="D28" s="4" t="s">
        <v>46</v>
      </c>
      <c r="E28" s="4"/>
      <c r="F28" s="4" t="s">
        <v>72</v>
      </c>
      <c r="G28" s="4"/>
    </row>
    <row r="29" spans="1:7" x14ac:dyDescent="0.25">
      <c r="A29" s="168"/>
      <c r="B29" s="153"/>
      <c r="C29" s="18" t="s">
        <v>35</v>
      </c>
      <c r="D29" s="4" t="s">
        <v>46</v>
      </c>
      <c r="E29" s="4"/>
      <c r="F29" s="4" t="s">
        <v>72</v>
      </c>
      <c r="G29" s="4"/>
    </row>
    <row r="30" spans="1:7" x14ac:dyDescent="0.25">
      <c r="A30" s="168"/>
      <c r="B30" s="153" t="s">
        <v>53</v>
      </c>
      <c r="C30" s="155" t="s">
        <v>54</v>
      </c>
      <c r="D30" s="3" t="s">
        <v>56</v>
      </c>
      <c r="E30" s="2"/>
      <c r="F30" s="4" t="s">
        <v>72</v>
      </c>
      <c r="G30" s="2"/>
    </row>
    <row r="31" spans="1:7" x14ac:dyDescent="0.25">
      <c r="A31" s="168"/>
      <c r="B31" s="153"/>
      <c r="C31" s="155"/>
      <c r="D31" s="3" t="s">
        <v>59</v>
      </c>
      <c r="E31" s="2"/>
      <c r="F31" s="4" t="s">
        <v>72</v>
      </c>
      <c r="G31" s="2"/>
    </row>
    <row r="32" spans="1:7" x14ac:dyDescent="0.25">
      <c r="A32" s="168"/>
      <c r="B32" s="153"/>
      <c r="C32" s="155"/>
      <c r="D32" s="3" t="s">
        <v>58</v>
      </c>
      <c r="E32" s="2"/>
      <c r="F32" s="4" t="s">
        <v>72</v>
      </c>
      <c r="G32" s="2"/>
    </row>
    <row r="33" spans="1:7" x14ac:dyDescent="0.25">
      <c r="A33" s="168"/>
      <c r="B33" s="153"/>
      <c r="C33" s="155"/>
      <c r="D33" s="3" t="s">
        <v>57</v>
      </c>
      <c r="E33" s="2"/>
      <c r="F33" s="4" t="s">
        <v>72</v>
      </c>
      <c r="G33" s="2"/>
    </row>
    <row r="34" spans="1:7" x14ac:dyDescent="0.25">
      <c r="A34" s="168"/>
      <c r="B34" s="153"/>
      <c r="C34" s="155"/>
      <c r="D34" s="3" t="s">
        <v>60</v>
      </c>
      <c r="E34" s="2"/>
      <c r="F34" s="4" t="s">
        <v>72</v>
      </c>
      <c r="G34" s="2"/>
    </row>
    <row r="35" spans="1:7" ht="45" x14ac:dyDescent="0.25">
      <c r="A35" s="168"/>
      <c r="B35" s="153"/>
      <c r="C35" s="23" t="s">
        <v>55</v>
      </c>
      <c r="D35" s="3" t="s">
        <v>73</v>
      </c>
      <c r="E35" s="2"/>
      <c r="F35" s="4" t="s">
        <v>72</v>
      </c>
      <c r="G35" s="2"/>
    </row>
  </sheetData>
  <mergeCells count="13">
    <mergeCell ref="A16:A19"/>
    <mergeCell ref="B24:B29"/>
    <mergeCell ref="B20:B23"/>
    <mergeCell ref="C30:C34"/>
    <mergeCell ref="A20:A35"/>
    <mergeCell ref="B30:B35"/>
    <mergeCell ref="A2:A11"/>
    <mergeCell ref="B2:B8"/>
    <mergeCell ref="C2:C3"/>
    <mergeCell ref="C4:C6"/>
    <mergeCell ref="A12:A15"/>
    <mergeCell ref="B9:B11"/>
    <mergeCell ref="B12:B13"/>
  </mergeCells>
  <pageMargins left="0.7" right="0.7" top="0.75" bottom="0.75" header="0.3" footer="0.3"/>
  <pageSetup orientation="landscape" r:id="rId1"/>
  <headerFooter>
    <oddHeader>&amp;C&amp;"Arial,Regular"&amp;14MÔ TẢ CÔNG VIỆC</oddHeader>
    <oddFooter>&amp;R&amp;P/&amp;N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zoomScale="90" zoomScaleNormal="90" workbookViewId="0">
      <selection activeCell="D30" sqref="D30"/>
    </sheetView>
  </sheetViews>
  <sheetFormatPr defaultRowHeight="15" x14ac:dyDescent="0.25"/>
  <cols>
    <col min="1" max="1" width="4" style="24" bestFit="1" customWidth="1"/>
    <col min="2" max="3" width="9.140625" style="24"/>
    <col min="4" max="4" width="15.5703125" style="24" customWidth="1"/>
    <col min="5" max="5" width="12.5703125" style="24" customWidth="1"/>
    <col min="6" max="6" width="9.140625" style="24"/>
    <col min="7" max="7" width="7" style="24" customWidth="1"/>
    <col min="8" max="8" width="8.42578125" style="24" customWidth="1"/>
    <col min="9" max="16384" width="9.140625" style="24"/>
  </cols>
  <sheetData>
    <row r="1" spans="1:13" ht="18.75" customHeight="1" x14ac:dyDescent="0.3">
      <c r="A1" s="169" t="s">
        <v>75</v>
      </c>
      <c r="B1" s="169"/>
      <c r="C1" s="169"/>
      <c r="D1" s="169"/>
      <c r="E1" s="38" t="s">
        <v>102</v>
      </c>
      <c r="F1" s="37"/>
      <c r="G1" s="37"/>
      <c r="H1" s="37"/>
      <c r="I1" s="39" t="s">
        <v>103</v>
      </c>
      <c r="J1" s="37"/>
      <c r="K1" s="37"/>
      <c r="L1" s="37"/>
      <c r="M1" s="37"/>
    </row>
    <row r="2" spans="1:13" ht="15" customHeight="1" x14ac:dyDescent="0.25">
      <c r="A2" s="170" t="s">
        <v>74</v>
      </c>
      <c r="B2" s="170"/>
      <c r="C2" s="170"/>
      <c r="D2" s="170"/>
      <c r="E2" s="170"/>
      <c r="F2" s="170"/>
      <c r="G2" s="170" t="s">
        <v>80</v>
      </c>
      <c r="H2" s="170"/>
      <c r="I2" s="170"/>
      <c r="J2" s="170"/>
      <c r="K2" s="170"/>
      <c r="L2" s="170"/>
      <c r="M2" s="170"/>
    </row>
    <row r="3" spans="1:13" ht="30" x14ac:dyDescent="0.25">
      <c r="A3" s="27" t="s">
        <v>85</v>
      </c>
      <c r="B3" s="27" t="s">
        <v>76</v>
      </c>
      <c r="C3" s="27" t="s">
        <v>77</v>
      </c>
      <c r="D3" s="27" t="s">
        <v>78</v>
      </c>
      <c r="E3" s="28" t="s">
        <v>79</v>
      </c>
      <c r="F3" s="32" t="s">
        <v>82</v>
      </c>
      <c r="G3" s="29"/>
      <c r="H3" s="26" t="s">
        <v>85</v>
      </c>
      <c r="I3" s="26" t="s">
        <v>76</v>
      </c>
      <c r="J3" s="26" t="s">
        <v>81</v>
      </c>
      <c r="K3" s="26" t="s">
        <v>83</v>
      </c>
      <c r="L3" s="26" t="s">
        <v>84</v>
      </c>
      <c r="M3" s="26" t="s">
        <v>82</v>
      </c>
    </row>
    <row r="4" spans="1:13" x14ac:dyDescent="0.25">
      <c r="A4" s="30">
        <v>1</v>
      </c>
      <c r="B4" s="25"/>
      <c r="C4" s="25"/>
      <c r="D4" s="25"/>
      <c r="E4" s="25"/>
      <c r="F4" s="33"/>
      <c r="G4" s="25"/>
      <c r="H4" s="30">
        <v>1</v>
      </c>
      <c r="I4" s="25"/>
      <c r="J4" s="25"/>
      <c r="K4" s="25"/>
      <c r="L4" s="25"/>
      <c r="M4" s="25"/>
    </row>
    <row r="5" spans="1:13" x14ac:dyDescent="0.25">
      <c r="A5" s="30">
        <v>2</v>
      </c>
      <c r="B5" s="25"/>
      <c r="C5" s="25"/>
      <c r="D5" s="25"/>
      <c r="E5" s="25"/>
      <c r="F5" s="33"/>
      <c r="G5" s="25"/>
      <c r="H5" s="30">
        <v>2</v>
      </c>
      <c r="I5" s="25"/>
      <c r="J5" s="25"/>
      <c r="K5" s="25"/>
      <c r="L5" s="25"/>
      <c r="M5" s="25"/>
    </row>
    <row r="6" spans="1:13" x14ac:dyDescent="0.25">
      <c r="A6" s="30">
        <v>3</v>
      </c>
      <c r="B6" s="25"/>
      <c r="C6" s="25"/>
      <c r="D6" s="25"/>
      <c r="E6" s="25"/>
      <c r="F6" s="33"/>
      <c r="G6" s="25"/>
      <c r="H6" s="30">
        <v>3</v>
      </c>
      <c r="I6" s="25"/>
      <c r="J6" s="25"/>
      <c r="K6" s="25"/>
      <c r="L6" s="25"/>
      <c r="M6" s="25"/>
    </row>
    <row r="7" spans="1:13" x14ac:dyDescent="0.25">
      <c r="A7" s="30">
        <v>4</v>
      </c>
      <c r="B7" s="25"/>
      <c r="C7" s="25"/>
      <c r="D7" s="25"/>
      <c r="E7" s="25"/>
      <c r="F7" s="33"/>
      <c r="G7" s="25"/>
      <c r="H7" s="30">
        <v>4</v>
      </c>
      <c r="I7" s="25"/>
      <c r="J7" s="25"/>
      <c r="K7" s="25"/>
      <c r="L7" s="25"/>
      <c r="M7" s="25"/>
    </row>
    <row r="8" spans="1:13" x14ac:dyDescent="0.25">
      <c r="A8" s="30">
        <v>5</v>
      </c>
      <c r="B8" s="25"/>
      <c r="C8" s="25"/>
      <c r="D8" s="25"/>
      <c r="E8" s="25"/>
      <c r="F8" s="33"/>
      <c r="G8" s="25"/>
      <c r="H8" s="30">
        <v>5</v>
      </c>
      <c r="I8" s="25"/>
      <c r="J8" s="25"/>
      <c r="K8" s="25"/>
      <c r="L8" s="25"/>
      <c r="M8" s="25"/>
    </row>
    <row r="9" spans="1:13" x14ac:dyDescent="0.25">
      <c r="A9" s="30">
        <v>6</v>
      </c>
      <c r="B9" s="25"/>
      <c r="C9" s="25"/>
      <c r="D9" s="25"/>
      <c r="E9" s="25"/>
      <c r="F9" s="33"/>
      <c r="G9" s="25"/>
      <c r="H9" s="30">
        <v>6</v>
      </c>
      <c r="I9" s="25"/>
      <c r="J9" s="25"/>
      <c r="K9" s="25"/>
      <c r="L9" s="25"/>
      <c r="M9" s="25"/>
    </row>
    <row r="10" spans="1:13" x14ac:dyDescent="0.25">
      <c r="A10" s="30">
        <v>7</v>
      </c>
      <c r="B10" s="25"/>
      <c r="C10" s="25"/>
      <c r="D10" s="25"/>
      <c r="E10" s="25"/>
      <c r="F10" s="33"/>
      <c r="G10" s="25"/>
      <c r="H10" s="30">
        <v>7</v>
      </c>
      <c r="I10" s="25"/>
      <c r="J10" s="25"/>
      <c r="K10" s="25"/>
      <c r="L10" s="25"/>
      <c r="M10" s="25"/>
    </row>
    <row r="11" spans="1:13" x14ac:dyDescent="0.25">
      <c r="A11" s="30">
        <v>8</v>
      </c>
      <c r="B11" s="25"/>
      <c r="C11" s="25"/>
      <c r="D11" s="25"/>
      <c r="E11" s="25"/>
      <c r="F11" s="33"/>
      <c r="G11" s="25"/>
      <c r="H11" s="30">
        <v>8</v>
      </c>
      <c r="I11" s="25"/>
      <c r="J11" s="25"/>
      <c r="K11" s="25"/>
      <c r="L11" s="25"/>
      <c r="M11" s="25"/>
    </row>
    <row r="12" spans="1:13" x14ac:dyDescent="0.25">
      <c r="A12" s="30">
        <v>9</v>
      </c>
      <c r="B12" s="25"/>
      <c r="C12" s="25"/>
      <c r="D12" s="25"/>
      <c r="E12" s="25"/>
      <c r="F12" s="33"/>
      <c r="G12" s="25"/>
      <c r="H12" s="30">
        <v>9</v>
      </c>
      <c r="I12" s="25"/>
      <c r="J12" s="25"/>
      <c r="K12" s="25"/>
      <c r="L12" s="25"/>
      <c r="M12" s="25"/>
    </row>
    <row r="13" spans="1:13" x14ac:dyDescent="0.25">
      <c r="A13" s="30">
        <v>10</v>
      </c>
      <c r="B13" s="25"/>
      <c r="C13" s="25"/>
      <c r="D13" s="25"/>
      <c r="E13" s="25"/>
      <c r="F13" s="33"/>
      <c r="G13" s="25"/>
      <c r="H13" s="30">
        <v>10</v>
      </c>
      <c r="I13" s="25"/>
      <c r="J13" s="25"/>
      <c r="K13" s="25"/>
      <c r="L13" s="25"/>
      <c r="M13" s="25"/>
    </row>
    <row r="14" spans="1:13" x14ac:dyDescent="0.25">
      <c r="A14" s="30">
        <v>11</v>
      </c>
      <c r="B14" s="25"/>
      <c r="C14" s="25"/>
      <c r="D14" s="25"/>
      <c r="E14" s="25"/>
      <c r="F14" s="33"/>
      <c r="G14" s="25"/>
      <c r="H14" s="30">
        <v>11</v>
      </c>
      <c r="I14" s="25"/>
      <c r="J14" s="25"/>
      <c r="K14" s="25"/>
      <c r="L14" s="25"/>
      <c r="M14" s="25"/>
    </row>
    <row r="15" spans="1:13" x14ac:dyDescent="0.25">
      <c r="A15" s="30">
        <v>12</v>
      </c>
      <c r="B15" s="25"/>
      <c r="C15" s="25"/>
      <c r="D15" s="25"/>
      <c r="E15" s="25"/>
      <c r="F15" s="33"/>
      <c r="G15" s="25"/>
      <c r="H15" s="30">
        <v>12</v>
      </c>
      <c r="I15" s="25"/>
      <c r="J15" s="25"/>
      <c r="K15" s="25"/>
      <c r="L15" s="25"/>
      <c r="M15" s="25"/>
    </row>
    <row r="16" spans="1:13" x14ac:dyDescent="0.25">
      <c r="A16" s="30">
        <v>13</v>
      </c>
      <c r="B16" s="25"/>
      <c r="C16" s="25"/>
      <c r="D16" s="25"/>
      <c r="E16" s="25"/>
      <c r="F16" s="33"/>
      <c r="G16" s="25"/>
      <c r="H16" s="30">
        <v>13</v>
      </c>
      <c r="I16" s="25"/>
      <c r="J16" s="25"/>
      <c r="K16" s="25"/>
      <c r="L16" s="25"/>
      <c r="M16" s="25"/>
    </row>
    <row r="17" spans="1:13" x14ac:dyDescent="0.25">
      <c r="A17" s="30">
        <v>14</v>
      </c>
      <c r="B17" s="25"/>
      <c r="C17" s="25"/>
      <c r="D17" s="25"/>
      <c r="E17" s="25"/>
      <c r="F17" s="33"/>
      <c r="G17" s="25"/>
      <c r="H17" s="30">
        <v>14</v>
      </c>
      <c r="I17" s="25"/>
      <c r="J17" s="25"/>
      <c r="K17" s="25"/>
      <c r="L17" s="25"/>
      <c r="M17" s="25"/>
    </row>
    <row r="18" spans="1:13" ht="15.75" x14ac:dyDescent="0.25">
      <c r="A18" s="171" t="s">
        <v>99</v>
      </c>
      <c r="B18" s="171"/>
      <c r="C18" s="171"/>
      <c r="D18" s="171"/>
      <c r="E18" s="171"/>
      <c r="F18" s="171"/>
      <c r="G18" s="171"/>
      <c r="H18" s="171"/>
      <c r="I18" s="171"/>
      <c r="J18" s="171"/>
      <c r="K18" s="171"/>
      <c r="L18" s="171"/>
      <c r="M18" s="171"/>
    </row>
    <row r="19" spans="1:13" ht="30" x14ac:dyDescent="0.25">
      <c r="A19" s="27" t="s">
        <v>85</v>
      </c>
      <c r="B19" s="27" t="s">
        <v>76</v>
      </c>
      <c r="C19" s="27" t="s">
        <v>98</v>
      </c>
      <c r="D19" s="27">
        <v>5</v>
      </c>
      <c r="E19" s="27">
        <v>2.5</v>
      </c>
      <c r="F19" s="27">
        <v>1.25</v>
      </c>
      <c r="G19" s="27">
        <v>0.63</v>
      </c>
      <c r="H19" s="27">
        <v>0.315</v>
      </c>
      <c r="I19" s="27">
        <v>0.14000000000000001</v>
      </c>
      <c r="J19" s="27" t="s">
        <v>97</v>
      </c>
      <c r="K19" s="27" t="s">
        <v>82</v>
      </c>
    </row>
    <row r="20" spans="1:13" x14ac:dyDescent="0.25">
      <c r="A20" s="41">
        <v>1</v>
      </c>
      <c r="B20" s="34"/>
      <c r="C20" s="34"/>
      <c r="D20" s="34"/>
      <c r="E20" s="34"/>
      <c r="F20" s="34"/>
      <c r="G20" s="34"/>
      <c r="H20" s="34"/>
      <c r="I20" s="34"/>
      <c r="J20" s="34"/>
      <c r="K20" s="34"/>
      <c r="L20" s="34"/>
      <c r="M20" s="34"/>
    </row>
    <row r="21" spans="1:13" x14ac:dyDescent="0.25">
      <c r="A21" s="42">
        <v>2</v>
      </c>
      <c r="B21" s="35"/>
      <c r="C21" s="35"/>
      <c r="D21" s="35"/>
      <c r="E21" s="35"/>
      <c r="F21" s="35"/>
      <c r="G21" s="35"/>
      <c r="H21" s="35"/>
      <c r="I21" s="35"/>
      <c r="J21" s="35"/>
      <c r="K21" s="35"/>
      <c r="L21" s="35"/>
      <c r="M21" s="35"/>
    </row>
    <row r="22" spans="1:13" x14ac:dyDescent="0.25">
      <c r="A22" s="42">
        <v>3</v>
      </c>
      <c r="B22" s="35"/>
      <c r="C22" s="35"/>
      <c r="D22" s="35"/>
      <c r="E22" s="35"/>
      <c r="F22" s="35"/>
      <c r="G22" s="35"/>
      <c r="H22" s="35"/>
      <c r="I22" s="35"/>
      <c r="J22" s="35"/>
      <c r="K22" s="35"/>
      <c r="L22" s="35"/>
      <c r="M22" s="35"/>
    </row>
    <row r="23" spans="1:13" x14ac:dyDescent="0.25">
      <c r="A23" s="42">
        <v>4</v>
      </c>
      <c r="B23" s="35"/>
      <c r="C23" s="35"/>
      <c r="D23" s="35"/>
      <c r="E23" s="35"/>
      <c r="F23" s="35"/>
      <c r="G23" s="35"/>
      <c r="H23" s="35"/>
      <c r="I23" s="35"/>
      <c r="J23" s="35"/>
      <c r="K23" s="35"/>
      <c r="L23" s="35"/>
      <c r="M23" s="35"/>
    </row>
    <row r="24" spans="1:13" x14ac:dyDescent="0.25">
      <c r="A24" s="42">
        <v>5</v>
      </c>
      <c r="B24" s="35"/>
      <c r="C24" s="35"/>
      <c r="D24" s="35"/>
      <c r="E24" s="35"/>
      <c r="F24" s="35"/>
      <c r="G24" s="35"/>
      <c r="H24" s="35"/>
      <c r="I24" s="35"/>
      <c r="J24" s="35"/>
      <c r="K24" s="35"/>
      <c r="L24" s="35"/>
      <c r="M24" s="35"/>
    </row>
    <row r="25" spans="1:13" x14ac:dyDescent="0.25">
      <c r="A25" s="43">
        <v>6</v>
      </c>
      <c r="B25" s="36"/>
      <c r="C25" s="36"/>
      <c r="D25" s="36"/>
      <c r="E25" s="36"/>
      <c r="F25" s="36"/>
      <c r="G25" s="36"/>
      <c r="H25" s="36"/>
      <c r="I25" s="36"/>
      <c r="J25" s="36"/>
      <c r="K25" s="36"/>
      <c r="L25" s="36"/>
      <c r="M25" s="36"/>
    </row>
    <row r="26" spans="1:13" ht="15.75" x14ac:dyDescent="0.25">
      <c r="A26" s="171" t="s">
        <v>100</v>
      </c>
      <c r="B26" s="171"/>
      <c r="C26" s="171"/>
      <c r="D26" s="171"/>
      <c r="E26" s="171"/>
      <c r="F26" s="171"/>
      <c r="G26" s="171"/>
      <c r="H26" s="171"/>
      <c r="I26" s="171"/>
      <c r="J26" s="171"/>
      <c r="K26" s="171"/>
      <c r="L26" s="171"/>
      <c r="M26" s="171"/>
    </row>
    <row r="27" spans="1:13" x14ac:dyDescent="0.25">
      <c r="A27" s="27" t="s">
        <v>85</v>
      </c>
      <c r="B27" s="27" t="s">
        <v>76</v>
      </c>
      <c r="C27" s="172" t="s">
        <v>98</v>
      </c>
      <c r="D27" s="172"/>
      <c r="E27" s="172"/>
      <c r="F27" s="27">
        <v>20</v>
      </c>
      <c r="G27" s="27">
        <v>10</v>
      </c>
      <c r="H27" s="27">
        <v>5</v>
      </c>
      <c r="I27" s="27" t="s">
        <v>101</v>
      </c>
      <c r="J27" s="27" t="s">
        <v>82</v>
      </c>
    </row>
    <row r="28" spans="1:13" x14ac:dyDescent="0.25">
      <c r="A28" s="41">
        <v>1</v>
      </c>
      <c r="B28" s="34"/>
      <c r="C28" s="34"/>
      <c r="D28" s="34"/>
      <c r="E28" s="34"/>
      <c r="F28" s="34"/>
      <c r="G28" s="34"/>
      <c r="H28" s="34"/>
      <c r="I28" s="34"/>
      <c r="J28" s="34"/>
      <c r="K28" s="34"/>
      <c r="L28" s="34"/>
      <c r="M28" s="34"/>
    </row>
    <row r="29" spans="1:13" x14ac:dyDescent="0.25">
      <c r="A29" s="42">
        <v>2</v>
      </c>
      <c r="B29" s="35"/>
      <c r="C29" s="35"/>
      <c r="D29" s="35"/>
      <c r="E29" s="35"/>
      <c r="F29" s="35"/>
      <c r="G29" s="35"/>
      <c r="H29" s="35"/>
      <c r="I29" s="35"/>
      <c r="J29" s="35"/>
      <c r="K29" s="35"/>
      <c r="L29" s="35"/>
      <c r="M29" s="35"/>
    </row>
    <row r="30" spans="1:13" x14ac:dyDescent="0.25">
      <c r="A30" s="42">
        <v>3</v>
      </c>
      <c r="B30" s="35"/>
      <c r="C30" s="35"/>
      <c r="D30" s="35"/>
      <c r="E30" s="35"/>
      <c r="F30" s="35"/>
      <c r="G30" s="35"/>
      <c r="H30" s="35"/>
      <c r="I30" s="35"/>
      <c r="J30" s="35"/>
      <c r="K30" s="35"/>
      <c r="L30" s="35"/>
      <c r="M30" s="35"/>
    </row>
    <row r="31" spans="1:13" x14ac:dyDescent="0.25">
      <c r="A31" s="42">
        <v>4</v>
      </c>
      <c r="B31" s="35"/>
      <c r="C31" s="35"/>
      <c r="D31" s="35"/>
      <c r="E31" s="35"/>
      <c r="F31" s="35"/>
      <c r="G31" s="35"/>
      <c r="H31" s="35"/>
      <c r="I31" s="35"/>
      <c r="J31" s="35"/>
      <c r="K31" s="35"/>
      <c r="L31" s="35"/>
      <c r="M31" s="35"/>
    </row>
    <row r="32" spans="1:13" x14ac:dyDescent="0.25">
      <c r="A32" s="42">
        <v>5</v>
      </c>
      <c r="B32" s="35"/>
      <c r="C32" s="35"/>
      <c r="D32" s="35"/>
      <c r="E32" s="35"/>
      <c r="F32" s="35"/>
      <c r="G32" s="35"/>
      <c r="H32" s="35"/>
      <c r="I32" s="35"/>
      <c r="J32" s="35"/>
      <c r="K32" s="35"/>
      <c r="L32" s="35"/>
      <c r="M32" s="35"/>
    </row>
    <row r="33" spans="1:13" ht="15.75" customHeight="1" x14ac:dyDescent="0.25">
      <c r="A33" s="43">
        <v>6</v>
      </c>
      <c r="B33" s="36"/>
      <c r="C33" s="36"/>
      <c r="D33" s="36"/>
      <c r="E33" s="36"/>
      <c r="F33" s="36"/>
      <c r="G33" s="36"/>
      <c r="H33" s="36"/>
      <c r="I33" s="36"/>
      <c r="J33" s="36"/>
      <c r="K33" s="36"/>
      <c r="L33" s="36"/>
      <c r="M33" s="36"/>
    </row>
    <row r="34" spans="1:13" ht="15.75" x14ac:dyDescent="0.25">
      <c r="A34" s="170" t="s">
        <v>91</v>
      </c>
      <c r="B34" s="170"/>
      <c r="C34" s="170"/>
      <c r="D34" s="170"/>
      <c r="E34" s="170"/>
      <c r="F34" s="170"/>
      <c r="G34" s="170"/>
      <c r="H34" s="170"/>
      <c r="I34" s="170"/>
      <c r="J34" s="170"/>
      <c r="K34" s="170"/>
      <c r="L34" s="170"/>
      <c r="M34" s="170"/>
    </row>
    <row r="35" spans="1:13" ht="30" customHeight="1" x14ac:dyDescent="0.25">
      <c r="A35" s="27" t="s">
        <v>85</v>
      </c>
      <c r="B35" s="27" t="s">
        <v>76</v>
      </c>
      <c r="C35" s="27" t="s">
        <v>81</v>
      </c>
      <c r="D35" s="27" t="s">
        <v>86</v>
      </c>
      <c r="E35" s="27" t="s">
        <v>87</v>
      </c>
      <c r="F35" s="27" t="s">
        <v>88</v>
      </c>
      <c r="G35" s="27" t="s">
        <v>89</v>
      </c>
      <c r="H35" s="27" t="s">
        <v>90</v>
      </c>
      <c r="I35" s="27" t="s">
        <v>92</v>
      </c>
      <c r="J35" s="27" t="s">
        <v>93</v>
      </c>
      <c r="K35" s="27" t="s">
        <v>94</v>
      </c>
      <c r="L35" s="27" t="s">
        <v>95</v>
      </c>
      <c r="M35" s="27" t="s">
        <v>96</v>
      </c>
    </row>
    <row r="36" spans="1:13" ht="30" customHeight="1" x14ac:dyDescent="0.25">
      <c r="A36" s="31">
        <v>1</v>
      </c>
      <c r="B36" s="25"/>
      <c r="C36" s="25"/>
      <c r="D36" s="25"/>
      <c r="E36" s="25"/>
      <c r="F36" s="25"/>
      <c r="G36" s="25"/>
      <c r="H36" s="25"/>
      <c r="I36" s="25"/>
      <c r="J36" s="25"/>
      <c r="K36" s="25"/>
      <c r="L36" s="25"/>
      <c r="M36" s="25"/>
    </row>
    <row r="37" spans="1:13" ht="30" customHeight="1" x14ac:dyDescent="0.25">
      <c r="A37" s="31">
        <v>2</v>
      </c>
      <c r="B37" s="25"/>
      <c r="C37" s="25"/>
      <c r="D37" s="25"/>
      <c r="E37" s="25"/>
      <c r="F37" s="25"/>
      <c r="G37" s="25"/>
      <c r="H37" s="25"/>
      <c r="I37" s="25"/>
      <c r="J37" s="25"/>
      <c r="K37" s="25"/>
      <c r="L37" s="25"/>
      <c r="M37" s="25"/>
    </row>
    <row r="38" spans="1:13" ht="30" customHeight="1" x14ac:dyDescent="0.25">
      <c r="A38" s="31">
        <v>3</v>
      </c>
      <c r="B38" s="25"/>
      <c r="C38" s="25"/>
      <c r="D38" s="25"/>
      <c r="E38" s="25"/>
      <c r="F38" s="25"/>
      <c r="G38" s="25"/>
      <c r="H38" s="25"/>
      <c r="I38" s="25"/>
      <c r="J38" s="25"/>
      <c r="K38" s="25"/>
      <c r="L38" s="25"/>
      <c r="M38" s="25"/>
    </row>
    <row r="39" spans="1:13" ht="30" customHeight="1" x14ac:dyDescent="0.25">
      <c r="A39" s="31">
        <v>4</v>
      </c>
      <c r="B39" s="25"/>
      <c r="C39" s="25"/>
      <c r="D39" s="25"/>
      <c r="E39" s="25"/>
      <c r="F39" s="25"/>
      <c r="G39" s="25"/>
      <c r="H39" s="25"/>
      <c r="I39" s="25"/>
      <c r="J39" s="25"/>
      <c r="K39" s="25"/>
      <c r="L39" s="25"/>
      <c r="M39" s="25"/>
    </row>
    <row r="40" spans="1:13" ht="30" customHeight="1" x14ac:dyDescent="0.25">
      <c r="A40" s="31">
        <v>5</v>
      </c>
      <c r="B40" s="25"/>
      <c r="C40" s="25"/>
      <c r="D40" s="25"/>
      <c r="E40" s="25"/>
      <c r="F40" s="25"/>
      <c r="G40" s="25"/>
      <c r="H40" s="25"/>
      <c r="I40" s="25"/>
      <c r="J40" s="25"/>
      <c r="K40" s="25"/>
      <c r="L40" s="25"/>
      <c r="M40" s="25"/>
    </row>
    <row r="41" spans="1:13" ht="30" customHeight="1" x14ac:dyDescent="0.25">
      <c r="A41" s="31">
        <v>6</v>
      </c>
      <c r="B41" s="25"/>
      <c r="C41" s="25"/>
      <c r="D41" s="25"/>
      <c r="E41" s="25"/>
      <c r="F41" s="25"/>
      <c r="G41" s="25"/>
      <c r="H41" s="25"/>
      <c r="I41" s="25"/>
      <c r="J41" s="25"/>
      <c r="K41" s="25"/>
      <c r="L41" s="25"/>
      <c r="M41" s="25"/>
    </row>
    <row r="42" spans="1:13" ht="30.75" customHeight="1" x14ac:dyDescent="0.25">
      <c r="A42" s="31">
        <v>7</v>
      </c>
      <c r="B42" s="25"/>
      <c r="C42" s="25"/>
      <c r="D42" s="25"/>
      <c r="E42" s="25"/>
      <c r="F42" s="25"/>
      <c r="G42" s="25"/>
      <c r="H42" s="25"/>
      <c r="I42" s="25"/>
      <c r="J42" s="25"/>
      <c r="K42" s="25"/>
      <c r="L42" s="25"/>
      <c r="M42" s="25"/>
    </row>
    <row r="43" spans="1:13" ht="30.75" customHeight="1" x14ac:dyDescent="0.25">
      <c r="A43" s="31">
        <v>8</v>
      </c>
      <c r="B43" s="25"/>
      <c r="C43" s="25"/>
      <c r="D43" s="25"/>
      <c r="E43" s="25"/>
      <c r="F43" s="25"/>
      <c r="G43" s="25"/>
      <c r="H43" s="25"/>
      <c r="I43" s="25"/>
      <c r="J43" s="25"/>
      <c r="K43" s="25"/>
      <c r="L43" s="25"/>
      <c r="M43" s="25"/>
    </row>
    <row r="44" spans="1:13" ht="30.75" customHeight="1" x14ac:dyDescent="0.25">
      <c r="A44" s="31">
        <v>9</v>
      </c>
      <c r="B44" s="25"/>
      <c r="C44" s="25"/>
      <c r="D44" s="25"/>
      <c r="E44" s="25"/>
      <c r="F44" s="25"/>
      <c r="G44" s="25"/>
      <c r="H44" s="25"/>
      <c r="I44" s="25"/>
      <c r="J44" s="25"/>
      <c r="K44" s="25"/>
      <c r="L44" s="25"/>
      <c r="M44" s="25"/>
    </row>
    <row r="45" spans="1:13" ht="30.75" customHeight="1" x14ac:dyDescent="0.25">
      <c r="A45" s="31">
        <v>10</v>
      </c>
      <c r="B45" s="25"/>
      <c r="C45" s="25"/>
      <c r="D45" s="25"/>
      <c r="E45" s="25"/>
      <c r="F45" s="25"/>
      <c r="G45" s="25"/>
      <c r="H45" s="25"/>
      <c r="I45" s="25"/>
      <c r="J45" s="25"/>
      <c r="K45" s="25"/>
      <c r="L45" s="25"/>
      <c r="M45" s="25"/>
    </row>
  </sheetData>
  <mergeCells count="7">
    <mergeCell ref="A1:D1"/>
    <mergeCell ref="A34:M34"/>
    <mergeCell ref="A18:M18"/>
    <mergeCell ref="A26:M26"/>
    <mergeCell ref="A2:F2"/>
    <mergeCell ref="G2:M2"/>
    <mergeCell ref="C27:E27"/>
  </mergeCells>
  <pageMargins left="0.7" right="0.7" top="0.75" bottom="0.75" header="0.3" footer="0.3"/>
  <pageSetup orientation="landscape" r:id="rId1"/>
  <rowBreaks count="1" manualBreakCount="1">
    <brk id="2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workbookViewId="0">
      <selection activeCell="K40" sqref="K40"/>
    </sheetView>
  </sheetViews>
  <sheetFormatPr defaultRowHeight="15" x14ac:dyDescent="0.25"/>
  <cols>
    <col min="1" max="1" width="6.140625" customWidth="1"/>
    <col min="3" max="3" width="11" customWidth="1"/>
    <col min="4" max="4" width="16.42578125" customWidth="1"/>
    <col min="5" max="5" width="12.5703125" customWidth="1"/>
    <col min="6" max="6" width="9.85546875" customWidth="1"/>
    <col min="9" max="9" width="9.7109375" customWidth="1"/>
    <col min="10" max="11" width="7.7109375" customWidth="1"/>
    <col min="12" max="12" width="14.85546875" customWidth="1"/>
    <col min="13" max="13" width="7.85546875" customWidth="1"/>
    <col min="14" max="14" width="11.5703125" customWidth="1"/>
    <col min="15" max="16" width="8.42578125" customWidth="1"/>
    <col min="17" max="17" width="14.7109375" customWidth="1"/>
    <col min="18" max="18" width="8.5703125" customWidth="1"/>
    <col min="19" max="19" width="11.5703125" customWidth="1"/>
    <col min="20" max="20" width="11" customWidth="1"/>
    <col min="21" max="21" width="8.5703125" customWidth="1"/>
    <col min="22" max="22" width="10.5703125" customWidth="1"/>
    <col min="23" max="23" width="11.5703125" customWidth="1"/>
    <col min="24" max="24" width="11" bestFit="1" customWidth="1"/>
    <col min="25" max="25" width="13.7109375" bestFit="1" customWidth="1"/>
    <col min="26" max="26" width="10.5703125" bestFit="1" customWidth="1"/>
    <col min="27" max="27" width="13.7109375" bestFit="1" customWidth="1"/>
    <col min="28" max="28" width="11.5703125" customWidth="1"/>
    <col min="29" max="29" width="14.7109375" customWidth="1"/>
    <col min="30" max="30" width="11.5703125" customWidth="1"/>
    <col min="31" max="31" width="14.7109375" customWidth="1"/>
    <col min="32" max="32" width="11.5703125" customWidth="1"/>
    <col min="33" max="35" width="14.7109375" bestFit="1" customWidth="1"/>
    <col min="36" max="37" width="14.7109375" customWidth="1"/>
    <col min="38" max="38" width="11.5703125" customWidth="1"/>
    <col min="39" max="39" width="14.7109375" bestFit="1" customWidth="1"/>
    <col min="40" max="40" width="11.5703125" bestFit="1" customWidth="1"/>
    <col min="41" max="41" width="14.7109375" bestFit="1" customWidth="1"/>
    <col min="42" max="42" width="11.5703125" bestFit="1" customWidth="1"/>
    <col min="43" max="43" width="14.7109375" bestFit="1" customWidth="1"/>
    <col min="44" max="44" width="11.5703125" bestFit="1" customWidth="1"/>
    <col min="45" max="47" width="14.7109375" bestFit="1" customWidth="1"/>
    <col min="48" max="48" width="11.5703125" customWidth="1"/>
    <col min="49" max="49" width="14.7109375" customWidth="1"/>
    <col min="50" max="50" width="11.5703125" customWidth="1"/>
    <col min="51" max="51" width="14.7109375" customWidth="1"/>
    <col min="52" max="52" width="11.5703125" bestFit="1" customWidth="1"/>
    <col min="53" max="53" width="14.7109375" bestFit="1" customWidth="1"/>
    <col min="54" max="54" width="11.5703125" bestFit="1" customWidth="1"/>
    <col min="55" max="55" width="14.7109375" bestFit="1" customWidth="1"/>
    <col min="56" max="56" width="11.5703125" customWidth="1"/>
    <col min="57" max="59" width="14.7109375" bestFit="1" customWidth="1"/>
    <col min="60" max="60" width="11.5703125" bestFit="1" customWidth="1"/>
    <col min="61" max="61" width="14.7109375" customWidth="1"/>
    <col min="62" max="62" width="11.5703125" customWidth="1"/>
    <col min="63" max="63" width="14.7109375" customWidth="1"/>
    <col min="64" max="64" width="11.5703125" customWidth="1"/>
    <col min="65" max="65" width="14.7109375" bestFit="1" customWidth="1"/>
    <col min="66" max="66" width="11.5703125" bestFit="1" customWidth="1"/>
    <col min="67" max="67" width="14.7109375" bestFit="1" customWidth="1"/>
    <col min="68" max="68" width="11.5703125" customWidth="1"/>
    <col min="69" max="71" width="14.7109375" bestFit="1" customWidth="1"/>
    <col min="72" max="72" width="11.5703125" bestFit="1" customWidth="1"/>
    <col min="73" max="73" width="14.7109375" bestFit="1" customWidth="1"/>
    <col min="74" max="74" width="11.5703125" bestFit="1" customWidth="1"/>
    <col min="75" max="75" width="14.7109375" bestFit="1" customWidth="1"/>
    <col min="76" max="76" width="11.5703125" bestFit="1" customWidth="1"/>
    <col min="77" max="77" width="14.7109375" bestFit="1" customWidth="1"/>
    <col min="78" max="78" width="11.5703125" bestFit="1" customWidth="1"/>
    <col min="79" max="79" width="14.7109375" bestFit="1" customWidth="1"/>
    <col min="80" max="80" width="11.5703125" bestFit="1" customWidth="1"/>
    <col min="81" max="81" width="14.7109375" bestFit="1" customWidth="1"/>
    <col min="82" max="82" width="11.5703125" bestFit="1" customWidth="1"/>
    <col min="83" max="85" width="14.7109375" bestFit="1" customWidth="1"/>
    <col min="86" max="86" width="11.5703125" bestFit="1" customWidth="1"/>
    <col min="87" max="89" width="14.7109375" bestFit="1" customWidth="1"/>
    <col min="90" max="90" width="11.5703125" bestFit="1" customWidth="1"/>
    <col min="91" max="91" width="14.7109375" bestFit="1" customWidth="1"/>
    <col min="92" max="92" width="11.5703125" bestFit="1" customWidth="1"/>
    <col min="93" max="95" width="14.7109375" bestFit="1" customWidth="1"/>
    <col min="96" max="96" width="11.5703125" bestFit="1" customWidth="1"/>
    <col min="97" max="99" width="14.7109375" bestFit="1" customWidth="1"/>
    <col min="100" max="100" width="11.5703125" bestFit="1" customWidth="1"/>
    <col min="101" max="101" width="14.7109375" bestFit="1" customWidth="1"/>
  </cols>
  <sheetData>
    <row r="1" spans="1:12" ht="45.75" customHeight="1" x14ac:dyDescent="0.25">
      <c r="A1" s="27" t="s">
        <v>85</v>
      </c>
      <c r="B1" s="27" t="s">
        <v>76</v>
      </c>
      <c r="C1" s="27" t="s">
        <v>77</v>
      </c>
      <c r="D1" s="27" t="s">
        <v>98</v>
      </c>
      <c r="E1" s="28" t="s">
        <v>79</v>
      </c>
      <c r="F1" s="27" t="s">
        <v>82</v>
      </c>
    </row>
    <row r="2" spans="1:12" x14ac:dyDescent="0.25">
      <c r="A2" s="31">
        <v>1</v>
      </c>
      <c r="B2" s="50">
        <v>43740</v>
      </c>
      <c r="C2" s="31" t="str">
        <f>TEXT(Bunset[[#This Row],[Ngày]],"yymmdd")&amp;"-"&amp;Bunset[[#This Row],[STT]]</f>
        <v>191002-1</v>
      </c>
      <c r="D2" s="31" t="s">
        <v>112</v>
      </c>
      <c r="E2" s="51">
        <v>0.28799999999999998</v>
      </c>
      <c r="F2" s="31"/>
    </row>
    <row r="3" spans="1:12" x14ac:dyDescent="0.25">
      <c r="A3" s="31">
        <v>2</v>
      </c>
      <c r="B3" s="50">
        <v>43740</v>
      </c>
      <c r="C3" s="31" t="str">
        <f>TEXT(Bunset[[#This Row],[Ngày]],"yymmdd")&amp;"-"&amp;Bunset[[#This Row],[STT]]</f>
        <v>191002-2</v>
      </c>
      <c r="D3" s="31" t="s">
        <v>113</v>
      </c>
      <c r="E3" s="51">
        <v>5.6300000000000003E-2</v>
      </c>
      <c r="F3" s="31"/>
      <c r="I3" s="79" t="s">
        <v>148</v>
      </c>
      <c r="L3" s="79" t="s">
        <v>98</v>
      </c>
    </row>
    <row r="4" spans="1:12" x14ac:dyDescent="0.25">
      <c r="A4" s="31">
        <v>3</v>
      </c>
      <c r="B4" s="50">
        <v>43741</v>
      </c>
      <c r="C4" s="31" t="str">
        <f>TEXT(Bunset[[#This Row],[Ngày]],"yymmdd")&amp;"-"&amp;Bunset[[#This Row],[STT]]</f>
        <v>191003-3</v>
      </c>
      <c r="D4" s="31" t="s">
        <v>114</v>
      </c>
      <c r="E4" s="51">
        <v>7.6999999999999999E-2</v>
      </c>
      <c r="F4" s="31"/>
      <c r="I4" s="79" t="s">
        <v>77</v>
      </c>
      <c r="J4" s="79" t="s">
        <v>149</v>
      </c>
      <c r="K4" s="79" t="s">
        <v>76</v>
      </c>
      <c r="L4" t="s">
        <v>114</v>
      </c>
    </row>
    <row r="5" spans="1:12" x14ac:dyDescent="0.25">
      <c r="A5" s="31">
        <v>4</v>
      </c>
      <c r="B5" s="50">
        <v>43741</v>
      </c>
      <c r="C5" s="31" t="str">
        <f>TEXT(Bunset[[#This Row],[Ngày]],"yymmdd")&amp;"-"&amp;Bunset[[#This Row],[STT]]</f>
        <v>191003-4</v>
      </c>
      <c r="D5" s="31" t="s">
        <v>114</v>
      </c>
      <c r="E5" s="51">
        <v>0.33300000000000002</v>
      </c>
      <c r="F5" s="31"/>
      <c r="I5" t="s">
        <v>155</v>
      </c>
      <c r="L5" s="80">
        <v>0.214</v>
      </c>
    </row>
    <row r="6" spans="1:12" x14ac:dyDescent="0.25">
      <c r="A6" s="31">
        <v>5</v>
      </c>
      <c r="B6" s="50">
        <v>43743</v>
      </c>
      <c r="C6" s="31" t="str">
        <f>TEXT(Bunset[[#This Row],[Ngày]],"yymmdd")&amp;"-"&amp;Bunset[[#This Row],[STT]]</f>
        <v>191005-5</v>
      </c>
      <c r="D6" s="31" t="s">
        <v>115</v>
      </c>
      <c r="E6" s="51">
        <v>0.13100000000000001</v>
      </c>
      <c r="F6" s="31"/>
      <c r="J6" t="s">
        <v>154</v>
      </c>
      <c r="L6" s="80">
        <v>0.214</v>
      </c>
    </row>
    <row r="7" spans="1:12" x14ac:dyDescent="0.25">
      <c r="A7" s="31">
        <v>6</v>
      </c>
      <c r="B7" s="50">
        <v>43743</v>
      </c>
      <c r="C7" s="31" t="str">
        <f>TEXT(Bunset[[#This Row],[Ngày]],"yymmdd")&amp;"-"&amp;Bunset[[#This Row],[STT]]</f>
        <v>191005-6</v>
      </c>
      <c r="D7" s="31" t="s">
        <v>112</v>
      </c>
      <c r="E7" s="51">
        <v>0.45</v>
      </c>
      <c r="F7" s="31"/>
      <c r="I7" t="s">
        <v>156</v>
      </c>
      <c r="L7" s="80">
        <v>0.21099999999999999</v>
      </c>
    </row>
    <row r="8" spans="1:12" x14ac:dyDescent="0.25">
      <c r="A8" s="31">
        <v>7</v>
      </c>
      <c r="B8" s="50">
        <v>43743</v>
      </c>
      <c r="C8" s="31" t="str">
        <f>TEXT(Bunset[[#This Row],[Ngày]],"yymmdd")&amp;"-"&amp;Bunset[[#This Row],[STT]]</f>
        <v>191005-7</v>
      </c>
      <c r="D8" s="31" t="s">
        <v>113</v>
      </c>
      <c r="E8" s="51">
        <v>0.11799999999999999</v>
      </c>
      <c r="F8" s="31"/>
      <c r="J8" t="s">
        <v>154</v>
      </c>
      <c r="L8" s="80">
        <v>0.21099999999999999</v>
      </c>
    </row>
    <row r="9" spans="1:12" x14ac:dyDescent="0.25">
      <c r="A9" s="31">
        <v>8</v>
      </c>
      <c r="B9" s="50">
        <v>43743</v>
      </c>
      <c r="C9" s="31" t="str">
        <f>TEXT(Bunset[[#This Row],[Ngày]],"yymmdd")&amp;"-"&amp;Bunset[[#This Row],[STT]]</f>
        <v>191005-8</v>
      </c>
      <c r="D9" s="31" t="s">
        <v>112</v>
      </c>
      <c r="E9" s="51">
        <v>0.66600000000000004</v>
      </c>
      <c r="F9" s="31"/>
      <c r="I9" t="s">
        <v>157</v>
      </c>
      <c r="L9" s="80">
        <v>0.158</v>
      </c>
    </row>
    <row r="10" spans="1:12" x14ac:dyDescent="0.25">
      <c r="A10" s="31">
        <v>9</v>
      </c>
      <c r="B10" s="50">
        <v>43743</v>
      </c>
      <c r="C10" s="31" t="str">
        <f>TEXT(Bunset[[#This Row],[Ngày]],"yymmdd")&amp;"-"&amp;Bunset[[#This Row],[STT]]</f>
        <v>191005-9</v>
      </c>
      <c r="D10" s="31" t="s">
        <v>116</v>
      </c>
      <c r="E10" s="51">
        <v>0.5</v>
      </c>
      <c r="F10" s="31"/>
      <c r="J10" t="s">
        <v>154</v>
      </c>
      <c r="L10" s="80">
        <v>0.158</v>
      </c>
    </row>
    <row r="11" spans="1:12" x14ac:dyDescent="0.25">
      <c r="A11" s="31">
        <v>10</v>
      </c>
      <c r="B11" s="50">
        <v>43745</v>
      </c>
      <c r="C11" s="31" t="str">
        <f>TEXT(Bunset[[#This Row],[Ngày]],"yymmdd")&amp;"-"&amp;Bunset[[#This Row],[STT]]</f>
        <v>191007-10</v>
      </c>
      <c r="D11" s="31" t="s">
        <v>112</v>
      </c>
      <c r="E11" s="51">
        <v>0.5</v>
      </c>
      <c r="F11" s="31"/>
      <c r="I11" t="s">
        <v>158</v>
      </c>
      <c r="L11" s="80">
        <v>0.183</v>
      </c>
    </row>
    <row r="12" spans="1:12" x14ac:dyDescent="0.25">
      <c r="A12" s="31">
        <v>11</v>
      </c>
      <c r="B12" s="50">
        <v>43746</v>
      </c>
      <c r="C12" s="31" t="str">
        <f>TEXT(Bunset[[#This Row],[Ngày]],"yymmdd")&amp;"-"&amp;Bunset[[#This Row],[STT]]</f>
        <v>191008-11</v>
      </c>
      <c r="D12" s="31" t="s">
        <v>115</v>
      </c>
      <c r="E12" s="51">
        <v>0.129</v>
      </c>
      <c r="F12" s="31"/>
      <c r="J12" t="s">
        <v>154</v>
      </c>
      <c r="L12" s="80">
        <v>0.183</v>
      </c>
    </row>
    <row r="13" spans="1:12" x14ac:dyDescent="0.25">
      <c r="A13" s="31">
        <v>12</v>
      </c>
      <c r="B13" s="50">
        <v>43746</v>
      </c>
      <c r="C13" s="31" t="str">
        <f>TEXT(Bunset[[#This Row],[Ngày]],"yymmdd")&amp;"-"&amp;Bunset[[#This Row],[STT]]</f>
        <v>191008-12</v>
      </c>
      <c r="D13" s="31" t="s">
        <v>115</v>
      </c>
      <c r="E13" s="51">
        <v>0.09</v>
      </c>
      <c r="F13" s="31"/>
      <c r="I13" t="s">
        <v>159</v>
      </c>
      <c r="L13" s="80">
        <v>0.17599999999999999</v>
      </c>
    </row>
    <row r="14" spans="1:12" x14ac:dyDescent="0.25">
      <c r="A14" s="31">
        <v>13</v>
      </c>
      <c r="B14" s="50">
        <v>43746</v>
      </c>
      <c r="C14" s="31" t="str">
        <f>TEXT(Bunset[[#This Row],[Ngày]],"yymmdd")&amp;"-"&amp;Bunset[[#This Row],[STT]]</f>
        <v>191008-13</v>
      </c>
      <c r="D14" s="31" t="s">
        <v>114</v>
      </c>
      <c r="E14" s="51">
        <v>0.246</v>
      </c>
      <c r="F14" s="31"/>
      <c r="J14" t="s">
        <v>154</v>
      </c>
      <c r="L14" s="80">
        <v>0.17599999999999999</v>
      </c>
    </row>
    <row r="15" spans="1:12" x14ac:dyDescent="0.25">
      <c r="A15" s="31">
        <v>14</v>
      </c>
      <c r="B15" s="50">
        <v>43746</v>
      </c>
      <c r="C15" s="31" t="str">
        <f>TEXT(Bunset[[#This Row],[Ngày]],"yymmdd")&amp;"-"&amp;Bunset[[#This Row],[STT]]</f>
        <v>191008-14</v>
      </c>
      <c r="D15" s="49" t="s">
        <v>114</v>
      </c>
      <c r="E15" s="52">
        <v>0.26100000000000001</v>
      </c>
      <c r="F15" s="49"/>
      <c r="I15" t="s">
        <v>160</v>
      </c>
      <c r="L15" s="80">
        <v>0.123</v>
      </c>
    </row>
    <row r="16" spans="1:12" x14ac:dyDescent="0.25">
      <c r="A16" s="31">
        <v>15</v>
      </c>
      <c r="B16" s="53">
        <v>43746</v>
      </c>
      <c r="C16" s="49" t="str">
        <f>TEXT(Bunset[[#This Row],[Ngày]],"yymmdd")&amp;"-"&amp;Bunset[[#This Row],[STT]]</f>
        <v>191008-15</v>
      </c>
      <c r="D16" s="49" t="s">
        <v>123</v>
      </c>
      <c r="E16" s="52">
        <v>0.22800000000000001</v>
      </c>
      <c r="F16" s="49"/>
      <c r="J16" t="s">
        <v>154</v>
      </c>
      <c r="L16" s="80">
        <v>0.123</v>
      </c>
    </row>
    <row r="17" spans="1:6" x14ac:dyDescent="0.25">
      <c r="A17" s="31">
        <v>16</v>
      </c>
      <c r="B17" s="50">
        <v>43747</v>
      </c>
      <c r="C17" s="31" t="str">
        <f>TEXT(Bunset[[#This Row],[Ngày]],"yymmdd")&amp;"-"&amp;Bunset[[#This Row],[STT]]</f>
        <v>191009-16</v>
      </c>
      <c r="D17" s="31" t="s">
        <v>117</v>
      </c>
      <c r="E17" s="51">
        <v>0.35099999999999998</v>
      </c>
      <c r="F17" s="31"/>
    </row>
    <row r="18" spans="1:6" x14ac:dyDescent="0.25">
      <c r="A18" s="31">
        <v>17</v>
      </c>
      <c r="B18" s="50">
        <v>43748</v>
      </c>
      <c r="C18" s="31" t="str">
        <f>TEXT(Bunset[[#This Row],[Ngày]],"yymmdd")&amp;"-"&amp;Bunset[[#This Row],[STT]]</f>
        <v>191010-17</v>
      </c>
      <c r="D18" s="31" t="s">
        <v>116</v>
      </c>
      <c r="E18" s="51">
        <v>0.14000000000000001</v>
      </c>
      <c r="F18" s="31"/>
    </row>
    <row r="19" spans="1:6" x14ac:dyDescent="0.25">
      <c r="A19" s="31">
        <v>18</v>
      </c>
      <c r="B19" s="50">
        <v>43748</v>
      </c>
      <c r="C19" s="31" t="str">
        <f>TEXT(Bunset[[#This Row],[Ngày]],"yymmdd")&amp;"-"&amp;Bunset[[#This Row],[STT]]</f>
        <v>191010-18</v>
      </c>
      <c r="D19" s="31" t="s">
        <v>124</v>
      </c>
      <c r="E19" s="51">
        <v>0.41599999999999998</v>
      </c>
      <c r="F19" s="31"/>
    </row>
    <row r="20" spans="1:6" x14ac:dyDescent="0.25">
      <c r="A20" s="31">
        <v>19</v>
      </c>
      <c r="B20" s="50">
        <v>43752</v>
      </c>
      <c r="C20" s="31" t="str">
        <f>TEXT(Bunset[[#This Row],[Ngày]],"yymmdd")&amp;"-"&amp;Bunset[[#This Row],[STT]]</f>
        <v>191014-19</v>
      </c>
      <c r="D20" s="31" t="s">
        <v>114</v>
      </c>
      <c r="E20" s="51">
        <v>0.26800000000000002</v>
      </c>
      <c r="F20" s="31"/>
    </row>
    <row r="21" spans="1:6" x14ac:dyDescent="0.25">
      <c r="A21" s="31">
        <v>20</v>
      </c>
      <c r="B21" s="50">
        <v>43752</v>
      </c>
      <c r="C21" s="31" t="str">
        <f>TEXT(Bunset[[#This Row],[Ngày]],"yymmdd")&amp;"-"&amp;Bunset[[#This Row],[STT]]</f>
        <v>191014-20</v>
      </c>
      <c r="D21" s="31" t="s">
        <v>115</v>
      </c>
      <c r="E21" s="51">
        <v>0.214</v>
      </c>
      <c r="F21" s="31"/>
    </row>
    <row r="22" spans="1:6" x14ac:dyDescent="0.25">
      <c r="A22" s="31">
        <v>21</v>
      </c>
      <c r="B22" s="50">
        <v>43752</v>
      </c>
      <c r="C22" s="31" t="str">
        <f>TEXT(Bunset[[#This Row],[Ngày]],"yymmdd")&amp;"-"&amp;Bunset[[#This Row],[STT]]</f>
        <v>191014-21</v>
      </c>
      <c r="D22" s="31" t="s">
        <v>115</v>
      </c>
      <c r="E22" s="51">
        <v>0.253</v>
      </c>
      <c r="F22" s="31"/>
    </row>
    <row r="23" spans="1:6" x14ac:dyDescent="0.25">
      <c r="A23" s="31">
        <v>22</v>
      </c>
      <c r="B23" s="50">
        <v>43768</v>
      </c>
      <c r="C23" s="31" t="str">
        <f>TEXT(Bunset[[#This Row],[Ngày]],"yymmdd")&amp;"-"&amp;Bunset[[#This Row],[STT]]</f>
        <v>191030-22</v>
      </c>
      <c r="D23" s="31" t="s">
        <v>123</v>
      </c>
      <c r="E23" s="51">
        <v>0.254</v>
      </c>
      <c r="F23" s="31"/>
    </row>
    <row r="24" spans="1:6" x14ac:dyDescent="0.25">
      <c r="A24" s="31">
        <v>23</v>
      </c>
      <c r="B24" s="50">
        <v>43768</v>
      </c>
      <c r="C24" s="31" t="str">
        <f>TEXT(Bunset[[#This Row],[Ngày]],"yymmdd")&amp;"-"&amp;Bunset[[#This Row],[STT]]</f>
        <v>191030-23</v>
      </c>
      <c r="D24" s="31" t="s">
        <v>125</v>
      </c>
      <c r="E24" s="51">
        <v>0.22800000000000001</v>
      </c>
      <c r="F24" s="31"/>
    </row>
    <row r="25" spans="1:6" x14ac:dyDescent="0.25">
      <c r="A25" s="31">
        <v>24</v>
      </c>
      <c r="B25" s="50">
        <v>43769</v>
      </c>
      <c r="C25" s="31" t="str">
        <f>TEXT(Bunset[[#This Row],[Ngày]],"yymmdd")&amp;"-"&amp;Bunset[[#This Row],[STT]]</f>
        <v>191031-24</v>
      </c>
      <c r="D25" s="31" t="s">
        <v>125</v>
      </c>
      <c r="E25" s="51">
        <v>0.20300000000000001</v>
      </c>
      <c r="F25" s="31"/>
    </row>
    <row r="26" spans="1:6" x14ac:dyDescent="0.25">
      <c r="A26" s="31">
        <v>25</v>
      </c>
      <c r="B26" s="50">
        <v>43770</v>
      </c>
      <c r="C26" s="31" t="str">
        <f>TEXT(Bunset[[#This Row],[Ngày]],"yymmdd")&amp;"-"&amp;Bunset[[#This Row],[STT]]</f>
        <v>191101-25</v>
      </c>
      <c r="D26" s="31" t="s">
        <v>114</v>
      </c>
      <c r="E26" s="51">
        <v>0.214</v>
      </c>
      <c r="F26" s="31"/>
    </row>
    <row r="27" spans="1:6" x14ac:dyDescent="0.25">
      <c r="A27" s="31">
        <v>26</v>
      </c>
      <c r="B27" s="50">
        <v>43770</v>
      </c>
      <c r="C27" s="31" t="str">
        <f>TEXT(Bunset[[#This Row],[Ngày]],"yymmdd")&amp;"-"&amp;Bunset[[#This Row],[STT]]</f>
        <v>191101-26</v>
      </c>
      <c r="D27" s="31" t="s">
        <v>113</v>
      </c>
      <c r="E27" s="51">
        <v>0.13600000000000001</v>
      </c>
      <c r="F27" s="31"/>
    </row>
    <row r="28" spans="1:6" x14ac:dyDescent="0.25">
      <c r="A28" s="31">
        <v>27</v>
      </c>
      <c r="B28" s="50">
        <v>43771</v>
      </c>
      <c r="C28" s="31" t="str">
        <f>TEXT(Bunset[[#This Row],[Ngày]],"yymmdd")&amp;"-"&amp;Bunset[[#This Row],[STT]]</f>
        <v>191102-27</v>
      </c>
      <c r="D28" s="31" t="s">
        <v>117</v>
      </c>
      <c r="E28" s="51">
        <v>0.16</v>
      </c>
      <c r="F28" s="31"/>
    </row>
    <row r="29" spans="1:6" x14ac:dyDescent="0.25">
      <c r="A29" s="31">
        <v>28</v>
      </c>
      <c r="B29" s="50">
        <v>43771</v>
      </c>
      <c r="C29" s="31" t="str">
        <f>TEXT(Bunset[[#This Row],[Ngày]],"yymmdd")&amp;"-"&amp;Bunset[[#This Row],[STT]]</f>
        <v>191102-28</v>
      </c>
      <c r="D29" s="31" t="s">
        <v>113</v>
      </c>
      <c r="E29" s="51">
        <v>0.17699999999999999</v>
      </c>
      <c r="F29" s="31"/>
    </row>
    <row r="30" spans="1:6" x14ac:dyDescent="0.25">
      <c r="A30" s="31">
        <v>29</v>
      </c>
      <c r="B30" s="50">
        <v>43773</v>
      </c>
      <c r="C30" s="31" t="str">
        <f>TEXT(Bunset[[#This Row],[Ngày]],"yymmdd")&amp;"-"&amp;Bunset[[#This Row],[STT]]</f>
        <v>191104-29</v>
      </c>
      <c r="D30" s="31" t="s">
        <v>112</v>
      </c>
      <c r="E30" s="51">
        <v>0.26800000000000002</v>
      </c>
      <c r="F30" s="31"/>
    </row>
    <row r="31" spans="1:6" x14ac:dyDescent="0.25">
      <c r="A31" s="31">
        <v>30</v>
      </c>
      <c r="B31" s="50">
        <v>43773</v>
      </c>
      <c r="C31" s="49" t="str">
        <f>TEXT(Bunset[[#This Row],[Ngày]],"yymmdd")&amp;"-"&amp;Bunset[[#This Row],[STT]]</f>
        <v>191104-30</v>
      </c>
      <c r="D31" s="49" t="s">
        <v>117</v>
      </c>
      <c r="E31" s="52">
        <v>0.40600000000000003</v>
      </c>
      <c r="F31" s="49"/>
    </row>
    <row r="32" spans="1:6" x14ac:dyDescent="0.25">
      <c r="A32" s="31">
        <v>31</v>
      </c>
      <c r="B32" s="53">
        <v>43773</v>
      </c>
      <c r="C32" s="49" t="str">
        <f>TEXT(Bunset[[#This Row],[Ngày]],"yymmdd")&amp;"-"&amp;Bunset[[#This Row],[STT]]</f>
        <v>191104-31</v>
      </c>
      <c r="D32" s="49" t="s">
        <v>114</v>
      </c>
      <c r="E32" s="52">
        <v>0.21099999999999999</v>
      </c>
      <c r="F32" s="49"/>
    </row>
    <row r="33" spans="1:6" x14ac:dyDescent="0.25">
      <c r="A33" s="31">
        <v>32</v>
      </c>
      <c r="B33" s="53">
        <v>43773</v>
      </c>
      <c r="C33" s="49" t="str">
        <f>TEXT(Bunset[[#This Row],[Ngày]],"yymmdd")&amp;"-"&amp;Bunset[[#This Row],[STT]]</f>
        <v>191104-32</v>
      </c>
      <c r="D33" s="49" t="s">
        <v>127</v>
      </c>
      <c r="E33" s="52">
        <v>0.22</v>
      </c>
      <c r="F33" s="49"/>
    </row>
    <row r="34" spans="1:6" x14ac:dyDescent="0.25">
      <c r="A34" s="31">
        <v>33</v>
      </c>
      <c r="B34" s="53">
        <v>43775</v>
      </c>
      <c r="C34" s="49" t="str">
        <f>TEXT(Bunset[[#This Row],[Ngày]],"yymmdd")&amp;"-"&amp;Bunset[[#This Row],[STT]]</f>
        <v>191106-33</v>
      </c>
      <c r="D34" s="49" t="s">
        <v>125</v>
      </c>
      <c r="E34" s="52">
        <v>0.14199999999999999</v>
      </c>
      <c r="F34" s="49"/>
    </row>
    <row r="35" spans="1:6" x14ac:dyDescent="0.25">
      <c r="A35" s="31">
        <v>34</v>
      </c>
      <c r="B35" s="50">
        <v>43775</v>
      </c>
      <c r="C35" s="31" t="str">
        <f>TEXT(Bunset[[#This Row],[Ngày]],"yymmdd")&amp;"-"&amp;Bunset[[#This Row],[STT]]</f>
        <v>191106-34</v>
      </c>
      <c r="D35" s="31" t="s">
        <v>128</v>
      </c>
      <c r="E35" s="51">
        <v>0.111</v>
      </c>
      <c r="F35" s="31"/>
    </row>
    <row r="36" spans="1:6" x14ac:dyDescent="0.25">
      <c r="A36" s="31">
        <v>35</v>
      </c>
      <c r="B36" s="53">
        <v>43777</v>
      </c>
      <c r="C36" s="49" t="str">
        <f>TEXT(Bunset[[#This Row],[Ngày]],"yymmdd")&amp;"-"&amp;Bunset[[#This Row],[STT]]</f>
        <v>191108-35</v>
      </c>
      <c r="D36" s="49" t="s">
        <v>117</v>
      </c>
      <c r="E36" s="52">
        <v>0.28299999999999997</v>
      </c>
      <c r="F36" s="49"/>
    </row>
    <row r="37" spans="1:6" x14ac:dyDescent="0.25">
      <c r="A37" s="31">
        <v>36</v>
      </c>
      <c r="B37" s="53">
        <v>43777</v>
      </c>
      <c r="C37" s="49" t="str">
        <f>TEXT(Bunset[[#This Row],[Ngày]],"yymmdd")&amp;"-"&amp;Bunset[[#This Row],[STT]]</f>
        <v>191108-36</v>
      </c>
      <c r="D37" s="49" t="s">
        <v>125</v>
      </c>
      <c r="E37" s="52">
        <v>0.2</v>
      </c>
      <c r="F37" s="49"/>
    </row>
    <row r="38" spans="1:6" x14ac:dyDescent="0.25">
      <c r="A38" s="31">
        <v>37</v>
      </c>
      <c r="B38" s="53">
        <v>43777</v>
      </c>
      <c r="C38" s="49" t="str">
        <f>TEXT(Bunset[[#This Row],[Ngày]],"yymmdd")&amp;"-"&amp;Bunset[[#This Row],[STT]]</f>
        <v>191108-37</v>
      </c>
      <c r="D38" s="49" t="s">
        <v>112</v>
      </c>
      <c r="E38" s="52">
        <v>0.28799999999999998</v>
      </c>
      <c r="F38" s="49"/>
    </row>
    <row r="39" spans="1:6" x14ac:dyDescent="0.25">
      <c r="A39" s="31">
        <v>38</v>
      </c>
      <c r="B39" s="53">
        <v>43777</v>
      </c>
      <c r="C39" s="49" t="str">
        <f>TEXT(Bunset[[#This Row],[Ngày]],"yymmdd")&amp;"-"&amp;Bunset[[#This Row],[STT]]</f>
        <v>191108-38</v>
      </c>
      <c r="D39" s="49" t="s">
        <v>114</v>
      </c>
      <c r="E39" s="52">
        <v>0.158</v>
      </c>
      <c r="F39" s="49"/>
    </row>
    <row r="40" spans="1:6" x14ac:dyDescent="0.25">
      <c r="A40" s="31">
        <v>39</v>
      </c>
      <c r="B40" s="53">
        <v>43777</v>
      </c>
      <c r="C40" s="49" t="str">
        <f>TEXT(Bunset[[#This Row],[Ngày]],"yymmdd")&amp;"-"&amp;Bunset[[#This Row],[STT]]</f>
        <v>191108-39</v>
      </c>
      <c r="D40" s="49" t="s">
        <v>130</v>
      </c>
      <c r="E40" s="52">
        <v>0.19700000000000001</v>
      </c>
      <c r="F40" s="49"/>
    </row>
    <row r="41" spans="1:6" x14ac:dyDescent="0.25">
      <c r="A41" s="31">
        <v>40</v>
      </c>
      <c r="B41" s="53">
        <v>43778</v>
      </c>
      <c r="C41" s="49" t="str">
        <f>TEXT(Bunset[[#This Row],[Ngày]],"yymmdd")&amp;"-"&amp;Bunset[[#This Row],[STT]]</f>
        <v>191109-40</v>
      </c>
      <c r="D41" s="49" t="s">
        <v>114</v>
      </c>
      <c r="E41" s="52">
        <v>0.183</v>
      </c>
      <c r="F41" s="49"/>
    </row>
    <row r="42" spans="1:6" x14ac:dyDescent="0.25">
      <c r="A42" s="31">
        <v>41</v>
      </c>
      <c r="B42" s="53">
        <v>43778</v>
      </c>
      <c r="C42" s="49" t="str">
        <f>TEXT(Bunset[[#This Row],[Ngày]],"yymmdd")&amp;"-"&amp;Bunset[[#This Row],[STT]]</f>
        <v>191109-41</v>
      </c>
      <c r="D42" s="49" t="s">
        <v>113</v>
      </c>
      <c r="E42" s="52">
        <v>0.161</v>
      </c>
      <c r="F42" s="49"/>
    </row>
    <row r="43" spans="1:6" x14ac:dyDescent="0.25">
      <c r="A43" s="31">
        <v>42</v>
      </c>
      <c r="B43" s="53">
        <v>43781</v>
      </c>
      <c r="C43" s="49" t="str">
        <f>TEXT(Bunset[[#This Row],[Ngày]],"yymmdd")&amp;"-"&amp;Bunset[[#This Row],[STT]]</f>
        <v>191112-42</v>
      </c>
      <c r="D43" s="49" t="s">
        <v>117</v>
      </c>
      <c r="E43" s="52">
        <v>0.45450000000000002</v>
      </c>
      <c r="F43" s="49"/>
    </row>
    <row r="44" spans="1:6" x14ac:dyDescent="0.25">
      <c r="A44" s="31">
        <v>43</v>
      </c>
      <c r="B44" s="53">
        <v>43781</v>
      </c>
      <c r="C44" s="49" t="str">
        <f>TEXT(Bunset[[#This Row],[Ngày]],"yymmdd")&amp;"-"&amp;Bunset[[#This Row],[STT]]</f>
        <v>191112-43</v>
      </c>
      <c r="D44" s="49" t="s">
        <v>114</v>
      </c>
      <c r="E44" s="52">
        <v>0.17599999999999999</v>
      </c>
      <c r="F44" s="49"/>
    </row>
    <row r="45" spans="1:6" x14ac:dyDescent="0.25">
      <c r="A45" s="31">
        <v>44</v>
      </c>
      <c r="B45" s="53">
        <v>43785</v>
      </c>
      <c r="C45" s="49" t="str">
        <f>TEXT(Bunset[[#This Row],[Ngày]],"yymmdd")&amp;"-"&amp;Bunset[[#This Row],[STT]]</f>
        <v>191116-44</v>
      </c>
      <c r="D45" s="49" t="s">
        <v>117</v>
      </c>
      <c r="E45" s="52">
        <v>0.16600000000000001</v>
      </c>
      <c r="F45" s="49"/>
    </row>
    <row r="46" spans="1:6" x14ac:dyDescent="0.25">
      <c r="A46" s="31">
        <v>45</v>
      </c>
      <c r="B46" s="53">
        <v>43785</v>
      </c>
      <c r="C46" s="49" t="str">
        <f>TEXT(Bunset[[#This Row],[Ngày]],"yymmdd")&amp;"-"&amp;Bunset[[#This Row],[STT]]</f>
        <v>191116-45</v>
      </c>
      <c r="D46" s="49" t="s">
        <v>114</v>
      </c>
      <c r="E46" s="52">
        <v>0.123</v>
      </c>
      <c r="F46" s="49"/>
    </row>
    <row r="47" spans="1:6" x14ac:dyDescent="0.25">
      <c r="A47" s="31">
        <v>46</v>
      </c>
      <c r="B47" s="53">
        <v>43786</v>
      </c>
      <c r="C47" s="49" t="str">
        <f>TEXT(Bunset[[#This Row],[Ngày]],"yymmdd")&amp;"-"&amp;Bunset[[#This Row],[STT]]</f>
        <v>191117-46</v>
      </c>
      <c r="D47" s="49" t="s">
        <v>131</v>
      </c>
      <c r="E47" s="52">
        <v>0.214</v>
      </c>
      <c r="F47" s="49"/>
    </row>
    <row r="48" spans="1:6" x14ac:dyDescent="0.25">
      <c r="A48" s="49">
        <v>47</v>
      </c>
      <c r="B48" s="53">
        <v>43793</v>
      </c>
      <c r="C48" s="49" t="str">
        <f>TEXT(Bunset[[#This Row],[Ngày]],"yymmdd")&amp;"-"&amp;Bunset[[#This Row],[STT]]</f>
        <v>191124-47</v>
      </c>
      <c r="D48" s="49" t="s">
        <v>127</v>
      </c>
      <c r="E48" s="52">
        <v>0.14000000000000001</v>
      </c>
      <c r="F48" s="49"/>
    </row>
    <row r="49" spans="1:6" x14ac:dyDescent="0.25">
      <c r="A49" s="49">
        <v>48</v>
      </c>
      <c r="B49" s="53">
        <v>43794</v>
      </c>
      <c r="C49" s="49" t="str">
        <f>TEXT(Bunset[[#This Row],[Ngày]],"yymmdd")&amp;"-"&amp;Bunset[[#This Row],[STT]]</f>
        <v>191125-48</v>
      </c>
      <c r="D49" s="49" t="s">
        <v>114</v>
      </c>
      <c r="E49" s="52">
        <v>0.14299999999999999</v>
      </c>
      <c r="F49" s="49"/>
    </row>
    <row r="50" spans="1:6" x14ac:dyDescent="0.25">
      <c r="A50" s="49">
        <v>49</v>
      </c>
      <c r="B50" s="53">
        <v>43794</v>
      </c>
      <c r="C50" s="49" t="str">
        <f>TEXT(Bunset[[#This Row],[Ngày]],"yymmdd")&amp;"-"&amp;Bunset[[#This Row],[STT]]</f>
        <v>191125-49</v>
      </c>
      <c r="D50" s="49" t="s">
        <v>113</v>
      </c>
      <c r="E50" s="52">
        <v>0.128</v>
      </c>
      <c r="F50" s="49"/>
    </row>
    <row r="51" spans="1:6" x14ac:dyDescent="0.25">
      <c r="A51" s="49">
        <v>50</v>
      </c>
      <c r="B51" s="53">
        <v>43795</v>
      </c>
      <c r="C51" s="49" t="str">
        <f>TEXT(Bunset[[#This Row],[Ngày]],"yymmdd")&amp;"-"&amp;Bunset[[#This Row],[STT]]</f>
        <v>191126-50</v>
      </c>
      <c r="D51" s="49" t="s">
        <v>113</v>
      </c>
      <c r="E51" s="52">
        <v>0.14299999999999999</v>
      </c>
      <c r="F51" s="49"/>
    </row>
    <row r="52" spans="1:6" x14ac:dyDescent="0.25">
      <c r="A52" s="49">
        <v>51</v>
      </c>
      <c r="B52" s="53">
        <v>43795</v>
      </c>
      <c r="C52" s="49" t="str">
        <f>TEXT(Bunset[[#This Row],[Ngày]],"yymmdd")&amp;"-"&amp;Bunset[[#This Row],[STT]]</f>
        <v>191126-51</v>
      </c>
      <c r="D52" s="49" t="s">
        <v>115</v>
      </c>
      <c r="E52" s="52">
        <v>0.12</v>
      </c>
      <c r="F52" s="49"/>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showGridLines="0" tabSelected="1" zoomScale="70" zoomScaleNormal="70" workbookViewId="0">
      <pane ySplit="3" topLeftCell="A4" activePane="bottomLeft" state="frozen"/>
      <selection pane="bottomLeft" activeCell="AA1" sqref="AA1"/>
    </sheetView>
  </sheetViews>
  <sheetFormatPr defaultRowHeight="15" x14ac:dyDescent="0.25"/>
  <cols>
    <col min="1" max="1" width="6.140625" style="55" customWidth="1"/>
    <col min="2" max="2" width="9.140625" style="55"/>
    <col min="3" max="3" width="17.140625" style="55" bestFit="1" customWidth="1"/>
    <col min="4" max="4" width="6" style="55" customWidth="1"/>
    <col min="5" max="5" width="6.5703125" style="55" bestFit="1" customWidth="1"/>
    <col min="6" max="6" width="8.140625" style="55" bestFit="1" customWidth="1"/>
    <col min="7" max="7" width="9.140625" style="55"/>
    <col min="8" max="8" width="9.140625" style="55" bestFit="1" customWidth="1"/>
    <col min="9" max="11" width="9.140625" style="55"/>
    <col min="12" max="12" width="11.5703125" style="55" bestFit="1" customWidth="1"/>
    <col min="13" max="13" width="11.7109375" style="55" bestFit="1" customWidth="1"/>
    <col min="14" max="14" width="10" style="55" customWidth="1"/>
    <col min="15" max="15" width="11.42578125" style="55" customWidth="1"/>
    <col min="16" max="19" width="7.140625" style="55" customWidth="1"/>
    <col min="20" max="20" width="9.140625" style="55" customWidth="1"/>
    <col min="21" max="21" width="11.7109375" style="55" customWidth="1"/>
    <col min="22" max="24" width="9.140625" style="55" customWidth="1"/>
    <col min="25" max="25" width="9.85546875" style="55" customWidth="1"/>
    <col min="26" max="16384" width="9.140625" style="55"/>
  </cols>
  <sheetData>
    <row r="1" spans="1:25" ht="141" customHeight="1" x14ac:dyDescent="0.25">
      <c r="K1" s="82" t="s">
        <v>161</v>
      </c>
      <c r="L1" s="84">
        <f ca="1">INDIRECT("TPHm!B"&amp;hang1)</f>
        <v>43466</v>
      </c>
      <c r="M1" s="85" t="str">
        <f ca="1">INDIRECT("TPHm!C"&amp;hang1)</f>
        <v>Cát tiêu chuẩn</v>
      </c>
      <c r="N1" s="86">
        <v>4</v>
      </c>
      <c r="O1" s="85" t="str">
        <f ca="1">INDIRECT("TPHm!O"&amp;hang1)</f>
        <v>cát chuẩn</v>
      </c>
      <c r="P1" s="87">
        <f ca="1">INDIRECT("TPHm!P"&amp;hang1)</f>
        <v>7.0351758793969849E-2</v>
      </c>
      <c r="Q1" s="87">
        <f ca="1">INDIRECT("TPHm!Q"&amp;hang1)</f>
        <v>0.33165829145728642</v>
      </c>
      <c r="R1" s="87">
        <f ca="1">INDIRECT("TPHm!R"&amp;hang1)</f>
        <v>0.6733668341708543</v>
      </c>
      <c r="S1" s="87">
        <f ca="1">INDIRECT("TPHm!S"&amp;hang1)</f>
        <v>0.87437185929648242</v>
      </c>
      <c r="T1" s="87">
        <f ca="1">INDIRECT("TPHm!T"&amp;hang1)</f>
        <v>0.99497487437185927</v>
      </c>
      <c r="U1" s="87" t="str">
        <f ca="1">"Modul: "&amp;TEXT(INDIRECT("TPHm!N"&amp;hang1),"0.0")</f>
        <v>Modul: 2.9</v>
      </c>
    </row>
    <row r="2" spans="1:25" ht="141" customHeight="1" x14ac:dyDescent="0.25">
      <c r="K2" s="83" t="s">
        <v>162</v>
      </c>
      <c r="L2" s="89">
        <f ca="1">INDIRECT("TPHm!B"&amp;hang)</f>
        <v>43746</v>
      </c>
      <c r="M2" s="90" t="str">
        <f ca="1">INDIRECT("TPHm!C"&amp;hang)</f>
        <v>Thuan Vinh</v>
      </c>
      <c r="N2" s="88">
        <v>10</v>
      </c>
      <c r="O2" s="90">
        <f ca="1">INDIRECT("TPHm!O"&amp;hang)</f>
        <v>0</v>
      </c>
      <c r="P2" s="91">
        <f ca="1">INDIRECT("TPHm!P"&amp;hang)</f>
        <v>0.26136363636363635</v>
      </c>
      <c r="Q2" s="91">
        <f ca="1">INDIRECT("TPHm!Q"&amp;hang)</f>
        <v>0.44318181818181818</v>
      </c>
      <c r="R2" s="91">
        <f ca="1">INDIRECT("TPHm!R"&amp;hang)</f>
        <v>0.57954545454545459</v>
      </c>
      <c r="S2" s="91">
        <f ca="1">INDIRECT("TPHm!S"&amp;hang)</f>
        <v>0.83522727272727271</v>
      </c>
      <c r="T2" s="91">
        <f ca="1">INDIRECT("TPHm!T"&amp;hang)</f>
        <v>0.96590909090909083</v>
      </c>
      <c r="U2" s="91" t="str">
        <f ca="1">"Modul: "&amp;TEXT(INDIRECT("TPHm!N"&amp;hang),"0.0")</f>
        <v>Modul: 3.1</v>
      </c>
    </row>
    <row r="3" spans="1:25" ht="52.5" customHeight="1" x14ac:dyDescent="0.25">
      <c r="A3" s="56" t="s">
        <v>85</v>
      </c>
      <c r="B3" s="56" t="s">
        <v>76</v>
      </c>
      <c r="C3" s="56" t="s">
        <v>98</v>
      </c>
      <c r="D3" s="56" t="s">
        <v>120</v>
      </c>
      <c r="E3" s="56" t="s">
        <v>106</v>
      </c>
      <c r="F3" s="56" t="s">
        <v>107</v>
      </c>
      <c r="G3" s="56" t="s">
        <v>108</v>
      </c>
      <c r="H3" s="56" t="s">
        <v>109</v>
      </c>
      <c r="I3" s="56" t="s">
        <v>110</v>
      </c>
      <c r="J3" s="56" t="s">
        <v>111</v>
      </c>
      <c r="K3" s="56" t="s">
        <v>97</v>
      </c>
      <c r="L3" s="57" t="s">
        <v>132</v>
      </c>
      <c r="M3" s="57" t="s">
        <v>133</v>
      </c>
      <c r="N3" s="56" t="s">
        <v>139</v>
      </c>
      <c r="O3" s="56" t="s">
        <v>82</v>
      </c>
      <c r="P3" s="56" t="s">
        <v>140</v>
      </c>
      <c r="Q3" s="56" t="s">
        <v>141</v>
      </c>
      <c r="R3" s="56" t="s">
        <v>142</v>
      </c>
      <c r="S3" s="56" t="s">
        <v>143</v>
      </c>
      <c r="T3" s="56" t="s">
        <v>144</v>
      </c>
      <c r="U3" s="58" t="s">
        <v>134</v>
      </c>
      <c r="V3" s="59" t="s">
        <v>135</v>
      </c>
      <c r="W3" s="59" t="s">
        <v>136</v>
      </c>
      <c r="X3" s="59" t="s">
        <v>137</v>
      </c>
      <c r="Y3" s="59" t="s">
        <v>138</v>
      </c>
    </row>
    <row r="4" spans="1:25" x14ac:dyDescent="0.25">
      <c r="A4" s="92">
        <v>0</v>
      </c>
      <c r="B4" s="100">
        <v>43466</v>
      </c>
      <c r="C4" s="93" t="s">
        <v>163</v>
      </c>
      <c r="D4" s="93" t="s">
        <v>121</v>
      </c>
      <c r="E4" s="94">
        <v>0</v>
      </c>
      <c r="F4" s="94">
        <v>70</v>
      </c>
      <c r="G4" s="94">
        <v>260</v>
      </c>
      <c r="H4" s="94">
        <v>340</v>
      </c>
      <c r="I4" s="94">
        <v>200</v>
      </c>
      <c r="J4" s="94">
        <v>120</v>
      </c>
      <c r="K4" s="94">
        <v>5</v>
      </c>
      <c r="L4" s="95">
        <f>IFERROR(TPHm[[#This Row],[5]]/SUM(TPHm[[#This Row],[5]:[Đáy]]),0)</f>
        <v>0</v>
      </c>
      <c r="M4" s="95">
        <f>IFERROR(TPHm[[#This Row],[Đáy]]/SUM(TPHm[[#This Row],[5]:[0.14]]),0)</f>
        <v>5.0505050505050509E-3</v>
      </c>
      <c r="N4" s="96">
        <f>TPHm[[#This Row],[%-2.5]]*5+TPHm[[#This Row],[%-1.25]]*4+TPHm[[#This Row],[%0.63]]*3+TPHm[[#This Row],[%-0.315]]*2+TPHm[[#This Row],[%-0.14]]</f>
        <v>2.9447236180904524</v>
      </c>
      <c r="O4" s="97" t="s">
        <v>164</v>
      </c>
      <c r="P4" s="98">
        <f>TPHm[[#This Row],[%-2.5]]</f>
        <v>7.0351758793969849E-2</v>
      </c>
      <c r="Q4" s="98">
        <f>SUM(TPHm[[#This Row],[%-2.5]:[%-1.25]])</f>
        <v>0.33165829145728642</v>
      </c>
      <c r="R4" s="98">
        <f>SUM(TPHm[[#This Row],[%-2.5]:[%0.63]])</f>
        <v>0.6733668341708543</v>
      </c>
      <c r="S4" s="98">
        <f>SUM(TPHm[[#This Row],[%-2.5]:[%-0.315]])</f>
        <v>0.87437185929648242</v>
      </c>
      <c r="T4" s="98">
        <f>SUM(TPHm[[#This Row],[%-2.5]:[%-0.14]])</f>
        <v>0.99497487437185927</v>
      </c>
      <c r="U4" s="99">
        <f>IFERROR(TPHm[[#This Row],[2.5]]/SUM(TPHm[[#This Row],[2.5]:[Đáy]]),0)</f>
        <v>7.0351758793969849E-2</v>
      </c>
      <c r="V4" s="99">
        <f>IFERROR(TPHm[[#This Row],[1.25]]/SUM(TPHm[[#This Row],[2.5]:[Đáy]]),0)</f>
        <v>0.2613065326633166</v>
      </c>
      <c r="W4" s="99">
        <f>IFERROR(TPHm[[#This Row],[0.63]]/SUM(TPHm[[#This Row],[2.5]:[Đáy]]),0)</f>
        <v>0.34170854271356782</v>
      </c>
      <c r="X4" s="99">
        <f>IFERROR(TPHm[[#This Row],[0.315]]/SUM(TPHm[[#This Row],[2.5]:[Đáy]]),0)</f>
        <v>0.20100502512562815</v>
      </c>
      <c r="Y4" s="99">
        <f>IFERROR(TPHm[[#This Row],[0.14]]/SUM(TPHm[[#This Row],[2.5]:[Đáy]]),0)</f>
        <v>0.12060301507537688</v>
      </c>
    </row>
    <row r="5" spans="1:25" x14ac:dyDescent="0.25">
      <c r="A5" s="60">
        <v>1</v>
      </c>
      <c r="B5" s="61">
        <v>43741</v>
      </c>
      <c r="C5" s="62" t="s">
        <v>114</v>
      </c>
      <c r="D5" s="62" t="s">
        <v>121</v>
      </c>
      <c r="E5" s="63">
        <v>60</v>
      </c>
      <c r="F5" s="63">
        <v>210</v>
      </c>
      <c r="G5" s="63">
        <v>200</v>
      </c>
      <c r="H5" s="63">
        <v>200</v>
      </c>
      <c r="I5" s="63">
        <v>280</v>
      </c>
      <c r="J5" s="63">
        <v>120</v>
      </c>
      <c r="K5" s="63">
        <v>40</v>
      </c>
      <c r="L5" s="73">
        <f>IFERROR(TPHm[[#This Row],[5]]/SUM(TPHm[[#This Row],[5]:[Đáy]]),0)</f>
        <v>5.4054054054054057E-2</v>
      </c>
      <c r="M5" s="73">
        <f>IFERROR(TPHm[[#This Row],[Đáy]]/SUM(TPHm[[#This Row],[5]:[0.14]]),0)</f>
        <v>3.7383177570093455E-2</v>
      </c>
      <c r="N5" s="74">
        <f>TPHm[[#This Row],[%-2.5]]*5+TPHm[[#This Row],[%-1.25]]*4+TPHm[[#This Row],[%0.63]]*3+TPHm[[#This Row],[%-0.315]]*2+TPHm[[#This Row],[%-0.14]]</f>
        <v>2.9809523809523806</v>
      </c>
      <c r="O5" s="63"/>
      <c r="P5" s="73">
        <f>TPHm[[#This Row],[%-2.5]]</f>
        <v>0.2</v>
      </c>
      <c r="Q5" s="73">
        <f>SUM(TPHm[[#This Row],[%-2.5]:[%-1.25]])</f>
        <v>0.39047619047619048</v>
      </c>
      <c r="R5" s="73">
        <f>SUM(TPHm[[#This Row],[%-2.5]:[%0.63]])</f>
        <v>0.58095238095238089</v>
      </c>
      <c r="S5" s="73">
        <f>SUM(TPHm[[#This Row],[%-2.5]:[%-0.315]])</f>
        <v>0.84761904761904749</v>
      </c>
      <c r="T5" s="73">
        <f>SUM(TPHm[[#This Row],[%-2.5]:[%-0.14]])</f>
        <v>0.96190476190476182</v>
      </c>
      <c r="U5" s="73">
        <f>IFERROR(TPHm[[#This Row],[2.5]]/SUM(TPHm[[#This Row],[2.5]:[Đáy]]),0)</f>
        <v>0.2</v>
      </c>
      <c r="V5" s="73">
        <f>IFERROR(TPHm[[#This Row],[1.25]]/SUM(TPHm[[#This Row],[2.5]:[Đáy]]),0)</f>
        <v>0.19047619047619047</v>
      </c>
      <c r="W5" s="73">
        <f>IFERROR(TPHm[[#This Row],[0.63]]/SUM(TPHm[[#This Row],[2.5]:[Đáy]]),0)</f>
        <v>0.19047619047619047</v>
      </c>
      <c r="X5" s="73">
        <f>IFERROR(TPHm[[#This Row],[0.315]]/SUM(TPHm[[#This Row],[2.5]:[Đáy]]),0)</f>
        <v>0.26666666666666666</v>
      </c>
      <c r="Y5" s="73">
        <f>IFERROR(TPHm[[#This Row],[0.14]]/SUM(TPHm[[#This Row],[2.5]:[Đáy]]),0)</f>
        <v>0.11428571428571428</v>
      </c>
    </row>
    <row r="6" spans="1:25" x14ac:dyDescent="0.25">
      <c r="A6" s="64">
        <v>2</v>
      </c>
      <c r="B6" s="65">
        <v>43742</v>
      </c>
      <c r="C6" s="66" t="s">
        <v>117</v>
      </c>
      <c r="D6" s="66" t="s">
        <v>121</v>
      </c>
      <c r="E6" s="67">
        <v>60</v>
      </c>
      <c r="F6" s="67">
        <v>250</v>
      </c>
      <c r="G6" s="67">
        <v>200</v>
      </c>
      <c r="H6" s="67">
        <v>150</v>
      </c>
      <c r="I6" s="67">
        <v>210</v>
      </c>
      <c r="J6" s="67">
        <v>100</v>
      </c>
      <c r="K6" s="67">
        <v>40</v>
      </c>
      <c r="L6" s="73">
        <f>IFERROR(TPHm[[#This Row],[5]]/SUM(TPHm[[#This Row],[5]:[Đáy]]),0)</f>
        <v>5.9405940594059403E-2</v>
      </c>
      <c r="M6" s="73">
        <f>IFERROR(TPHm[[#This Row],[Đáy]]/SUM(TPHm[[#This Row],[5]:[0.14]]),0)</f>
        <v>4.1237113402061855E-2</v>
      </c>
      <c r="N6" s="74">
        <f>TPHm[[#This Row],[%-2.5]]*5+TPHm[[#This Row],[%-1.25]]*4+TPHm[[#This Row],[%0.63]]*3+TPHm[[#This Row],[%-0.315]]*2+TPHm[[#This Row],[%-0.14]]</f>
        <v>3.1789473684210527</v>
      </c>
      <c r="O6" s="67"/>
      <c r="P6" s="73">
        <f>TPHm[[#This Row],[%-2.5]]</f>
        <v>0.26315789473684209</v>
      </c>
      <c r="Q6" s="73">
        <f>SUM(TPHm[[#This Row],[%-2.5]:[%-1.25]])</f>
        <v>0.47368421052631576</v>
      </c>
      <c r="R6" s="73">
        <f>SUM(TPHm[[#This Row],[%-2.5]:[%0.63]])</f>
        <v>0.63157894736842102</v>
      </c>
      <c r="S6" s="73">
        <f>SUM(TPHm[[#This Row],[%-2.5]:[%-0.315]])</f>
        <v>0.85263157894736841</v>
      </c>
      <c r="T6" s="73">
        <f>SUM(TPHm[[#This Row],[%-2.5]:[%-0.14]])</f>
        <v>0.95789473684210524</v>
      </c>
      <c r="U6" s="73">
        <f>IFERROR(TPHm[[#This Row],[2.5]]/SUM(TPHm[[#This Row],[2.5]:[Đáy]]),0)</f>
        <v>0.26315789473684209</v>
      </c>
      <c r="V6" s="73">
        <f>IFERROR(TPHm[[#This Row],[1.25]]/SUM(TPHm[[#This Row],[2.5]:[Đáy]]),0)</f>
        <v>0.21052631578947367</v>
      </c>
      <c r="W6" s="73">
        <f>IFERROR(TPHm[[#This Row],[0.63]]/SUM(TPHm[[#This Row],[2.5]:[Đáy]]),0)</f>
        <v>0.15789473684210525</v>
      </c>
      <c r="X6" s="73">
        <f>IFERROR(TPHm[[#This Row],[0.315]]/SUM(TPHm[[#This Row],[2.5]:[Đáy]]),0)</f>
        <v>0.22105263157894736</v>
      </c>
      <c r="Y6" s="73">
        <f>IFERROR(TPHm[[#This Row],[0.14]]/SUM(TPHm[[#This Row],[2.5]:[Đáy]]),0)</f>
        <v>0.10526315789473684</v>
      </c>
    </row>
    <row r="7" spans="1:25" x14ac:dyDescent="0.25">
      <c r="A7" s="64">
        <v>3</v>
      </c>
      <c r="B7" s="65">
        <v>43745</v>
      </c>
      <c r="C7" s="66" t="s">
        <v>118</v>
      </c>
      <c r="D7" s="66" t="s">
        <v>121</v>
      </c>
      <c r="E7" s="67">
        <v>40</v>
      </c>
      <c r="F7" s="67">
        <v>140</v>
      </c>
      <c r="G7" s="67">
        <v>145</v>
      </c>
      <c r="H7" s="67">
        <v>200</v>
      </c>
      <c r="I7" s="67">
        <v>340</v>
      </c>
      <c r="J7" s="67">
        <v>100</v>
      </c>
      <c r="K7" s="67">
        <v>10</v>
      </c>
      <c r="L7" s="73">
        <f>IFERROR(TPHm[[#This Row],[5]]/SUM(TPHm[[#This Row],[5]:[Đáy]]),0)</f>
        <v>4.1025641025641026E-2</v>
      </c>
      <c r="M7" s="73">
        <f>IFERROR(TPHm[[#This Row],[Đáy]]/SUM(TPHm[[#This Row],[5]:[0.14]]),0)</f>
        <v>1.0362694300518135E-2</v>
      </c>
      <c r="N7" s="74">
        <f>TPHm[[#This Row],[%-2.5]]*5+TPHm[[#This Row],[%-1.25]]*4+TPHm[[#This Row],[%0.63]]*3+TPHm[[#This Row],[%-0.315]]*2+TPHm[[#This Row],[%-0.14]]</f>
        <v>2.844919786096257</v>
      </c>
      <c r="O7" s="67"/>
      <c r="P7" s="73">
        <f>TPHm[[#This Row],[%-2.5]]</f>
        <v>0.1497326203208556</v>
      </c>
      <c r="Q7" s="73">
        <f>SUM(TPHm[[#This Row],[%-2.5]:[%-1.25]])</f>
        <v>0.30481283422459893</v>
      </c>
      <c r="R7" s="73">
        <f>SUM(TPHm[[#This Row],[%-2.5]:[%0.63]])</f>
        <v>0.51871657754010692</v>
      </c>
      <c r="S7" s="73">
        <f>SUM(TPHm[[#This Row],[%-2.5]:[%-0.315]])</f>
        <v>0.88235294117647056</v>
      </c>
      <c r="T7" s="73">
        <f>SUM(TPHm[[#This Row],[%-2.5]:[%-0.14]])</f>
        <v>0.98930481283422456</v>
      </c>
      <c r="U7" s="73">
        <f>IFERROR(TPHm[[#This Row],[2.5]]/SUM(TPHm[[#This Row],[2.5]:[Đáy]]),0)</f>
        <v>0.1497326203208556</v>
      </c>
      <c r="V7" s="73">
        <f>IFERROR(TPHm[[#This Row],[1.25]]/SUM(TPHm[[#This Row],[2.5]:[Đáy]]),0)</f>
        <v>0.15508021390374332</v>
      </c>
      <c r="W7" s="73">
        <f>IFERROR(TPHm[[#This Row],[0.63]]/SUM(TPHm[[#This Row],[2.5]:[Đáy]]),0)</f>
        <v>0.21390374331550802</v>
      </c>
      <c r="X7" s="73">
        <f>IFERROR(TPHm[[#This Row],[0.315]]/SUM(TPHm[[#This Row],[2.5]:[Đáy]]),0)</f>
        <v>0.36363636363636365</v>
      </c>
      <c r="Y7" s="73">
        <f>IFERROR(TPHm[[#This Row],[0.14]]/SUM(TPHm[[#This Row],[2.5]:[Đáy]]),0)</f>
        <v>0.10695187165775401</v>
      </c>
    </row>
    <row r="8" spans="1:25" x14ac:dyDescent="0.25">
      <c r="A8" s="64">
        <v>4</v>
      </c>
      <c r="B8" s="65">
        <v>43746</v>
      </c>
      <c r="C8" s="66" t="s">
        <v>122</v>
      </c>
      <c r="D8" s="66" t="s">
        <v>119</v>
      </c>
      <c r="E8" s="67">
        <v>520</v>
      </c>
      <c r="F8" s="67">
        <v>700</v>
      </c>
      <c r="G8" s="67">
        <v>380</v>
      </c>
      <c r="H8" s="67">
        <v>310</v>
      </c>
      <c r="I8" s="67">
        <v>300</v>
      </c>
      <c r="J8" s="67">
        <v>140</v>
      </c>
      <c r="K8" s="67">
        <v>80</v>
      </c>
      <c r="L8" s="73">
        <f>IFERROR(TPHm[[#This Row],[5]]/SUM(TPHm[[#This Row],[5]:[Đáy]]),0)</f>
        <v>0.2139917695473251</v>
      </c>
      <c r="M8" s="73">
        <f>IFERROR(TPHm[[#This Row],[Đáy]]/SUM(TPHm[[#This Row],[5]:[0.14]]),0)</f>
        <v>3.4042553191489362E-2</v>
      </c>
      <c r="N8" s="74">
        <f>TPHm[[#This Row],[%-2.5]]*5+TPHm[[#This Row],[%-1.25]]*4+TPHm[[#This Row],[%0.63]]*3+TPHm[[#This Row],[%-0.315]]*2+TPHm[[#This Row],[%-0.14]]</f>
        <v>3.5026178010471209</v>
      </c>
      <c r="O8" s="67"/>
      <c r="P8" s="73">
        <f>TPHm[[#This Row],[%-2.5]]</f>
        <v>0.36649214659685864</v>
      </c>
      <c r="Q8" s="73">
        <f>SUM(TPHm[[#This Row],[%-2.5]:[%-1.25]])</f>
        <v>0.5654450261780104</v>
      </c>
      <c r="R8" s="73">
        <f>SUM(TPHm[[#This Row],[%-2.5]:[%0.63]])</f>
        <v>0.72774869109947637</v>
      </c>
      <c r="S8" s="73">
        <f>SUM(TPHm[[#This Row],[%-2.5]:[%-0.315]])</f>
        <v>0.88481675392670156</v>
      </c>
      <c r="T8" s="73">
        <f>SUM(TPHm[[#This Row],[%-2.5]:[%-0.14]])</f>
        <v>0.95811518324607325</v>
      </c>
      <c r="U8" s="73">
        <f>IFERROR(TPHm[[#This Row],[2.5]]/SUM(TPHm[[#This Row],[2.5]:[Đáy]]),0)</f>
        <v>0.36649214659685864</v>
      </c>
      <c r="V8" s="73">
        <f>IFERROR(TPHm[[#This Row],[1.25]]/SUM(TPHm[[#This Row],[2.5]:[Đáy]]),0)</f>
        <v>0.19895287958115182</v>
      </c>
      <c r="W8" s="73">
        <f>IFERROR(TPHm[[#This Row],[0.63]]/SUM(TPHm[[#This Row],[2.5]:[Đáy]]),0)</f>
        <v>0.16230366492146597</v>
      </c>
      <c r="X8" s="73">
        <f>IFERROR(TPHm[[#This Row],[0.315]]/SUM(TPHm[[#This Row],[2.5]:[Đáy]]),0)</f>
        <v>0.15706806282722513</v>
      </c>
      <c r="Y8" s="73">
        <f>IFERROR(TPHm[[#This Row],[0.14]]/SUM(TPHm[[#This Row],[2.5]:[Đáy]]),0)</f>
        <v>7.3298429319371722E-2</v>
      </c>
    </row>
    <row r="9" spans="1:25" x14ac:dyDescent="0.25">
      <c r="A9" s="64">
        <v>5</v>
      </c>
      <c r="B9" s="65">
        <v>43746</v>
      </c>
      <c r="C9" s="66" t="s">
        <v>115</v>
      </c>
      <c r="D9" s="66" t="s">
        <v>121</v>
      </c>
      <c r="E9" s="67">
        <v>30</v>
      </c>
      <c r="F9" s="67">
        <v>100</v>
      </c>
      <c r="G9" s="67">
        <v>120</v>
      </c>
      <c r="H9" s="67">
        <v>140</v>
      </c>
      <c r="I9" s="67">
        <v>280</v>
      </c>
      <c r="J9" s="67">
        <v>200</v>
      </c>
      <c r="K9" s="67">
        <v>120</v>
      </c>
      <c r="L9" s="73">
        <f>IFERROR(TPHm[[#This Row],[5]]/SUM(TPHm[[#This Row],[5]:[Đáy]]),0)</f>
        <v>3.0303030303030304E-2</v>
      </c>
      <c r="M9" s="73">
        <f>IFERROR(TPHm[[#This Row],[Đáy]]/SUM(TPHm[[#This Row],[5]:[0.14]]),0)</f>
        <v>0.13793103448275862</v>
      </c>
      <c r="N9" s="74">
        <f>TPHm[[#This Row],[%-2.5]]*5+TPHm[[#This Row],[%-1.25]]*4+TPHm[[#This Row],[%0.63]]*3+TPHm[[#This Row],[%-0.315]]*2+TPHm[[#This Row],[%-0.14]]</f>
        <v>2.2500000000000004</v>
      </c>
      <c r="O9" s="67"/>
      <c r="P9" s="73">
        <f>TPHm[[#This Row],[%-2.5]]</f>
        <v>0.10416666666666667</v>
      </c>
      <c r="Q9" s="73">
        <f>SUM(TPHm[[#This Row],[%-2.5]:[%-1.25]])</f>
        <v>0.22916666666666669</v>
      </c>
      <c r="R9" s="73">
        <f>SUM(TPHm[[#This Row],[%-2.5]:[%0.63]])</f>
        <v>0.375</v>
      </c>
      <c r="S9" s="73">
        <f>SUM(TPHm[[#This Row],[%-2.5]:[%-0.315]])</f>
        <v>0.66666666666666674</v>
      </c>
      <c r="T9" s="73">
        <f>SUM(TPHm[[#This Row],[%-2.5]:[%-0.14]])</f>
        <v>0.87500000000000011</v>
      </c>
      <c r="U9" s="73">
        <f>IFERROR(TPHm[[#This Row],[2.5]]/SUM(TPHm[[#This Row],[2.5]:[Đáy]]),0)</f>
        <v>0.10416666666666667</v>
      </c>
      <c r="V9" s="73">
        <f>IFERROR(TPHm[[#This Row],[1.25]]/SUM(TPHm[[#This Row],[2.5]:[Đáy]]),0)</f>
        <v>0.125</v>
      </c>
      <c r="W9" s="73">
        <f>IFERROR(TPHm[[#This Row],[0.63]]/SUM(TPHm[[#This Row],[2.5]:[Đáy]]),0)</f>
        <v>0.14583333333333334</v>
      </c>
      <c r="X9" s="73">
        <f>IFERROR(TPHm[[#This Row],[0.315]]/SUM(TPHm[[#This Row],[2.5]:[Đáy]]),0)</f>
        <v>0.29166666666666669</v>
      </c>
      <c r="Y9" s="73">
        <f>IFERROR(TPHm[[#This Row],[0.14]]/SUM(TPHm[[#This Row],[2.5]:[Đáy]]),0)</f>
        <v>0.20833333333333334</v>
      </c>
    </row>
    <row r="10" spans="1:25" x14ac:dyDescent="0.25">
      <c r="A10" s="68">
        <v>6</v>
      </c>
      <c r="B10" s="65">
        <v>43746</v>
      </c>
      <c r="C10" s="69" t="s">
        <v>112</v>
      </c>
      <c r="D10" s="69" t="s">
        <v>121</v>
      </c>
      <c r="E10" s="70">
        <v>150</v>
      </c>
      <c r="F10" s="70">
        <v>460</v>
      </c>
      <c r="G10" s="70">
        <v>320</v>
      </c>
      <c r="H10" s="70">
        <v>240</v>
      </c>
      <c r="I10" s="70">
        <v>450</v>
      </c>
      <c r="J10" s="70">
        <v>230</v>
      </c>
      <c r="K10" s="70">
        <v>60</v>
      </c>
      <c r="L10" s="73">
        <f>IFERROR(TPHm[[#This Row],[5]]/SUM(TPHm[[#This Row],[5]:[Đáy]]),0)</f>
        <v>7.8534031413612565E-2</v>
      </c>
      <c r="M10" s="73">
        <f>IFERROR(TPHm[[#This Row],[Đáy]]/SUM(TPHm[[#This Row],[5]:[0.14]]),0)</f>
        <v>3.2432432432432434E-2</v>
      </c>
      <c r="N10" s="74">
        <f>TPHm[[#This Row],[%-2.5]]*5+TPHm[[#This Row],[%-1.25]]*4+TPHm[[#This Row],[%0.63]]*3+TPHm[[#This Row],[%-0.315]]*2+TPHm[[#This Row],[%-0.14]]</f>
        <v>3.0852272727272729</v>
      </c>
      <c r="O10" s="70"/>
      <c r="P10" s="73">
        <f>TPHm[[#This Row],[%-2.5]]</f>
        <v>0.26136363636363635</v>
      </c>
      <c r="Q10" s="73">
        <f>SUM(TPHm[[#This Row],[%-2.5]:[%-1.25]])</f>
        <v>0.44318181818181818</v>
      </c>
      <c r="R10" s="73">
        <f>SUM(TPHm[[#This Row],[%-2.5]:[%0.63]])</f>
        <v>0.57954545454545459</v>
      </c>
      <c r="S10" s="73">
        <f>SUM(TPHm[[#This Row],[%-2.5]:[%-0.315]])</f>
        <v>0.83522727272727271</v>
      </c>
      <c r="T10" s="73">
        <f>SUM(TPHm[[#This Row],[%-2.5]:[%-0.14]])</f>
        <v>0.96590909090909083</v>
      </c>
      <c r="U10" s="73">
        <f>IFERROR(TPHm[[#This Row],[2.5]]/SUM(TPHm[[#This Row],[2.5]:[Đáy]]),0)</f>
        <v>0.26136363636363635</v>
      </c>
      <c r="V10" s="73">
        <f>IFERROR(TPHm[[#This Row],[1.25]]/SUM(TPHm[[#This Row],[2.5]:[Đáy]]),0)</f>
        <v>0.18181818181818182</v>
      </c>
      <c r="W10" s="73">
        <f>IFERROR(TPHm[[#This Row],[0.63]]/SUM(TPHm[[#This Row],[2.5]:[Đáy]]),0)</f>
        <v>0.13636363636363635</v>
      </c>
      <c r="X10" s="73">
        <f>IFERROR(TPHm[[#This Row],[0.315]]/SUM(TPHm[[#This Row],[2.5]:[Đáy]]),0)</f>
        <v>0.25568181818181818</v>
      </c>
      <c r="Y10" s="73">
        <f>IFERROR(TPHm[[#This Row],[0.14]]/SUM(TPHm[[#This Row],[2.5]:[Đáy]]),0)</f>
        <v>0.13068181818181818</v>
      </c>
    </row>
    <row r="11" spans="1:25" x14ac:dyDescent="0.25">
      <c r="A11" s="68">
        <v>7</v>
      </c>
      <c r="B11" s="71">
        <v>43746</v>
      </c>
      <c r="C11" s="69" t="s">
        <v>114</v>
      </c>
      <c r="D11" s="69" t="s">
        <v>121</v>
      </c>
      <c r="E11" s="70">
        <v>100</v>
      </c>
      <c r="F11" s="70">
        <v>440</v>
      </c>
      <c r="G11" s="70">
        <v>220</v>
      </c>
      <c r="H11" s="70">
        <v>220</v>
      </c>
      <c r="I11" s="70">
        <v>170</v>
      </c>
      <c r="J11" s="70">
        <v>60</v>
      </c>
      <c r="K11" s="70">
        <v>40</v>
      </c>
      <c r="L11" s="73">
        <f>IFERROR(TPHm[[#This Row],[5]]/SUM(TPHm[[#This Row],[5]:[Đáy]]),0)</f>
        <v>0.08</v>
      </c>
      <c r="M11" s="73">
        <f>IFERROR(TPHm[[#This Row],[Đáy]]/SUM(TPHm[[#This Row],[5]:[0.14]]),0)</f>
        <v>3.3057851239669422E-2</v>
      </c>
      <c r="N11" s="74">
        <f>TPHm[[#This Row],[%-2.5]]*5+TPHm[[#This Row],[%-1.25]]*4+TPHm[[#This Row],[%0.63]]*3+TPHm[[#This Row],[%-0.315]]*2+TPHm[[#This Row],[%-0.14]]</f>
        <v>3.6</v>
      </c>
      <c r="O11" s="70"/>
      <c r="P11" s="73">
        <f>TPHm[[#This Row],[%-2.5]]</f>
        <v>0.38260869565217392</v>
      </c>
      <c r="Q11" s="73">
        <f>SUM(TPHm[[#This Row],[%-2.5]:[%-1.25]])</f>
        <v>0.57391304347826089</v>
      </c>
      <c r="R11" s="73">
        <f>SUM(TPHm[[#This Row],[%-2.5]:[%0.63]])</f>
        <v>0.76521739130434785</v>
      </c>
      <c r="S11" s="73">
        <f>SUM(TPHm[[#This Row],[%-2.5]:[%-0.315]])</f>
        <v>0.91304347826086962</v>
      </c>
      <c r="T11" s="73">
        <f>SUM(TPHm[[#This Row],[%-2.5]:[%-0.14]])</f>
        <v>0.96521739130434792</v>
      </c>
      <c r="U11" s="73">
        <f>IFERROR(TPHm[[#This Row],[2.5]]/SUM(TPHm[[#This Row],[2.5]:[Đáy]]),0)</f>
        <v>0.38260869565217392</v>
      </c>
      <c r="V11" s="73">
        <f>IFERROR(TPHm[[#This Row],[1.25]]/SUM(TPHm[[#This Row],[2.5]:[Đáy]]),0)</f>
        <v>0.19130434782608696</v>
      </c>
      <c r="W11" s="73">
        <f>IFERROR(TPHm[[#This Row],[0.63]]/SUM(TPHm[[#This Row],[2.5]:[Đáy]]),0)</f>
        <v>0.19130434782608696</v>
      </c>
      <c r="X11" s="73">
        <f>IFERROR(TPHm[[#This Row],[0.315]]/SUM(TPHm[[#This Row],[2.5]:[Đáy]]),0)</f>
        <v>0.14782608695652175</v>
      </c>
      <c r="Y11" s="73">
        <f>IFERROR(TPHm[[#This Row],[0.14]]/SUM(TPHm[[#This Row],[2.5]:[Đáy]]),0)</f>
        <v>5.2173913043478258E-2</v>
      </c>
    </row>
    <row r="12" spans="1:25" x14ac:dyDescent="0.25">
      <c r="A12" s="68">
        <v>8</v>
      </c>
      <c r="B12" s="71">
        <v>43773</v>
      </c>
      <c r="C12" s="69" t="s">
        <v>129</v>
      </c>
      <c r="D12" s="69" t="s">
        <v>121</v>
      </c>
      <c r="E12" s="70">
        <v>10</v>
      </c>
      <c r="F12" s="70">
        <v>200</v>
      </c>
      <c r="G12" s="70">
        <v>360</v>
      </c>
      <c r="H12" s="70">
        <v>160</v>
      </c>
      <c r="I12" s="70">
        <v>180</v>
      </c>
      <c r="J12" s="70">
        <v>90</v>
      </c>
      <c r="K12" s="70">
        <v>80</v>
      </c>
      <c r="L12" s="73">
        <f>IFERROR(TPHm[[#This Row],[5]]/SUM(TPHm[[#This Row],[5]:[Đáy]]),0)</f>
        <v>9.2592592592592587E-3</v>
      </c>
      <c r="M12" s="73">
        <f>IFERROR(TPHm[[#This Row],[Đáy]]/SUM(TPHm[[#This Row],[5]:[0.14]]),0)</f>
        <v>0.08</v>
      </c>
      <c r="N12" s="74">
        <f>TPHm[[#This Row],[%-2.5]]*5+TPHm[[#This Row],[%-1.25]]*4+TPHm[[#This Row],[%0.63]]*3+TPHm[[#This Row],[%-0.315]]*2+TPHm[[#This Row],[%-0.14]]</f>
        <v>3.1495327102803738</v>
      </c>
      <c r="O12" s="70"/>
      <c r="P12" s="73">
        <f>TPHm[[#This Row],[%-2.5]]</f>
        <v>0.18691588785046728</v>
      </c>
      <c r="Q12" s="73">
        <f>SUM(TPHm[[#This Row],[%-2.5]:[%-1.25]])</f>
        <v>0.52336448598130836</v>
      </c>
      <c r="R12" s="73">
        <f>SUM(TPHm[[#This Row],[%-2.5]:[%0.63]])</f>
        <v>0.67289719626168221</v>
      </c>
      <c r="S12" s="73">
        <f>SUM(TPHm[[#This Row],[%-2.5]:[%-0.315]])</f>
        <v>0.84112149532710279</v>
      </c>
      <c r="T12" s="73">
        <f>SUM(TPHm[[#This Row],[%-2.5]:[%-0.14]])</f>
        <v>0.92523364485981308</v>
      </c>
      <c r="U12" s="73">
        <f>IFERROR(TPHm[[#This Row],[2.5]]/SUM(TPHm[[#This Row],[2.5]:[Đáy]]),0)</f>
        <v>0.18691588785046728</v>
      </c>
      <c r="V12" s="73">
        <f>IFERROR(TPHm[[#This Row],[1.25]]/SUM(TPHm[[#This Row],[2.5]:[Đáy]]),0)</f>
        <v>0.3364485981308411</v>
      </c>
      <c r="W12" s="73">
        <f>IFERROR(TPHm[[#This Row],[0.63]]/SUM(TPHm[[#This Row],[2.5]:[Đáy]]),0)</f>
        <v>0.14953271028037382</v>
      </c>
      <c r="X12" s="73">
        <f>IFERROR(TPHm[[#This Row],[0.315]]/SUM(TPHm[[#This Row],[2.5]:[Đáy]]),0)</f>
        <v>0.16822429906542055</v>
      </c>
      <c r="Y12" s="73">
        <f>IFERROR(TPHm[[#This Row],[0.14]]/SUM(TPHm[[#This Row],[2.5]:[Đáy]]),0)</f>
        <v>8.4112149532710276E-2</v>
      </c>
    </row>
    <row r="13" spans="1:25" x14ac:dyDescent="0.25">
      <c r="A13" s="68">
        <v>9</v>
      </c>
      <c r="B13" s="71">
        <v>43785</v>
      </c>
      <c r="C13" s="69" t="s">
        <v>114</v>
      </c>
      <c r="D13" s="69" t="s">
        <v>121</v>
      </c>
      <c r="E13" s="70">
        <v>40</v>
      </c>
      <c r="F13" s="70">
        <v>220</v>
      </c>
      <c r="G13" s="70">
        <v>200</v>
      </c>
      <c r="H13" s="70">
        <v>160</v>
      </c>
      <c r="I13" s="70">
        <v>170</v>
      </c>
      <c r="J13" s="70">
        <v>80</v>
      </c>
      <c r="K13" s="70">
        <v>50</v>
      </c>
      <c r="L13" s="73">
        <f>IFERROR(TPHm[[#This Row],[5]]/SUM(TPHm[[#This Row],[5]:[Đáy]]),0)</f>
        <v>4.3478260869565216E-2</v>
      </c>
      <c r="M13" s="73">
        <f>IFERROR(TPHm[[#This Row],[Đáy]]/SUM(TPHm[[#This Row],[5]:[0.14]]),0)</f>
        <v>5.7471264367816091E-2</v>
      </c>
      <c r="N13" s="74">
        <f>TPHm[[#This Row],[%-2.5]]*5+TPHm[[#This Row],[%-1.25]]*4+TPHm[[#This Row],[%0.63]]*3+TPHm[[#This Row],[%-0.315]]*2+TPHm[[#This Row],[%-0.14]]</f>
        <v>3.1818181818181817</v>
      </c>
      <c r="O13" s="70"/>
      <c r="P13" s="73">
        <f>TPHm[[#This Row],[%-2.5]]</f>
        <v>0.25</v>
      </c>
      <c r="Q13" s="73">
        <f>SUM(TPHm[[#This Row],[%-2.5]:[%-1.25]])</f>
        <v>0.47727272727272729</v>
      </c>
      <c r="R13" s="73">
        <f>SUM(TPHm[[#This Row],[%-2.5]:[%0.63]])</f>
        <v>0.65909090909090917</v>
      </c>
      <c r="S13" s="73">
        <f>SUM(TPHm[[#This Row],[%-2.5]:[%-0.315]])</f>
        <v>0.85227272727272729</v>
      </c>
      <c r="T13" s="73">
        <f>SUM(TPHm[[#This Row],[%-2.5]:[%-0.14]])</f>
        <v>0.94318181818181823</v>
      </c>
      <c r="U13" s="73">
        <f>IFERROR(TPHm[[#This Row],[2.5]]/SUM(TPHm[[#This Row],[2.5]:[Đáy]]),0)</f>
        <v>0.25</v>
      </c>
      <c r="V13" s="73">
        <f>IFERROR(TPHm[[#This Row],[1.25]]/SUM(TPHm[[#This Row],[2.5]:[Đáy]]),0)</f>
        <v>0.22727272727272727</v>
      </c>
      <c r="W13" s="73">
        <f>IFERROR(TPHm[[#This Row],[0.63]]/SUM(TPHm[[#This Row],[2.5]:[Đáy]]),0)</f>
        <v>0.18181818181818182</v>
      </c>
      <c r="X13" s="73">
        <f>IFERROR(TPHm[[#This Row],[0.315]]/SUM(TPHm[[#This Row],[2.5]:[Đáy]]),0)</f>
        <v>0.19318181818181818</v>
      </c>
      <c r="Y13" s="73">
        <f>IFERROR(TPHm[[#This Row],[0.14]]/SUM(TPHm[[#This Row],[2.5]:[Đáy]]),0)</f>
        <v>9.0909090909090912E-2</v>
      </c>
    </row>
    <row r="14" spans="1:25" x14ac:dyDescent="0.25">
      <c r="A14" s="68">
        <v>10</v>
      </c>
      <c r="B14" s="71">
        <v>43790</v>
      </c>
      <c r="C14" s="69" t="s">
        <v>145</v>
      </c>
      <c r="D14" s="69" t="s">
        <v>121</v>
      </c>
      <c r="E14" s="70">
        <v>100</v>
      </c>
      <c r="F14" s="70">
        <v>280</v>
      </c>
      <c r="G14" s="70">
        <v>200</v>
      </c>
      <c r="H14" s="70">
        <v>180</v>
      </c>
      <c r="I14" s="70">
        <v>190</v>
      </c>
      <c r="J14" s="70">
        <v>120</v>
      </c>
      <c r="K14" s="70">
        <v>90</v>
      </c>
      <c r="L14" s="75">
        <f>IFERROR(TPHm[[#This Row],[5]]/SUM(TPHm[[#This Row],[5]:[Đáy]]),0)</f>
        <v>8.6206896551724144E-2</v>
      </c>
      <c r="M14" s="75">
        <f>IFERROR(TPHm[[#This Row],[Đáy]]/SUM(TPHm[[#This Row],[5]:[0.14]]),0)</f>
        <v>8.4112149532710276E-2</v>
      </c>
      <c r="N14" s="76">
        <f>TPHm[[#This Row],[%-2.5]]*5+TPHm[[#This Row],[%-1.25]]*4+TPHm[[#This Row],[%0.63]]*3+TPHm[[#This Row],[%-0.315]]*2+TPHm[[#This Row],[%-0.14]]</f>
        <v>3.0566037735849059</v>
      </c>
      <c r="O14" s="72" t="s">
        <v>146</v>
      </c>
      <c r="P14" s="77">
        <f>TPHm[[#This Row],[%-2.5]]</f>
        <v>0.26415094339622641</v>
      </c>
      <c r="Q14" s="77">
        <f>SUM(TPHm[[#This Row],[%-2.5]:[%-1.25]])</f>
        <v>0.45283018867924529</v>
      </c>
      <c r="R14" s="77">
        <f>SUM(TPHm[[#This Row],[%-2.5]:[%0.63]])</f>
        <v>0.62264150943396224</v>
      </c>
      <c r="S14" s="77">
        <f>SUM(TPHm[[#This Row],[%-2.5]:[%-0.315]])</f>
        <v>0.80188679245283012</v>
      </c>
      <c r="T14" s="77">
        <f>SUM(TPHm[[#This Row],[%-2.5]:[%-0.14]])</f>
        <v>0.91509433962264142</v>
      </c>
      <c r="U14" s="75">
        <f>IFERROR(TPHm[[#This Row],[2.5]]/SUM(TPHm[[#This Row],[2.5]:[Đáy]]),0)</f>
        <v>0.26415094339622641</v>
      </c>
      <c r="V14" s="75">
        <f>IFERROR(TPHm[[#This Row],[1.25]]/SUM(TPHm[[#This Row],[2.5]:[Đáy]]),0)</f>
        <v>0.18867924528301888</v>
      </c>
      <c r="W14" s="75">
        <f>IFERROR(TPHm[[#This Row],[0.63]]/SUM(TPHm[[#This Row],[2.5]:[Đáy]]),0)</f>
        <v>0.16981132075471697</v>
      </c>
      <c r="X14" s="75">
        <f>IFERROR(TPHm[[#This Row],[0.315]]/SUM(TPHm[[#This Row],[2.5]:[Đáy]]),0)</f>
        <v>0.17924528301886791</v>
      </c>
      <c r="Y14" s="75">
        <f>IFERROR(TPHm[[#This Row],[0.14]]/SUM(TPHm[[#This Row],[2.5]:[Đáy]]),0)</f>
        <v>0.11320754716981132</v>
      </c>
    </row>
    <row r="15" spans="1:25" x14ac:dyDescent="0.25">
      <c r="A15" s="68">
        <v>11</v>
      </c>
      <c r="B15" s="71">
        <v>43795</v>
      </c>
      <c r="C15" s="69" t="s">
        <v>113</v>
      </c>
      <c r="D15" s="69" t="s">
        <v>121</v>
      </c>
      <c r="E15" s="70">
        <v>40</v>
      </c>
      <c r="F15" s="70">
        <v>160</v>
      </c>
      <c r="G15" s="70">
        <v>180</v>
      </c>
      <c r="H15" s="70">
        <v>180</v>
      </c>
      <c r="I15" s="70">
        <v>210</v>
      </c>
      <c r="J15" s="70">
        <v>100</v>
      </c>
      <c r="K15" s="70">
        <v>60</v>
      </c>
      <c r="L15" s="75">
        <f>IFERROR(TPHm[[#This Row],[5]]/SUM(TPHm[[#This Row],[5]:[Đáy]]),0)</f>
        <v>4.3010752688172046E-2</v>
      </c>
      <c r="M15" s="75">
        <f>IFERROR(TPHm[[#This Row],[Đáy]]/SUM(TPHm[[#This Row],[5]:[0.14]]),0)</f>
        <v>6.8965517241379309E-2</v>
      </c>
      <c r="N15" s="76">
        <f>TPHm[[#This Row],[%-2.5]]*5+TPHm[[#This Row],[%-1.25]]*4+TPHm[[#This Row],[%0.63]]*3+TPHm[[#This Row],[%-0.315]]*2+TPHm[[#This Row],[%-0.14]]</f>
        <v>2.8988764044943816</v>
      </c>
      <c r="O15" s="72"/>
      <c r="P15" s="77">
        <f>TPHm[[#This Row],[%-2.5]]</f>
        <v>0.1797752808988764</v>
      </c>
      <c r="Q15" s="77">
        <f>SUM(TPHm[[#This Row],[%-2.5]:[%-1.25]])</f>
        <v>0.38202247191011235</v>
      </c>
      <c r="R15" s="77">
        <f>SUM(TPHm[[#This Row],[%-2.5]:[%0.63]])</f>
        <v>0.5842696629213483</v>
      </c>
      <c r="S15" s="77">
        <f>SUM(TPHm[[#This Row],[%-2.5]:[%-0.315]])</f>
        <v>0.8202247191011236</v>
      </c>
      <c r="T15" s="77">
        <f>SUM(TPHm[[#This Row],[%-2.5]:[%-0.14]])</f>
        <v>0.93258426966292141</v>
      </c>
      <c r="U15" s="75">
        <f>IFERROR(TPHm[[#This Row],[2.5]]/SUM(TPHm[[#This Row],[2.5]:[Đáy]]),0)</f>
        <v>0.1797752808988764</v>
      </c>
      <c r="V15" s="75">
        <f>IFERROR(TPHm[[#This Row],[1.25]]/SUM(TPHm[[#This Row],[2.5]:[Đáy]]),0)</f>
        <v>0.20224719101123595</v>
      </c>
      <c r="W15" s="75">
        <f>IFERROR(TPHm[[#This Row],[0.63]]/SUM(TPHm[[#This Row],[2.5]:[Đáy]]),0)</f>
        <v>0.20224719101123595</v>
      </c>
      <c r="X15" s="75">
        <f>IFERROR(TPHm[[#This Row],[0.315]]/SUM(TPHm[[#This Row],[2.5]:[Đáy]]),0)</f>
        <v>0.23595505617977527</v>
      </c>
      <c r="Y15" s="75">
        <f>IFERROR(TPHm[[#This Row],[0.14]]/SUM(TPHm[[#This Row],[2.5]:[Đáy]]),0)</f>
        <v>0.11235955056179775</v>
      </c>
    </row>
    <row r="16" spans="1:25" x14ac:dyDescent="0.25">
      <c r="A16" s="68">
        <v>12</v>
      </c>
      <c r="B16" s="71">
        <v>43795</v>
      </c>
      <c r="C16" s="69" t="s">
        <v>115</v>
      </c>
      <c r="D16" s="69" t="s">
        <v>121</v>
      </c>
      <c r="E16" s="70">
        <v>30</v>
      </c>
      <c r="F16" s="70">
        <v>180</v>
      </c>
      <c r="G16" s="70">
        <v>150</v>
      </c>
      <c r="H16" s="70">
        <v>110</v>
      </c>
      <c r="I16" s="70">
        <v>120</v>
      </c>
      <c r="J16" s="70">
        <v>50</v>
      </c>
      <c r="K16" s="70">
        <v>40</v>
      </c>
      <c r="L16" s="75">
        <f>IFERROR(TPHm[[#This Row],[5]]/SUM(TPHm[[#This Row],[5]:[Đáy]]),0)</f>
        <v>4.4117647058823532E-2</v>
      </c>
      <c r="M16" s="75">
        <f>IFERROR(TPHm[[#This Row],[Đáy]]/SUM(TPHm[[#This Row],[5]:[0.14]]),0)</f>
        <v>6.25E-2</v>
      </c>
      <c r="N16" s="76">
        <f>TPHm[[#This Row],[%-2.5]]*5+TPHm[[#This Row],[%-1.25]]*4+TPHm[[#This Row],[%0.63]]*3+TPHm[[#This Row],[%-0.315]]*2+TPHm[[#This Row],[%-0.14]]</f>
        <v>3.2615384615384615</v>
      </c>
      <c r="O16" s="72"/>
      <c r="P16" s="77">
        <f>TPHm[[#This Row],[%-2.5]]</f>
        <v>0.27692307692307694</v>
      </c>
      <c r="Q16" s="77">
        <f>SUM(TPHm[[#This Row],[%-2.5]:[%-1.25]])</f>
        <v>0.50769230769230766</v>
      </c>
      <c r="R16" s="77">
        <f>SUM(TPHm[[#This Row],[%-2.5]:[%0.63]])</f>
        <v>0.67692307692307696</v>
      </c>
      <c r="S16" s="77">
        <f>SUM(TPHm[[#This Row],[%-2.5]:[%-0.315]])</f>
        <v>0.86153846153846159</v>
      </c>
      <c r="T16" s="77">
        <f>SUM(TPHm[[#This Row],[%-2.5]:[%-0.14]])</f>
        <v>0.93846153846153846</v>
      </c>
      <c r="U16" s="75">
        <f>IFERROR(TPHm[[#This Row],[2.5]]/SUM(TPHm[[#This Row],[2.5]:[Đáy]]),0)</f>
        <v>0.27692307692307694</v>
      </c>
      <c r="V16" s="75">
        <f>IFERROR(TPHm[[#This Row],[1.25]]/SUM(TPHm[[#This Row],[2.5]:[Đáy]]),0)</f>
        <v>0.23076923076923078</v>
      </c>
      <c r="W16" s="75">
        <f>IFERROR(TPHm[[#This Row],[0.63]]/SUM(TPHm[[#This Row],[2.5]:[Đáy]]),0)</f>
        <v>0.16923076923076924</v>
      </c>
      <c r="X16" s="75">
        <f>IFERROR(TPHm[[#This Row],[0.315]]/SUM(TPHm[[#This Row],[2.5]:[Đáy]]),0)</f>
        <v>0.18461538461538463</v>
      </c>
      <c r="Y16" s="75">
        <f>IFERROR(TPHm[[#This Row],[0.14]]/SUM(TPHm[[#This Row],[2.5]:[Đáy]]),0)</f>
        <v>7.6923076923076927E-2</v>
      </c>
    </row>
  </sheetData>
  <sheetProtection selectLockedCells="1"/>
  <conditionalFormatting sqref="A4:Y16">
    <cfRule type="expression" dxfId="89" priority="1">
      <formula>ROW()=$N$2</formula>
    </cfRule>
    <cfRule type="expression" dxfId="88" priority="2">
      <formula>ROW()=$N$1</formula>
    </cfRule>
  </conditionalFormatting>
  <pageMargins left="0.7" right="0.7" top="0.75" bottom="0.75" header="0.3" footer="0.3"/>
  <pageSetup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5138" r:id="rId4" name="Spinner 18">
              <controlPr defaultSize="0" autoPict="0">
                <anchor moveWithCells="1" sizeWithCells="1">
                  <from>
                    <xdr:col>13</xdr:col>
                    <xdr:colOff>38100</xdr:colOff>
                    <xdr:row>1</xdr:row>
                    <xdr:rowOff>466725</xdr:rowOff>
                  </from>
                  <to>
                    <xdr:col>13</xdr:col>
                    <xdr:colOff>638175</xdr:colOff>
                    <xdr:row>1</xdr:row>
                    <xdr:rowOff>1647825</xdr:rowOff>
                  </to>
                </anchor>
              </controlPr>
            </control>
          </mc:Choice>
        </mc:AlternateContent>
        <mc:AlternateContent xmlns:mc="http://schemas.openxmlformats.org/markup-compatibility/2006">
          <mc:Choice Requires="x14">
            <control shapeId="5139" r:id="rId5" name="Spinner 19">
              <controlPr defaultSize="0" autoPict="0">
                <anchor moveWithCells="1" sizeWithCells="1">
                  <from>
                    <xdr:col>13</xdr:col>
                    <xdr:colOff>28575</xdr:colOff>
                    <xdr:row>0</xdr:row>
                    <xdr:rowOff>409575</xdr:rowOff>
                  </from>
                  <to>
                    <xdr:col>13</xdr:col>
                    <xdr:colOff>628650</xdr:colOff>
                    <xdr:row>0</xdr:row>
                    <xdr:rowOff>1590675</xdr:rowOff>
                  </to>
                </anchor>
              </controlPr>
            </control>
          </mc:Choice>
        </mc:AlternateContent>
      </controls>
    </mc:Choice>
  </mc:AlternateContent>
  <tableParts count="1">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
  <sheetViews>
    <sheetView showGridLines="0" topLeftCell="B1" workbookViewId="0">
      <pane ySplit="3" topLeftCell="A4" activePane="bottomLeft" state="frozen"/>
      <selection pane="bottomLeft" activeCell="O5" sqref="O5"/>
    </sheetView>
  </sheetViews>
  <sheetFormatPr defaultRowHeight="15" x14ac:dyDescent="0.25"/>
  <cols>
    <col min="3" max="3" width="20.5703125" customWidth="1"/>
    <col min="4" max="4" width="14.7109375" customWidth="1"/>
    <col min="9" max="9" width="9.85546875" customWidth="1"/>
    <col min="10" max="10" width="9.85546875" bestFit="1" customWidth="1"/>
    <col min="11" max="11" width="10.140625" bestFit="1" customWidth="1"/>
    <col min="12" max="12" width="8.85546875" bestFit="1" customWidth="1"/>
    <col min="13" max="13" width="10" bestFit="1" customWidth="1"/>
    <col min="17" max="17" width="13.140625" bestFit="1" customWidth="1"/>
    <col min="18" max="18" width="5.42578125" bestFit="1" customWidth="1"/>
  </cols>
  <sheetData>
    <row r="1" spans="1:18" ht="139.5" customHeight="1" x14ac:dyDescent="0.25">
      <c r="I1" s="104" t="s">
        <v>161</v>
      </c>
      <c r="J1" s="103">
        <f ca="1">INDIRECT("TPHt!J"&amp;$N$1)</f>
        <v>1.0362694300518135E-2</v>
      </c>
      <c r="K1" s="103">
        <f ca="1">INDIRECT("TPHt!K"&amp;$N$1)</f>
        <v>0.5803108808290155</v>
      </c>
      <c r="L1" s="103">
        <f ca="1">INDIRECT("TPHt!L"&amp;$N$1)</f>
        <v>0.99481865284974091</v>
      </c>
      <c r="M1" s="103" t="str">
        <f ca="1">"Bụi: "&amp;TEXT(INDIRECT("TPHt!M"&amp;$N$1),"0.0%")</f>
        <v>Bụi: 0.5%</v>
      </c>
      <c r="N1" s="104">
        <v>5</v>
      </c>
      <c r="O1" s="120">
        <f ca="1">INDIRECT("TPHt!B"&amp;$N$1)</f>
        <v>43466</v>
      </c>
      <c r="P1" s="121" t="str">
        <f ca="1">INDIRECT("TPHt!C"&amp;$N$1)</f>
        <v>Đường chuẩn 5x20</v>
      </c>
      <c r="Q1" s="121" t="str">
        <f ca="1">"Module: "&amp;TEXT(INDIRECT("TPHt!N"&amp;$N$1),"0.0")</f>
        <v>Module: 6.6</v>
      </c>
      <c r="R1" s="121" t="str">
        <f ca="1">INDIRECT("TPHt!D"&amp;$N$1)</f>
        <v>5x20</v>
      </c>
    </row>
    <row r="2" spans="1:18" ht="139.5" customHeight="1" x14ac:dyDescent="0.25">
      <c r="I2" s="106" t="s">
        <v>162</v>
      </c>
      <c r="J2" s="105">
        <f ca="1">INDIRECT("TPHt!J"&amp;$N$2)</f>
        <v>0.34868421052631576</v>
      </c>
      <c r="K2" s="105">
        <f ca="1">INDIRECT("TPHt!K"&amp;$N$2)</f>
        <v>0.88157894736842102</v>
      </c>
      <c r="L2" s="105">
        <f ca="1">INDIRECT("TPHt!L"&amp;$N$2)</f>
        <v>0.99342105263157898</v>
      </c>
      <c r="M2" s="105" t="str">
        <f ca="1">"Bụi: "&amp;TEXT(INDIRECT("TPHt!M"&amp;$N$2),"0.0%")</f>
        <v>Bụi: 0.7%</v>
      </c>
      <c r="N2" s="106">
        <v>8</v>
      </c>
      <c r="O2" s="122">
        <f ca="1">INDIRECT("TPHt!B"&amp;$N$2)</f>
        <v>43785</v>
      </c>
      <c r="P2" s="123" t="str">
        <f ca="1">INDIRECT("TPHt!C"&amp;$N$2)</f>
        <v>Ho Hanh</v>
      </c>
      <c r="Q2" s="123" t="str">
        <f ca="1">"Module: "&amp;TEXT(INDIRECT("TPHt!N"&amp;$N$2),"0.0")</f>
        <v>Module: 7.2</v>
      </c>
      <c r="R2" s="123" t="str">
        <f ca="1">INDIRECT("TPHt!D"&amp;$N$2)</f>
        <v>5x20</v>
      </c>
    </row>
    <row r="3" spans="1:18" x14ac:dyDescent="0.25">
      <c r="A3" s="27" t="s">
        <v>85</v>
      </c>
      <c r="B3" s="27" t="s">
        <v>76</v>
      </c>
      <c r="C3" s="40" t="s">
        <v>98</v>
      </c>
      <c r="D3" s="81" t="s">
        <v>120</v>
      </c>
      <c r="E3" s="27" t="s">
        <v>104</v>
      </c>
      <c r="F3" s="27" t="s">
        <v>105</v>
      </c>
      <c r="G3" s="27" t="s">
        <v>106</v>
      </c>
      <c r="H3" s="27" t="s">
        <v>101</v>
      </c>
      <c r="I3" s="27" t="s">
        <v>82</v>
      </c>
      <c r="J3" s="78" t="s">
        <v>151</v>
      </c>
      <c r="K3" s="78" t="s">
        <v>152</v>
      </c>
      <c r="L3" s="78" t="s">
        <v>153</v>
      </c>
      <c r="M3" s="78" t="s">
        <v>147</v>
      </c>
      <c r="N3" s="102" t="s">
        <v>165</v>
      </c>
      <c r="O3" s="125" t="s">
        <v>172</v>
      </c>
      <c r="P3" s="78" t="s">
        <v>173</v>
      </c>
      <c r="Q3" s="78" t="s">
        <v>174</v>
      </c>
    </row>
    <row r="4" spans="1:18" x14ac:dyDescent="0.25">
      <c r="A4" s="107">
        <v>0</v>
      </c>
      <c r="B4" s="108">
        <v>43466</v>
      </c>
      <c r="C4" s="107" t="s">
        <v>169</v>
      </c>
      <c r="D4" s="107" t="s">
        <v>167</v>
      </c>
      <c r="E4" s="107">
        <v>0</v>
      </c>
      <c r="F4" s="107">
        <v>50</v>
      </c>
      <c r="G4" s="107">
        <v>900</v>
      </c>
      <c r="H4" s="107">
        <v>5</v>
      </c>
      <c r="I4" s="107"/>
      <c r="J4" s="110">
        <f>IFERROR(TPHt[[#This Row],[20]]/SUM(TPHt[[#This Row],[20]:[ĐÁY]]),0)</f>
        <v>0</v>
      </c>
      <c r="K4" s="110">
        <f>IFERROR((TPHt[[#This Row],[20]]+TPHt[[#This Row],[10]])/SUM(TPHt[[#This Row],[20]:[ĐÁY]]),0)</f>
        <v>5.2356020942408377E-2</v>
      </c>
      <c r="L4" s="110">
        <f>IFERROR((TPHt[[#This Row],[20]]+TPHt[[#This Row],[10]]+TPHt[[#This Row],[5]])/SUM(TPHt[[#This Row],[20]:[ĐÁY]]),0)</f>
        <v>0.99476439790575921</v>
      </c>
      <c r="M4" s="110">
        <f>IFERROR(TPHt[[#This Row],[ĐÁY]]/SUM(TPHt[[#This Row],[20]:[ĐÁY]]),0)</f>
        <v>5.235602094240838E-3</v>
      </c>
      <c r="N4" s="124">
        <f>SUM(TPHt[[#This Row],[%tl-20]:[%tl-5]])+5</f>
        <v>6.0471204188481673</v>
      </c>
      <c r="O4" s="126">
        <f>TPHt[[#This Row],[20]]/SUM(TPHt[[#This Row],[20]:[ĐÁY]])</f>
        <v>0</v>
      </c>
      <c r="P4" s="126">
        <f>TPHt[[#This Row],[10]]/SUM(TPHt[[#This Row],[20]:[ĐÁY]])</f>
        <v>5.2356020942408377E-2</v>
      </c>
      <c r="Q4" s="126">
        <f>TPHt[[#This Row],[5]]/SUM(TPHt[[#This Row],[20]:[ĐÁY]])</f>
        <v>0.94240837696335078</v>
      </c>
    </row>
    <row r="5" spans="1:18" x14ac:dyDescent="0.25">
      <c r="A5" s="107">
        <v>0</v>
      </c>
      <c r="B5" s="108">
        <v>43466</v>
      </c>
      <c r="C5" s="107" t="s">
        <v>168</v>
      </c>
      <c r="D5" s="109" t="s">
        <v>166</v>
      </c>
      <c r="E5" s="107">
        <v>10</v>
      </c>
      <c r="F5" s="107">
        <v>550</v>
      </c>
      <c r="G5" s="107">
        <v>400</v>
      </c>
      <c r="H5" s="107">
        <v>5</v>
      </c>
      <c r="I5" s="107"/>
      <c r="J5" s="110">
        <f>IFERROR(TPHt[[#This Row],[20]]/SUM(TPHt[[#This Row],[20]:[ĐÁY]]),0)</f>
        <v>1.0362694300518135E-2</v>
      </c>
      <c r="K5" s="110">
        <f>IFERROR((TPHt[[#This Row],[20]]+TPHt[[#This Row],[10]])/SUM(TPHt[[#This Row],[20]:[ĐÁY]]),0)</f>
        <v>0.5803108808290155</v>
      </c>
      <c r="L5" s="110">
        <f>IFERROR((TPHt[[#This Row],[20]]+TPHt[[#This Row],[10]]+TPHt[[#This Row],[5]])/SUM(TPHt[[#This Row],[20]:[ĐÁY]]),0)</f>
        <v>0.99481865284974091</v>
      </c>
      <c r="M5" s="110">
        <f>IFERROR(TPHt[[#This Row],[ĐÁY]]/SUM(TPHt[[#This Row],[20]:[ĐÁY]]),0)</f>
        <v>5.1813471502590676E-3</v>
      </c>
      <c r="N5" s="124">
        <f>SUM(TPHt[[#This Row],[%tl-20]:[%tl-5]])+5</f>
        <v>6.5854922279792749</v>
      </c>
      <c r="O5" s="126">
        <f>TPHt[[#This Row],[20]]/SUM(TPHt[[#This Row],[20]:[ĐÁY]])</f>
        <v>1.0362694300518135E-2</v>
      </c>
      <c r="P5" s="126">
        <f>TPHt[[#This Row],[10]]/SUM(TPHt[[#This Row],[20]:[ĐÁY]])</f>
        <v>0.56994818652849744</v>
      </c>
      <c r="Q5" s="126">
        <f>TPHt[[#This Row],[5]]/SUM(TPHt[[#This Row],[20]:[ĐÁY]])</f>
        <v>0.41450777202072536</v>
      </c>
    </row>
    <row r="6" spans="1:18" x14ac:dyDescent="0.25">
      <c r="A6" s="111">
        <v>1</v>
      </c>
      <c r="B6" s="112">
        <v>43773</v>
      </c>
      <c r="C6" s="111" t="s">
        <v>126</v>
      </c>
      <c r="D6" s="111" t="s">
        <v>166</v>
      </c>
      <c r="E6" s="111">
        <v>1600</v>
      </c>
      <c r="F6" s="111">
        <v>1840</v>
      </c>
      <c r="G6" s="111">
        <v>10</v>
      </c>
      <c r="H6" s="111">
        <v>10</v>
      </c>
      <c r="I6" s="111"/>
      <c r="J6" s="113">
        <f>IFERROR(TPHt[[#This Row],[20]]/SUM(TPHt[[#This Row],[20]:[ĐÁY]]),0)</f>
        <v>0.46242774566473988</v>
      </c>
      <c r="K6" s="113">
        <f>IFERROR((TPHt[[#This Row],[20]]+TPHt[[#This Row],[10]])/SUM(TPHt[[#This Row],[20]:[ĐÁY]]),0)</f>
        <v>0.9942196531791907</v>
      </c>
      <c r="L6" s="113">
        <f>IFERROR((TPHt[[#This Row],[20]]+TPHt[[#This Row],[10]]+TPHt[[#This Row],[5]])/SUM(TPHt[[#This Row],[20]:[ĐÁY]]),0)</f>
        <v>0.99710982658959535</v>
      </c>
      <c r="M6" s="113">
        <f>IFERROR(TPHt[[#This Row],[ĐÁY]]/SUM(TPHt[[#This Row],[20]:[ĐÁY]]),0)</f>
        <v>2.8901734104046241E-3</v>
      </c>
      <c r="N6" s="114">
        <f>SUM(TPHt[[#This Row],[%tl-20]:[%tl-5]])+5</f>
        <v>7.4537572254335256</v>
      </c>
      <c r="O6" s="113">
        <f>TPHt[[#This Row],[20]]/SUM(TPHt[[#This Row],[20]:[ĐÁY]])</f>
        <v>0.46242774566473988</v>
      </c>
      <c r="P6" s="113">
        <f>TPHt[[#This Row],[10]]/SUM(TPHt[[#This Row],[20]:[ĐÁY]])</f>
        <v>0.53179190751445082</v>
      </c>
      <c r="Q6" s="113">
        <f>TPHt[[#This Row],[5]]/SUM(TPHt[[#This Row],[20]:[ĐÁY]])</f>
        <v>2.8901734104046241E-3</v>
      </c>
    </row>
    <row r="7" spans="1:18" x14ac:dyDescent="0.25">
      <c r="A7" s="115">
        <v>2</v>
      </c>
      <c r="B7" s="116">
        <v>43778</v>
      </c>
      <c r="C7" s="115" t="s">
        <v>126</v>
      </c>
      <c r="D7" s="115" t="s">
        <v>166</v>
      </c>
      <c r="E7" s="115">
        <v>660</v>
      </c>
      <c r="F7" s="115">
        <v>2400</v>
      </c>
      <c r="G7" s="115">
        <v>950</v>
      </c>
      <c r="H7" s="115">
        <v>30</v>
      </c>
      <c r="I7" s="115"/>
      <c r="J7" s="113">
        <f>IFERROR(TPHt[[#This Row],[20]]/SUM(TPHt[[#This Row],[20]:[ĐÁY]]),0)</f>
        <v>0.16336633663366337</v>
      </c>
      <c r="K7" s="113">
        <f>IFERROR((TPHt[[#This Row],[20]]+TPHt[[#This Row],[10]])/SUM(TPHt[[#This Row],[20]:[ĐÁY]]),0)</f>
        <v>0.75742574257425743</v>
      </c>
      <c r="L7" s="113">
        <f>IFERROR((TPHt[[#This Row],[20]]+TPHt[[#This Row],[10]]+TPHt[[#This Row],[5]])/SUM(TPHt[[#This Row],[20]:[ĐÁY]]),0)</f>
        <v>0.99257425742574257</v>
      </c>
      <c r="M7" s="113">
        <f>IFERROR(TPHt[[#This Row],[ĐÁY]]/SUM(TPHt[[#This Row],[20]:[ĐÁY]]),0)</f>
        <v>7.4257425742574254E-3</v>
      </c>
      <c r="N7" s="114">
        <f>SUM(TPHt[[#This Row],[%tl-20]:[%tl-5]])+5</f>
        <v>6.9133663366336631</v>
      </c>
      <c r="O7" s="113">
        <f>TPHt[[#This Row],[20]]/SUM(TPHt[[#This Row],[20]:[ĐÁY]])</f>
        <v>0.16336633663366337</v>
      </c>
      <c r="P7" s="113">
        <f>TPHt[[#This Row],[10]]/SUM(TPHt[[#This Row],[20]:[ĐÁY]])</f>
        <v>0.59405940594059403</v>
      </c>
      <c r="Q7" s="113">
        <f>TPHt[[#This Row],[5]]/SUM(TPHt[[#This Row],[20]:[ĐÁY]])</f>
        <v>0.23514851485148514</v>
      </c>
    </row>
    <row r="8" spans="1:18" x14ac:dyDescent="0.25">
      <c r="A8" s="115">
        <v>3</v>
      </c>
      <c r="B8" s="116">
        <v>43785</v>
      </c>
      <c r="C8" s="115" t="s">
        <v>126</v>
      </c>
      <c r="D8" s="115" t="s">
        <v>166</v>
      </c>
      <c r="E8" s="115">
        <v>1060</v>
      </c>
      <c r="F8" s="115">
        <v>1620</v>
      </c>
      <c r="G8" s="115">
        <v>340</v>
      </c>
      <c r="H8" s="115">
        <v>20</v>
      </c>
      <c r="I8" s="115"/>
      <c r="J8" s="113">
        <f>IFERROR(TPHt[[#This Row],[20]]/SUM(TPHt[[#This Row],[20]:[ĐÁY]]),0)</f>
        <v>0.34868421052631576</v>
      </c>
      <c r="K8" s="113">
        <f>IFERROR((TPHt[[#This Row],[20]]+TPHt[[#This Row],[10]])/SUM(TPHt[[#This Row],[20]:[ĐÁY]]),0)</f>
        <v>0.88157894736842102</v>
      </c>
      <c r="L8" s="113">
        <f>IFERROR((TPHt[[#This Row],[20]]+TPHt[[#This Row],[10]]+TPHt[[#This Row],[5]])/SUM(TPHt[[#This Row],[20]:[ĐÁY]]),0)</f>
        <v>0.99342105263157898</v>
      </c>
      <c r="M8" s="113">
        <f>IFERROR(TPHt[[#This Row],[ĐÁY]]/SUM(TPHt[[#This Row],[20]:[ĐÁY]]),0)</f>
        <v>6.5789473684210523E-3</v>
      </c>
      <c r="N8" s="114">
        <f>SUM(TPHt[[#This Row],[%tl-20]:[%tl-5]])+5</f>
        <v>7.2236842105263159</v>
      </c>
      <c r="O8" s="113">
        <f>TPHt[[#This Row],[20]]/SUM(TPHt[[#This Row],[20]:[ĐÁY]])</f>
        <v>0.34868421052631576</v>
      </c>
      <c r="P8" s="113">
        <f>TPHt[[#This Row],[10]]/SUM(TPHt[[#This Row],[20]:[ĐÁY]])</f>
        <v>0.53289473684210531</v>
      </c>
      <c r="Q8" s="113">
        <f>TPHt[[#This Row],[5]]/SUM(TPHt[[#This Row],[20]:[ĐÁY]])</f>
        <v>0.1118421052631579</v>
      </c>
    </row>
    <row r="9" spans="1:18" x14ac:dyDescent="0.25">
      <c r="A9" s="117">
        <v>4</v>
      </c>
      <c r="B9" s="118">
        <v>43795</v>
      </c>
      <c r="C9" s="117" t="s">
        <v>150</v>
      </c>
      <c r="D9" s="117" t="s">
        <v>167</v>
      </c>
      <c r="E9" s="117">
        <v>0</v>
      </c>
      <c r="F9" s="117">
        <v>0</v>
      </c>
      <c r="G9" s="117">
        <v>2090</v>
      </c>
      <c r="H9" s="117">
        <v>890</v>
      </c>
      <c r="I9" s="117"/>
      <c r="J9" s="119">
        <f>IFERROR(TPHt[[#This Row],[20]]/SUM(TPHt[[#This Row],[20]:[ĐÁY]]),0)</f>
        <v>0</v>
      </c>
      <c r="K9" s="119">
        <f>IFERROR((TPHt[[#This Row],[20]]+TPHt[[#This Row],[10]])/SUM(TPHt[[#This Row],[20]:[ĐÁY]]),0)</f>
        <v>0</v>
      </c>
      <c r="L9" s="119">
        <f>IFERROR((TPHt[[#This Row],[20]]+TPHt[[#This Row],[10]]+TPHt[[#This Row],[5]])/SUM(TPHt[[#This Row],[20]:[ĐÁY]]),0)</f>
        <v>0.70134228187919467</v>
      </c>
      <c r="M9" s="119">
        <f>IFERROR(TPHt[[#This Row],[ĐÁY]]/SUM(TPHt[[#This Row],[20]:[ĐÁY]]),0)</f>
        <v>0.29865771812080538</v>
      </c>
      <c r="N9" s="114">
        <f>SUM(TPHt[[#This Row],[%tl-20]:[%tl-5]])+5</f>
        <v>5.701342281879195</v>
      </c>
      <c r="O9" s="113">
        <f>TPHt[[#This Row],[20]]/SUM(TPHt[[#This Row],[20]:[ĐÁY]])</f>
        <v>0</v>
      </c>
      <c r="P9" s="113">
        <f>TPHt[[#This Row],[10]]/SUM(TPHt[[#This Row],[20]:[ĐÁY]])</f>
        <v>0</v>
      </c>
      <c r="Q9" s="113">
        <f>TPHt[[#This Row],[5]]/SUM(TPHt[[#This Row],[20]:[ĐÁY]])</f>
        <v>0.70134228187919467</v>
      </c>
    </row>
  </sheetData>
  <conditionalFormatting sqref="O1:P2">
    <cfRule type="expression" dxfId="59" priority="4">
      <formula>ROW()=$N$2</formula>
    </cfRule>
  </conditionalFormatting>
  <conditionalFormatting sqref="Q1:Q2">
    <cfRule type="expression" dxfId="58" priority="3">
      <formula>ROW()=$N$2</formula>
    </cfRule>
  </conditionalFormatting>
  <conditionalFormatting sqref="R1:R2">
    <cfRule type="expression" dxfId="57" priority="2">
      <formula>ROW()=$N$2</formula>
    </cfRule>
  </conditionalFormatting>
  <conditionalFormatting sqref="A4:Q9">
    <cfRule type="expression" dxfId="56" priority="1">
      <formula>ROW()=$N$2</formula>
    </cfRule>
    <cfRule type="expression" dxfId="55" priority="5">
      <formula>ROW()=$N$1</formula>
    </cfRule>
  </conditionalFormatting>
  <pageMargins left="0.7" right="0.7" top="0.75" bottom="0.75" header="0.3" footer="0.3"/>
  <pageSetup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Spinner 1">
              <controlPr defaultSize="0" autoPict="0">
                <anchor moveWithCells="1" sizeWithCells="1">
                  <from>
                    <xdr:col>13</xdr:col>
                    <xdr:colOff>28575</xdr:colOff>
                    <xdr:row>1</xdr:row>
                    <xdr:rowOff>323850</xdr:rowOff>
                  </from>
                  <to>
                    <xdr:col>13</xdr:col>
                    <xdr:colOff>581025</xdr:colOff>
                    <xdr:row>1</xdr:row>
                    <xdr:rowOff>1152525</xdr:rowOff>
                  </to>
                </anchor>
              </controlPr>
            </control>
          </mc:Choice>
        </mc:AlternateContent>
        <mc:AlternateContent xmlns:mc="http://schemas.openxmlformats.org/markup-compatibility/2006">
          <mc:Choice Requires="x14">
            <control shapeId="6146" r:id="rId5" name="Spinner 2">
              <controlPr defaultSize="0" autoPict="0">
                <anchor moveWithCells="1" sizeWithCells="1">
                  <from>
                    <xdr:col>13</xdr:col>
                    <xdr:colOff>28575</xdr:colOff>
                    <xdr:row>0</xdr:row>
                    <xdr:rowOff>323850</xdr:rowOff>
                  </from>
                  <to>
                    <xdr:col>13</xdr:col>
                    <xdr:colOff>581025</xdr:colOff>
                    <xdr:row>0</xdr:row>
                    <xdr:rowOff>1152525</xdr:rowOff>
                  </to>
                </anchor>
              </controlPr>
            </control>
          </mc:Choice>
        </mc:AlternateContent>
      </controls>
    </mc:Choice>
  </mc:AlternateContent>
  <tableParts count="1">
    <tablePart r:id="rId6"/>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W19"/>
  <sheetViews>
    <sheetView showGridLines="0" workbookViewId="0">
      <selection activeCell="P8" sqref="P8"/>
    </sheetView>
  </sheetViews>
  <sheetFormatPr defaultRowHeight="15" x14ac:dyDescent="0.25"/>
  <cols>
    <col min="2" max="2" width="17.7109375" customWidth="1"/>
    <col min="3" max="3" width="17.42578125" bestFit="1" customWidth="1"/>
    <col min="4" max="4" width="9.140625" bestFit="1" customWidth="1"/>
    <col min="5" max="5" width="9.7109375" bestFit="1" customWidth="1"/>
    <col min="6" max="6" width="8.5703125" bestFit="1" customWidth="1"/>
    <col min="7" max="7" width="7.5703125" bestFit="1" customWidth="1"/>
    <col min="8" max="8" width="6.5703125" bestFit="1" customWidth="1"/>
    <col min="9" max="9" width="8.140625" bestFit="1" customWidth="1"/>
    <col min="10" max="11" width="9.140625" bestFit="1" customWidth="1"/>
    <col min="12" max="12" width="10.140625" bestFit="1" customWidth="1"/>
    <col min="14" max="14" width="7.140625" bestFit="1" customWidth="1"/>
    <col min="15" max="15" width="9.42578125" customWidth="1"/>
    <col min="16" max="16" width="9.85546875" customWidth="1"/>
    <col min="17" max="17" width="8.28515625" bestFit="1" customWidth="1"/>
    <col min="18" max="18" width="7.28515625" customWidth="1"/>
    <col min="19" max="19" width="7.42578125" bestFit="1" customWidth="1"/>
    <col min="20" max="20" width="7.5703125" bestFit="1" customWidth="1"/>
    <col min="21" max="21" width="7.85546875" bestFit="1" customWidth="1"/>
    <col min="22" max="22" width="9.140625" bestFit="1" customWidth="1"/>
    <col min="23" max="23" width="11.85546875" bestFit="1" customWidth="1"/>
  </cols>
  <sheetData>
    <row r="1" spans="2:23" ht="30" x14ac:dyDescent="0.25">
      <c r="M1" s="173" t="s">
        <v>179</v>
      </c>
      <c r="N1" s="129" t="s">
        <v>76</v>
      </c>
      <c r="O1" s="129" t="s">
        <v>98</v>
      </c>
      <c r="P1" s="129" t="s">
        <v>171</v>
      </c>
      <c r="Q1" s="129" t="s">
        <v>82</v>
      </c>
      <c r="R1" s="129" t="s">
        <v>134</v>
      </c>
      <c r="S1" s="129" t="s">
        <v>135</v>
      </c>
      <c r="T1" s="129" t="s">
        <v>136</v>
      </c>
      <c r="U1" s="129" t="s">
        <v>137</v>
      </c>
      <c r="V1" s="129" t="s">
        <v>138</v>
      </c>
      <c r="W1" s="129" t="s">
        <v>139</v>
      </c>
    </row>
    <row r="2" spans="2:23" ht="61.5" customHeight="1" x14ac:dyDescent="0.25">
      <c r="M2" s="173"/>
      <c r="N2" s="132">
        <f ca="1">INDIRECT("TPHm!B"&amp;P2)</f>
        <v>43466</v>
      </c>
      <c r="O2" s="133" t="str">
        <f ca="1">INDIRECT("TPHm!C"&amp;P2)</f>
        <v>Cát tiêu chuẩn</v>
      </c>
      <c r="P2" s="136">
        <v>4</v>
      </c>
      <c r="Q2" s="133" t="str">
        <f ca="1">INDIRECT("TPHm!O"&amp;P2)</f>
        <v>cát chuẩn</v>
      </c>
      <c r="R2" s="137">
        <f ca="1">INDIRECT("TPHm!U"&amp;P2)</f>
        <v>7.0351758793969849E-2</v>
      </c>
      <c r="S2" s="137">
        <f ca="1">INDIRECT("TPHm!V"&amp;P2)</f>
        <v>0.2613065326633166</v>
      </c>
      <c r="T2" s="137">
        <f ca="1">INDIRECT("TPHm!W"&amp;P2)</f>
        <v>0.34170854271356782</v>
      </c>
      <c r="U2" s="137">
        <f ca="1">INDIRECT("TPHm!X"&amp;P2)</f>
        <v>0.20100502512562815</v>
      </c>
      <c r="V2" s="137">
        <f ca="1">INDIRECT("TPHm!Y"&amp;P2)</f>
        <v>0.12060301507537688</v>
      </c>
      <c r="W2" s="137" t="str">
        <f ca="1">"Modul: "&amp;TEXT(INDIRECT("TPHm!N"&amp;P2),"0.0")</f>
        <v>Modul: 2.9</v>
      </c>
    </row>
    <row r="3" spans="2:23" ht="15.75" x14ac:dyDescent="0.25">
      <c r="M3" s="1"/>
      <c r="N3" s="127"/>
      <c r="O3" s="128"/>
      <c r="P3" s="138"/>
      <c r="Q3" s="128"/>
      <c r="R3" s="139"/>
      <c r="S3" s="139"/>
      <c r="T3" s="139"/>
      <c r="U3" s="139"/>
      <c r="V3" s="139"/>
      <c r="W3" s="139"/>
    </row>
    <row r="4" spans="2:23" ht="45" x14ac:dyDescent="0.25">
      <c r="M4" s="173" t="s">
        <v>180</v>
      </c>
      <c r="N4" s="140" t="s">
        <v>175</v>
      </c>
      <c r="O4" s="140" t="s">
        <v>176</v>
      </c>
      <c r="P4" s="140" t="s">
        <v>171</v>
      </c>
      <c r="Q4" s="140" t="s">
        <v>177</v>
      </c>
      <c r="R4" s="140" t="s">
        <v>178</v>
      </c>
      <c r="S4" s="130" t="s">
        <v>172</v>
      </c>
      <c r="T4" s="131" t="s">
        <v>173</v>
      </c>
      <c r="U4" s="131" t="s">
        <v>174</v>
      </c>
      <c r="V4" s="129" t="s">
        <v>139</v>
      </c>
      <c r="W4" s="1"/>
    </row>
    <row r="5" spans="2:23" ht="60" customHeight="1" x14ac:dyDescent="0.25">
      <c r="M5" s="173"/>
      <c r="N5" s="134">
        <f ca="1">INDIRECT("TPHt!B"&amp;P5)</f>
        <v>43778</v>
      </c>
      <c r="O5" s="135" t="str">
        <f ca="1">INDIRECT("TPHt!C"&amp;P5)</f>
        <v>Ho Hanh</v>
      </c>
      <c r="P5" s="141">
        <v>7</v>
      </c>
      <c r="Q5" s="135" t="str">
        <f ca="1">INDIRECT("TPHt!D"&amp;P5)</f>
        <v>5x20</v>
      </c>
      <c r="R5" s="142" t="str">
        <f ca="1">"Bụi: "&amp;TEXT(INDIRECT("TPHt!M"&amp;P5),"0.0%")</f>
        <v>Bụi: 0.7%</v>
      </c>
      <c r="S5" s="142">
        <f ca="1">INDIRECT("TPHt!O"&amp;P5)</f>
        <v>0.16336633663366337</v>
      </c>
      <c r="T5" s="142">
        <f ca="1">INDIRECT("TPHt!P"&amp;P5)</f>
        <v>0.59405940594059403</v>
      </c>
      <c r="U5" s="142">
        <f ca="1">INDIRECT("TPHt!Q"&amp;P5)</f>
        <v>0.23514851485148514</v>
      </c>
      <c r="V5" s="135" t="str">
        <f ca="1">"Module: "&amp;TEXT(INDIRECT("TPHt!N"&amp;P5),"0.0")</f>
        <v>Module: 6.9</v>
      </c>
      <c r="W5" s="1"/>
    </row>
    <row r="7" spans="2:23" ht="32.25" customHeight="1" x14ac:dyDescent="0.25"/>
    <row r="8" spans="2:23" ht="28.5" customHeight="1" x14ac:dyDescent="0.25"/>
    <row r="9" spans="2:23" ht="28.5" customHeight="1" x14ac:dyDescent="0.25"/>
    <row r="10" spans="2:23" ht="28.5" customHeight="1" x14ac:dyDescent="0.25"/>
    <row r="11" spans="2:23" ht="28.5" customHeight="1" x14ac:dyDescent="0.25"/>
    <row r="13" spans="2:23" x14ac:dyDescent="0.25">
      <c r="B13" s="101"/>
      <c r="C13" s="148">
        <f>KH[[#Totals],[20]]</f>
        <v>8.1683168316831686E-2</v>
      </c>
      <c r="D13" s="148">
        <f>SUM(KH[[#Totals],[20]:[10]])</f>
        <v>0.37871287128712872</v>
      </c>
      <c r="E13" s="148">
        <f>SUM(KH[[#Totals],[20]:[5]])</f>
        <v>0.49628712871287128</v>
      </c>
      <c r="F13" s="148">
        <f>SUM(KH[[#Totals],[20]:[2.5]])</f>
        <v>0.53146300810985625</v>
      </c>
      <c r="G13" s="148">
        <f>SUM(KH[[#Totals],[20]:[1.25]])</f>
        <v>0.66211627444151455</v>
      </c>
      <c r="H13" s="148">
        <f>SUM(KH[[#Totals],[20]:[0.63]])</f>
        <v>0.83297054579829843</v>
      </c>
      <c r="I13" s="148">
        <f>SUM(KH[[#Totals],[20]:[0.315]])</f>
        <v>0.9334730583611125</v>
      </c>
      <c r="J13" s="148">
        <f>SUM(KH[[#Totals],[20]:[0.14]])</f>
        <v>0.99377456589880098</v>
      </c>
      <c r="K13" s="101"/>
    </row>
    <row r="14" spans="2:23" x14ac:dyDescent="0.25">
      <c r="B14" s="147" t="s">
        <v>170</v>
      </c>
      <c r="C14" s="147" t="s">
        <v>104</v>
      </c>
      <c r="D14" s="147" t="s">
        <v>105</v>
      </c>
      <c r="E14" s="147" t="s">
        <v>106</v>
      </c>
      <c r="F14" s="147" t="s">
        <v>107</v>
      </c>
      <c r="G14" s="147" t="s">
        <v>108</v>
      </c>
      <c r="H14" s="147" t="s">
        <v>109</v>
      </c>
      <c r="I14" s="147" t="s">
        <v>110</v>
      </c>
      <c r="J14" s="147" t="s">
        <v>111</v>
      </c>
      <c r="K14" s="147" t="s">
        <v>97</v>
      </c>
    </row>
    <row r="15" spans="2:23" x14ac:dyDescent="0.25">
      <c r="B15" s="143">
        <v>0.5</v>
      </c>
      <c r="C15" s="144"/>
      <c r="D15" s="144"/>
      <c r="E15" s="144"/>
      <c r="F15" s="144">
        <v>7.0351758793969849E-2</v>
      </c>
      <c r="G15" s="144">
        <v>0.2613065326633166</v>
      </c>
      <c r="H15" s="144">
        <v>0.34170854271356782</v>
      </c>
      <c r="I15" s="144">
        <v>0.20100502512562815</v>
      </c>
      <c r="J15" s="144">
        <v>0.12060301507537688</v>
      </c>
      <c r="K15" s="144">
        <v>1</v>
      </c>
    </row>
    <row r="16" spans="2:23" x14ac:dyDescent="0.25">
      <c r="B16" s="143">
        <v>0.5</v>
      </c>
      <c r="C16" s="144">
        <v>0.16336633663366337</v>
      </c>
      <c r="D16" s="144">
        <v>0.59405940594059403</v>
      </c>
      <c r="E16" s="144">
        <v>0.23514851485148514</v>
      </c>
      <c r="F16" s="144"/>
      <c r="G16" s="144"/>
      <c r="H16" s="144"/>
      <c r="I16" s="144"/>
      <c r="J16" s="144"/>
      <c r="K16" s="144">
        <v>1</v>
      </c>
    </row>
    <row r="17" spans="2:11" x14ac:dyDescent="0.25">
      <c r="B17" s="143"/>
      <c r="C17" s="144"/>
      <c r="D17" s="144"/>
      <c r="E17" s="144"/>
      <c r="F17" s="144"/>
      <c r="G17" s="144"/>
      <c r="H17" s="144"/>
      <c r="I17" s="144"/>
      <c r="J17" s="144"/>
      <c r="K17" s="144">
        <v>1</v>
      </c>
    </row>
    <row r="18" spans="2:11" x14ac:dyDescent="0.25">
      <c r="B18" s="143"/>
      <c r="C18" s="144"/>
      <c r="D18" s="144"/>
      <c r="E18" s="144"/>
      <c r="F18" s="144"/>
      <c r="G18" s="144"/>
      <c r="H18" s="144"/>
      <c r="I18" s="144"/>
      <c r="J18" s="144"/>
      <c r="K18" s="144">
        <v>1</v>
      </c>
    </row>
    <row r="19" spans="2:11" x14ac:dyDescent="0.25">
      <c r="B19" s="145" t="s">
        <v>181</v>
      </c>
      <c r="C19" s="146">
        <f>SUMPRODUCT(KH[[Tỷ lệ]:[Tỷ lệ]],KH[20])</f>
        <v>8.1683168316831686E-2</v>
      </c>
      <c r="D19" s="146">
        <f>SUMPRODUCT(KH[[Tỷ lệ]:[Tỷ lệ]],KH[10])</f>
        <v>0.29702970297029702</v>
      </c>
      <c r="E19" s="146">
        <f>SUMPRODUCT(KH[[Tỷ lệ]:[Tỷ lệ]],KH[5])</f>
        <v>0.11757425742574257</v>
      </c>
      <c r="F19" s="146">
        <f>SUMPRODUCT(KH[[Tỷ lệ]:[Tỷ lệ]],KH[2.5])</f>
        <v>3.5175879396984924E-2</v>
      </c>
      <c r="G19" s="146">
        <f>SUMPRODUCT(KH[[Tỷ lệ]:[Tỷ lệ]],KH[1.25])</f>
        <v>0.1306532663316583</v>
      </c>
      <c r="H19" s="146">
        <f>SUMPRODUCT(KH[[Tỷ lệ]:[Tỷ lệ]],KH[0.63])</f>
        <v>0.17085427135678391</v>
      </c>
      <c r="I19" s="146">
        <f>SUMPRODUCT(KH[[Tỷ lệ]:[Tỷ lệ]],KH[0.315])</f>
        <v>0.10050251256281408</v>
      </c>
      <c r="J19" s="146">
        <f>SUMPRODUCT(KH[[Tỷ lệ]:[Tỷ lệ]],KH[0.14])</f>
        <v>6.030150753768844E-2</v>
      </c>
      <c r="K19" s="146">
        <f>SUMPRODUCT(KH[[Tỷ lệ]:[Tỷ lệ]],KH[Đáy])</f>
        <v>1</v>
      </c>
    </row>
  </sheetData>
  <mergeCells count="2">
    <mergeCell ref="M1:M2"/>
    <mergeCell ref="M4:M5"/>
  </mergeCells>
  <conditionalFormatting sqref="N5:O5">
    <cfRule type="expression" dxfId="34" priority="3">
      <formula>ROW()=#REF!</formula>
    </cfRule>
  </conditionalFormatting>
  <conditionalFormatting sqref="V5">
    <cfRule type="expression" dxfId="33" priority="2">
      <formula>ROW()=#REF!</formula>
    </cfRule>
  </conditionalFormatting>
  <conditionalFormatting sqref="Q5">
    <cfRule type="expression" dxfId="32" priority="1">
      <formula>ROW()=#REF!</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48" r:id="rId3" name="Spinner 8">
              <controlPr defaultSize="0" autoPict="0">
                <anchor moveWithCells="1" sizeWithCells="1">
                  <from>
                    <xdr:col>15</xdr:col>
                    <xdr:colOff>114300</xdr:colOff>
                    <xdr:row>1</xdr:row>
                    <xdr:rowOff>323850</xdr:rowOff>
                  </from>
                  <to>
                    <xdr:col>15</xdr:col>
                    <xdr:colOff>552450</xdr:colOff>
                    <xdr:row>1</xdr:row>
                    <xdr:rowOff>723900</xdr:rowOff>
                  </to>
                </anchor>
              </controlPr>
            </control>
          </mc:Choice>
        </mc:AlternateContent>
        <mc:AlternateContent xmlns:mc="http://schemas.openxmlformats.org/markup-compatibility/2006">
          <mc:Choice Requires="x14">
            <control shapeId="10249" r:id="rId4" name="Spinner 9">
              <controlPr defaultSize="0" autoPict="0">
                <anchor moveWithCells="1" sizeWithCells="1">
                  <from>
                    <xdr:col>15</xdr:col>
                    <xdr:colOff>114300</xdr:colOff>
                    <xdr:row>4</xdr:row>
                    <xdr:rowOff>266700</xdr:rowOff>
                  </from>
                  <to>
                    <xdr:col>15</xdr:col>
                    <xdr:colOff>552450</xdr:colOff>
                    <xdr:row>4</xdr:row>
                    <xdr:rowOff>666750</xdr:rowOff>
                  </to>
                </anchor>
              </controlPr>
            </control>
          </mc:Choice>
        </mc:AlternateContent>
      </controls>
    </mc:Choice>
  </mc:AlternateContent>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D13" sqref="D13"/>
    </sheetView>
  </sheetViews>
  <sheetFormatPr defaultRowHeight="15" x14ac:dyDescent="0.25"/>
  <cols>
    <col min="4" max="4" width="10" customWidth="1"/>
    <col min="6" max="6" width="9.85546875" customWidth="1"/>
  </cols>
  <sheetData>
    <row r="1" spans="1:6" x14ac:dyDescent="0.25">
      <c r="A1" s="26" t="s">
        <v>85</v>
      </c>
      <c r="B1" s="26" t="s">
        <v>76</v>
      </c>
      <c r="C1" s="26" t="s">
        <v>81</v>
      </c>
      <c r="D1" s="26" t="s">
        <v>83</v>
      </c>
      <c r="E1" s="26" t="s">
        <v>84</v>
      </c>
      <c r="F1" s="26" t="s">
        <v>82</v>
      </c>
    </row>
    <row r="2" spans="1:6" x14ac:dyDescent="0.25">
      <c r="A2" s="30">
        <v>1</v>
      </c>
      <c r="B2" s="46">
        <v>43779</v>
      </c>
      <c r="C2" s="54">
        <v>0.41666666666666669</v>
      </c>
      <c r="D2" s="25" t="s">
        <v>121</v>
      </c>
      <c r="E2" s="47">
        <v>0.125</v>
      </c>
      <c r="F2" s="25"/>
    </row>
    <row r="3" spans="1:6" x14ac:dyDescent="0.25">
      <c r="A3" s="30">
        <v>2</v>
      </c>
      <c r="B3" s="46">
        <v>43781</v>
      </c>
      <c r="C3" s="54">
        <v>0.39583333333333331</v>
      </c>
      <c r="D3" s="25" t="s">
        <v>121</v>
      </c>
      <c r="E3" s="47">
        <v>0.13600000000000001</v>
      </c>
      <c r="F3" s="25"/>
    </row>
    <row r="4" spans="1:6" x14ac:dyDescent="0.25">
      <c r="A4" s="30">
        <v>3</v>
      </c>
      <c r="B4" s="46">
        <v>43785</v>
      </c>
      <c r="C4" s="54">
        <v>0.375</v>
      </c>
      <c r="D4" s="25" t="s">
        <v>121</v>
      </c>
      <c r="E4" s="47">
        <v>0.1111</v>
      </c>
      <c r="F4" s="25"/>
    </row>
    <row r="5" spans="1:6" x14ac:dyDescent="0.25">
      <c r="A5" s="30">
        <v>4</v>
      </c>
      <c r="B5" s="46">
        <v>43786</v>
      </c>
      <c r="C5" s="54">
        <v>0.375</v>
      </c>
      <c r="D5" s="25" t="s">
        <v>121</v>
      </c>
      <c r="E5" s="47">
        <v>8.6999999999999994E-2</v>
      </c>
      <c r="F5" s="25"/>
    </row>
    <row r="6" spans="1:6" x14ac:dyDescent="0.25">
      <c r="A6" s="30">
        <v>5</v>
      </c>
      <c r="B6" s="25"/>
      <c r="C6" s="25"/>
      <c r="D6" s="25"/>
      <c r="E6" s="47"/>
      <c r="F6" s="25"/>
    </row>
    <row r="7" spans="1:6" x14ac:dyDescent="0.25">
      <c r="A7" s="30">
        <v>6</v>
      </c>
      <c r="B7" s="25"/>
      <c r="C7" s="25"/>
      <c r="D7" s="25"/>
      <c r="E7" s="47"/>
      <c r="F7" s="25"/>
    </row>
    <row r="8" spans="1:6" x14ac:dyDescent="0.25">
      <c r="A8" s="30">
        <v>7</v>
      </c>
      <c r="B8" s="25"/>
      <c r="C8" s="25"/>
      <c r="D8" s="25"/>
      <c r="E8" s="47"/>
      <c r="F8" s="25"/>
    </row>
    <row r="9" spans="1:6" x14ac:dyDescent="0.25">
      <c r="A9" s="30">
        <v>8</v>
      </c>
      <c r="B9" s="25"/>
      <c r="C9" s="25"/>
      <c r="D9" s="25"/>
      <c r="E9" s="47"/>
      <c r="F9" s="25"/>
    </row>
    <row r="10" spans="1:6" x14ac:dyDescent="0.25">
      <c r="A10" s="30">
        <v>9</v>
      </c>
      <c r="B10" s="25"/>
      <c r="C10" s="25"/>
      <c r="D10" s="25"/>
      <c r="E10" s="47"/>
      <c r="F10" s="25"/>
    </row>
    <row r="11" spans="1:6" x14ac:dyDescent="0.25">
      <c r="A11" s="30">
        <v>10</v>
      </c>
      <c r="B11" s="25"/>
      <c r="C11" s="25"/>
      <c r="D11" s="25"/>
      <c r="E11" s="47"/>
      <c r="F11" s="25"/>
    </row>
    <row r="12" spans="1:6" x14ac:dyDescent="0.25">
      <c r="A12" s="30">
        <v>11</v>
      </c>
      <c r="B12" s="25"/>
      <c r="C12" s="25"/>
      <c r="D12" s="25"/>
      <c r="E12" s="47"/>
      <c r="F12" s="25"/>
    </row>
    <row r="13" spans="1:6" x14ac:dyDescent="0.25">
      <c r="A13" s="30">
        <v>12</v>
      </c>
      <c r="B13" s="25"/>
      <c r="C13" s="25"/>
      <c r="D13" s="25"/>
      <c r="E13" s="47"/>
      <c r="F13" s="25"/>
    </row>
    <row r="14" spans="1:6" x14ac:dyDescent="0.25">
      <c r="A14" s="30">
        <v>13</v>
      </c>
      <c r="B14" s="25"/>
      <c r="C14" s="25"/>
      <c r="D14" s="25"/>
      <c r="E14" s="47"/>
      <c r="F14" s="25"/>
    </row>
    <row r="15" spans="1:6" x14ac:dyDescent="0.25">
      <c r="A15" s="44">
        <v>14</v>
      </c>
      <c r="B15" s="45"/>
      <c r="C15" s="45"/>
      <c r="D15" s="45"/>
      <c r="E15" s="48"/>
      <c r="F15" s="4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Mota</vt:lpstr>
      <vt:lpstr>Form ghi tay</vt:lpstr>
      <vt:lpstr>Bunset</vt:lpstr>
      <vt:lpstr>TPHm</vt:lpstr>
      <vt:lpstr>TPHt</vt:lpstr>
      <vt:lpstr>Kethop</vt:lpstr>
      <vt:lpstr>Doam</vt:lpstr>
      <vt:lpstr>hang</vt:lpstr>
      <vt:lpstr>hang1</vt:lpstr>
      <vt:lpstr>Mota!Print_Area</vt:lpstr>
      <vt:lpstr>Mota!Print_Titles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#Thinh #vatlieu </cp:keywords>
  <cp:lastModifiedBy/>
  <dcterms:created xsi:type="dcterms:W3CDTF">2015-06-05T18:17:20Z</dcterms:created>
  <dcterms:modified xsi:type="dcterms:W3CDTF">2020-04-28T16:12:56Z</dcterms:modified>
</cp:coreProperties>
</file>