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7200" windowWidth="23720" windowHeight="5180" activeTab="1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" i="2" l="1"/>
  <c r="Y14" i="2" s="1"/>
  <c r="Y12" i="2"/>
  <c r="Y11" i="2"/>
  <c r="Y10" i="2"/>
  <c r="X12" i="2"/>
  <c r="D4" i="1"/>
  <c r="X8" i="2"/>
  <c r="E10" i="2"/>
  <c r="C10" i="2"/>
  <c r="B10" i="2"/>
  <c r="D10" i="2"/>
  <c r="E12" i="2"/>
  <c r="D12" i="2"/>
  <c r="C12" i="2"/>
  <c r="B12" i="2"/>
  <c r="H9" i="2"/>
  <c r="I9" i="2" s="1"/>
  <c r="J9" i="2" s="1"/>
  <c r="K9" i="2" s="1"/>
  <c r="H8" i="2"/>
  <c r="I8" i="2" s="1"/>
  <c r="J8" i="2" s="1"/>
  <c r="K8" i="2" s="1"/>
  <c r="E5" i="2"/>
  <c r="E4" i="2"/>
  <c r="D5" i="2"/>
  <c r="D4" i="2"/>
  <c r="C5" i="2"/>
  <c r="C4" i="2"/>
  <c r="B5" i="2"/>
  <c r="B4" i="2"/>
  <c r="L8" i="2" l="1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B7" i="2" l="1"/>
  <c r="M9" i="2"/>
  <c r="N9" i="2" s="1"/>
  <c r="M8" i="2"/>
  <c r="N8" i="2" s="1"/>
  <c r="U3" i="3"/>
  <c r="AC4" i="3"/>
  <c r="AD4" i="3" s="1"/>
  <c r="Z4" i="3"/>
  <c r="Y4" i="3"/>
  <c r="C8" i="2" l="1"/>
  <c r="C9" i="2"/>
  <c r="C7" i="2" s="1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D7" i="2" l="1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Q4" i="1" l="1"/>
  <c r="R4" i="1"/>
  <c r="B4" i="1"/>
  <c r="R3" i="1"/>
  <c r="C4" i="1" s="1"/>
  <c r="G26" i="2"/>
  <c r="G27" i="2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D6" i="1" l="1"/>
  <c r="C5" i="1"/>
  <c r="J5" i="1"/>
  <c r="J10" i="1"/>
  <c r="K10" i="1" s="1"/>
  <c r="L10" i="1" s="1"/>
  <c r="M12" i="2"/>
  <c r="N12" i="2" s="1"/>
  <c r="M5" i="2"/>
  <c r="N5" i="2" s="1"/>
  <c r="O5" i="2" s="1"/>
  <c r="M4" i="2"/>
  <c r="N4" i="2" s="1"/>
  <c r="O4" i="2" s="1"/>
  <c r="J3" i="1"/>
  <c r="K3" i="1" s="1"/>
  <c r="L3" i="1" s="1"/>
  <c r="D15" i="1" l="1"/>
  <c r="G4" i="1"/>
  <c r="M10" i="1"/>
  <c r="M3" i="1"/>
  <c r="O12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N10" i="1" l="1"/>
  <c r="B10" i="1"/>
  <c r="N3" i="1"/>
  <c r="B3" i="1"/>
  <c r="P12" i="2"/>
  <c r="Q12" i="2" s="1"/>
  <c r="R12" i="2" s="1"/>
  <c r="S12" i="2" s="1"/>
  <c r="T12" i="2" s="1"/>
  <c r="U12" i="2" s="1"/>
  <c r="V12" i="2" s="1"/>
  <c r="B7" i="1" l="1"/>
  <c r="O10" i="1"/>
  <c r="D10" i="1" s="1"/>
  <c r="C10" i="1"/>
  <c r="O3" i="1"/>
  <c r="D3" i="1" s="1"/>
  <c r="D5" i="1" s="1"/>
  <c r="C3" i="1"/>
  <c r="C7" i="1" l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B13" i="2" s="1"/>
  <c r="C3" i="2" l="1"/>
  <c r="C13" i="2" l="1"/>
  <c r="D3" i="2"/>
  <c r="D13" i="2" l="1"/>
  <c r="G16" i="2"/>
  <c r="G28" i="2" s="1"/>
  <c r="G17" i="2"/>
  <c r="G29" i="2" s="1"/>
  <c r="E3" i="2"/>
  <c r="G20" i="2" s="1"/>
  <c r="G22" i="2" l="1"/>
  <c r="G21" i="2"/>
  <c r="G18" i="2"/>
  <c r="G30" i="2" s="1"/>
  <c r="G23" i="2"/>
  <c r="E13" i="2"/>
  <c r="G25" i="2" s="1"/>
  <c r="G19" i="2"/>
  <c r="G24" i="2"/>
</calcChain>
</file>

<file path=xl/sharedStrings.xml><?xml version="1.0" encoding="utf-8"?>
<sst xmlns="http://schemas.openxmlformats.org/spreadsheetml/2006/main" count="50" uniqueCount="29">
  <si>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</si>
  <si>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</si>
  <si>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</si>
  <si>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</si>
  <si>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</si>
  <si>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</si>
  <si>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</si>
  <si>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</si>
  <si>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</si>
  <si>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</si>
  <si>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</si>
  <si>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</si>
  <si>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</si>
  <si>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</si>
  <si>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</si>
  <si>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</si>
  <si>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</si>
  <si>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</si>
  <si>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</si>
  <si>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</si>
  <si>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</si>
  <si>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</si>
  <si>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</si>
  <si>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</si>
  <si>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  (at 144.907 96.9745 90)</t>
  </si>
  <si>
    <t xml:space="preserve">    (at 149.987 100.086 270)</t>
  </si>
  <si>
    <t xml:space="preserve">  (gr_line (start 156.386049 82.498785) (end 181.956049 82.498785) (layer Dwgs.User) (width 0.1))</t>
  </si>
  <si>
    <t xml:space="preserve">  (gr_line (start 181.956049 125.422785) (end 156.386049 125.422785) (layer Dwgs.User) (width 0.1))</t>
  </si>
  <si>
    <t xml:space="preserve">    (at 38.497 38.615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</si>
</sst>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B4" sqref="B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38.497</v>
      </c>
      <c r="C3">
        <f t="shared" ref="C3" si="0">IFERROR(VALUE(MID($G3,M3,N3-M3)),VALUE(RIGHT($G3,LEN($G3)-M3)))</f>
        <v>38.615000000000002</v>
      </c>
      <c r="D3">
        <f>IFERROR(VALUE(MID($G3,N3,O3-N3)),VALUE(MID($G3,N3,LEN($G3)-N3)))</f>
        <v>0</v>
      </c>
      <c r="F3" t="str">
        <f>"S"&amp;F2</f>
        <v>S23</v>
      </c>
      <c r="G3" s="1" t="s">
        <v>28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15</v>
      </c>
      <c r="N3" s="1">
        <f t="shared" ref="N3" si="5">FIND(" ",$G3,M3+1)</f>
        <v>22</v>
      </c>
      <c r="O3" s="1" t="e">
        <f t="shared" ref="O3" si="6">FIND(" ",$G3,N3+1)</f>
        <v>#VALUE!</v>
      </c>
      <c r="Q3" s="9">
        <f>AVERAGE(Q6:Q9)</f>
        <v>169.17104899999998</v>
      </c>
      <c r="R3">
        <f>AVERAGE(R6:R9)</f>
        <v>103.96078499999999</v>
      </c>
      <c r="S3">
        <f>ROUND(DEGREES(ASIN(R4/S4)),2)</f>
        <v>-90</v>
      </c>
      <c r="T3" s="1">
        <v>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169.17104899999998</v>
      </c>
      <c r="C4">
        <f>R3</f>
        <v>103.96078499999999</v>
      </c>
      <c r="D4" s="7">
        <f>IF(S3+T3&lt;0,360+S3+T3,S3+T3)</f>
        <v>270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169.17105 103.96079 270)</v>
      </c>
      <c r="Q4" s="9">
        <f>IF(R6=R7,0,IF(R6&lt;R7,Q6,Q7))-IF(R8=R9,0,IF(R8&lt;R9,Q8,Q9))</f>
        <v>0</v>
      </c>
      <c r="R4" s="9">
        <f>IF(Q6=Q7,0,IF(Q6&lt;Q7,R6,R7))-IF(Q8=Q9,0,IF(Q8&lt;Q9,R8,R9))</f>
        <v>-42.924000000000007</v>
      </c>
      <c r="S4" s="5">
        <f>SQRT(Q4^2+R4^2)</f>
        <v>42.924000000000007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270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130.67404899999997</v>
      </c>
      <c r="C6" s="5">
        <f>C4-C3</f>
        <v>65.345784999999978</v>
      </c>
      <c r="D6" s="5">
        <f>ROUND(S3,2)</f>
        <v>-90</v>
      </c>
      <c r="Q6" s="9">
        <f>VALUE(MID($U$6,V6+1,W6-V6))</f>
        <v>156.38604900000001</v>
      </c>
      <c r="R6" s="9">
        <f>VALUE(MID($U$6,W6+1,X6-W6-1))</f>
        <v>82.498784999999998</v>
      </c>
      <c r="U6" s="1" t="s">
        <v>26</v>
      </c>
      <c r="V6" s="1">
        <f>FIND(V2,$U$6)+LEN(V2)</f>
        <v>18</v>
      </c>
      <c r="W6" s="1">
        <f>FIND(" ",$U$6,V6+1)</f>
        <v>29</v>
      </c>
      <c r="X6" s="1">
        <f>FIND(")",$U$6,W6+1)</f>
        <v>39</v>
      </c>
    </row>
    <row r="7" spans="1:26" x14ac:dyDescent="0.35">
      <c r="B7" s="5">
        <f>B10-B3</f>
        <v>106.41000000000001</v>
      </c>
      <c r="C7" s="5">
        <f>C10-C3</f>
        <v>58.359500000000004</v>
      </c>
      <c r="D7" s="5">
        <f>SQRT(B7^2+C7^2)</f>
        <v>121.36275928080245</v>
      </c>
      <c r="Q7" s="9">
        <f>VALUE(MID($U$6,V7+1,W7-V7))</f>
        <v>181.95604900000001</v>
      </c>
      <c r="R7" s="9">
        <f>VALUE(MID($U$6,W7+1,X7-W7-1))</f>
        <v>82.498784999999998</v>
      </c>
      <c r="V7" s="1">
        <f>FIND(V3,$U$6)+LEN(V3)</f>
        <v>45</v>
      </c>
      <c r="W7" s="1">
        <f>FIND(" ",$U$6,V7+1)</f>
        <v>56</v>
      </c>
      <c r="X7" s="1">
        <f>FIND(")",$U$6,W7+1)</f>
        <v>66</v>
      </c>
    </row>
    <row r="8" spans="1:26" x14ac:dyDescent="0.35">
      <c r="B8" s="5">
        <f>$D7*COS(RADIANS($D4))</f>
        <v>-2.2303109552448287E-14</v>
      </c>
      <c r="C8" s="5">
        <f>-$D7*SIN(RADIANS($D4))</f>
        <v>121.36275928080245</v>
      </c>
      <c r="E8" s="1">
        <f>IF(AND(D5&lt;0,B7&lt;1,B7&lt;C7),-1,1)</f>
        <v>1</v>
      </c>
      <c r="Q8" s="9">
        <f>VALUE(MID($U$8,V8+1,W8-V8))</f>
        <v>181.95604900000001</v>
      </c>
      <c r="R8" s="9">
        <f>VALUE(MID($U$8,W8+1,X8-W8-1))</f>
        <v>125.422785</v>
      </c>
      <c r="U8" s="1" t="s">
        <v>27</v>
      </c>
      <c r="V8" s="1">
        <f>FIND(V2,$U$8)+LEN(V2)</f>
        <v>18</v>
      </c>
      <c r="W8" s="1">
        <f>FIND(" ",$U$8,V8+1)</f>
        <v>29</v>
      </c>
      <c r="X8" s="1">
        <f>FIND(")",$U$8,W8+1)</f>
        <v>40</v>
      </c>
    </row>
    <row r="9" spans="1:26" x14ac:dyDescent="0.35">
      <c r="B9" s="5"/>
      <c r="C9" s="5"/>
      <c r="Q9" s="9">
        <f>VALUE(MID($U$8,V9+1,W9-V9))</f>
        <v>156.38604900000001</v>
      </c>
      <c r="R9" s="9">
        <f>VALUE(MID($U$8,W9+1,X9-W9-1))</f>
        <v>125.422785</v>
      </c>
      <c r="V9" s="1">
        <f>FIND(V3,$U$8)+LEN(V3)</f>
        <v>46</v>
      </c>
      <c r="W9" s="1">
        <f>FIND(" ",$U$8,V9+1)</f>
        <v>57</v>
      </c>
      <c r="X9" s="1">
        <f>FIND(")",$U$8,W9+1)</f>
        <v>68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24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169.17104899999995</v>
      </c>
      <c r="C11">
        <f>C4+C8</f>
        <v>225.32354428080242</v>
      </c>
      <c r="D11">
        <f>IF(D10+D$5&lt;0,360+D10+D$5,D10+D$5)</f>
        <v>360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169.17105 225.32354 360)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25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169.17104899999998</v>
      </c>
      <c r="C14">
        <f>C4+C17</f>
        <v>109.04078499999999</v>
      </c>
      <c r="D14">
        <f>IF(D13+D$5&lt;0,360+D13+D$5,D13+D$5)</f>
        <v>540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169.17105 109.04079 540)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-1.8671262452807362E-15</v>
      </c>
      <c r="C17" s="5">
        <f>-E17*$D16*COS(RADIANS($D14))</f>
        <v>5.0799999999999983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A2" workbookViewId="0">
      <selection activeCell="Y14" sqref="Y14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6" ht="8.5" customHeight="1" x14ac:dyDescent="0.35"/>
    <row r="2" spans="1:26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6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6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6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8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6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169.17104899999998</v>
      </c>
      <c r="Y7">
        <v>38.615000000000002</v>
      </c>
      <c r="Z7">
        <v>-0.45</v>
      </c>
    </row>
    <row r="8" spans="1:26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X8">
        <f>X7+Y8-Y7</f>
        <v>158.11504899999997</v>
      </c>
      <c r="Y8">
        <v>27.559000000000001</v>
      </c>
    </row>
    <row r="9" spans="1:26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6" x14ac:dyDescent="0.35">
      <c r="B10">
        <f t="shared" ref="B10:E10" si="17">B12+ROUND($Z7,2)</f>
        <v>65.112873999999991</v>
      </c>
      <c r="C10">
        <f t="shared" si="17"/>
        <v>140.06220000000002</v>
      </c>
      <c r="D10">
        <f>D12+ROUND($Z7,2)</f>
        <v>65.112872999999993</v>
      </c>
      <c r="E10">
        <f t="shared" ref="E10" si="18">E12+ROUND($Z7,2)</f>
        <v>164.65858300000002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X10">
        <v>-23.7</v>
      </c>
      <c r="Y10">
        <f>MIN(MoveSW!Q6:Q9)</f>
        <v>156.38604900000001</v>
      </c>
    </row>
    <row r="11" spans="1:26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X11">
        <v>0.6</v>
      </c>
      <c r="Y11">
        <f>MAX(MoveSW!Q6:Q9)</f>
        <v>181.95604900000001</v>
      </c>
    </row>
    <row r="12" spans="1:26" x14ac:dyDescent="0.35">
      <c r="B12">
        <f>VALUE(MID($G12,K12,L12-K12))</f>
        <v>65.562873999999994</v>
      </c>
      <c r="C12">
        <f>VALUE(MID($G12,L12,M12-L12-1))</f>
        <v>140.51220000000001</v>
      </c>
      <c r="D12">
        <f>VALUE(MID($G12,N12,O12-N12))</f>
        <v>65.562872999999996</v>
      </c>
      <c r="E12">
        <f>VALUE(MID($G12,O12,P12-O12-1))</f>
        <v>165.10858300000001</v>
      </c>
      <c r="G12" s="1" t="s">
        <v>23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38</v>
      </c>
      <c r="N12" s="1">
        <f t="shared" si="19"/>
        <v>43</v>
      </c>
      <c r="O12" s="1">
        <f t="shared" si="19"/>
        <v>53</v>
      </c>
      <c r="P12" s="1">
        <f t="shared" si="19"/>
        <v>65</v>
      </c>
      <c r="Q12" s="1">
        <f t="shared" si="19"/>
        <v>72</v>
      </c>
      <c r="R12" s="1">
        <f t="shared" si="19"/>
        <v>83</v>
      </c>
      <c r="S12" s="1">
        <f t="shared" si="19"/>
        <v>90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  <c r="X12">
        <f>X11-X10</f>
        <v>24.3</v>
      </c>
      <c r="Y12">
        <f>Y11-Y10</f>
        <v>25.569999999999993</v>
      </c>
    </row>
    <row r="13" spans="1:26" x14ac:dyDescent="0.35">
      <c r="B13" t="e">
        <f t="shared" ref="B9:B13" si="20">VALUE(MID($G13,K13,L13-K13))+B$3</f>
        <v>#VALUE!</v>
      </c>
      <c r="C13" t="e">
        <f t="shared" ref="C9:C13" si="21">VALUE(MID($G13,L13,M13-L13-1))+C$3</f>
        <v>#VALUE!</v>
      </c>
      <c r="D13" t="e">
        <f t="shared" ref="D9:D13" si="22">VALUE(MID($G13,N13,O13-N13))+D$3</f>
        <v>#VALUE!</v>
      </c>
      <c r="E13" t="e">
        <f t="shared" ref="E9:E13" si="23">VALUE(MID($G13,O13,P13-O13-1))+E$3</f>
        <v>#VALUE!</v>
      </c>
      <c r="H13" s="1" t="e">
        <f t="shared" si="1"/>
        <v>#VALUE!</v>
      </c>
      <c r="I13" s="1" t="e">
        <f t="shared" ref="I13:V13" si="24">FIND(" ",$G13,H13+1)</f>
        <v>#VALUE!</v>
      </c>
      <c r="J13" s="1" t="e">
        <f t="shared" si="24"/>
        <v>#VALUE!</v>
      </c>
      <c r="K13" s="1" t="e">
        <f t="shared" si="24"/>
        <v>#VALUE!</v>
      </c>
      <c r="L13" s="1" t="e">
        <f t="shared" si="24"/>
        <v>#VALUE!</v>
      </c>
      <c r="M13" s="1" t="e">
        <f t="shared" si="24"/>
        <v>#VALUE!</v>
      </c>
      <c r="N13" s="1" t="e">
        <f t="shared" si="24"/>
        <v>#VALUE!</v>
      </c>
      <c r="O13" s="1" t="e">
        <f t="shared" si="24"/>
        <v>#VALUE!</v>
      </c>
      <c r="P13" s="1" t="e">
        <f t="shared" si="24"/>
        <v>#VALUE!</v>
      </c>
      <c r="Q13" s="1" t="e">
        <f t="shared" si="24"/>
        <v>#VALUE!</v>
      </c>
      <c r="R13" s="1" t="e">
        <f t="shared" si="24"/>
        <v>#VALUE!</v>
      </c>
      <c r="S13" s="1" t="e">
        <f t="shared" si="24"/>
        <v>#VALUE!</v>
      </c>
      <c r="T13" s="1" t="e">
        <f t="shared" si="24"/>
        <v>#VALUE!</v>
      </c>
      <c r="U13" s="1" t="e">
        <f t="shared" si="24"/>
        <v>#VALUE!</v>
      </c>
      <c r="V13" s="1" t="e">
        <f t="shared" si="24"/>
        <v>#VALUE!</v>
      </c>
    </row>
    <row r="14" spans="1:26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X14">
        <f>(Y12-X12)*AVERAGE(1/2,1/3)</f>
        <v>0.52916666666666345</v>
      </c>
      <c r="Y14">
        <f>ROUND(X8-X14,5)</f>
        <v>157.58588</v>
      </c>
    </row>
    <row r="16" spans="1:26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7" spans="7:7" x14ac:dyDescent="0.35">
      <c r="G17" s="4" t="str">
        <f t="shared" ref="G17:G30" si="25">LEFT(G5,K5)&amp;TEXT(B5,"#0.0000")&amp;" "&amp;TEXT(C5,"#0.0000")&amp;MID(G5,M5-1,N5-M5+2)&amp;TEXT(D5,"#0.0000")&amp;" "&amp;TEXT(E5,"#0.0000")&amp;RIGHT(G5,LEN(G5)-P5+3)</f>
        <v xml:space="preserve">  (gr_line (start 17.6530 29.4640) (end 17.6530 132.20707) (angle 90) (layer Edge.Cuts) (width 0.127))</v>
      </c>
    </row>
    <row r="18" spans="7:7" x14ac:dyDescent="0.35">
      <c r="G18" s="4" t="e">
        <f t="shared" si="25"/>
        <v>#VALUE!</v>
      </c>
    </row>
    <row r="19" spans="7:7" x14ac:dyDescent="0.35">
      <c r="G19" s="4" t="e">
        <f t="shared" si="25"/>
        <v>#VALUE!</v>
      </c>
    </row>
    <row r="20" spans="7:7" x14ac:dyDescent="0.35">
      <c r="G20" s="4" t="str">
        <f t="shared" si="25"/>
        <v xml:space="preserve">  (gr_line (start 65.5629 140.5122) (end 65.5629 165.10863) (layer Dwgs.User) (width 0.1))</v>
      </c>
    </row>
    <row r="21" spans="7:7" x14ac:dyDescent="0.35">
      <c r="G21" s="4" t="str">
        <f t="shared" si="25"/>
        <v xml:space="preserve">  (gr_line (start 17.2184 135.9622) (end 61.0129 135.96222) (layer Dwgs.User) (width 0.1))</v>
      </c>
    </row>
    <row r="22" spans="7:7" x14ac:dyDescent="0.35">
      <c r="G22" s="4" t="e">
        <f t="shared" si="25"/>
        <v>#VALUE!</v>
      </c>
    </row>
    <row r="23" spans="7:7" x14ac:dyDescent="0.35">
      <c r="G23" s="4" t="e">
        <f t="shared" si="25"/>
        <v>#VALUE!</v>
      </c>
    </row>
    <row r="24" spans="7:7" x14ac:dyDescent="0.35">
      <c r="G24" s="4" t="str">
        <f t="shared" si="25"/>
        <v xml:space="preserve">  (gr_line (start 65.5629 140.5122) (end 65.5629 165.10863) (layer Dwgs.User) (width 0.1))</v>
      </c>
    </row>
    <row r="25" spans="7:7" x14ac:dyDescent="0.35">
      <c r="G25" s="4" t="e">
        <f t="shared" si="25"/>
        <v>#VALUE!</v>
      </c>
    </row>
    <row r="26" spans="7:7" x14ac:dyDescent="0.35">
      <c r="G26" s="4" t="e">
        <f t="shared" si="25"/>
        <v>#VALUE!</v>
      </c>
    </row>
    <row r="27" spans="7:7" x14ac:dyDescent="0.35">
      <c r="G27" s="4" t="e">
        <f t="shared" si="25"/>
        <v>#VALUE!</v>
      </c>
    </row>
    <row r="28" spans="7:7" x14ac:dyDescent="0.35">
      <c r="G28" s="4" t="e">
        <f t="shared" si="25"/>
        <v>#VALUE!</v>
      </c>
    </row>
    <row r="29" spans="7:7" x14ac:dyDescent="0.35">
      <c r="G29" s="4" t="e">
        <f t="shared" si="25"/>
        <v>#VALUE!</v>
      </c>
    </row>
    <row r="30" spans="7:7" x14ac:dyDescent="0.35">
      <c r="G30" s="4" t="e">
        <f t="shared" si="25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2017-06-12T01:57:03Z</dcterms:modified>
</cp:coreProperties>
</file>