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iibohd-pcb\"/>
    </mc:Choice>
  </mc:AlternateContent>
  <bookViews>
    <workbookView xWindow="0" yWindow="10200" windowWidth="23720" windowHeight="5180" activeTab="3"/>
  </bookViews>
  <sheets>
    <sheet name="MoveSW" sheetId="1" r:id="rId1"/>
    <sheet name="MoveSegments" sheetId="2" r:id="rId2"/>
    <sheet name="MoveMPU" sheetId="3" r:id="rId3"/>
    <sheet name="MoveLC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I3" i="4" s="1"/>
  <c r="H4" i="4"/>
  <c r="T4" i="4"/>
  <c r="Q4" i="4"/>
  <c r="R4" i="4" s="1"/>
  <c r="E7" i="4"/>
  <c r="H5" i="4"/>
  <c r="I5" i="4" s="1"/>
  <c r="J3" i="4" l="1"/>
  <c r="C3" i="4" s="1"/>
  <c r="B3" i="4"/>
  <c r="I4" i="4"/>
  <c r="J5" i="4"/>
  <c r="S4" i="4"/>
  <c r="N3" i="4" s="1"/>
  <c r="U4" i="4"/>
  <c r="M3" i="4"/>
  <c r="B5" i="4"/>
  <c r="B6" i="4" s="1"/>
  <c r="C7" i="4" s="1"/>
  <c r="E14" i="2"/>
  <c r="D14" i="2"/>
  <c r="B14" i="2"/>
  <c r="M5" i="4" l="1"/>
  <c r="N7" i="4" s="1"/>
  <c r="N5" i="4"/>
  <c r="M7" i="4" s="1"/>
  <c r="K3" i="4"/>
  <c r="D3" i="4" s="1"/>
  <c r="J4" i="4"/>
  <c r="C4" i="4" s="1"/>
  <c r="C1" i="4" s="1"/>
  <c r="B4" i="4"/>
  <c r="B1" i="4" s="1"/>
  <c r="K5" i="4"/>
  <c r="D5" i="4" s="1"/>
  <c r="V4" i="4"/>
  <c r="N4" i="4" s="1"/>
  <c r="N6" i="4" s="1"/>
  <c r="M8" i="4" s="1"/>
  <c r="C5" i="4"/>
  <c r="C6" i="4" s="1"/>
  <c r="B7" i="4" s="1"/>
  <c r="M4" i="4"/>
  <c r="Y11" i="2"/>
  <c r="Y12" i="2" s="1"/>
  <c r="Y10" i="2"/>
  <c r="X12" i="2"/>
  <c r="D4" i="1"/>
  <c r="X8" i="2"/>
  <c r="H9" i="2"/>
  <c r="I9" i="2" s="1"/>
  <c r="J9" i="2" s="1"/>
  <c r="K9" i="2" s="1"/>
  <c r="H8" i="2"/>
  <c r="I8" i="2" s="1"/>
  <c r="J8" i="2" s="1"/>
  <c r="K8" i="2" s="1"/>
  <c r="E4" i="2"/>
  <c r="D4" i="2"/>
  <c r="C4" i="2"/>
  <c r="B4" i="2"/>
  <c r="M10" i="4" l="1"/>
  <c r="M6" i="4"/>
  <c r="N8" i="4" s="1"/>
  <c r="N10" i="4" s="1"/>
  <c r="M9" i="4"/>
  <c r="N9" i="4"/>
  <c r="P7" i="4"/>
  <c r="K4" i="4"/>
  <c r="D4" i="4" s="1"/>
  <c r="D1" i="4" s="1"/>
  <c r="D7" i="4" s="1"/>
  <c r="L8" i="2"/>
  <c r="B8" i="2" s="1"/>
  <c r="L9" i="2"/>
  <c r="B9" i="2" s="1"/>
  <c r="C4" i="3"/>
  <c r="B4" i="3"/>
  <c r="V6" i="3"/>
  <c r="U6" i="3"/>
  <c r="V5" i="3"/>
  <c r="U5" i="3"/>
  <c r="Y6" i="3"/>
  <c r="Z6" i="3" s="1"/>
  <c r="AA6" i="3" s="1"/>
  <c r="AB6" i="3"/>
  <c r="AC6" i="3" s="1"/>
  <c r="AD6" i="3" s="1"/>
  <c r="V4" i="3"/>
  <c r="V3" i="3"/>
  <c r="U4" i="3"/>
  <c r="AB4" i="3"/>
  <c r="AA4" i="3"/>
  <c r="G7" i="4" l="1"/>
  <c r="B7" i="2"/>
  <c r="M9" i="2"/>
  <c r="N9" i="2" s="1"/>
  <c r="M8" i="2"/>
  <c r="N8" i="2" s="1"/>
  <c r="U3" i="3"/>
  <c r="AC4" i="3"/>
  <c r="AD4" i="3" s="1"/>
  <c r="Z4" i="3"/>
  <c r="Y4" i="3"/>
  <c r="C8" i="2" l="1"/>
  <c r="C9" i="2"/>
  <c r="O8" i="2"/>
  <c r="D8" i="2" s="1"/>
  <c r="O9" i="2"/>
  <c r="D9" i="2" s="1"/>
  <c r="L3" i="3"/>
  <c r="I4" i="3"/>
  <c r="E4" i="3"/>
  <c r="D1" i="3"/>
  <c r="H1" i="3" s="1"/>
  <c r="C1" i="3"/>
  <c r="G1" i="3" s="1"/>
  <c r="B1" i="3"/>
  <c r="F1" i="3" s="1"/>
  <c r="V8" i="3"/>
  <c r="U8" i="3"/>
  <c r="C7" i="2" l="1"/>
  <c r="D7" i="2"/>
  <c r="P9" i="2"/>
  <c r="Q9" i="2" s="1"/>
  <c r="R9" i="2" s="1"/>
  <c r="S9" i="2" s="1"/>
  <c r="T9" i="2" s="1"/>
  <c r="U9" i="2" s="1"/>
  <c r="V9" i="2" s="1"/>
  <c r="P8" i="2"/>
  <c r="Q8" i="2" s="1"/>
  <c r="R8" i="2" s="1"/>
  <c r="S8" i="2" s="1"/>
  <c r="T8" i="2" s="1"/>
  <c r="U8" i="2" s="1"/>
  <c r="V8" i="2" s="1"/>
  <c r="M3" i="3"/>
  <c r="N3" i="3"/>
  <c r="F3" i="3"/>
  <c r="F4" i="3" s="1"/>
  <c r="V9" i="1"/>
  <c r="V8" i="1"/>
  <c r="V7" i="1"/>
  <c r="W7" i="1" s="1"/>
  <c r="V6" i="1"/>
  <c r="E8" i="2" l="1"/>
  <c r="E9" i="2"/>
  <c r="X7" i="1"/>
  <c r="R7" i="1" s="1"/>
  <c r="Q7" i="1"/>
  <c r="W6" i="1"/>
  <c r="Q6" i="1" s="1"/>
  <c r="G3" i="3"/>
  <c r="G4" i="3" s="1"/>
  <c r="O3" i="3"/>
  <c r="W9" i="1"/>
  <c r="W8" i="1"/>
  <c r="D16" i="1"/>
  <c r="F16" i="1"/>
  <c r="F13" i="1" s="1"/>
  <c r="F14" i="1" s="1"/>
  <c r="F10" i="1"/>
  <c r="F11" i="1" s="1"/>
  <c r="F3" i="1"/>
  <c r="F4" i="1" s="1"/>
  <c r="H13" i="1"/>
  <c r="I13" i="1" s="1"/>
  <c r="J13" i="1" s="1"/>
  <c r="K13" i="1" s="1"/>
  <c r="L13" i="1" s="1"/>
  <c r="M13" i="1" s="1"/>
  <c r="N13" i="1" s="1"/>
  <c r="O13" i="1" s="1"/>
  <c r="E7" i="2" l="1"/>
  <c r="X6" i="1"/>
  <c r="R6" i="1" s="1"/>
  <c r="K4" i="3"/>
  <c r="H4" i="3"/>
  <c r="H3" i="3"/>
  <c r="X9" i="1"/>
  <c r="R9" i="1" s="1"/>
  <c r="Q9" i="1"/>
  <c r="X8" i="1"/>
  <c r="R8" i="1" s="1"/>
  <c r="Q8" i="1"/>
  <c r="Q3" i="1" s="1"/>
  <c r="C13" i="1"/>
  <c r="D13" i="1"/>
  <c r="B13" i="1"/>
  <c r="Q4" i="1" l="1"/>
  <c r="R4" i="1"/>
  <c r="B4" i="1"/>
  <c r="R3" i="1"/>
  <c r="C4" i="1" s="1"/>
  <c r="H12" i="2"/>
  <c r="I12" i="2" s="1"/>
  <c r="J12" i="2" s="1"/>
  <c r="K12" i="2" s="1"/>
  <c r="H5" i="2"/>
  <c r="I5" i="2" s="1"/>
  <c r="J5" i="2" s="1"/>
  <c r="K5" i="2" s="1"/>
  <c r="H4" i="2"/>
  <c r="I4" i="2" s="1"/>
  <c r="J4" i="2" s="1"/>
  <c r="K4" i="2" s="1"/>
  <c r="H10" i="1"/>
  <c r="H5" i="1"/>
  <c r="H3" i="1"/>
  <c r="S4" i="1" l="1"/>
  <c r="S3" i="1" s="1"/>
  <c r="I5" i="1"/>
  <c r="B5" i="1"/>
  <c r="I10" i="1"/>
  <c r="L12" i="2"/>
  <c r="L4" i="2"/>
  <c r="L5" i="2"/>
  <c r="I3" i="1"/>
  <c r="B5" i="2" l="1"/>
  <c r="B12" i="2"/>
  <c r="D6" i="1"/>
  <c r="C5" i="1"/>
  <c r="J5" i="1"/>
  <c r="J10" i="1"/>
  <c r="K10" i="1" s="1"/>
  <c r="L10" i="1" s="1"/>
  <c r="M12" i="2"/>
  <c r="N12" i="2" s="1"/>
  <c r="M5" i="2"/>
  <c r="N5" i="2" s="1"/>
  <c r="M4" i="2"/>
  <c r="N4" i="2" s="1"/>
  <c r="O4" i="2" s="1"/>
  <c r="J3" i="1"/>
  <c r="K3" i="1" s="1"/>
  <c r="L3" i="1" s="1"/>
  <c r="O5" i="2" l="1"/>
  <c r="D5" i="2" s="1"/>
  <c r="C5" i="2"/>
  <c r="B10" i="2"/>
  <c r="C12" i="2"/>
  <c r="D15" i="1"/>
  <c r="G4" i="1"/>
  <c r="M10" i="1"/>
  <c r="M3" i="1"/>
  <c r="O12" i="2"/>
  <c r="P4" i="2"/>
  <c r="Q4" i="2" s="1"/>
  <c r="R4" i="2" s="1"/>
  <c r="S4" i="2" s="1"/>
  <c r="T4" i="2" s="1"/>
  <c r="U4" i="2" s="1"/>
  <c r="V4" i="2" s="1"/>
  <c r="P5" i="2" l="1"/>
  <c r="Q5" i="2" s="1"/>
  <c r="R5" i="2" s="1"/>
  <c r="S5" i="2" s="1"/>
  <c r="T5" i="2" s="1"/>
  <c r="U5" i="2" s="1"/>
  <c r="V5" i="2" s="1"/>
  <c r="C10" i="2"/>
  <c r="D12" i="2"/>
  <c r="N10" i="1"/>
  <c r="B10" i="1"/>
  <c r="N3" i="1"/>
  <c r="B3" i="1"/>
  <c r="P12" i="2"/>
  <c r="Q12" i="2" s="1"/>
  <c r="R12" i="2" s="1"/>
  <c r="S12" i="2" s="1"/>
  <c r="T12" i="2" s="1"/>
  <c r="U12" i="2" s="1"/>
  <c r="V12" i="2" s="1"/>
  <c r="D15" i="2" l="1"/>
  <c r="B15" i="2"/>
  <c r="E5" i="2"/>
  <c r="G18" i="2" s="1"/>
  <c r="D10" i="2"/>
  <c r="E12" i="2"/>
  <c r="B7" i="1"/>
  <c r="O10" i="1"/>
  <c r="D10" i="1" s="1"/>
  <c r="C10" i="1"/>
  <c r="O3" i="1"/>
  <c r="D3" i="1" s="1"/>
  <c r="D5" i="1" s="1"/>
  <c r="C3" i="1"/>
  <c r="E15" i="2" l="1"/>
  <c r="E10" i="2"/>
  <c r="C7" i="1"/>
  <c r="E17" i="1" s="1"/>
  <c r="C6" i="1"/>
  <c r="D11" i="1"/>
  <c r="D14" i="1"/>
  <c r="B17" i="1" s="1"/>
  <c r="B14" i="1" s="1"/>
  <c r="B6" i="1"/>
  <c r="C17" i="1" l="1"/>
  <c r="C14" i="1" s="1"/>
  <c r="E8" i="1"/>
  <c r="D7" i="1"/>
  <c r="C8" i="1" l="1"/>
  <c r="C11" i="1" s="1"/>
  <c r="B8" i="1"/>
  <c r="B11" i="1" s="1"/>
  <c r="G14" i="1"/>
  <c r="G11" i="1" l="1"/>
  <c r="B3" i="2"/>
  <c r="C3" i="2" l="1"/>
  <c r="D3" i="2" l="1"/>
  <c r="G17" i="2" l="1"/>
  <c r="G29" i="2" s="1"/>
  <c r="G30" i="2"/>
  <c r="E3" i="2"/>
  <c r="G21" i="2" s="1"/>
  <c r="G23" i="2" l="1"/>
  <c r="G22" i="2"/>
  <c r="G19" i="2"/>
  <c r="G31" i="2" s="1"/>
  <c r="G24" i="2"/>
  <c r="G20" i="2"/>
  <c r="G25" i="2"/>
  <c r="H13" i="2"/>
  <c r="I13" i="2" s="1"/>
  <c r="J13" i="2" s="1"/>
  <c r="K13" i="2" s="1"/>
  <c r="L13" i="2" l="1"/>
  <c r="B13" i="2" s="1"/>
  <c r="M13" i="2" l="1"/>
  <c r="N13" i="2" s="1"/>
  <c r="O13" i="2" l="1"/>
  <c r="C13" i="2"/>
  <c r="C15" i="2" l="1"/>
  <c r="P13" i="2"/>
  <c r="Q13" i="2" s="1"/>
  <c r="R13" i="2" s="1"/>
  <c r="S13" i="2" s="1"/>
  <c r="T13" i="2" s="1"/>
  <c r="U13" i="2" s="1"/>
  <c r="V13" i="2" s="1"/>
  <c r="D13" i="2"/>
  <c r="E13" i="2" l="1"/>
  <c r="G27" i="2" l="1"/>
  <c r="G14" i="2"/>
  <c r="G15" i="2" s="1"/>
  <c r="G28" i="2" s="1"/>
</calcChain>
</file>

<file path=xl/sharedStrings.xml><?xml version="1.0" encoding="utf-8"?>
<sst xmlns="http://schemas.openxmlformats.org/spreadsheetml/2006/main" count="73" uniqueCount="38">
  <si>
    <t>X</t>
  </si>
  <si>
    <t>Y</t>
  </si>
  <si>
    <t>X1</t>
  </si>
  <si>
    <t>X2</t>
  </si>
  <si>
    <t>Δ</t>
  </si>
  <si>
    <t>Y1</t>
  </si>
  <si>
    <t>Y2</t>
  </si>
  <si>
    <t>Θ</t>
  </si>
  <si>
    <t>start</t>
  </si>
  <si>
    <t>end</t>
  </si>
  <si>
    <t xml:space="preserve">at </t>
  </si>
  <si>
    <t xml:space="preserve"> </t>
  </si>
  <si>
    <t>)</t>
  </si>
  <si>
    <t>R2</t>
  </si>
  <si>
    <t xml:space="preserve">  (gr_line (start 57.4675 122.9155) (end 57.4675 119.8145) (layer Dwgs.User) (width 0.1))</t>
  </si>
  <si>
    <t xml:space="preserve">start </t>
  </si>
  <si>
    <t xml:space="preserve">end </t>
  </si>
  <si>
    <t xml:space="preserve">  (gr_line (start 80.481628 118.595728) (end 79.976212 124.372662) (layer Dwgs.User) (width 0.1))</t>
  </si>
  <si>
    <t>U2</t>
  </si>
  <si>
    <t xml:space="preserve">    (at 116.332 126.111 180)</t>
  </si>
  <si>
    <t xml:space="preserve">  (gr_line (start 17.218363 35.765084) (end 17.218363 135.9622) (layer Dwgs.User) (width 0.1))</t>
  </si>
  <si>
    <t xml:space="preserve">  (gr_line (start 17.653 29.464) (end 17.653 132.207) (angle 90) (layer Edge.Cuts) (width 0.127))</t>
  </si>
  <si>
    <t xml:space="preserve">  (gr_line (start 17.218363 135.9622) (end 61.012874 135.9622) (layer Dwgs.User) (width 0.1))</t>
  </si>
  <si>
    <t xml:space="preserve">  (gr_line (start 65.562874 140.5122) (end 65.562873 165.108583) (layer Dwgs.User) (width 0.1))</t>
  </si>
  <si>
    <t xml:space="preserve">    (at 144.907 96.9745 90)</t>
  </si>
  <si>
    <t xml:space="preserve">    (at 149.987 100.086 270)</t>
  </si>
  <si>
    <t xml:space="preserve">  (gr_line (start 156.386049 82.498785) (end 181.956049 82.498785) (layer Dwgs.User) (width 0.1))</t>
  </si>
  <si>
    <t xml:space="preserve">  (gr_line (start 181.956049 125.422785) (end 156.386049 125.422785) (layer Dwgs.User) (width 0.1))</t>
  </si>
  <si>
    <t xml:space="preserve">    (at 38.497 38.615 0)</t>
  </si>
  <si>
    <t xml:space="preserve">  (gr_line (start 65.562873 165.108583) (end 70.112873 169.658583) (layer Dwgs.User) (width 0.1))</t>
  </si>
  <si>
    <t xml:space="preserve">  (gr_line (start 66.013 168.527) (end 95.0 170.815) (angle 90) (layer Edge.Cuts) (width 0.127))</t>
  </si>
  <si>
    <t xml:space="preserve">    (at 157.58588 103.96079 270)</t>
  </si>
  <si>
    <t>LCD1</t>
  </si>
  <si>
    <t>LCD1'</t>
  </si>
  <si>
    <t xml:space="preserve">    (at 38.497 38.615)</t>
  </si>
  <si>
    <t>C17</t>
  </si>
  <si>
    <t xml:space="preserve">    (at 27.94 41.021)</t>
  </si>
  <si>
    <t xml:space="preserve">  (segment (start 27.997 39.3979) (end 28.3863 38.9655) (width 0.1524) (layer Back) (net 47))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</si>
</sst>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166" fontId="0" fillId="0" borderId="0" xfId="0" applyNumberFormat="1"/>
    <xf numFmtId="0" fontId="7" fillId="0" borderId="0" xfId="0" applyFont="1" applyAlignment="1">
      <alignment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B4" sqref="B4"/>
    </sheetView>
  </sheetViews>
  <sheetFormatPr defaultRowHeight="14.5" x14ac:dyDescent="0.35"/>
  <cols>
    <col min="1" max="1" width="2.1796875" bestFit="1" customWidth="1"/>
    <col min="5" max="5" width="2.26953125" customWidth="1"/>
    <col min="7" max="7" width="19" style="1" bestFit="1" customWidth="1"/>
    <col min="8" max="8" width="1.81640625" style="1" bestFit="1" customWidth="1"/>
    <col min="9" max="10" width="2.54296875" style="1" customWidth="1"/>
    <col min="11" max="15" width="2.54296875" customWidth="1"/>
    <col min="16" max="16" width="2" customWidth="1"/>
    <col min="17" max="18" width="10.36328125" bestFit="1" customWidth="1"/>
    <col min="20" max="20" width="3.26953125" bestFit="1" customWidth="1"/>
    <col min="21" max="21" width="67.6328125" bestFit="1" customWidth="1"/>
    <col min="22" max="24" width="2.54296875" customWidth="1"/>
    <col min="25" max="25" width="2.453125" bestFit="1" customWidth="1"/>
    <col min="26" max="26" width="6.6328125" bestFit="1" customWidth="1"/>
  </cols>
  <sheetData>
    <row r="1" spans="1:26" ht="8.5" customHeight="1" x14ac:dyDescent="0.35"/>
    <row r="2" spans="1:26" x14ac:dyDescent="0.35">
      <c r="B2" s="2" t="s">
        <v>0</v>
      </c>
      <c r="C2" s="2" t="s">
        <v>1</v>
      </c>
      <c r="D2" s="2" t="s">
        <v>7</v>
      </c>
      <c r="F2" s="6">
        <v>23</v>
      </c>
      <c r="Q2" s="2" t="s">
        <v>0</v>
      </c>
      <c r="R2" s="2" t="s">
        <v>1</v>
      </c>
      <c r="S2" s="2" t="s">
        <v>7</v>
      </c>
      <c r="T2" s="2"/>
      <c r="U2" s="2"/>
      <c r="V2" s="1" t="s">
        <v>8</v>
      </c>
      <c r="W2" s="2"/>
      <c r="X2" s="2"/>
    </row>
    <row r="3" spans="1:26" x14ac:dyDescent="0.35">
      <c r="B3">
        <f>IFERROR(VALUE(MID($G3,L3,M3-L3)),VALUE(RIGHT($G3,LEN($G3)-L3)))</f>
        <v>38.497</v>
      </c>
      <c r="C3">
        <f t="shared" ref="C3" si="0">IFERROR(VALUE(MID($G3,M3,N3-M3)),VALUE(RIGHT($G3,LEN($G3)-M3)))</f>
        <v>38.615000000000002</v>
      </c>
      <c r="D3">
        <f>IFERROR(VALUE(MID($G3,N3,O3-N3)),VALUE(MID($G3,N3,LEN($G3)-N3)))</f>
        <v>0</v>
      </c>
      <c r="F3" t="str">
        <f>"S"&amp;F2</f>
        <v>S23</v>
      </c>
      <c r="G3" s="1" t="s">
        <v>28</v>
      </c>
      <c r="H3" s="1">
        <f>FIND(" ",$G3)</f>
        <v>1</v>
      </c>
      <c r="I3" s="1">
        <f t="shared" ref="I3:J5" si="1">FIND(" ",$G3,H3+1)</f>
        <v>2</v>
      </c>
      <c r="J3" s="1">
        <f t="shared" si="1"/>
        <v>3</v>
      </c>
      <c r="K3" s="1">
        <f t="shared" ref="K3" si="2">FIND(" ",$G3,J3+1)</f>
        <v>4</v>
      </c>
      <c r="L3" s="1">
        <f t="shared" ref="L3" si="3">FIND(" ",$G3,K3+1)</f>
        <v>8</v>
      </c>
      <c r="M3" s="1">
        <f t="shared" ref="M3" si="4">FIND(" ",$G3,L3+1)</f>
        <v>15</v>
      </c>
      <c r="N3" s="1">
        <f t="shared" ref="N3" si="5">FIND(" ",$G3,M3+1)</f>
        <v>22</v>
      </c>
      <c r="O3" s="1" t="e">
        <f t="shared" ref="O3" si="6">FIND(" ",$G3,N3+1)</f>
        <v>#VALUE!</v>
      </c>
      <c r="Q3" s="9">
        <f>AVERAGE(Q6:Q9)</f>
        <v>169.17104899999998</v>
      </c>
      <c r="R3">
        <f>AVERAGE(R6:R9)</f>
        <v>103.96078499999999</v>
      </c>
      <c r="S3">
        <f>ROUND(DEGREES(ASIN(R4/S4)),2)</f>
        <v>-90</v>
      </c>
      <c r="T3" s="1">
        <v>0</v>
      </c>
      <c r="V3" s="1" t="s">
        <v>9</v>
      </c>
      <c r="W3" s="1"/>
      <c r="X3" s="1"/>
      <c r="Y3" s="1"/>
      <c r="Z3" s="1"/>
    </row>
    <row r="4" spans="1:26" x14ac:dyDescent="0.35">
      <c r="B4">
        <f>Q3</f>
        <v>169.17104899999998</v>
      </c>
      <c r="C4">
        <f>R3</f>
        <v>103.96078499999999</v>
      </c>
      <c r="D4" s="7">
        <f>IF(S3+T3&lt;0,360+S3+T3,S3+T3)</f>
        <v>270</v>
      </c>
      <c r="F4" t="str">
        <f>F3&amp;"'"</f>
        <v>S23'</v>
      </c>
      <c r="G4" t="str">
        <f>LEFT(G3,L3)&amp;TEXT(B4,"#0.0####")&amp;" "&amp;TEXT(C4,"#0.0####")&amp;" "&amp;TEXT(D4,"#0")&amp;")"</f>
        <v xml:space="preserve">    (at 169.17105 103.96079 270)</v>
      </c>
      <c r="Q4" s="9">
        <f>IF(R6=R7,0,IF(R6&lt;R7,Q6,Q7))-IF(R8=R9,0,IF(R8&lt;R9,Q8,Q9))</f>
        <v>0</v>
      </c>
      <c r="R4" s="9">
        <f>IF(Q6=Q7,0,IF(Q6&lt;Q7,R6,R7))-IF(Q8=Q9,0,IF(Q8&lt;Q9,R8,R9))</f>
        <v>-42.924000000000007</v>
      </c>
      <c r="S4" s="5">
        <f>SQRT(Q4^2+R4^2)</f>
        <v>42.924000000000007</v>
      </c>
      <c r="V4" s="1"/>
      <c r="W4" s="1"/>
      <c r="X4" s="1"/>
      <c r="Y4" s="1"/>
      <c r="Z4" s="1"/>
    </row>
    <row r="5" spans="1:26" x14ac:dyDescent="0.35">
      <c r="B5" t="str">
        <f>IFERROR(VALUE(LEFT(G5,H5)),"")</f>
        <v/>
      </c>
      <c r="C5" t="str">
        <f>IFERROR(VALUE(MID(G5,H5,I5-H5)),"")</f>
        <v/>
      </c>
      <c r="D5">
        <f>D4-D3</f>
        <v>270</v>
      </c>
      <c r="H5" s="1" t="e">
        <f>FIND(" ",$G5)</f>
        <v>#VALUE!</v>
      </c>
      <c r="I5" s="1" t="e">
        <f t="shared" si="1"/>
        <v>#VALUE!</v>
      </c>
      <c r="J5" s="1" t="e">
        <f t="shared" si="1"/>
        <v>#VALUE!</v>
      </c>
    </row>
    <row r="6" spans="1:26" x14ac:dyDescent="0.35">
      <c r="B6" s="5">
        <f>B4-B3</f>
        <v>130.67404899999997</v>
      </c>
      <c r="C6" s="5">
        <f>C4-C3</f>
        <v>65.345784999999978</v>
      </c>
      <c r="D6" s="5">
        <f>ROUND(S3,2)</f>
        <v>-90</v>
      </c>
      <c r="Q6" s="9">
        <f>VALUE(MID($U$6,V6+1,W6-V6))</f>
        <v>156.38604900000001</v>
      </c>
      <c r="R6" s="9">
        <f>VALUE(MID($U$6,W6+1,X6-W6-1))</f>
        <v>82.498784999999998</v>
      </c>
      <c r="U6" s="1" t="s">
        <v>26</v>
      </c>
      <c r="V6" s="1">
        <f>FIND(V2,$U$6)+LEN(V2)</f>
        <v>18</v>
      </c>
      <c r="W6" s="1">
        <f>FIND(" ",$U$6,V6+1)</f>
        <v>29</v>
      </c>
      <c r="X6" s="1">
        <f>FIND(")",$U$6,W6+1)</f>
        <v>39</v>
      </c>
    </row>
    <row r="7" spans="1:26" x14ac:dyDescent="0.35">
      <c r="B7" s="5">
        <f>B10-B3</f>
        <v>106.41000000000001</v>
      </c>
      <c r="C7" s="5">
        <f>C10-C3</f>
        <v>58.359500000000004</v>
      </c>
      <c r="D7" s="5">
        <f>SQRT(B7^2+C7^2)</f>
        <v>121.36275928080245</v>
      </c>
      <c r="Q7" s="9">
        <f>VALUE(MID($U$6,V7+1,W7-V7))</f>
        <v>181.95604900000001</v>
      </c>
      <c r="R7" s="9">
        <f>VALUE(MID($U$6,W7+1,X7-W7-1))</f>
        <v>82.498784999999998</v>
      </c>
      <c r="V7" s="1">
        <f>FIND(V3,$U$6)+LEN(V3)</f>
        <v>45</v>
      </c>
      <c r="W7" s="1">
        <f>FIND(" ",$U$6,V7+1)</f>
        <v>56</v>
      </c>
      <c r="X7" s="1">
        <f>FIND(")",$U$6,W7+1)</f>
        <v>66</v>
      </c>
    </row>
    <row r="8" spans="1:26" x14ac:dyDescent="0.35">
      <c r="B8" s="5">
        <f>$D7*COS(RADIANS($D4))</f>
        <v>-2.2303109552448287E-14</v>
      </c>
      <c r="C8" s="5">
        <f>-$D7*SIN(RADIANS($D4))</f>
        <v>121.36275928080245</v>
      </c>
      <c r="E8" s="1">
        <f>IF(AND(D5&lt;0,B7&lt;1,B7&lt;C7),-1,1)</f>
        <v>1</v>
      </c>
      <c r="Q8" s="9">
        <f>VALUE(MID($U$8,V8+1,W8-V8))</f>
        <v>181.95604900000001</v>
      </c>
      <c r="R8" s="9">
        <f>VALUE(MID($U$8,W8+1,X8-W8-1))</f>
        <v>125.422785</v>
      </c>
      <c r="U8" s="1" t="s">
        <v>27</v>
      </c>
      <c r="V8" s="1">
        <f>FIND(V2,$U$8)+LEN(V2)</f>
        <v>18</v>
      </c>
      <c r="W8" s="1">
        <f>FIND(" ",$U$8,V8+1)</f>
        <v>29</v>
      </c>
      <c r="X8" s="1">
        <f>FIND(")",$U$8,W8+1)</f>
        <v>40</v>
      </c>
    </row>
    <row r="9" spans="1:26" x14ac:dyDescent="0.35">
      <c r="B9" s="5"/>
      <c r="C9" s="5"/>
      <c r="Q9" s="9">
        <f>VALUE(MID($U$8,V9+1,W9-V9))</f>
        <v>156.38604900000001</v>
      </c>
      <c r="R9" s="9">
        <f>VALUE(MID($U$8,W9+1,X9-W9-1))</f>
        <v>125.422785</v>
      </c>
      <c r="V9" s="1">
        <f>FIND(V3,$U$8)+LEN(V3)</f>
        <v>46</v>
      </c>
      <c r="W9" s="1">
        <f>FIND(" ",$U$8,V9+1)</f>
        <v>57</v>
      </c>
      <c r="X9" s="1">
        <f>FIND(")",$U$8,W9+1)</f>
        <v>68</v>
      </c>
    </row>
    <row r="10" spans="1:26" x14ac:dyDescent="0.35">
      <c r="B10">
        <f>IFERROR(VALUE(MID($G10,L10,M10-L10)),VALUE(RIGHT($G10,LEN($G10)-L10)))</f>
        <v>144.90700000000001</v>
      </c>
      <c r="C10">
        <f t="shared" ref="C10" si="7">IFERROR(VALUE(MID($G10,M10,N10-M10)),VALUE(RIGHT($G10,LEN($G10)-M10)))</f>
        <v>96.974500000000006</v>
      </c>
      <c r="D10">
        <f>IFERROR(VALUE(MID($G10,N10,O10-N10)),VALUE(MID($G10,N10,LEN($G10)-N10)))</f>
        <v>90</v>
      </c>
      <c r="F10" t="str">
        <f>"D"&amp;F2</f>
        <v>D23</v>
      </c>
      <c r="G10" s="1" t="s">
        <v>24</v>
      </c>
      <c r="H10" s="1">
        <f>FIND(" ",$G10)</f>
        <v>1</v>
      </c>
      <c r="I10" s="1">
        <f t="shared" ref="I10:O10" si="8">FIND(" ",$G10,H10+1)</f>
        <v>2</v>
      </c>
      <c r="J10" s="1">
        <f t="shared" si="8"/>
        <v>3</v>
      </c>
      <c r="K10" s="1">
        <f t="shared" si="8"/>
        <v>4</v>
      </c>
      <c r="L10" s="1">
        <f t="shared" si="8"/>
        <v>8</v>
      </c>
      <c r="M10" s="1">
        <f t="shared" si="8"/>
        <v>16</v>
      </c>
      <c r="N10" s="1">
        <f t="shared" si="8"/>
        <v>24</v>
      </c>
      <c r="O10" s="1" t="e">
        <f t="shared" si="8"/>
        <v>#VALUE!</v>
      </c>
    </row>
    <row r="11" spans="1:26" x14ac:dyDescent="0.35">
      <c r="B11">
        <f>B4+B8</f>
        <v>169.17104899999995</v>
      </c>
      <c r="C11">
        <f>C4+C8</f>
        <v>225.32354428080242</v>
      </c>
      <c r="D11">
        <f>IF(D10+D$5&lt;0,360+D10+D$5,D10+D$5)</f>
        <v>360</v>
      </c>
      <c r="F11" t="str">
        <f>F10&amp;"'"</f>
        <v>D23'</v>
      </c>
      <c r="G11" t="str">
        <f>LEFT(G10,L10)&amp;TEXT(B11,"#0.0####")&amp;" "&amp;TEXT(C11,"#0.0####")&amp;" "&amp;TEXT(D11,"#0")&amp;")"</f>
        <v xml:space="preserve">    (at 169.17105 225.32354 360)</v>
      </c>
      <c r="V11" s="8"/>
    </row>
    <row r="13" spans="1:26" x14ac:dyDescent="0.35">
      <c r="B13">
        <f>IFERROR(VALUE(MID($G13,L13,M13-L13)),VALUE(RIGHT($G13,LEN($G13)-L13)))</f>
        <v>149.98699999999999</v>
      </c>
      <c r="C13">
        <f t="shared" ref="C13" si="9">IFERROR(VALUE(MID($G13,M13,N13-M13)),VALUE(RIGHT($G13,LEN($G13)-M13)))</f>
        <v>100.086</v>
      </c>
      <c r="D13">
        <f>IFERROR(VALUE(MID($G13,N13,O13-N13)),VALUE(MID($G13,N13,LEN($G13)-N13)))</f>
        <v>270</v>
      </c>
      <c r="F13" t="str">
        <f>"D"&amp;TEXT(F2+F16,"0")</f>
        <v>D61</v>
      </c>
      <c r="G13" s="1" t="s">
        <v>25</v>
      </c>
      <c r="H13" s="1">
        <f>FIND(" ",$G13)</f>
        <v>1</v>
      </c>
      <c r="I13" s="1">
        <f t="shared" ref="I13:O13" si="10">FIND(" ",$G13,H13+1)</f>
        <v>2</v>
      </c>
      <c r="J13" s="1">
        <f t="shared" si="10"/>
        <v>3</v>
      </c>
      <c r="K13" s="1">
        <f t="shared" si="10"/>
        <v>4</v>
      </c>
      <c r="L13" s="1">
        <f t="shared" si="10"/>
        <v>8</v>
      </c>
      <c r="M13" s="1">
        <f t="shared" si="10"/>
        <v>16</v>
      </c>
      <c r="N13" s="1">
        <f t="shared" si="10"/>
        <v>24</v>
      </c>
      <c r="O13" s="1" t="e">
        <f t="shared" si="10"/>
        <v>#VALUE!</v>
      </c>
    </row>
    <row r="14" spans="1:26" x14ac:dyDescent="0.35">
      <c r="B14">
        <f>B4+B17</f>
        <v>169.17104899999998</v>
      </c>
      <c r="C14">
        <f>C4+C17</f>
        <v>109.04078499999999</v>
      </c>
      <c r="D14">
        <f>IF(D13+D$5&lt;0,360+D13+D$5,D13+D$5)</f>
        <v>540</v>
      </c>
      <c r="F14" t="str">
        <f>F13&amp;"'"</f>
        <v>D61'</v>
      </c>
      <c r="G14" t="str">
        <f>LEFT(G13,L13)&amp;TEXT(B14,"#0.0####")&amp;" "&amp;TEXT(C14,"#0.0####")&amp;" "&amp;TEXT(D14,"#0")&amp;")"</f>
        <v xml:space="preserve">    (at 169.17105 109.04079 540)</v>
      </c>
    </row>
    <row r="15" spans="1:26" x14ac:dyDescent="0.35">
      <c r="D15">
        <f>90+D6</f>
        <v>0</v>
      </c>
    </row>
    <row r="16" spans="1:26" x14ac:dyDescent="0.35">
      <c r="A16" s="5"/>
      <c r="B16" s="5">
        <v>5.0799999999999983</v>
      </c>
      <c r="C16" s="5">
        <v>0</v>
      </c>
      <c r="D16" s="5">
        <f>SQRT(B16^2+C16^2)</f>
        <v>5.0799999999999983</v>
      </c>
      <c r="F16" s="1">
        <f>74-36</f>
        <v>38</v>
      </c>
    </row>
    <row r="17" spans="1:5" x14ac:dyDescent="0.35">
      <c r="A17" s="1"/>
      <c r="B17" s="5">
        <f>-$D16*SIN(RADIANS($D14))</f>
        <v>-1.8671262452807362E-15</v>
      </c>
      <c r="C17" s="5">
        <f>-E17*$D16*COS(RADIANS($D14))</f>
        <v>5.0799999999999983</v>
      </c>
      <c r="E17" s="1">
        <f>IF(AND(D5&lt;0,B7&lt;1,B7&lt;C7),-1,1)</f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A7" workbookViewId="0">
      <selection activeCell="G14" sqref="G14"/>
    </sheetView>
  </sheetViews>
  <sheetFormatPr defaultRowHeight="14.5" x14ac:dyDescent="0.35"/>
  <cols>
    <col min="1" max="1" width="2" customWidth="1"/>
    <col min="2" max="2" width="11.1796875" bestFit="1" customWidth="1"/>
    <col min="3" max="4" width="10.81640625" bestFit="1" customWidth="1"/>
    <col min="5" max="5" width="11.1796875" bestFit="1" customWidth="1"/>
    <col min="6" max="6" width="1.81640625" customWidth="1"/>
    <col min="7" max="7" width="68.36328125" style="1" customWidth="1"/>
    <col min="8" max="9" width="1.6328125" style="1" customWidth="1"/>
    <col min="10" max="10" width="2.453125" style="1" customWidth="1"/>
    <col min="11" max="21" width="2.453125" customWidth="1"/>
    <col min="22" max="22" width="6.6328125" customWidth="1"/>
    <col min="26" max="26" width="4.81640625" bestFit="1" customWidth="1"/>
    <col min="27" max="27" width="2.81640625" bestFit="1" customWidth="1"/>
  </cols>
  <sheetData>
    <row r="1" spans="1:27" ht="8.5" customHeight="1" x14ac:dyDescent="0.35"/>
    <row r="2" spans="1:27" x14ac:dyDescent="0.35">
      <c r="B2" s="3" t="s">
        <v>2</v>
      </c>
      <c r="C2" s="3" t="s">
        <v>5</v>
      </c>
      <c r="D2" s="3" t="s">
        <v>3</v>
      </c>
      <c r="E2" s="3" t="s">
        <v>6</v>
      </c>
    </row>
    <row r="3" spans="1:27" x14ac:dyDescent="0.35">
      <c r="A3" s="3" t="s">
        <v>4</v>
      </c>
      <c r="B3" s="5">
        <f>B5-B4</f>
        <v>0.43463699999999861</v>
      </c>
      <c r="C3" s="5">
        <f>C5-C4</f>
        <v>-6.301084000000003</v>
      </c>
      <c r="D3" s="5">
        <f>D5-D4</f>
        <v>0.43463699999999861</v>
      </c>
      <c r="E3" s="5">
        <f>E5-E4</f>
        <v>-3.7552000000000021</v>
      </c>
      <c r="F3" s="3" t="s">
        <v>4</v>
      </c>
    </row>
    <row r="4" spans="1:27" x14ac:dyDescent="0.35">
      <c r="B4">
        <f>VALUE(MID($G4,K4,L4-K4))</f>
        <v>17.218363</v>
      </c>
      <c r="C4">
        <f>VALUE(MID($G4,L4,M4-L4-1))</f>
        <v>35.765084000000002</v>
      </c>
      <c r="D4">
        <f>VALUE(MID($G4,N4,O4-N4))</f>
        <v>17.218363</v>
      </c>
      <c r="E4">
        <f>VALUE(MID($G4,O4,P4-O4-1))</f>
        <v>135.9622</v>
      </c>
      <c r="G4" s="1" t="s">
        <v>20</v>
      </c>
      <c r="H4" s="1">
        <f>FIND(" ",$G4)</f>
        <v>1</v>
      </c>
      <c r="I4" s="1">
        <f>FIND(" ",$G4,H4+1)</f>
        <v>2</v>
      </c>
      <c r="J4" s="1">
        <f t="shared" ref="J4:V4" si="0">FIND(" ",$G4,I4+1)</f>
        <v>11</v>
      </c>
      <c r="K4" s="1">
        <f t="shared" si="0"/>
        <v>18</v>
      </c>
      <c r="L4" s="1">
        <f t="shared" si="0"/>
        <v>28</v>
      </c>
      <c r="M4" s="1">
        <f t="shared" si="0"/>
        <v>39</v>
      </c>
      <c r="N4" s="1">
        <f t="shared" si="0"/>
        <v>44</v>
      </c>
      <c r="O4" s="1">
        <f t="shared" si="0"/>
        <v>54</v>
      </c>
      <c r="P4" s="1">
        <f t="shared" si="0"/>
        <v>64</v>
      </c>
      <c r="Q4" s="1">
        <f t="shared" si="0"/>
        <v>71</v>
      </c>
      <c r="R4" s="1">
        <f t="shared" si="0"/>
        <v>82</v>
      </c>
      <c r="S4" s="1">
        <f t="shared" si="0"/>
        <v>89</v>
      </c>
      <c r="T4" s="1" t="e">
        <f t="shared" si="0"/>
        <v>#VALUE!</v>
      </c>
      <c r="U4" s="1" t="e">
        <f t="shared" si="0"/>
        <v>#VALUE!</v>
      </c>
      <c r="V4" s="1" t="e">
        <f t="shared" si="0"/>
        <v>#VALUE!</v>
      </c>
    </row>
    <row r="5" spans="1:27" x14ac:dyDescent="0.35">
      <c r="B5">
        <f>VALUE(MID($G5,K5,L5-K5))</f>
        <v>17.652999999999999</v>
      </c>
      <c r="C5">
        <f>VALUE(MID($G5,L5,M5-L5-1))</f>
        <v>29.463999999999999</v>
      </c>
      <c r="D5">
        <f>VALUE(MID($G5,N5,O5-N5))</f>
        <v>17.652999999999999</v>
      </c>
      <c r="E5">
        <f>VALUE(MID($G5,O5,P5-O5-1))</f>
        <v>132.20699999999999</v>
      </c>
      <c r="G5" s="1" t="s">
        <v>21</v>
      </c>
      <c r="H5" s="1">
        <f t="shared" ref="H5:H13" si="1">FIND(" ",$G5)</f>
        <v>1</v>
      </c>
      <c r="I5" s="1">
        <f t="shared" ref="I5:V5" si="2">FIND(" ",$G5,H5+1)</f>
        <v>2</v>
      </c>
      <c r="J5" s="1">
        <f t="shared" si="2"/>
        <v>11</v>
      </c>
      <c r="K5" s="1">
        <f t="shared" si="2"/>
        <v>18</v>
      </c>
      <c r="L5" s="1">
        <f t="shared" si="2"/>
        <v>25</v>
      </c>
      <c r="M5" s="1">
        <f t="shared" si="2"/>
        <v>33</v>
      </c>
      <c r="N5" s="1">
        <f t="shared" si="2"/>
        <v>38</v>
      </c>
      <c r="O5" s="1">
        <f t="shared" si="2"/>
        <v>45</v>
      </c>
      <c r="P5" s="1">
        <f t="shared" si="2"/>
        <v>54</v>
      </c>
      <c r="Q5" s="1">
        <f t="shared" si="2"/>
        <v>61</v>
      </c>
      <c r="R5" s="1">
        <f t="shared" si="2"/>
        <v>65</v>
      </c>
      <c r="S5" s="1">
        <f t="shared" si="2"/>
        <v>72</v>
      </c>
      <c r="T5" s="1">
        <f t="shared" si="2"/>
        <v>83</v>
      </c>
      <c r="U5" s="1">
        <f t="shared" si="2"/>
        <v>90</v>
      </c>
      <c r="V5" s="1" t="e">
        <f t="shared" si="2"/>
        <v>#VALUE!</v>
      </c>
    </row>
    <row r="6" spans="1:27" x14ac:dyDescent="0.35"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7" x14ac:dyDescent="0.35">
      <c r="A7" s="3" t="s">
        <v>4</v>
      </c>
      <c r="B7" s="5">
        <f>B9-B8</f>
        <v>-48.344510999999997</v>
      </c>
      <c r="C7" s="5">
        <f>C9-C8</f>
        <v>-4.5500000000000114</v>
      </c>
      <c r="D7" s="5">
        <f>D9-D8</f>
        <v>-4.5499989999999997</v>
      </c>
      <c r="E7" s="5">
        <f>E9-E8</f>
        <v>-29.146383000000014</v>
      </c>
      <c r="F7" s="3" t="s">
        <v>4</v>
      </c>
      <c r="X7">
        <v>169.17104899999998</v>
      </c>
      <c r="Y7">
        <v>38.615000000000002</v>
      </c>
      <c r="Z7">
        <v>0.45</v>
      </c>
      <c r="AA7">
        <v>14</v>
      </c>
    </row>
    <row r="8" spans="1:27" x14ac:dyDescent="0.35">
      <c r="B8">
        <f>VALUE(MID($G8,K8,L8-K8))</f>
        <v>65.562873999999994</v>
      </c>
      <c r="C8">
        <f>VALUE(MID($G8,L8,M8-L8-1))</f>
        <v>140.51220000000001</v>
      </c>
      <c r="D8">
        <f>VALUE(MID($G8,N8,O8-N8))</f>
        <v>65.562872999999996</v>
      </c>
      <c r="E8">
        <f>VALUE(MID($G8,O8,P8-O8-1))</f>
        <v>165.10858300000001</v>
      </c>
      <c r="G8" s="1" t="s">
        <v>23</v>
      </c>
      <c r="H8" s="1">
        <f>FIND(" ",$G8)</f>
        <v>1</v>
      </c>
      <c r="I8" s="1">
        <f>FIND(" ",$G8,H8+1)</f>
        <v>2</v>
      </c>
      <c r="J8" s="1">
        <f t="shared" ref="J8:J9" si="3">FIND(" ",$G8,I8+1)</f>
        <v>11</v>
      </c>
      <c r="K8" s="1">
        <f t="shared" ref="K8:K9" si="4">FIND(" ",$G8,J8+1)</f>
        <v>18</v>
      </c>
      <c r="L8" s="1">
        <f t="shared" ref="L8:L9" si="5">FIND(" ",$G8,K8+1)</f>
        <v>28</v>
      </c>
      <c r="M8" s="1">
        <f t="shared" ref="M8:M9" si="6">FIND(" ",$G8,L8+1)</f>
        <v>38</v>
      </c>
      <c r="N8" s="1">
        <f t="shared" ref="N8:N9" si="7">FIND(" ",$G8,M8+1)</f>
        <v>43</v>
      </c>
      <c r="O8" s="1">
        <f t="shared" ref="O8:O9" si="8">FIND(" ",$G8,N8+1)</f>
        <v>53</v>
      </c>
      <c r="P8" s="1">
        <f t="shared" ref="P8:P9" si="9">FIND(" ",$G8,O8+1)</f>
        <v>65</v>
      </c>
      <c r="Q8" s="1">
        <f t="shared" ref="Q8:Q9" si="10">FIND(" ",$G8,P8+1)</f>
        <v>72</v>
      </c>
      <c r="R8" s="1">
        <f t="shared" ref="R8:R9" si="11">FIND(" ",$G8,Q8+1)</f>
        <v>83</v>
      </c>
      <c r="S8" s="1">
        <f t="shared" ref="S8:S9" si="12">FIND(" ",$G8,R8+1)</f>
        <v>90</v>
      </c>
      <c r="T8" s="1" t="e">
        <f t="shared" ref="T8:T9" si="13">FIND(" ",$G8,S8+1)</f>
        <v>#VALUE!</v>
      </c>
      <c r="U8" s="1" t="e">
        <f t="shared" ref="U8:U9" si="14">FIND(" ",$G8,T8+1)</f>
        <v>#VALUE!</v>
      </c>
      <c r="V8" s="1" t="e">
        <f t="shared" ref="V8:V9" si="15">FIND(" ",$G8,U8+1)</f>
        <v>#VALUE!</v>
      </c>
      <c r="X8">
        <f>X7+Y8-Y7</f>
        <v>158.11504899999997</v>
      </c>
      <c r="Y8">
        <v>27.559000000000001</v>
      </c>
      <c r="Z8">
        <v>45</v>
      </c>
      <c r="AA8">
        <v>45</v>
      </c>
    </row>
    <row r="9" spans="1:27" x14ac:dyDescent="0.35">
      <c r="B9">
        <f>VALUE(MID($G9,K9,L9-K9))</f>
        <v>17.218363</v>
      </c>
      <c r="C9">
        <f>VALUE(MID($G9,L9,M9-L9-1))</f>
        <v>135.9622</v>
      </c>
      <c r="D9">
        <f>VALUE(MID($G9,N9,O9-N9))</f>
        <v>61.012873999999996</v>
      </c>
      <c r="E9">
        <f>VALUE(MID($G9,O9,P9-O9-1))</f>
        <v>135.9622</v>
      </c>
      <c r="G9" s="1" t="s">
        <v>22</v>
      </c>
      <c r="H9" s="1">
        <f t="shared" si="1"/>
        <v>1</v>
      </c>
      <c r="I9" s="1">
        <f t="shared" ref="I9" si="16">FIND(" ",$G9,H9+1)</f>
        <v>2</v>
      </c>
      <c r="J9" s="1">
        <f t="shared" si="3"/>
        <v>11</v>
      </c>
      <c r="K9" s="1">
        <f t="shared" si="4"/>
        <v>18</v>
      </c>
      <c r="L9" s="1">
        <f t="shared" si="5"/>
        <v>28</v>
      </c>
      <c r="M9" s="1">
        <f t="shared" si="6"/>
        <v>38</v>
      </c>
      <c r="N9" s="1">
        <f t="shared" si="7"/>
        <v>43</v>
      </c>
      <c r="O9" s="1">
        <f t="shared" si="8"/>
        <v>53</v>
      </c>
      <c r="P9" s="1">
        <f t="shared" si="9"/>
        <v>63</v>
      </c>
      <c r="Q9" s="1">
        <f t="shared" si="10"/>
        <v>70</v>
      </c>
      <c r="R9" s="1">
        <f t="shared" si="11"/>
        <v>81</v>
      </c>
      <c r="S9" s="1">
        <f t="shared" si="12"/>
        <v>88</v>
      </c>
      <c r="T9" s="1" t="e">
        <f t="shared" si="13"/>
        <v>#VALUE!</v>
      </c>
      <c r="U9" s="1" t="e">
        <f t="shared" si="14"/>
        <v>#VALUE!</v>
      </c>
      <c r="V9" s="1" t="e">
        <f t="shared" si="15"/>
        <v>#VALUE!</v>
      </c>
    </row>
    <row r="10" spans="1:27" x14ac:dyDescent="0.35">
      <c r="B10">
        <f t="shared" ref="B10:C10" si="17">B12+ROUND($Z7,2)</f>
        <v>66.012872999999999</v>
      </c>
      <c r="C10">
        <f t="shared" si="17"/>
        <v>165.558583</v>
      </c>
      <c r="D10">
        <f>D12+ROUND($Z7,2)</f>
        <v>70.562872999999996</v>
      </c>
      <c r="E10">
        <f t="shared" ref="E10" si="18">E12+ROUND($Z7,2)</f>
        <v>170.10858299999998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X10">
        <v>-23.7</v>
      </c>
      <c r="Y10">
        <f>MIN(MoveSW!Q6:Q9)</f>
        <v>156.38604900000001</v>
      </c>
    </row>
    <row r="11" spans="1:27" x14ac:dyDescent="0.35"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X11">
        <v>0.6</v>
      </c>
      <c r="Y11">
        <f>MAX(MoveSW!Q6:Q9)</f>
        <v>181.95604900000001</v>
      </c>
    </row>
    <row r="12" spans="1:27" x14ac:dyDescent="0.35">
      <c r="B12">
        <f>VALUE(MID($G12,K12,L12-K12))</f>
        <v>65.562872999999996</v>
      </c>
      <c r="C12">
        <f>VALUE(MID($G12,L12,M12-L12-1))</f>
        <v>165.10858300000001</v>
      </c>
      <c r="D12">
        <f>VALUE(MID($G12,N12,O12-N12))</f>
        <v>70.112872999999993</v>
      </c>
      <c r="E12">
        <f>VALUE(MID($G12,O12,P12-O12-1))</f>
        <v>169.65858299999999</v>
      </c>
      <c r="G12" s="1" t="s">
        <v>29</v>
      </c>
      <c r="H12" s="1">
        <f t="shared" si="1"/>
        <v>1</v>
      </c>
      <c r="I12" s="1">
        <f t="shared" ref="I12:V12" si="19">FIND(" ",$G12,H12+1)</f>
        <v>2</v>
      </c>
      <c r="J12" s="1">
        <f t="shared" si="19"/>
        <v>11</v>
      </c>
      <c r="K12" s="1">
        <f t="shared" si="19"/>
        <v>18</v>
      </c>
      <c r="L12" s="1">
        <f t="shared" si="19"/>
        <v>28</v>
      </c>
      <c r="M12" s="1">
        <f t="shared" si="19"/>
        <v>40</v>
      </c>
      <c r="N12" s="1">
        <f t="shared" si="19"/>
        <v>45</v>
      </c>
      <c r="O12" s="1">
        <f t="shared" si="19"/>
        <v>55</v>
      </c>
      <c r="P12" s="1">
        <f t="shared" si="19"/>
        <v>67</v>
      </c>
      <c r="Q12" s="1">
        <f t="shared" si="19"/>
        <v>74</v>
      </c>
      <c r="R12" s="1">
        <f t="shared" si="19"/>
        <v>85</v>
      </c>
      <c r="S12" s="1">
        <f t="shared" si="19"/>
        <v>92</v>
      </c>
      <c r="T12" s="1" t="e">
        <f t="shared" si="19"/>
        <v>#VALUE!</v>
      </c>
      <c r="U12" s="1" t="e">
        <f t="shared" si="19"/>
        <v>#VALUE!</v>
      </c>
      <c r="V12" s="1" t="e">
        <f t="shared" si="19"/>
        <v>#VALUE!</v>
      </c>
      <c r="X12">
        <f>X11-X10</f>
        <v>24.3</v>
      </c>
      <c r="Y12">
        <f>Y11-Y10</f>
        <v>25.569999999999993</v>
      </c>
    </row>
    <row r="13" spans="1:27" x14ac:dyDescent="0.35">
      <c r="B13">
        <f>VALUE(MID($G13,K13,L13-K13))</f>
        <v>66.013000000000005</v>
      </c>
      <c r="C13">
        <f>VALUE(MID($G13,L13,M13-L13-1))</f>
        <v>168.52699999999999</v>
      </c>
      <c r="D13">
        <f>VALUE(MID($G13,N13,O13-N13))</f>
        <v>95</v>
      </c>
      <c r="E13" s="14">
        <f>VALUE(MID($G13,O13,P13-O13-1))</f>
        <v>170.815</v>
      </c>
      <c r="G13" s="1" t="s">
        <v>30</v>
      </c>
      <c r="H13" s="1">
        <f t="shared" si="1"/>
        <v>1</v>
      </c>
      <c r="I13" s="1">
        <f t="shared" ref="I13:V13" si="20">FIND(" ",$G13,H13+1)</f>
        <v>2</v>
      </c>
      <c r="J13" s="1">
        <f t="shared" si="20"/>
        <v>11</v>
      </c>
      <c r="K13" s="1">
        <f t="shared" si="20"/>
        <v>18</v>
      </c>
      <c r="L13" s="1">
        <f t="shared" si="20"/>
        <v>25</v>
      </c>
      <c r="M13" s="1">
        <f t="shared" si="20"/>
        <v>34</v>
      </c>
      <c r="N13" s="1">
        <f t="shared" si="20"/>
        <v>39</v>
      </c>
      <c r="O13" s="1">
        <f t="shared" si="20"/>
        <v>44</v>
      </c>
      <c r="P13" s="1">
        <f t="shared" si="20"/>
        <v>53</v>
      </c>
      <c r="Q13" s="1">
        <f t="shared" si="20"/>
        <v>60</v>
      </c>
      <c r="R13" s="1">
        <f t="shared" si="20"/>
        <v>64</v>
      </c>
      <c r="S13" s="1">
        <f t="shared" si="20"/>
        <v>71</v>
      </c>
      <c r="T13" s="1">
        <f t="shared" si="20"/>
        <v>82</v>
      </c>
      <c r="U13" s="1">
        <f t="shared" si="20"/>
        <v>89</v>
      </c>
      <c r="V13" s="1" t="e">
        <f t="shared" si="20"/>
        <v>#VALUE!</v>
      </c>
    </row>
    <row r="14" spans="1:27" x14ac:dyDescent="0.35">
      <c r="B14">
        <f>ROUND(MIN(B13,D13),3)</f>
        <v>66.013000000000005</v>
      </c>
      <c r="C14" s="14">
        <v>164.65899999999999</v>
      </c>
      <c r="D14">
        <f>MIN(B13,D13)+ROUND(COS(RADIANS($Z$8))*(SQRT(POWER($B12-$D12,2)+POWER($C12-$E12,2)-$Z$7*$AA$7)),3)</f>
        <v>70.203000000000003</v>
      </c>
      <c r="E14">
        <f>C14+ROUND(SIN(RADIANS($Z$8))*SQRT(POWER($B12-$D12,2)+POWER($C12-$E12,2)-$Z$7*$AA$7),3)</f>
        <v>168.84899999999999</v>
      </c>
      <c r="G14" s="4" t="str">
        <f>LEFT(G13,K13)&amp;TEXT(B14,"#0.0####")&amp;" "&amp;TEXT(C14,"#0.0####")&amp;MID(G13,M13-1,N13-M13+2)&amp;TEXT(D14,"#0.0####")&amp;" "&amp;TEXT(E14,"#0.0####")&amp;RIGHT(G13,LEN(G13)-P13+2)</f>
        <v xml:space="preserve">  (gr_line (start 66.013 164.659) (end 70.203 168.849) (angle 90) (layer Edge.Cuts) (width 0.127))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x14ac:dyDescent="0.35">
      <c r="B15">
        <f>ROUND(MAX(B12,D12)+$Z$7,3)</f>
        <v>70.563000000000002</v>
      </c>
      <c r="C15">
        <f>C13</f>
        <v>168.52699999999999</v>
      </c>
      <c r="D15" s="14">
        <f>ROUND(MIN(B12,D12)+$Z$7,3)</f>
        <v>66.013000000000005</v>
      </c>
      <c r="E15" s="14">
        <f>ROUND(MAX(C12,E12)+$Z$7,3)</f>
        <v>170.10900000000001</v>
      </c>
      <c r="G15" s="4" t="str">
        <f>LEFT(G14,K13)&amp;TEXT(B15,"#0.0####")&amp;" "&amp;TEXT(C15,"#0.0####")&amp;MID(G14,M13-2,N13-M13+2)&amp;TEXT(D15,"#0.0####")&amp;" "&amp;TEXT(E15,"#0.0####")&amp;RIGHT(G14,LEN(G14)-P13+2)</f>
        <v xml:space="preserve">  (gr_line (start 70.563 168.5279) (end66.013 170.10949) (angle 90) (layer Edge.Cuts) (width 0.127))</v>
      </c>
    </row>
    <row r="17" spans="7:7" x14ac:dyDescent="0.35">
      <c r="G17" s="4" t="str">
        <f t="shared" ref="G17:G25" si="21">LEFT(G4,K4)&amp;TEXT(B4,"#0.0000")&amp;" "&amp;TEXT(C4,"#0.0000")&amp;MID(G4,M4-1,N4-M4+2)&amp;TEXT(D4,"#0.0000")&amp;" "&amp;TEXT(E4,"#0.0000")&amp;RIGHT(G4,LEN(G4)-P4+3)</f>
        <v xml:space="preserve">  (gr_line (start 17.2184 35.7651) (end 17.2184 135.96222) (layer Dwgs.User) (width 0.1))</v>
      </c>
    </row>
    <row r="18" spans="7:7" x14ac:dyDescent="0.35">
      <c r="G18" s="4" t="str">
        <f t="shared" si="21"/>
        <v xml:space="preserve">  (gr_line (start 17.6530 29.4640) (end 17.6530 132.20707) (angle 90) (layer Edge.Cuts) (width 0.127))</v>
      </c>
    </row>
    <row r="19" spans="7:7" x14ac:dyDescent="0.35">
      <c r="G19" s="4" t="e">
        <f t="shared" si="21"/>
        <v>#VALUE!</v>
      </c>
    </row>
    <row r="20" spans="7:7" x14ac:dyDescent="0.35">
      <c r="G20" s="4" t="e">
        <f t="shared" si="21"/>
        <v>#VALUE!</v>
      </c>
    </row>
    <row r="21" spans="7:7" x14ac:dyDescent="0.35">
      <c r="G21" s="4" t="str">
        <f t="shared" si="21"/>
        <v xml:space="preserve">  (gr_line (start 65.5629 140.5122) (end 65.5629 165.10863) (layer Dwgs.User) (width 0.1))</v>
      </c>
    </row>
    <row r="22" spans="7:7" x14ac:dyDescent="0.35">
      <c r="G22" s="4" t="str">
        <f t="shared" si="21"/>
        <v xml:space="preserve">  (gr_line (start 17.2184 135.9622) (end 61.0129 135.96222) (layer Dwgs.User) (width 0.1))</v>
      </c>
    </row>
    <row r="23" spans="7:7" x14ac:dyDescent="0.35">
      <c r="G23" s="4" t="e">
        <f t="shared" si="21"/>
        <v>#VALUE!</v>
      </c>
    </row>
    <row r="24" spans="7:7" x14ac:dyDescent="0.35">
      <c r="G24" s="4" t="e">
        <f t="shared" si="21"/>
        <v>#VALUE!</v>
      </c>
    </row>
    <row r="25" spans="7:7" x14ac:dyDescent="0.35">
      <c r="G25" s="4" t="str">
        <f t="shared" si="21"/>
        <v xml:space="preserve">  (gr_line (start 65.5629 165.1086) (end 70.1129 169.65863) (layer Dwgs.User) (width 0.1))</v>
      </c>
    </row>
    <row r="27" spans="7:7" x14ac:dyDescent="0.35">
      <c r="G27" s="4" t="e">
        <f>LEFT(#REF!,K14)&amp;TEXT(B14,"#0.0000")&amp;" "&amp;TEXT(C14,"#0.0000")&amp;MID(#REF!,M14-1,N14-M14+2)&amp;TEXT(D14,"#0.0000")&amp;" "&amp;TEXT(E14,"#0.0000")&amp;RIGHT(#REF!,LEN(#REF!)-P14+3)</f>
        <v>#REF!</v>
      </c>
    </row>
    <row r="28" spans="7:7" x14ac:dyDescent="0.35">
      <c r="G28" s="4" t="e">
        <f>LEFT(G15,K15)&amp;TEXT(B15,"#0.0000")&amp;" "&amp;TEXT(C15,"#0.0000")&amp;MID(G15,M15-1,N15-M15+2)&amp;TEXT(D15,"#0.0000")&amp;" "&amp;TEXT(E15,"#0.0000")&amp;RIGHT(G15,LEN(G15)-P15+3)</f>
        <v>#VALUE!</v>
      </c>
    </row>
    <row r="29" spans="7:7" x14ac:dyDescent="0.35">
      <c r="G29" s="4" t="e">
        <f t="shared" ref="G29:G31" si="22">LEFT(G17,K17)&amp;TEXT(B17,"#0.0000")&amp;" "&amp;TEXT(C17,"#0.0000")&amp;MID(G17,M17-1,N17-M17+2)&amp;TEXT(D17,"#0.0000")&amp;" "&amp;TEXT(E17,"#0.0000")&amp;RIGHT(G17,LEN(G17)-P17+3)</f>
        <v>#VALUE!</v>
      </c>
    </row>
    <row r="30" spans="7:7" x14ac:dyDescent="0.35">
      <c r="G30" s="4" t="e">
        <f t="shared" si="22"/>
        <v>#VALUE!</v>
      </c>
    </row>
    <row r="31" spans="7:7" x14ac:dyDescent="0.35">
      <c r="G31" s="4" t="e">
        <f t="shared" si="22"/>
        <v>#VALUE!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8"/>
  <sheetViews>
    <sheetView workbookViewId="0">
      <selection activeCell="K4" sqref="K4"/>
    </sheetView>
  </sheetViews>
  <sheetFormatPr defaultRowHeight="14.5" x14ac:dyDescent="0.35"/>
  <cols>
    <col min="1" max="1" width="1.7265625" customWidth="1"/>
    <col min="2" max="2" width="6.81640625" bestFit="1" customWidth="1"/>
    <col min="3" max="3" width="7.81640625" bestFit="1" customWidth="1"/>
    <col min="4" max="4" width="3.81640625" bestFit="1" customWidth="1"/>
    <col min="5" max="5" width="3.54296875" bestFit="1" customWidth="1"/>
    <col min="6" max="7" width="7.81640625" bestFit="1" customWidth="1"/>
    <col min="8" max="8" width="3.81640625" bestFit="1" customWidth="1"/>
    <col min="9" max="9" width="4.36328125" bestFit="1" customWidth="1"/>
    <col min="10" max="10" width="1.81640625" customWidth="1"/>
    <col min="11" max="11" width="21.6328125" bestFit="1" customWidth="1"/>
    <col min="12" max="12" width="2.81640625" bestFit="1" customWidth="1"/>
    <col min="13" max="13" width="2.08984375" bestFit="1" customWidth="1"/>
    <col min="14" max="14" width="1.90625" customWidth="1"/>
    <col min="15" max="15" width="2.08984375" bestFit="1" customWidth="1"/>
    <col min="16" max="16" width="1.90625" customWidth="1"/>
    <col min="17" max="18" width="1.81640625" bestFit="1" customWidth="1"/>
    <col min="19" max="19" width="2.1796875" bestFit="1" customWidth="1"/>
    <col min="20" max="20" width="2.36328125" customWidth="1"/>
    <col min="21" max="22" width="10.81640625" bestFit="1" customWidth="1"/>
    <col min="23" max="23" width="1.81640625" customWidth="1"/>
    <col min="25" max="25" width="4.81640625" bestFit="1" customWidth="1"/>
    <col min="26" max="26" width="2.08984375" bestFit="1" customWidth="1"/>
    <col min="27" max="27" width="2.08984375" customWidth="1"/>
    <col min="28" max="28" width="4.1796875" bestFit="1" customWidth="1"/>
    <col min="29" max="29" width="2.08984375" customWidth="1"/>
    <col min="30" max="30" width="2.08984375" bestFit="1" customWidth="1"/>
  </cols>
  <sheetData>
    <row r="1" spans="2:30" ht="10" customHeight="1" x14ac:dyDescent="0.35">
      <c r="B1" s="10">
        <f>B4-B3</f>
        <v>-52.92</v>
      </c>
      <c r="C1" s="10">
        <f>C4-C3</f>
        <v>1.2390000000000043</v>
      </c>
      <c r="D1" s="10">
        <f>D4-D3</f>
        <v>0</v>
      </c>
      <c r="F1" s="10">
        <f>B1</f>
        <v>-52.92</v>
      </c>
      <c r="G1" s="10">
        <f t="shared" ref="G1:H1" si="0">C1</f>
        <v>1.2390000000000043</v>
      </c>
      <c r="H1" s="10">
        <f t="shared" si="0"/>
        <v>0</v>
      </c>
      <c r="L1" s="11" t="s">
        <v>10</v>
      </c>
      <c r="M1" s="11" t="s">
        <v>11</v>
      </c>
      <c r="N1" s="11" t="s">
        <v>11</v>
      </c>
      <c r="O1" s="11" t="s">
        <v>12</v>
      </c>
      <c r="Y1" s="11" t="s">
        <v>15</v>
      </c>
      <c r="Z1" s="11" t="s">
        <v>11</v>
      </c>
      <c r="AA1" s="11" t="s">
        <v>12</v>
      </c>
      <c r="AB1" s="11" t="s">
        <v>16</v>
      </c>
      <c r="AC1" s="11" t="s">
        <v>11</v>
      </c>
      <c r="AD1" s="11" t="s">
        <v>12</v>
      </c>
    </row>
    <row r="2" spans="2:30" x14ac:dyDescent="0.35">
      <c r="B2" s="2" t="s">
        <v>0</v>
      </c>
      <c r="C2" s="2" t="s">
        <v>1</v>
      </c>
      <c r="D2" s="2" t="s">
        <v>7</v>
      </c>
      <c r="F2" s="2" t="s">
        <v>0</v>
      </c>
      <c r="G2" s="2" t="s">
        <v>1</v>
      </c>
      <c r="H2" s="2" t="s">
        <v>7</v>
      </c>
      <c r="Q2" s="2" t="s">
        <v>0</v>
      </c>
      <c r="R2" s="2" t="s">
        <v>1</v>
      </c>
      <c r="S2" s="2" t="s">
        <v>7</v>
      </c>
    </row>
    <row r="3" spans="2:30" x14ac:dyDescent="0.35">
      <c r="B3">
        <v>121.92</v>
      </c>
      <c r="C3">
        <v>119.761</v>
      </c>
      <c r="D3">
        <v>180</v>
      </c>
      <c r="E3" t="s">
        <v>18</v>
      </c>
      <c r="F3">
        <f>VALUE(MID($K3,L3+LEN(L$1),M3-L3-LEN(L$1)))</f>
        <v>116.33199999999999</v>
      </c>
      <c r="G3">
        <f>IFERROR(VALUE(MID($K3,M3+LEN(M$1),N3-M3-LEN(M$1))),VALUE(MID($K3,M3+LEN(M$1),LEN($K3)-M3-1)))</f>
        <v>126.111</v>
      </c>
      <c r="H3">
        <f>IFERROR(VALUE(MID($K3,N3+LEN(N$1),O3-N3-LEN(N$1))),0)</f>
        <v>180</v>
      </c>
      <c r="I3" t="s">
        <v>13</v>
      </c>
      <c r="K3" s="10" t="s">
        <v>19</v>
      </c>
      <c r="L3" s="12">
        <f>FIND(L$1,$K3)</f>
        <v>6</v>
      </c>
      <c r="M3" s="12">
        <f>FIND(M$1,$K3,L3+LEN(L$1))</f>
        <v>16</v>
      </c>
      <c r="N3" s="12">
        <f>FIND(N$1,$K3,M3+LEN(M$1))</f>
        <v>24</v>
      </c>
      <c r="O3" s="12">
        <f>FIND(O$1,$K3,N3+LEN(N$1))</f>
        <v>28</v>
      </c>
      <c r="U3">
        <f>VALUE(MID($X3,Y4+LEN(Y$1),Z4-Y4-LEN(Y$1)))</f>
        <v>57.467500000000001</v>
      </c>
      <c r="V3">
        <f>VALUE(MID($X3,Z4+LEN(Z$1),AA4-Z4-LEN(Z$1)))</f>
        <v>122.91549999999999</v>
      </c>
      <c r="X3" s="10" t="s">
        <v>14</v>
      </c>
    </row>
    <row r="4" spans="2:30" x14ac:dyDescent="0.35">
      <c r="B4" s="13">
        <f>U8</f>
        <v>69</v>
      </c>
      <c r="C4" s="13">
        <f>V8</f>
        <v>121</v>
      </c>
      <c r="D4">
        <v>180</v>
      </c>
      <c r="E4" t="str">
        <f>E3&amp;"'"</f>
        <v>U2'</v>
      </c>
      <c r="F4">
        <f>F3+F1</f>
        <v>63.411999999999992</v>
      </c>
      <c r="G4">
        <f>G3+G1</f>
        <v>127.35000000000001</v>
      </c>
      <c r="H4">
        <f>H3+H1</f>
        <v>180</v>
      </c>
      <c r="I4" t="str">
        <f>I3&amp;"'"</f>
        <v>R2'</v>
      </c>
      <c r="K4" t="str">
        <f>LEFT(K3,L3+LEN(L$1)-1)&amp;TEXT(F4,"#0.0####")&amp;" "&amp;TEXT(G4,"#0.0####")&amp;" "&amp;TEXT(H4,"#0")&amp;O$1</f>
        <v xml:space="preserve">    (at 63.412 127.35 180)</v>
      </c>
      <c r="U4">
        <f>VALUE(MID($X3,AB4+LEN(AB$1),AC4-AB4-LEN(AB$1)))</f>
        <v>57.467500000000001</v>
      </c>
      <c r="V4">
        <f>VALUE(MID($X3,AC4+LEN(AC$1),AD4-AC4-LEN(AC$1)))</f>
        <v>119.8145</v>
      </c>
      <c r="Y4" s="12">
        <f>FIND(Y$1,$X3)</f>
        <v>13</v>
      </c>
      <c r="Z4" s="12">
        <f>FIND(Z$1,$X3,Y4+LEN(Y$1))</f>
        <v>26</v>
      </c>
      <c r="AA4" s="12">
        <f>FIND(AA$1,$X3,Z4+LEN(Z$1))</f>
        <v>35</v>
      </c>
      <c r="AB4" s="12">
        <f>FIND(AB$1,$X3)</f>
        <v>38</v>
      </c>
      <c r="AC4" s="12">
        <f>FIND(AC$1,$X3,AB4+LEN(AB$1))</f>
        <v>49</v>
      </c>
      <c r="AD4" s="12">
        <f>FIND(AD$1,$X3,AC4+LEN(AC$1))</f>
        <v>58</v>
      </c>
    </row>
    <row r="5" spans="2:30" x14ac:dyDescent="0.35">
      <c r="U5">
        <f>VALUE(MID($X5,Y6+LEN(Y$1),Z6-Y6-LEN(Y$1)))</f>
        <v>80.481628000000001</v>
      </c>
      <c r="V5">
        <f>VALUE(MID($X5,Z6+LEN(Z$1),AA6-Z6-LEN(Z$1)))</f>
        <v>118.59572799999999</v>
      </c>
      <c r="X5" s="10" t="s">
        <v>17</v>
      </c>
    </row>
    <row r="6" spans="2:30" x14ac:dyDescent="0.35">
      <c r="U6">
        <f>VALUE(MID($X5,AB6+LEN(AB$1),AC6-AB6-LEN(AB$1)))</f>
        <v>79.976212000000004</v>
      </c>
      <c r="V6">
        <f>VALUE(MID($X5,AC6+LEN(AC$1),AD6-AC6-LEN(AC$1)))</f>
        <v>124.37266200000001</v>
      </c>
      <c r="Y6" s="12">
        <f>FIND(Y$1,$X5)</f>
        <v>13</v>
      </c>
      <c r="Z6" s="12">
        <f>FIND(Z$1,$X5,Y6+LEN(Y$1))</f>
        <v>28</v>
      </c>
      <c r="AA6" s="12">
        <f>FIND(AA$1,$X5,Z6+LEN(Z$1))</f>
        <v>39</v>
      </c>
      <c r="AB6" s="12">
        <f>FIND(AB$1,$X5)</f>
        <v>42</v>
      </c>
      <c r="AC6" s="12">
        <f>FIND(AC$1,$X5,AB6+LEN(AB$1))</f>
        <v>55</v>
      </c>
      <c r="AD6" s="12">
        <f>FIND(AD$1,$X5,AC6+LEN(AC$1))</f>
        <v>66</v>
      </c>
    </row>
    <row r="8" spans="2:30" x14ac:dyDescent="0.35">
      <c r="U8" s="13">
        <f>ROUND(AVERAGE(U3:U6),0)</f>
        <v>69</v>
      </c>
      <c r="V8" s="13">
        <f>ROUND(AVERAGE(V3:V6),0)</f>
        <v>121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"/>
  <sheetViews>
    <sheetView tabSelected="1" workbookViewId="0">
      <selection activeCell="P7" sqref="P7"/>
    </sheetView>
  </sheetViews>
  <sheetFormatPr defaultRowHeight="14.5" x14ac:dyDescent="0.35"/>
  <cols>
    <col min="1" max="1" width="1.7265625" customWidth="1"/>
    <col min="2" max="3" width="9.81640625" bestFit="1" customWidth="1"/>
    <col min="4" max="4" width="3.81640625" customWidth="1"/>
    <col min="5" max="5" width="5.453125" bestFit="1" customWidth="1"/>
    <col min="6" max="6" width="1.81640625" customWidth="1"/>
    <col min="7" max="7" width="21.6328125" customWidth="1"/>
    <col min="8" max="8" width="2.81640625" customWidth="1"/>
    <col min="9" max="9" width="2.08984375" customWidth="1"/>
    <col min="10" max="10" width="2.54296875" customWidth="1"/>
    <col min="11" max="11" width="2.08984375" customWidth="1"/>
    <col min="12" max="12" width="2.36328125" customWidth="1"/>
    <col min="13" max="13" width="9.81640625" bestFit="1" customWidth="1"/>
    <col min="14" max="14" width="8.81640625" bestFit="1" customWidth="1"/>
    <col min="15" max="15" width="2.26953125" style="16" bestFit="1" customWidth="1"/>
    <col min="17" max="17" width="4.81640625" customWidth="1"/>
    <col min="18" max="19" width="2.08984375" customWidth="1"/>
    <col min="20" max="20" width="4.1796875" customWidth="1"/>
    <col min="21" max="22" width="2.08984375" customWidth="1"/>
  </cols>
  <sheetData>
    <row r="1" spans="2:22" ht="10" customHeight="1" x14ac:dyDescent="0.35">
      <c r="B1" s="10">
        <f>B4-B3</f>
        <v>119.08888</v>
      </c>
      <c r="C1" s="10">
        <f>C4-C3</f>
        <v>65.345789999999994</v>
      </c>
      <c r="D1" s="10">
        <f>D4-D3</f>
        <v>270</v>
      </c>
      <c r="H1" s="11" t="s">
        <v>10</v>
      </c>
      <c r="I1" s="11" t="s">
        <v>11</v>
      </c>
      <c r="J1" s="11" t="s">
        <v>11</v>
      </c>
      <c r="K1" s="11" t="s">
        <v>12</v>
      </c>
      <c r="Q1" s="11" t="s">
        <v>15</v>
      </c>
      <c r="R1" s="11" t="s">
        <v>11</v>
      </c>
      <c r="S1" s="11" t="s">
        <v>12</v>
      </c>
      <c r="T1" s="11" t="s">
        <v>16</v>
      </c>
      <c r="U1" s="11" t="s">
        <v>11</v>
      </c>
      <c r="V1" s="11" t="s">
        <v>12</v>
      </c>
    </row>
    <row r="2" spans="2:22" x14ac:dyDescent="0.35">
      <c r="B2" s="2" t="s">
        <v>0</v>
      </c>
      <c r="C2" s="2" t="s">
        <v>1</v>
      </c>
      <c r="D2" s="2" t="s">
        <v>7</v>
      </c>
      <c r="M2" s="2" t="s">
        <v>0</v>
      </c>
      <c r="N2" s="2" t="s">
        <v>1</v>
      </c>
    </row>
    <row r="3" spans="2:22" x14ac:dyDescent="0.35">
      <c r="B3">
        <f>VALUE(MID($G3,H3+LEN(H$1),I3-H3-LEN(H$1)))</f>
        <v>38.497</v>
      </c>
      <c r="C3">
        <f>IFERROR(VALUE(MID($G3,I3+LEN(I$1),J3-I3-LEN(I$1))),VALUE(MID($G3,I3+LEN(I$1),LEN($G3)-I3-1)))</f>
        <v>38.615000000000002</v>
      </c>
      <c r="D3">
        <f>IFERROR(VALUE(MID($G3,J3+LEN(J$1),K3-J3-LEN(J$1))),0)</f>
        <v>0</v>
      </c>
      <c r="E3" t="s">
        <v>32</v>
      </c>
      <c r="G3" s="10" t="s">
        <v>34</v>
      </c>
      <c r="H3" s="12">
        <f>FIND(H$1,$G3)</f>
        <v>6</v>
      </c>
      <c r="I3" s="12">
        <f t="shared" ref="I3:K5" si="0">FIND(I$1,$G3,H3+LEN(H$1))</f>
        <v>15</v>
      </c>
      <c r="J3" s="12" t="e">
        <f t="shared" si="0"/>
        <v>#VALUE!</v>
      </c>
      <c r="K3" s="12" t="e">
        <f t="shared" si="0"/>
        <v>#VALUE!</v>
      </c>
      <c r="M3">
        <f>VALUE(MID($P3,Q4+LEN(Q$1),R4-Q4-LEN(Q$1)))</f>
        <v>27.997</v>
      </c>
      <c r="N3">
        <f>VALUE(MID($P3,R4+LEN(R$1),S4-R4-LEN(R$1)))</f>
        <v>39.3979</v>
      </c>
      <c r="O3" s="12"/>
      <c r="P3" s="10" t="s">
        <v>37</v>
      </c>
    </row>
    <row r="4" spans="2:22" x14ac:dyDescent="0.35">
      <c r="B4">
        <f>VALUE(MID($G4,H4+LEN(H$1),I4-H4-LEN(H$1)))</f>
        <v>157.58588</v>
      </c>
      <c r="C4">
        <f>IFERROR(VALUE(MID($G4,I4+LEN(I$1),J4-I4-LEN(I$1))),VALUE(MID($G4,I4+LEN(I$1),LEN($G4)-I4-1)))</f>
        <v>103.96079</v>
      </c>
      <c r="D4">
        <f>IFERROR(VALUE(MID($G4,J4+LEN(J$1),K4-J4-LEN(J$1))),0)</f>
        <v>270</v>
      </c>
      <c r="E4" t="s">
        <v>33</v>
      </c>
      <c r="G4" s="10" t="s">
        <v>31</v>
      </c>
      <c r="H4" s="12">
        <f>FIND(H$1,$G4)</f>
        <v>6</v>
      </c>
      <c r="I4" s="12">
        <f t="shared" si="0"/>
        <v>18</v>
      </c>
      <c r="J4" s="12">
        <f t="shared" si="0"/>
        <v>28</v>
      </c>
      <c r="K4" s="12">
        <f t="shared" si="0"/>
        <v>32</v>
      </c>
      <c r="M4">
        <f>VALUE(MID($P3,T4+LEN(T$1),U4-T4-LEN(T$1)))</f>
        <v>28.386299999999999</v>
      </c>
      <c r="N4">
        <f>VALUE(MID($P3,U4+LEN(U$1),V4-U4-LEN(U$1)))</f>
        <v>38.965499999999999</v>
      </c>
      <c r="O4" s="12"/>
      <c r="Q4" s="12">
        <f>FIND(Q$1,$P3)</f>
        <v>13</v>
      </c>
      <c r="R4" s="12">
        <f>FIND(R$1,$P3,Q4+LEN(Q$1))</f>
        <v>25</v>
      </c>
      <c r="S4" s="12">
        <f>FIND(S$1,$P3,R4+LEN(R$1))</f>
        <v>33</v>
      </c>
      <c r="T4" s="12">
        <f>FIND(T$1,$P3)</f>
        <v>36</v>
      </c>
      <c r="U4" s="12">
        <f>FIND(U$1,$P3,T4+LEN(T$1))</f>
        <v>47</v>
      </c>
      <c r="V4" s="12">
        <f>FIND(V$1,$P3,U4+LEN(U$1))</f>
        <v>55</v>
      </c>
    </row>
    <row r="5" spans="2:22" x14ac:dyDescent="0.35">
      <c r="B5">
        <f>VALUE(MID($G5,H5+LEN(H$1),I5-H5-LEN(H$1)))</f>
        <v>27.94</v>
      </c>
      <c r="C5">
        <f>IFERROR(VALUE(MID($G5,I5+LEN(I$1),J5-I5-LEN(I$1))),VALUE(MID($G5,I5+LEN(I$1),LEN($G5)-I5-1)))</f>
        <v>41.021000000000001</v>
      </c>
      <c r="D5">
        <f>IFERROR(VALUE(MID($G5,J5+LEN(J$1),K5-J5-LEN(J$1))),0)</f>
        <v>0</v>
      </c>
      <c r="E5" t="s">
        <v>35</v>
      </c>
      <c r="G5" s="10" t="s">
        <v>36</v>
      </c>
      <c r="H5" s="12">
        <f>FIND(H$1,$G5)</f>
        <v>6</v>
      </c>
      <c r="I5" s="12">
        <f t="shared" si="0"/>
        <v>14</v>
      </c>
      <c r="J5" s="12" t="e">
        <f t="shared" si="0"/>
        <v>#VALUE!</v>
      </c>
      <c r="K5" s="12" t="e">
        <f t="shared" si="0"/>
        <v>#VALUE!</v>
      </c>
      <c r="M5" s="12">
        <f>M3-B$3</f>
        <v>-10.5</v>
      </c>
      <c r="N5" s="12">
        <f>N3-C$3</f>
        <v>0.78289999999999793</v>
      </c>
      <c r="O5" s="12"/>
      <c r="P5" s="15"/>
    </row>
    <row r="6" spans="2:22" x14ac:dyDescent="0.35">
      <c r="B6" s="12">
        <f>B5-B3</f>
        <v>-10.556999999999999</v>
      </c>
      <c r="C6" s="12">
        <f>C5-C3</f>
        <v>2.4059999999999988</v>
      </c>
      <c r="M6" s="12">
        <f>M4-B$3</f>
        <v>-10.110700000000001</v>
      </c>
      <c r="N6" s="12">
        <f>N4-C$3</f>
        <v>0.3504999999999967</v>
      </c>
      <c r="O6" s="12"/>
      <c r="Q6" s="12"/>
      <c r="R6" s="12"/>
      <c r="S6" s="12"/>
      <c r="T6" s="12"/>
      <c r="U6" s="12"/>
      <c r="V6" s="12"/>
    </row>
    <row r="7" spans="2:22" x14ac:dyDescent="0.35">
      <c r="B7">
        <f>ROUND($B$4-C6,3)</f>
        <v>155.18</v>
      </c>
      <c r="C7">
        <f>ROUND($C$4+B6,3)</f>
        <v>93.403999999999996</v>
      </c>
      <c r="D7">
        <f>D5+D1</f>
        <v>270</v>
      </c>
      <c r="E7" t="str">
        <f>E5&amp;"'"</f>
        <v>C17'</v>
      </c>
      <c r="G7" t="str">
        <f>LEFT(G5,H5+LEN(H$1)-1)&amp;TEXT(B7,"#0.0####")&amp;" "&amp;TEXT(C7,"#0.0####")&amp;" "&amp;TEXT(D7,"#0")&amp;K$1</f>
        <v xml:space="preserve">    (at 155.18 93.404 270)</v>
      </c>
      <c r="M7">
        <f>ROUND($B$4-N5,3)</f>
        <v>156.803</v>
      </c>
      <c r="N7">
        <f>ROUND($C$4+M5,3)</f>
        <v>93.460999999999999</v>
      </c>
      <c r="P7" t="str">
        <f>LEFT(P3,Q4+LEN(Q$1)-1)&amp;TEXT(M7,"#0.0####")&amp;" "&amp;TEXT(N7,"#0.0####")&amp;MID(P3,S4,T4-S4+LEN(T$1))&amp;TEXT(M8,"#0.0####")&amp;" "&amp;TEXT(N8,"#0.0####")&amp;RIGHT(P3,LEN(P3)-V4+1)</f>
        <v xml:space="preserve">  (segment (start 156.803 93.461) (end 157.235 93.85) (width 0.1524) (layer Back) (net 47))</v>
      </c>
    </row>
    <row r="8" spans="2:22" x14ac:dyDescent="0.35">
      <c r="M8">
        <f>ROUND(B$4-N6,3)</f>
        <v>157.23500000000001</v>
      </c>
      <c r="N8">
        <f>ROUND(C$4+M6,3)</f>
        <v>93.85</v>
      </c>
    </row>
    <row r="9" spans="2:22" x14ac:dyDescent="0.35">
      <c r="M9" s="12">
        <f>M3-M4</f>
        <v>-0.38929999999999865</v>
      </c>
      <c r="N9" s="12">
        <f>N3-N4</f>
        <v>0.43240000000000123</v>
      </c>
    </row>
    <row r="10" spans="2:22" x14ac:dyDescent="0.35">
      <c r="M10" s="12">
        <f>M7-M8</f>
        <v>-0.43200000000001637</v>
      </c>
      <c r="N10" s="12">
        <f>N7-N8</f>
        <v>-0.38899999999999579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MoveSW</vt:lpstr>
      <vt:lpstr>MoveSegments</vt:lpstr>
      <vt:lpstr>MoveMPU</vt:lpstr>
      <vt:lpstr>MoveLCD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Robertson</dc:creator>
  <cp:lastModifiedBy>John Robertson</cp:lastModifiedBy>
  <dcterms:created xsi:type="dcterms:W3CDTF">2017-05-26T03:00:28Z</dcterms:created>
  <dcterms:modified xsi:type="dcterms:W3CDTF">2017-06-25T06:07:08Z</dcterms:modified>
</cp:coreProperties>
</file>