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10800" windowWidth="23720" windowHeight="5180" activeTab="3"/>
  </bookViews>
  <sheets>
    <sheet name="MoveSW" sheetId="1" r:id="rId1"/>
    <sheet name="MoveSegments" sheetId="2" r:id="rId2"/>
    <sheet name="MoveMPU" sheetId="3" r:id="rId3"/>
    <sheet name="MoveLC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4" l="1"/>
  <c r="Q13" i="4"/>
  <c r="R13" i="4" l="1"/>
  <c r="U13" i="4"/>
  <c r="M13" i="4" s="1"/>
  <c r="H3" i="4"/>
  <c r="I3" i="4" s="1"/>
  <c r="H4" i="4"/>
  <c r="T4" i="4"/>
  <c r="Q4" i="4"/>
  <c r="E7" i="4"/>
  <c r="H5" i="4"/>
  <c r="I5" i="4" s="1"/>
  <c r="S13" i="4" l="1"/>
  <c r="N12" i="4" s="1"/>
  <c r="V13" i="4"/>
  <c r="N13" i="4" s="1"/>
  <c r="M12" i="4"/>
  <c r="R4" i="4"/>
  <c r="M3" i="4" s="1"/>
  <c r="J3" i="4"/>
  <c r="C3" i="4" s="1"/>
  <c r="B3" i="4"/>
  <c r="I4" i="4"/>
  <c r="J5" i="4"/>
  <c r="U4" i="4"/>
  <c r="B5" i="4"/>
  <c r="B6" i="4" s="1"/>
  <c r="C7" i="4" s="1"/>
  <c r="E14" i="2"/>
  <c r="D14" i="2"/>
  <c r="B14" i="2"/>
  <c r="S4" i="4" l="1"/>
  <c r="N3" i="4" s="1"/>
  <c r="N5" i="4" s="1"/>
  <c r="M7" i="4" s="1"/>
  <c r="M5" i="4"/>
  <c r="N7" i="4" s="1"/>
  <c r="K3" i="4"/>
  <c r="D3" i="4" s="1"/>
  <c r="J4" i="4"/>
  <c r="C4" i="4" s="1"/>
  <c r="C1" i="4" s="1"/>
  <c r="B4" i="4"/>
  <c r="B1" i="4" s="1"/>
  <c r="K5" i="4"/>
  <c r="D5" i="4" s="1"/>
  <c r="V4" i="4"/>
  <c r="N4" i="4" s="1"/>
  <c r="N6" i="4" s="1"/>
  <c r="M8" i="4" s="1"/>
  <c r="C5" i="4"/>
  <c r="C6" i="4" s="1"/>
  <c r="B7" i="4" s="1"/>
  <c r="M4" i="4"/>
  <c r="Y11" i="2"/>
  <c r="Y12" i="2" s="1"/>
  <c r="Y10" i="2"/>
  <c r="X12" i="2"/>
  <c r="D4" i="1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D7" i="4" l="1"/>
  <c r="D11" i="4"/>
  <c r="E11" i="4" s="1"/>
  <c r="D10" i="4"/>
  <c r="E10" i="4" s="1"/>
  <c r="P7" i="4"/>
  <c r="D9" i="4"/>
  <c r="E9" i="4" s="1"/>
  <c r="M10" i="4"/>
  <c r="M6" i="4"/>
  <c r="N8" i="4" s="1"/>
  <c r="N10" i="4" s="1"/>
  <c r="M9" i="4"/>
  <c r="N9" i="4"/>
  <c r="K4" i="4"/>
  <c r="D4" i="4" s="1"/>
  <c r="D1" i="4" s="1"/>
  <c r="L8" i="2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G7" i="4" l="1"/>
  <c r="B7" i="2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Q3" i="1" s="1"/>
  <c r="C13" i="1"/>
  <c r="D13" i="1"/>
  <c r="B13" i="1"/>
  <c r="Q4" i="1" l="1"/>
  <c r="R4" i="1"/>
  <c r="B4" i="1"/>
  <c r="R3" i="1"/>
  <c r="C4" i="1" s="1"/>
  <c r="H12" i="2"/>
  <c r="I12" i="2" s="1"/>
  <c r="J12" i="2" s="1"/>
  <c r="K12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I5" i="1"/>
  <c r="B5" i="1"/>
  <c r="I10" i="1"/>
  <c r="L12" i="2"/>
  <c r="L4" i="2"/>
  <c r="L5" i="2"/>
  <c r="I3" i="1"/>
  <c r="B5" i="2" l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P5" i="2" l="1"/>
  <c r="Q5" i="2" s="1"/>
  <c r="R5" i="2" s="1"/>
  <c r="S5" i="2" s="1"/>
  <c r="T5" i="2" s="1"/>
  <c r="U5" i="2" s="1"/>
  <c r="V5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B15" i="2"/>
  <c r="E5" i="2"/>
  <c r="G18" i="2" s="1"/>
  <c r="D10" i="2"/>
  <c r="E12" i="2"/>
  <c r="B7" i="1"/>
  <c r="O10" i="1"/>
  <c r="D10" i="1" s="1"/>
  <c r="C10" i="1"/>
  <c r="O3" i="1"/>
  <c r="D3" i="1" s="1"/>
  <c r="D5" i="1" s="1"/>
  <c r="C3" i="1"/>
  <c r="E15" i="2" l="1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H13" i="2"/>
  <c r="I13" i="2" s="1"/>
  <c r="J13" i="2" s="1"/>
  <c r="K13" i="2" s="1"/>
  <c r="L13" i="2" l="1"/>
  <c r="B13" i="2" s="1"/>
  <c r="M13" i="2" l="1"/>
  <c r="N13" i="2" s="1"/>
  <c r="O13" i="2" l="1"/>
  <c r="C13" i="2"/>
  <c r="C15" i="2" l="1"/>
  <c r="P13" i="2"/>
  <c r="Q13" i="2" s="1"/>
  <c r="R13" i="2" s="1"/>
  <c r="S13" i="2" s="1"/>
  <c r="T13" i="2" s="1"/>
  <c r="U13" i="2" s="1"/>
  <c r="V13" i="2" s="1"/>
  <c r="D13" i="2"/>
  <c r="E13" i="2" l="1"/>
  <c r="G27" i="2" l="1"/>
  <c r="G14" i="2"/>
  <c r="G15" i="2" s="1"/>
  <c r="G28" i="2" s="1"/>
  <c r="T16" i="4"/>
  <c r="Q16" i="4"/>
  <c r="R16" i="4" s="1"/>
  <c r="S16" i="4" l="1"/>
  <c r="N15" i="4" s="1"/>
  <c r="M15" i="4"/>
  <c r="U16" i="4"/>
  <c r="M16" i="4" s="1"/>
  <c r="V16" i="4" l="1"/>
  <c r="N16" i="4" s="1"/>
  <c r="M14" i="4" l="1"/>
  <c r="N14" i="4"/>
</calcChain>
</file>

<file path=xl/sharedStrings.xml><?xml version="1.0" encoding="utf-8"?>
<sst xmlns="http://schemas.openxmlformats.org/spreadsheetml/2006/main" count="75" uniqueCount="40">
  <si>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</si>
  <si>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</si>
  <si>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</si>
  <si>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</si>
  <si>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</si>
  <si>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</si>
  <si>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</si>
  <si>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</si>
  <si>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</si>
  <si>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</si>
  <si>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</si>
  <si>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</si>
  <si>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</si>
  <si>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</si>
  <si>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</si>
  <si>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</si>
  <si>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</si>
  <si>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</si>
  <si>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</si>
  <si>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</si>
  <si>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</si>
  <si>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</si>
  <si>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</si>
  <si>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</si>
  <si>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  (at 144.907 96.9745 90)</t>
  </si>
  <si>
    <t xml:space="preserve">    (at 149.987 100.086 270)</t>
  </si>
  <si>
    <t xml:space="preserve">  (gr_line (start 156.386049 82.498785) (end 181.956049 82.498785) (layer Dwgs.User) (width 0.1))</t>
  </si>
  <si>
    <t xml:space="preserve">  (gr_line (start 181.956049 125.422785) (end 156.386049 125.422785) (layer Dwgs.User) (width 0.1))</t>
  </si>
  <si>
    <t xml:space="preserve">    (at 38.497 38.615 0)</t>
  </si>
  <si>
    <t xml:space="preserve">  (gr_line (start 65.562873 165.108583) (end 70.112873 169.658583) (layer Dwgs.User) (width 0.1))</t>
  </si>
  <si>
    <t xml:space="preserve">  (gr_line (start 66.013 168.527) (end 95.0 170.815) (angle 90) (layer Edge.Cuts) (width 0.127))</t>
  </si>
  <si>
    <t xml:space="preserve">    (at 157.58588 103.96079 270)</t>
  </si>
  <si>
    <t>LCD1</t>
  </si>
  <si>
    <t>LCD1'</t>
  </si>
  <si>
    <t xml:space="preserve">    (at 38.497 38.615)</t>
  </si>
  <si>
    <t>R10</t>
  </si>
  <si>
    <t xml:space="preserve">    (at 55.753 41.021 180)</t>
  </si>
  <si>
    <t xml:space="preserve">  (segment (start 158.786 121.239) (end 155.98 121.239) (width 0.1524) (layer Back) (net 91))</t>
  </si>
  <si>
    <t xml:space="preserve">  (segment (start 55.797 36.665) (end 55.775 37.3388) (width 0.1524) (layer Back) (net 91))</t>
  </si>
  <si>
    <t xml:space="preserve">  (segment (start 159.536 121.261) (end 158.862 121.239) (width 0.1524) (layer Back) (net 91))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</si>
</sst>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4" sqref="B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23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38.497</v>
      </c>
      <c r="C3">
        <f t="shared" ref="C3" si="0">IFERROR(VALUE(MID($G3,M3,N3-M3)),VALUE(RIGHT($G3,LEN($G3)-M3)))</f>
        <v>38.615000000000002</v>
      </c>
      <c r="D3">
        <f>IFERROR(VALUE(MID($G3,N3,O3-N3)),VALUE(MID($G3,N3,LEN($G3)-N3)))</f>
        <v>0</v>
      </c>
      <c r="F3" t="str">
        <f>"S"&amp;F2</f>
        <v>S23</v>
      </c>
      <c r="G3" s="1" t="s">
        <v>28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15</v>
      </c>
      <c r="N3" s="1">
        <f t="shared" ref="N3" si="5">FIND(" ",$G3,M3+1)</f>
        <v>22</v>
      </c>
      <c r="O3" s="1" t="e">
        <f t="shared" ref="O3" si="6">FIND(" ",$G3,N3+1)</f>
        <v>#VALUE!</v>
      </c>
      <c r="Q3" s="9">
        <f>AVERAGE(Q6:Q9)</f>
        <v>169.17104899999998</v>
      </c>
      <c r="R3">
        <f>AVERAGE(R6:R9)</f>
        <v>103.96078499999999</v>
      </c>
      <c r="S3">
        <f>ROUND(DEGREES(ASIN(R4/S4)),2)</f>
        <v>-90</v>
      </c>
      <c r="T3" s="1">
        <v>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169.17104899999998</v>
      </c>
      <c r="C4">
        <f>R3</f>
        <v>103.96078499999999</v>
      </c>
      <c r="D4" s="7">
        <f>IF(S3+T3&lt;0,360+S3+T3,S3+T3)</f>
        <v>270</v>
      </c>
      <c r="F4" t="str">
        <f>F3&amp;"'"</f>
        <v>S23'</v>
      </c>
      <c r="G4" t="str">
        <f>LEFT(G3,L3)&amp;TEXT(B4,"#0.0####")&amp;" "&amp;TEXT(C4,"#0.0####")&amp;" "&amp;TEXT(D4,"#0")&amp;")"</f>
        <v xml:space="preserve">    (at 169.17105 103.96079 270)</v>
      </c>
      <c r="Q4" s="9">
        <f>IF(R6=R7,0,IF(R6&lt;R7,Q6,Q7))-IF(R8=R9,0,IF(R8&lt;R9,Q8,Q9))</f>
        <v>0</v>
      </c>
      <c r="R4" s="9">
        <f>IF(Q6=Q7,0,IF(Q6&lt;Q7,R6,R7))-IF(Q8=Q9,0,IF(Q8&lt;Q9,R8,R9))</f>
        <v>-42.924000000000007</v>
      </c>
      <c r="S4" s="5">
        <f>SQRT(Q4^2+R4^2)</f>
        <v>42.924000000000007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270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130.67404899999997</v>
      </c>
      <c r="C6" s="5">
        <f>C4-C3</f>
        <v>65.345784999999978</v>
      </c>
      <c r="D6" s="5">
        <f>ROUND(S3,2)</f>
        <v>-90</v>
      </c>
      <c r="Q6" s="9">
        <f>VALUE(MID($U$6,V6+1,W6-V6))</f>
        <v>156.38604900000001</v>
      </c>
      <c r="R6" s="9">
        <f>VALUE(MID($U$6,W6+1,X6-W6-1))</f>
        <v>82.498784999999998</v>
      </c>
      <c r="U6" s="1" t="s">
        <v>26</v>
      </c>
      <c r="V6" s="1">
        <f>FIND(V2,$U$6)+LEN(V2)</f>
        <v>18</v>
      </c>
      <c r="W6" s="1">
        <f>FIND(" ",$U$6,V6+1)</f>
        <v>29</v>
      </c>
      <c r="X6" s="1">
        <f>FIND(")",$U$6,W6+1)</f>
        <v>39</v>
      </c>
    </row>
    <row r="7" spans="1:26" x14ac:dyDescent="0.35">
      <c r="B7" s="5">
        <f>B10-B3</f>
        <v>106.41000000000001</v>
      </c>
      <c r="C7" s="5">
        <f>C10-C3</f>
        <v>58.359500000000004</v>
      </c>
      <c r="D7" s="5">
        <f>SQRT(B7^2+C7^2)</f>
        <v>121.36275928080245</v>
      </c>
      <c r="Q7" s="9">
        <f>VALUE(MID($U$6,V7+1,W7-V7))</f>
        <v>181.95604900000001</v>
      </c>
      <c r="R7" s="9">
        <f>VALUE(MID($U$6,W7+1,X7-W7-1))</f>
        <v>82.498784999999998</v>
      </c>
      <c r="V7" s="1">
        <f>FIND(V3,$U$6)+LEN(V3)</f>
        <v>45</v>
      </c>
      <c r="W7" s="1">
        <f>FIND(" ",$U$6,V7+1)</f>
        <v>56</v>
      </c>
      <c r="X7" s="1">
        <f>FIND(")",$U$6,W7+1)</f>
        <v>66</v>
      </c>
    </row>
    <row r="8" spans="1:26" x14ac:dyDescent="0.35">
      <c r="B8" s="5">
        <f>$D7*COS(RADIANS($D4))</f>
        <v>-2.2303109552448287E-14</v>
      </c>
      <c r="C8" s="5">
        <f>-$D7*SIN(RADIANS($D4))</f>
        <v>121.36275928080245</v>
      </c>
      <c r="E8" s="1">
        <f>IF(AND(D5&lt;0,B7&lt;1,B7&lt;C7),-1,1)</f>
        <v>1</v>
      </c>
      <c r="Q8" s="9">
        <f>VALUE(MID($U$8,V8+1,W8-V8))</f>
        <v>181.95604900000001</v>
      </c>
      <c r="R8" s="9">
        <f>VALUE(MID($U$8,W8+1,X8-W8-1))</f>
        <v>125.422785</v>
      </c>
      <c r="U8" s="1" t="s">
        <v>27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156.38604900000001</v>
      </c>
      <c r="R9" s="9">
        <f>VALUE(MID($U$8,W9+1,X9-W9-1))</f>
        <v>125.422785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144.90700000000001</v>
      </c>
      <c r="C10">
        <f t="shared" ref="C10" si="7">IFERROR(VALUE(MID($G10,M10,N10-M10)),VALUE(RIGHT($G10,LEN($G10)-M10)))</f>
        <v>96.974500000000006</v>
      </c>
      <c r="D10">
        <f>IFERROR(VALUE(MID($G10,N10,O10-N10)),VALUE(MID($G10,N10,LEN($G10)-N10)))</f>
        <v>90</v>
      </c>
      <c r="F10" t="str">
        <f>"D"&amp;F2</f>
        <v>D23</v>
      </c>
      <c r="G10" s="1" t="s">
        <v>24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169.17104899999995</v>
      </c>
      <c r="C11">
        <f>C4+C8</f>
        <v>225.32354428080242</v>
      </c>
      <c r="D11">
        <f>IF(D10+D$5&lt;0,360+D10+D$5,D10+D$5)</f>
        <v>360</v>
      </c>
      <c r="F11" t="str">
        <f>F10&amp;"'"</f>
        <v>D23'</v>
      </c>
      <c r="G11" t="str">
        <f>LEFT(G10,L10)&amp;TEXT(B11,"#0.0####")&amp;" "&amp;TEXT(C11,"#0.0####")&amp;" "&amp;TEXT(D11,"#0")&amp;")"</f>
        <v xml:space="preserve">    (at 169.17105 225.32354 360)</v>
      </c>
      <c r="V11" s="8"/>
    </row>
    <row r="13" spans="1:26" x14ac:dyDescent="0.35">
      <c r="B13">
        <f>IFERROR(VALUE(MID($G13,L13,M13-L13)),VALUE(RIGHT($G13,LEN($G13)-L13)))</f>
        <v>149.98699999999999</v>
      </c>
      <c r="C13">
        <f t="shared" ref="C13" si="9">IFERROR(VALUE(MID($G13,M13,N13-M13)),VALUE(RIGHT($G13,LEN($G13)-M13)))</f>
        <v>100.086</v>
      </c>
      <c r="D13">
        <f>IFERROR(VALUE(MID($G13,N13,O13-N13)),VALUE(MID($G13,N13,LEN($G13)-N13)))</f>
        <v>270</v>
      </c>
      <c r="F13" t="str">
        <f>"D"&amp;TEXT(F2+F16,"0")</f>
        <v>D61</v>
      </c>
      <c r="G13" s="1" t="s">
        <v>25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169.17104899999998</v>
      </c>
      <c r="C14">
        <f>C4+C17</f>
        <v>109.04078499999999</v>
      </c>
      <c r="D14">
        <f>IF(D13+D$5&lt;0,360+D13+D$5,D13+D$5)</f>
        <v>540</v>
      </c>
      <c r="F14" t="str">
        <f>F13&amp;"'"</f>
        <v>D61'</v>
      </c>
      <c r="G14" t="str">
        <f>LEFT(G13,L13)&amp;TEXT(B14,"#0.0####")&amp;" "&amp;TEXT(C14,"#0.0####")&amp;" "&amp;TEXT(D14,"#0")&amp;")"</f>
        <v xml:space="preserve">    (at 169.17105 109.04079 540)</v>
      </c>
    </row>
    <row r="15" spans="1:26" x14ac:dyDescent="0.35">
      <c r="D15">
        <f>90+D6</f>
        <v>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-1.8671262452807362E-15</v>
      </c>
      <c r="C17" s="5">
        <f>-E17*$D16*COS(RADIANS($D14))</f>
        <v>5.0799999999999983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  <col min="26" max="26" width="4.81640625" bestFit="1" customWidth="1"/>
    <col min="27" max="27" width="2.81640625" bestFit="1" customWidth="1"/>
  </cols>
  <sheetData>
    <row r="1" spans="1:27" ht="8.5" customHeight="1" x14ac:dyDescent="0.35"/>
    <row r="2" spans="1:27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7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7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7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7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  <c r="AA7">
        <v>14</v>
      </c>
    </row>
    <row r="8" spans="1:27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  <c r="Z8">
        <v>45</v>
      </c>
      <c r="AA8">
        <v>45</v>
      </c>
    </row>
    <row r="9" spans="1:27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7" x14ac:dyDescent="0.35">
      <c r="B10">
        <f t="shared" ref="B10:C10" si="17">B12+ROUND($Z7,2)</f>
        <v>66.012872999999999</v>
      </c>
      <c r="C10">
        <f t="shared" si="17"/>
        <v>165.558583</v>
      </c>
      <c r="D10">
        <f>D12+ROUND($Z7,2)</f>
        <v>70.562872999999996</v>
      </c>
      <c r="E10">
        <f t="shared" ref="E10" si="18">E12+ROUND($Z7,2)</f>
        <v>170.10858299999998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156.38604900000001</v>
      </c>
    </row>
    <row r="11" spans="1:27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181.95604900000001</v>
      </c>
    </row>
    <row r="12" spans="1:27" x14ac:dyDescent="0.35">
      <c r="B12">
        <f>VALUE(MID($G12,K12,L12-K12))</f>
        <v>65.562872999999996</v>
      </c>
      <c r="C12">
        <f>VALUE(MID($G12,L12,M12-L12-1))</f>
        <v>165.10858300000001</v>
      </c>
      <c r="D12">
        <f>VALUE(MID($G12,N12,O12-N12))</f>
        <v>70.112872999999993</v>
      </c>
      <c r="E12">
        <f>VALUE(MID($G12,O12,P12-O12-1))</f>
        <v>169.65858299999999</v>
      </c>
      <c r="G12" s="1" t="s">
        <v>29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40</v>
      </c>
      <c r="N12" s="1">
        <f t="shared" si="19"/>
        <v>45</v>
      </c>
      <c r="O12" s="1">
        <f t="shared" si="19"/>
        <v>55</v>
      </c>
      <c r="P12" s="1">
        <f t="shared" si="19"/>
        <v>67</v>
      </c>
      <c r="Q12" s="1">
        <f t="shared" si="19"/>
        <v>74</v>
      </c>
      <c r="R12" s="1">
        <f t="shared" si="19"/>
        <v>85</v>
      </c>
      <c r="S12" s="1">
        <f t="shared" si="19"/>
        <v>92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25.569999999999993</v>
      </c>
    </row>
    <row r="13" spans="1:27" x14ac:dyDescent="0.35">
      <c r="B13">
        <f>VALUE(MID($G13,K13,L13-K13))</f>
        <v>66.013000000000005</v>
      </c>
      <c r="C13">
        <f>VALUE(MID($G13,L13,M13-L13-1))</f>
        <v>168.52699999999999</v>
      </c>
      <c r="D13">
        <f>VALUE(MID($G13,N13,O13-N13))</f>
        <v>95</v>
      </c>
      <c r="E13" s="14">
        <f>VALUE(MID($G13,O13,P13-O13-1))</f>
        <v>170.815</v>
      </c>
      <c r="G13" s="1" t="s">
        <v>30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25</v>
      </c>
      <c r="M13" s="1">
        <f t="shared" si="20"/>
        <v>34</v>
      </c>
      <c r="N13" s="1">
        <f t="shared" si="20"/>
        <v>39</v>
      </c>
      <c r="O13" s="1">
        <f t="shared" si="20"/>
        <v>44</v>
      </c>
      <c r="P13" s="1">
        <f t="shared" si="20"/>
        <v>53</v>
      </c>
      <c r="Q13" s="1">
        <f t="shared" si="20"/>
        <v>60</v>
      </c>
      <c r="R13" s="1">
        <f t="shared" si="20"/>
        <v>64</v>
      </c>
      <c r="S13" s="1">
        <f t="shared" si="20"/>
        <v>71</v>
      </c>
      <c r="T13" s="1">
        <f t="shared" si="20"/>
        <v>82</v>
      </c>
      <c r="U13" s="1">
        <f t="shared" si="20"/>
        <v>89</v>
      </c>
      <c r="V13" s="1" t="e">
        <f t="shared" si="20"/>
        <v>#VALUE!</v>
      </c>
    </row>
    <row r="14" spans="1:27" x14ac:dyDescent="0.35">
      <c r="B14">
        <f>ROUND(MIN(B13,D13),3)</f>
        <v>66.013000000000005</v>
      </c>
      <c r="C14" s="14">
        <v>164.65899999999999</v>
      </c>
      <c r="D14">
        <f>MIN(B13,D13)+ROUND(COS(RADIANS($Z$8))*(SQRT(POWER($B12-$D12,2)+POWER($C12-$E12,2)-$Z$7*$AA$7)),3)</f>
        <v>70.203000000000003</v>
      </c>
      <c r="E14">
        <f>C14+ROUND(SIN(RADIANS($Z$8))*SQRT(POWER($B12-$D12,2)+POWER($C12-$E12,2)-$Z$7*$AA$7),3)</f>
        <v>168.84899999999999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66.013 164.659) (end 70.203 168.849)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5">
      <c r="B15">
        <f>ROUND(MAX(B12,D12)+$Z$7,3)</f>
        <v>70.563000000000002</v>
      </c>
      <c r="C15">
        <f>C13</f>
        <v>168.52699999999999</v>
      </c>
      <c r="D15" s="14">
        <f>ROUND(MIN(B12,D12)+$Z$7,3)</f>
        <v>66.013000000000005</v>
      </c>
      <c r="E15" s="14">
        <f>ROUND(MAX(C12,E12)+$Z$7,3)</f>
        <v>170.10900000000001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70.563 168.5279) (end66.013 170.10949) (angle 90) (layer Edge.Cuts) (width 0.127))</v>
      </c>
    </row>
    <row r="17" spans="7:7" x14ac:dyDescent="0.35">
      <c r="G17" s="4" t="str">
        <f t="shared" ref="G17:G25" si="21"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 t="shared" si="21"/>
        <v xml:space="preserve">  (gr_line (start 17.6530 29.4640) (end 17.6530 132.20707) (angle 90) (layer Edge.Cuts) (width 0.127))</v>
      </c>
    </row>
    <row r="19" spans="7:7" x14ac:dyDescent="0.35">
      <c r="G19" s="4" t="e">
        <f t="shared" si="21"/>
        <v>#VALUE!</v>
      </c>
    </row>
    <row r="20" spans="7:7" x14ac:dyDescent="0.35">
      <c r="G20" s="4" t="e">
        <f t="shared" si="21"/>
        <v>#VALUE!</v>
      </c>
    </row>
    <row r="21" spans="7:7" x14ac:dyDescent="0.35">
      <c r="G21" s="4" t="str">
        <f t="shared" si="21"/>
        <v xml:space="preserve">  (gr_line (start 65.5629 140.5122) (end 65.5629 165.10863) (layer Dwgs.User) (width 0.1))</v>
      </c>
    </row>
    <row r="22" spans="7:7" x14ac:dyDescent="0.35">
      <c r="G22" s="4" t="str">
        <f t="shared" si="21"/>
        <v xml:space="preserve">  (gr_line (start 17.2184 135.9622) (end 61.0129 135.96222) (layer Dwgs.User) (width 0.1))</v>
      </c>
    </row>
    <row r="23" spans="7:7" x14ac:dyDescent="0.35">
      <c r="G23" s="4" t="e">
        <f t="shared" si="21"/>
        <v>#VALUE!</v>
      </c>
    </row>
    <row r="24" spans="7:7" x14ac:dyDescent="0.35">
      <c r="G24" s="4" t="e">
        <f t="shared" si="21"/>
        <v>#VALUE!</v>
      </c>
    </row>
    <row r="25" spans="7:7" x14ac:dyDescent="0.35">
      <c r="G25" s="4" t="str">
        <f t="shared" si="21"/>
        <v xml:space="preserve">  (gr_line (start 65.5629 165.1086) (end 70.1129 169.65863) (layer Dwgs.User) (width 0.1))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2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2"/>
        <v>#VALUE!</v>
      </c>
    </row>
    <row r="31" spans="7:7" x14ac:dyDescent="0.35">
      <c r="G31" s="4" t="e">
        <f t="shared" si="22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abSelected="1" topLeftCell="A2" workbookViewId="0">
      <selection activeCell="M13" sqref="M13"/>
    </sheetView>
  </sheetViews>
  <sheetFormatPr defaultRowHeight="14.5" x14ac:dyDescent="0.35"/>
  <cols>
    <col min="1" max="1" width="1.7265625" customWidth="1"/>
    <col min="2" max="3" width="9.81640625" bestFit="1" customWidth="1"/>
    <col min="4" max="4" width="3.81640625" customWidth="1"/>
    <col min="5" max="5" width="5.453125" bestFit="1" customWidth="1"/>
    <col min="6" max="6" width="1.81640625" customWidth="1"/>
    <col min="7" max="7" width="21.6328125" customWidth="1"/>
    <col min="8" max="8" width="2.81640625" customWidth="1"/>
    <col min="9" max="9" width="2.08984375" customWidth="1"/>
    <col min="10" max="10" width="2.54296875" customWidth="1"/>
    <col min="11" max="11" width="2.08984375" customWidth="1"/>
    <col min="12" max="12" width="2.36328125" customWidth="1"/>
    <col min="13" max="13" width="9.81640625" bestFit="1" customWidth="1"/>
    <col min="14" max="14" width="8.81640625" bestFit="1" customWidth="1"/>
    <col min="15" max="15" width="2.26953125" style="16" bestFit="1" customWidth="1"/>
    <col min="17" max="17" width="4.81640625" customWidth="1"/>
    <col min="18" max="19" width="2.08984375" customWidth="1"/>
    <col min="20" max="20" width="4.1796875" customWidth="1"/>
    <col min="21" max="22" width="2.08984375" customWidth="1"/>
  </cols>
  <sheetData>
    <row r="1" spans="2:22" ht="10" customHeight="1" x14ac:dyDescent="0.35">
      <c r="B1" s="10">
        <f>B4-B3</f>
        <v>119.08888</v>
      </c>
      <c r="C1" s="10">
        <f>C4-C3</f>
        <v>65.345789999999994</v>
      </c>
      <c r="D1" s="10">
        <f>D4-D3</f>
        <v>270</v>
      </c>
      <c r="H1" s="11" t="s">
        <v>10</v>
      </c>
      <c r="I1" s="11" t="s">
        <v>11</v>
      </c>
      <c r="J1" s="11" t="s">
        <v>11</v>
      </c>
      <c r="K1" s="11" t="s">
        <v>12</v>
      </c>
      <c r="Q1" s="11" t="s">
        <v>15</v>
      </c>
      <c r="R1" s="11" t="s">
        <v>11</v>
      </c>
      <c r="S1" s="11" t="s">
        <v>12</v>
      </c>
      <c r="T1" s="11" t="s">
        <v>16</v>
      </c>
      <c r="U1" s="11" t="s">
        <v>11</v>
      </c>
      <c r="V1" s="11" t="s">
        <v>12</v>
      </c>
    </row>
    <row r="2" spans="2:22" x14ac:dyDescent="0.35">
      <c r="B2" s="2" t="s">
        <v>0</v>
      </c>
      <c r="C2" s="2" t="s">
        <v>1</v>
      </c>
      <c r="D2" s="2" t="s">
        <v>7</v>
      </c>
      <c r="M2" s="2" t="s">
        <v>0</v>
      </c>
      <c r="N2" s="2" t="s">
        <v>1</v>
      </c>
    </row>
    <row r="3" spans="2:22" x14ac:dyDescent="0.35">
      <c r="B3">
        <f>VALUE(MID($G3,H3+LEN(H$1),I3-H3-LEN(H$1)))</f>
        <v>38.497</v>
      </c>
      <c r="C3">
        <f>IFERROR(VALUE(MID($G3,I3+LEN(I$1),J3-I3-LEN(I$1))),VALUE(MID($G3,I3+LEN(I$1),LEN($G3)-I3-1)))</f>
        <v>38.615000000000002</v>
      </c>
      <c r="D3">
        <f>IFERROR(VALUE(MID($G3,J3+LEN(J$1),K3-J3-LEN(J$1))),0)</f>
        <v>0</v>
      </c>
      <c r="E3" t="s">
        <v>32</v>
      </c>
      <c r="G3" s="10" t="s">
        <v>34</v>
      </c>
      <c r="H3" s="12">
        <f>FIND(H$1,$G3)</f>
        <v>6</v>
      </c>
      <c r="I3" s="12">
        <f t="shared" ref="I3:K5" si="0">FIND(I$1,$G3,H3+LEN(H$1))</f>
        <v>15</v>
      </c>
      <c r="J3" s="12" t="e">
        <f t="shared" si="0"/>
        <v>#VALUE!</v>
      </c>
      <c r="K3" s="12" t="e">
        <f t="shared" si="0"/>
        <v>#VALUE!</v>
      </c>
      <c r="M3">
        <f>VALUE(MID($P3,Q4+LEN(Q$1),R4-Q4-LEN(Q$1)))</f>
        <v>55.796999999999997</v>
      </c>
      <c r="N3">
        <f>VALUE(MID($P3,R4+LEN(R$1),S4-R4-LEN(R$1)))</f>
        <v>36.664999999999999</v>
      </c>
      <c r="O3" s="12"/>
      <c r="P3" s="10" t="s">
        <v>38</v>
      </c>
    </row>
    <row r="4" spans="2:22" x14ac:dyDescent="0.35">
      <c r="B4">
        <f>VALUE(MID($G4,H4+LEN(H$1),I4-H4-LEN(H$1)))</f>
        <v>157.58588</v>
      </c>
      <c r="C4">
        <f>IFERROR(VALUE(MID($G4,I4+LEN(I$1),J4-I4-LEN(I$1))),VALUE(MID($G4,I4+LEN(I$1),LEN($G4)-I4-1)))</f>
        <v>103.96079</v>
      </c>
      <c r="D4">
        <f>IFERROR(VALUE(MID($G4,J4+LEN(J$1),K4-J4-LEN(J$1))),0)</f>
        <v>270</v>
      </c>
      <c r="E4" t="s">
        <v>33</v>
      </c>
      <c r="G4" s="10" t="s">
        <v>31</v>
      </c>
      <c r="H4" s="12">
        <f>FIND(H$1,$G4)</f>
        <v>6</v>
      </c>
      <c r="I4" s="12">
        <f t="shared" si="0"/>
        <v>18</v>
      </c>
      <c r="J4" s="12">
        <f t="shared" si="0"/>
        <v>28</v>
      </c>
      <c r="K4" s="12">
        <f t="shared" si="0"/>
        <v>32</v>
      </c>
      <c r="M4">
        <f>VALUE(MID($P3,T4+LEN(T$1),U4-T4-LEN(T$1)))</f>
        <v>55.774999999999999</v>
      </c>
      <c r="N4">
        <f>VALUE(MID($P3,U4+LEN(U$1),V4-U4-LEN(U$1)))</f>
        <v>37.338799999999999</v>
      </c>
      <c r="O4" s="12"/>
      <c r="Q4" s="12">
        <f>FIND(Q$1,$P3)</f>
        <v>13</v>
      </c>
      <c r="R4" s="12">
        <f>FIND(R$1,$P3,Q4+LEN(Q$1))</f>
        <v>25</v>
      </c>
      <c r="S4" s="12">
        <f>FIND(S$1,$P3,R4+LEN(R$1))</f>
        <v>32</v>
      </c>
      <c r="T4" s="12">
        <f>FIND(T$1,$P3)</f>
        <v>35</v>
      </c>
      <c r="U4" s="12">
        <f>FIND(U$1,$P3,T4+LEN(T$1))</f>
        <v>45</v>
      </c>
      <c r="V4" s="12">
        <f>FIND(V$1,$P3,U4+LEN(U$1))</f>
        <v>53</v>
      </c>
    </row>
    <row r="5" spans="2:22" x14ac:dyDescent="0.35">
      <c r="B5">
        <f>VALUE(MID($G5,H5+LEN(H$1),I5-H5-LEN(H$1)))</f>
        <v>55.753</v>
      </c>
      <c r="C5">
        <f>IFERROR(VALUE(MID($G5,I5+LEN(I$1),J5-I5-LEN(I$1))),VALUE(MID($G5,I5+LEN(I$1),LEN($G5)-I5-1)))</f>
        <v>41.021000000000001</v>
      </c>
      <c r="D5">
        <f>IFERROR(VALUE(MID($G5,J5+LEN(J$1),K5-J5-LEN(J$1))),0)</f>
        <v>180</v>
      </c>
      <c r="E5" t="s">
        <v>35</v>
      </c>
      <c r="G5" s="17" t="s">
        <v>36</v>
      </c>
      <c r="H5" s="12">
        <f>FIND(H$1,$G5)</f>
        <v>6</v>
      </c>
      <c r="I5" s="12">
        <f t="shared" si="0"/>
        <v>15</v>
      </c>
      <c r="J5" s="12">
        <f t="shared" si="0"/>
        <v>22</v>
      </c>
      <c r="K5" s="12">
        <f t="shared" si="0"/>
        <v>26</v>
      </c>
      <c r="M5" s="12">
        <f>M3-B$3</f>
        <v>17.299999999999997</v>
      </c>
      <c r="N5" s="12">
        <f>N3-C$3</f>
        <v>-1.9500000000000028</v>
      </c>
      <c r="O5" s="12"/>
      <c r="P5" s="15"/>
    </row>
    <row r="6" spans="2:22" x14ac:dyDescent="0.35">
      <c r="B6" s="12">
        <f>B5-B3</f>
        <v>17.256</v>
      </c>
      <c r="C6" s="12">
        <f>C5-C3</f>
        <v>2.4059999999999988</v>
      </c>
      <c r="M6" s="12">
        <f>M4-B$3</f>
        <v>17.277999999999999</v>
      </c>
      <c r="N6" s="12">
        <f>N4-C$3</f>
        <v>-1.2762000000000029</v>
      </c>
      <c r="O6" s="12"/>
      <c r="Q6" s="12"/>
      <c r="R6" s="12"/>
      <c r="S6" s="12"/>
      <c r="T6" s="12"/>
      <c r="U6" s="12"/>
      <c r="V6" s="12"/>
    </row>
    <row r="7" spans="2:22" x14ac:dyDescent="0.35">
      <c r="B7">
        <f>ROUND($B$4-C6,3)</f>
        <v>155.18</v>
      </c>
      <c r="C7">
        <f>ROUND($C$4+B6,3)</f>
        <v>121.217</v>
      </c>
      <c r="D7">
        <f>MOD(D5+D1,360)</f>
        <v>90</v>
      </c>
      <c r="E7" t="str">
        <f>E5&amp;"'"</f>
        <v>R10'</v>
      </c>
      <c r="G7" t="str">
        <f>LEFT(G5,H5+LEN(H$1)-1)&amp;TEXT(B7,"#0.0####")&amp;" "&amp;TEXT(C7,"#0.0####")&amp;" "&amp;TEXT(D7,"#0")&amp;K$1</f>
        <v xml:space="preserve">    (at 155.18 121.217 90)</v>
      </c>
      <c r="M7">
        <f>ROUND($B$4-N5,3)</f>
        <v>159.536</v>
      </c>
      <c r="N7">
        <f>ROUND($C$4+M5,3)</f>
        <v>121.261</v>
      </c>
      <c r="P7" t="str">
        <f>LEFT(P3,Q4+LEN(Q$1)-1)&amp;TEXT(M7,"#0.0####")&amp;" "&amp;TEXT(N7,"#0.0####")&amp;MID(P3,S4,T4-S4+LEN(T$1))&amp;TEXT(M8,"#0.0####")&amp;" "&amp;TEXT(N8,"#0.0####")&amp;RIGHT(P3,LEN(P3)-V4+1)</f>
        <v xml:space="preserve">  (segment (start 159.536 121.261) (end 158.862 121.239) (width 0.1524) (layer Back) (net 91))</v>
      </c>
    </row>
    <row r="8" spans="2:22" x14ac:dyDescent="0.35">
      <c r="M8">
        <f>ROUND(B$4-N6,3)</f>
        <v>158.86199999999999</v>
      </c>
      <c r="N8">
        <f>ROUND(C$4+M6,3)</f>
        <v>121.239</v>
      </c>
    </row>
    <row r="9" spans="2:22" x14ac:dyDescent="0.35">
      <c r="D9">
        <f>90+D5</f>
        <v>270</v>
      </c>
      <c r="E9">
        <f>MOD(D9+D$1,360)</f>
        <v>180</v>
      </c>
      <c r="M9" s="12">
        <f>M3-M4</f>
        <v>2.1999999999998465E-2</v>
      </c>
      <c r="N9" s="12">
        <f>N3-N4</f>
        <v>-0.67379999999999995</v>
      </c>
    </row>
    <row r="10" spans="2:22" x14ac:dyDescent="0.35">
      <c r="D10">
        <f>270+D$5</f>
        <v>450</v>
      </c>
      <c r="E10">
        <f>MOD(D10+D$1,360)</f>
        <v>0</v>
      </c>
      <c r="M10" s="12">
        <f>M7-M8</f>
        <v>0.67400000000000659</v>
      </c>
      <c r="N10" s="12">
        <f>N7-N8</f>
        <v>2.199999999999136E-2</v>
      </c>
    </row>
    <row r="11" spans="2:22" x14ac:dyDescent="0.35">
      <c r="D11">
        <f>0+D$5</f>
        <v>180</v>
      </c>
      <c r="E11">
        <f>MOD(D11+D$1,360)</f>
        <v>90</v>
      </c>
    </row>
    <row r="12" spans="2:22" x14ac:dyDescent="0.35">
      <c r="M12">
        <f>VALUE(MID($P12,Q13+LEN(Q$1),R13-Q13-LEN(Q$1)))</f>
        <v>159.536</v>
      </c>
      <c r="N12">
        <f>VALUE(MID($P12,R13+LEN(R$1),S13-R13-LEN(R$1)))</f>
        <v>121.261</v>
      </c>
      <c r="O12" s="12"/>
      <c r="P12" s="10" t="s">
        <v>39</v>
      </c>
    </row>
    <row r="13" spans="2:22" x14ac:dyDescent="0.35">
      <c r="M13">
        <f>VALUE(MID($P12,T13+LEN(T$1),U13-T13-LEN(T$1)))</f>
        <v>158.86199999999999</v>
      </c>
      <c r="N13">
        <f>VALUE(MID($P12,U13+LEN(U$1),V13-U13-LEN(U$1)))</f>
        <v>121.239</v>
      </c>
      <c r="O13" s="12"/>
      <c r="Q13" s="12">
        <f>FIND(Q$1,$P12)</f>
        <v>13</v>
      </c>
      <c r="R13" s="12">
        <f>FIND(R$1,$P12,Q13+LEN(Q$1))</f>
        <v>26</v>
      </c>
      <c r="S13" s="12">
        <f>FIND(S$1,$P12,R13+LEN(R$1))</f>
        <v>34</v>
      </c>
      <c r="T13" s="12">
        <f>FIND(T$1,$P12)</f>
        <v>37</v>
      </c>
      <c r="U13" s="12">
        <f>FIND(U$1,$P12,T13+LEN(T$1))</f>
        <v>48</v>
      </c>
      <c r="V13" s="12">
        <f>FIND(V$1,$P12,U13+LEN(U$1))</f>
        <v>56</v>
      </c>
    </row>
    <row r="14" spans="2:22" x14ac:dyDescent="0.35">
      <c r="M14" s="12">
        <f>ROUND(((M12*N13-M13*N12)*(M15-M16)-(M12-M13)*(M15*N16-N15*M16))/((M12-M13)*(N15-N16)-(N12-N13)*(M15-M16)),3)</f>
        <v>158.86199999999999</v>
      </c>
      <c r="N14" s="12">
        <f>ROUND(((M12*N13-M13*N12)*(N15-N16)-(N12-N13)*(M15*N16-N15*M16))/((M12-M13)*(N15-N16)-(N12-N13)*(M15-M16)),3)</f>
        <v>121.239</v>
      </c>
    </row>
    <row r="15" spans="2:22" x14ac:dyDescent="0.35">
      <c r="M15">
        <f>VALUE(MID($P15,Q16+LEN(Q$1),R16-Q16-LEN(Q$1)))</f>
        <v>158.786</v>
      </c>
      <c r="N15">
        <f>VALUE(MID($P15,R16+LEN(R$1),S16-R16-LEN(R$1)))</f>
        <v>121.239</v>
      </c>
      <c r="O15" s="12"/>
      <c r="P15" s="10" t="s">
        <v>37</v>
      </c>
    </row>
    <row r="16" spans="2:22" x14ac:dyDescent="0.35">
      <c r="M16">
        <f>VALUE(MID($P15,T16+LEN(T$1),U16-T16-LEN(T$1)))</f>
        <v>155.97999999999999</v>
      </c>
      <c r="N16">
        <f>VALUE(MID($P15,U16+LEN(U$1),V16-U16-LEN(U$1)))</f>
        <v>121.239</v>
      </c>
      <c r="O16" s="12"/>
      <c r="Q16" s="12">
        <f>FIND(Q$1,$P15)</f>
        <v>13</v>
      </c>
      <c r="R16" s="12">
        <f>FIND(R$1,$P15,Q16+LEN(Q$1))</f>
        <v>26</v>
      </c>
      <c r="S16" s="12">
        <f>FIND(S$1,$P15,R16+LEN(R$1))</f>
        <v>34</v>
      </c>
      <c r="T16" s="12">
        <f>FIND(T$1,$P15)</f>
        <v>37</v>
      </c>
      <c r="U16" s="12">
        <f>FIND(U$1,$P15,T16+LEN(T$1))</f>
        <v>47</v>
      </c>
      <c r="V16" s="12">
        <f>FIND(V$1,$P15,U16+LEN(U$1))</f>
        <v>55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MoveSW</vt:lpstr>
      <vt:lpstr>MoveSegments</vt:lpstr>
      <vt:lpstr>MoveMPU</vt:lpstr>
      <vt:lpstr>MoveLCD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2017-06-26T03:03:08Z</dcterms:modified>
</cp:coreProperties>
</file>