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\Downloads\"/>
    </mc:Choice>
  </mc:AlternateContent>
  <bookViews>
    <workbookView xWindow="0" yWindow="3000" windowWidth="23720" windowHeight="5180" activeTab="2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3" i="3" s="1"/>
  <c r="I4" i="3"/>
  <c r="H1" i="3"/>
  <c r="E4" i="3"/>
  <c r="D1" i="3"/>
  <c r="C1" i="3"/>
  <c r="G1" i="3" s="1"/>
  <c r="B1" i="3"/>
  <c r="F1" i="3" s="1"/>
  <c r="V8" i="3"/>
  <c r="U8" i="3"/>
  <c r="N3" i="3" l="1"/>
  <c r="G3" i="3" s="1"/>
  <c r="G4" i="3" s="1"/>
  <c r="F3" i="3"/>
  <c r="F4" i="3" s="1"/>
  <c r="C17" i="1"/>
  <c r="B17" i="1"/>
  <c r="B14" i="1" s="1"/>
  <c r="D14" i="1"/>
  <c r="D11" i="1"/>
  <c r="D5" i="1"/>
  <c r="D6" i="1"/>
  <c r="C8" i="1" s="1"/>
  <c r="C11" i="1" s="1"/>
  <c r="D4" i="1"/>
  <c r="G4" i="1"/>
  <c r="V9" i="1"/>
  <c r="V8" i="1"/>
  <c r="R7" i="1"/>
  <c r="R6" i="1"/>
  <c r="Q7" i="1"/>
  <c r="Q6" i="1"/>
  <c r="X7" i="1"/>
  <c r="X6" i="1"/>
  <c r="W7" i="1"/>
  <c r="W6" i="1"/>
  <c r="V7" i="1"/>
  <c r="V6" i="1"/>
  <c r="O3" i="3" l="1"/>
  <c r="H3" i="3" s="1"/>
  <c r="H4" i="3" s="1"/>
  <c r="K4" i="3" s="1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X9" i="1" l="1"/>
  <c r="R9" i="1"/>
  <c r="Q9" i="1"/>
  <c r="X8" i="1"/>
  <c r="R8" i="1"/>
  <c r="Q8" i="1"/>
  <c r="C13" i="1"/>
  <c r="D13" i="1"/>
  <c r="B13" i="1"/>
  <c r="Q4" i="1" l="1"/>
  <c r="Q3" i="1"/>
  <c r="B4" i="1" s="1"/>
  <c r="R3" i="1"/>
  <c r="C4" i="1" s="1"/>
  <c r="R4" i="1"/>
  <c r="G26" i="2"/>
  <c r="G27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11" i="2"/>
  <c r="E10" i="2"/>
  <c r="C10" i="2"/>
  <c r="E13" i="2"/>
  <c r="E9" i="2"/>
  <c r="C13" i="2"/>
  <c r="C9" i="2"/>
  <c r="L4" i="2"/>
  <c r="L6" i="2"/>
  <c r="L7" i="2"/>
  <c r="L5" i="2"/>
  <c r="L8" i="2"/>
  <c r="I3" i="1"/>
  <c r="C5" i="1" l="1"/>
  <c r="J5" i="1"/>
  <c r="J10" i="1"/>
  <c r="K10" i="1" s="1"/>
  <c r="L10" i="1" s="1"/>
  <c r="M11" i="2"/>
  <c r="N11" i="2" s="1"/>
  <c r="C11" i="2"/>
  <c r="M12" i="2"/>
  <c r="N12" i="2" s="1"/>
  <c r="M5" i="2"/>
  <c r="N5" i="2" s="1"/>
  <c r="O5" i="2" s="1"/>
  <c r="M7" i="2"/>
  <c r="N7" i="2" s="1"/>
  <c r="O7" i="2" s="1"/>
  <c r="M6" i="2"/>
  <c r="N6" i="2" s="1"/>
  <c r="O6" i="2" s="1"/>
  <c r="M8" i="2"/>
  <c r="N8" i="2" s="1"/>
  <c r="O8" i="2" s="1"/>
  <c r="M4" i="2"/>
  <c r="N4" i="2" s="1"/>
  <c r="O4" i="2" s="1"/>
  <c r="J3" i="1"/>
  <c r="K3" i="1" s="1"/>
  <c r="L3" i="1" s="1"/>
  <c r="M10" i="1" l="1"/>
  <c r="M3" i="1"/>
  <c r="C8" i="2"/>
  <c r="C12" i="2"/>
  <c r="O12" i="2"/>
  <c r="O11" i="2"/>
  <c r="C5" i="2"/>
  <c r="P7" i="2"/>
  <c r="Q7" i="2" s="1"/>
  <c r="R7" i="2" s="1"/>
  <c r="S7" i="2" s="1"/>
  <c r="T7" i="2" s="1"/>
  <c r="U7" i="2" s="1"/>
  <c r="V7" i="2" s="1"/>
  <c r="P8" i="2"/>
  <c r="Q8" i="2" s="1"/>
  <c r="R8" i="2" s="1"/>
  <c r="S8" i="2" s="1"/>
  <c r="T8" i="2" s="1"/>
  <c r="U8" i="2" s="1"/>
  <c r="V8" i="2" s="1"/>
  <c r="C6" i="2"/>
  <c r="P6" i="2"/>
  <c r="Q6" i="2" s="1"/>
  <c r="R6" i="2" s="1"/>
  <c r="S6" i="2" s="1"/>
  <c r="T6" i="2" s="1"/>
  <c r="U6" i="2" s="1"/>
  <c r="V6" i="2" s="1"/>
  <c r="C7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C4" i="2"/>
  <c r="N10" i="1" l="1"/>
  <c r="B10" i="1"/>
  <c r="N3" i="1"/>
  <c r="B3" i="1"/>
  <c r="E7" i="2"/>
  <c r="P11" i="2"/>
  <c r="Q11" i="2" s="1"/>
  <c r="R11" i="2" s="1"/>
  <c r="S11" i="2" s="1"/>
  <c r="T11" i="2" s="1"/>
  <c r="U11" i="2" s="1"/>
  <c r="V11" i="2" s="1"/>
  <c r="E11" i="2"/>
  <c r="P12" i="2"/>
  <c r="Q12" i="2" s="1"/>
  <c r="R12" i="2" s="1"/>
  <c r="S12" i="2" s="1"/>
  <c r="T12" i="2" s="1"/>
  <c r="U12" i="2" s="1"/>
  <c r="V12" i="2" s="1"/>
  <c r="E5" i="2"/>
  <c r="E8" i="2"/>
  <c r="E6" i="2"/>
  <c r="E4" i="2"/>
  <c r="B7" i="1" l="1"/>
  <c r="O10" i="1"/>
  <c r="D10" i="1" s="1"/>
  <c r="C10" i="1"/>
  <c r="O3" i="1"/>
  <c r="D3" i="1" s="1"/>
  <c r="C3" i="1"/>
  <c r="E12" i="2"/>
  <c r="C7" i="1" l="1"/>
  <c r="B6" i="1"/>
  <c r="C6" i="1"/>
  <c r="C14" i="1" l="1"/>
  <c r="D7" i="1"/>
  <c r="D3" i="2"/>
  <c r="D12" i="2" s="1"/>
  <c r="B3" i="2"/>
  <c r="B13" i="2" s="1"/>
  <c r="D11" i="2"/>
  <c r="G14" i="1" l="1"/>
  <c r="D10" i="2"/>
  <c r="D13" i="2"/>
  <c r="G25" i="2" s="1"/>
  <c r="D4" i="2"/>
  <c r="B8" i="2"/>
  <c r="B11" i="2"/>
  <c r="G23" i="2" s="1"/>
  <c r="B4" i="2"/>
  <c r="B7" i="2"/>
  <c r="B6" i="2"/>
  <c r="B12" i="2"/>
  <c r="G24" i="2" s="1"/>
  <c r="D6" i="2"/>
  <c r="B9" i="2"/>
  <c r="D7" i="2"/>
  <c r="D9" i="2"/>
  <c r="D8" i="2"/>
  <c r="B5" i="2"/>
  <c r="B10" i="2"/>
  <c r="G22" i="2" s="1"/>
  <c r="D5" i="2"/>
  <c r="G16" i="2" l="1"/>
  <c r="G28" i="2" s="1"/>
  <c r="G20" i="2"/>
  <c r="G17" i="2"/>
  <c r="G29" i="2" s="1"/>
  <c r="G19" i="2"/>
  <c r="G21" i="2"/>
  <c r="G18" i="2"/>
  <c r="G30" i="2" s="1"/>
  <c r="B8" i="1"/>
  <c r="B11" i="1" s="1"/>
  <c r="G11" i="1" l="1"/>
</calcChain>
</file>

<file path=xl/sharedStrings.xml><?xml version="1.0" encoding="utf-8"?>
<sst xmlns="http://schemas.openxmlformats.org/spreadsheetml/2006/main" count="42" uniqueCount="28">
  <si>
    <t>X</t>
  </si>
  <si>
    <t>Y</t>
  </si>
  <si>
    <t>X1</t>
  </si>
  <si>
    <t>X2</t>
  </si>
  <si>
    <t>Δ</t>
  </si>
  <si>
    <t>Y1</t>
  </si>
  <si>
    <t>Y2</t>
  </si>
  <si>
    <t xml:space="preserve">  (segment (start 30.0535 121.3496) (end 30.0495 121.3487) (width 0.1524) (layer Back) (net 10))</t>
  </si>
  <si>
    <t xml:space="preserve">  (segment (start 31.6598 121.7052) (end 30.0535 121.3496) (width 0.1524) (layer Back) (net 10))</t>
  </si>
  <si>
    <t xml:space="preserve">  (segment (start 31.8404 121.7301) (end 31.9012 121.7286) (width 0.1524) (layer Back) (net 10))</t>
  </si>
  <si>
    <t xml:space="preserve">  (segment (start 31.7198 121.7184) (end 31.8404 121.7301) (width 0.1524) (layer Back) (net 10))</t>
  </si>
  <si>
    <t xml:space="preserve">  (segment (start 31.6598 121.7052) (end 31.7198 121.7184) (width 0.1524) (layer Back) (net 10))</t>
  </si>
  <si>
    <t xml:space="preserve">  (segment (start 31.8257 119.8426) (end 32.2925 120.2665) (width 0.1524) (layer Front) (net 5))</t>
  </si>
  <si>
    <t xml:space="preserve">  (segment (start 31.8257 119.8426) (end 31.4113 120.3177) (width 0.1524) (layer Front) (net 5))</t>
  </si>
  <si>
    <t>Θ</t>
  </si>
  <si>
    <t xml:space="preserve">    (at 165.334 117.82 155)</t>
  </si>
  <si>
    <t xml:space="preserve">  (gr_line (start 100.888898 135.337045) (end 86.941176 134.116777) (layer Dwgs.User) (width 0.1))</t>
  </si>
  <si>
    <t>start</t>
  </si>
  <si>
    <t>end</t>
  </si>
  <si>
    <t xml:space="preserve">  (gr_line (start 85.720917 148.0644) (end 99.668639 149.284667) (layer Dwgs.User) (width 0.1))</t>
  </si>
  <si>
    <t xml:space="preserve">    (at 162.514 116.505 155)</t>
  </si>
  <si>
    <t xml:space="preserve">    (at 167.483 113.215 335)</t>
  </si>
  <si>
    <t>U1</t>
  </si>
  <si>
    <t xml:space="preserve">at </t>
  </si>
  <si>
    <t xml:space="preserve"> </t>
  </si>
  <si>
    <t>)</t>
  </si>
  <si>
    <t>R2</t>
  </si>
  <si>
    <t xml:space="preserve">    (at 136.525 125.984 180)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</si>
</sst>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2" sqref="B2:D2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2.08984375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14</v>
      </c>
      <c r="F2" s="6">
        <v>22</v>
      </c>
      <c r="Q2" s="2" t="s">
        <v>0</v>
      </c>
      <c r="R2" s="2" t="s">
        <v>1</v>
      </c>
      <c r="S2" s="2" t="s">
        <v>14</v>
      </c>
      <c r="T2" s="2"/>
      <c r="U2" s="2"/>
      <c r="V2" s="1" t="s">
        <v>17</v>
      </c>
      <c r="W2" s="2"/>
      <c r="X2" s="2"/>
    </row>
    <row r="3" spans="1:26" x14ac:dyDescent="0.35">
      <c r="B3">
        <f>IFERROR(VALUE(MID($G3,L3,M3-L3)),VALUE(RIGHT($G3,LEN($G3)-L3)))</f>
        <v>165.334</v>
      </c>
      <c r="C3">
        <f t="shared" ref="C3" si="0">IFERROR(VALUE(MID($G3,M3,N3-M3)),VALUE(RIGHT($G3,LEN($G3)-M3)))</f>
        <v>117.82</v>
      </c>
      <c r="D3">
        <f>IFERROR(VALUE(MID($G3,N3,O3-N3)),VALUE(MID($G3,N3,LEN($G3)-N3)))</f>
        <v>155</v>
      </c>
      <c r="F3" t="str">
        <f>"S"&amp;F2</f>
        <v>S22</v>
      </c>
      <c r="G3" s="1" t="s">
        <v>15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23</v>
      </c>
      <c r="O3" s="1" t="e">
        <f t="shared" ref="O3" si="6">FIND(" ",$G3,N3+1)</f>
        <v>#VALUE!</v>
      </c>
      <c r="Q3">
        <f>AVERAGE(Q6:Q9)</f>
        <v>93.304907499999999</v>
      </c>
      <c r="R3">
        <f>AVERAGE(R6:R9)</f>
        <v>141.70072225000001</v>
      </c>
      <c r="S3">
        <f>DEGREES(ASIN(R4/S4))</f>
        <v>5.0000018059286759</v>
      </c>
      <c r="V3" s="1" t="s">
        <v>18</v>
      </c>
      <c r="W3" s="1"/>
      <c r="X3" s="1"/>
      <c r="Y3" s="1"/>
      <c r="Z3" s="1"/>
    </row>
    <row r="4" spans="1:26" x14ac:dyDescent="0.35">
      <c r="B4">
        <f>Q3</f>
        <v>93.304907499999999</v>
      </c>
      <c r="C4">
        <f>R3</f>
        <v>141.70072225000001</v>
      </c>
      <c r="D4" s="7">
        <f>180-S3</f>
        <v>174.99999819407134</v>
      </c>
      <c r="F4" t="str">
        <f>F3&amp;"'"</f>
        <v>S22'</v>
      </c>
      <c r="G4" t="str">
        <f>LEFT(G3,L3)&amp;TEXT(B4,"#0.0####")&amp;" "&amp;TEXT(C4,"#0.0####")&amp;" "&amp;TEXT(D4,"#0")&amp;")"</f>
        <v xml:space="preserve">    (at 93.30491 141.70072 175)</v>
      </c>
      <c r="Q4">
        <f>ABS(Q6-Q7)</f>
        <v>13.947721999999999</v>
      </c>
      <c r="R4">
        <f>(R6-R7)</f>
        <v>1.2202679999999759</v>
      </c>
      <c r="S4" s="5">
        <f>SQRT(Q4^2+R4^2)</f>
        <v>14.0010000707488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19.999998194071338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-72.029092500000004</v>
      </c>
      <c r="C6" s="5">
        <f>C4-C3</f>
        <v>23.880722250000019</v>
      </c>
      <c r="D6" s="5">
        <f>ROUND(S3,2)</f>
        <v>5</v>
      </c>
      <c r="Q6" s="9">
        <f>VALUE(MID($U$6,V6+1,W6-V6))</f>
        <v>100.888898</v>
      </c>
      <c r="R6" s="9">
        <f>VALUE(MID($U$6,W6+1,X6-W6-1))</f>
        <v>135.33704499999999</v>
      </c>
      <c r="U6" s="1" t="s">
        <v>16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-2.8199999999999932</v>
      </c>
      <c r="C7" s="5">
        <f>C10-C3</f>
        <v>-1.3149999999999977</v>
      </c>
      <c r="D7" s="5">
        <f>SQRT(B7^2+C7^2)</f>
        <v>3.1115309736526737</v>
      </c>
      <c r="Q7" s="9">
        <f>VALUE(MID($U$6,V7+1,W7-V7))</f>
        <v>86.941175999999999</v>
      </c>
      <c r="R7" s="9">
        <f>VALUE(MID($U$6,W7+1,X7-W7-1))</f>
        <v>134.11677700000001</v>
      </c>
      <c r="V7" s="1">
        <f>FIND(V3,$U$6)+LEN(V3)</f>
        <v>46</v>
      </c>
      <c r="W7" s="1">
        <f>FIND(" ",$U$6,V7+1)</f>
        <v>56</v>
      </c>
      <c r="X7" s="1">
        <f>FIND(")",$U$6,W7+1)</f>
        <v>67</v>
      </c>
    </row>
    <row r="8" spans="1:26" x14ac:dyDescent="0.35">
      <c r="B8" s="5">
        <f>-B7-$D7*COS(RADIANS($D6))</f>
        <v>-0.27969065890104705</v>
      </c>
      <c r="C8" s="5">
        <f>E8*(C7+$D7*SIN(RADIANS($D6)))</f>
        <v>1.0438122069089548</v>
      </c>
      <c r="E8" s="1">
        <v>-1</v>
      </c>
      <c r="Q8" s="9">
        <f>VALUE(MID($U$8,V8+1,W8-V8))</f>
        <v>85.720917</v>
      </c>
      <c r="R8" s="9">
        <f>VALUE(MID($U$8,W8+1,X8-W8-1))</f>
        <v>148.06440000000001</v>
      </c>
      <c r="U8" s="1" t="s">
        <v>19</v>
      </c>
      <c r="V8" s="1">
        <f>FIND(V2,$U$8)+LEN(V2)</f>
        <v>18</v>
      </c>
      <c r="W8" s="1">
        <f>FIND(" ",$U$8,V8+1)</f>
        <v>28</v>
      </c>
      <c r="X8" s="1">
        <f>FIND(")",$U$8,W8+1)</f>
        <v>37</v>
      </c>
    </row>
    <row r="9" spans="1:26" x14ac:dyDescent="0.35">
      <c r="B9" s="5"/>
      <c r="C9" s="5"/>
      <c r="Q9" s="9">
        <f>VALUE(MID($U$8,V9+1,W9-V9))</f>
        <v>99.668638999999999</v>
      </c>
      <c r="R9" s="9">
        <f>VALUE(MID($U$8,W9+1,X9-W9-1))</f>
        <v>149.28466700000001</v>
      </c>
      <c r="V9" s="1">
        <f>FIND(V3,$U$8)+LEN(V3)</f>
        <v>43</v>
      </c>
      <c r="W9" s="1">
        <f>FIND(" ",$U$8,V9+1)</f>
        <v>53</v>
      </c>
      <c r="X9" s="1">
        <f>FIND(")",$U$8,W9+1)</f>
        <v>64</v>
      </c>
    </row>
    <row r="10" spans="1:26" x14ac:dyDescent="0.35">
      <c r="B10">
        <f>IFERROR(VALUE(MID($G10,L10,M10-L10)),VALUE(RIGHT($G10,LEN($G10)-L10)))</f>
        <v>162.51400000000001</v>
      </c>
      <c r="C10">
        <f t="shared" ref="C10" si="7">IFERROR(VALUE(MID($G10,M10,N10-M10)),VALUE(RIGHT($G10,LEN($G10)-M10)))</f>
        <v>116.505</v>
      </c>
      <c r="D10">
        <f>IFERROR(VALUE(MID($G10,N10,O10-N10)),VALUE(MID($G10,N10,LEN($G10)-N10)))</f>
        <v>155</v>
      </c>
      <c r="F10" t="str">
        <f>"D"&amp;F2</f>
        <v>D22</v>
      </c>
      <c r="G10" s="1" t="s">
        <v>20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B10+B$6+B8</f>
        <v>90.205216841098959</v>
      </c>
      <c r="C11">
        <f>C10+C$6+C8</f>
        <v>141.42953445690898</v>
      </c>
      <c r="D11">
        <f>IF(D10+D$5&lt;0,360+D10+D$5,D10+D$5)</f>
        <v>174.99999819407134</v>
      </c>
      <c r="F11" t="str">
        <f>F10&amp;"'"</f>
        <v>D22'</v>
      </c>
      <c r="G11" t="str">
        <f>LEFT(G10,L10)&amp;TEXT(B11,"#0.0####")&amp;" "&amp;TEXT(C11,"#0.0####")&amp;" "&amp;TEXT(D11,"#0")&amp;")"</f>
        <v xml:space="preserve">    (at 90.20522 141.42953 175)</v>
      </c>
      <c r="V11" s="8"/>
    </row>
    <row r="13" spans="1:26" x14ac:dyDescent="0.35">
      <c r="B13">
        <f>IFERROR(VALUE(MID($G13,L13,M13-L13)),VALUE(RIGHT($G13,LEN($G13)-L13)))</f>
        <v>167.483</v>
      </c>
      <c r="C13">
        <f t="shared" ref="C13" si="9">IFERROR(VALUE(MID($G13,M13,N13-M13)),VALUE(RIGHT($G13,LEN($G13)-M13)))</f>
        <v>113.215</v>
      </c>
      <c r="D13">
        <f>IFERROR(VALUE(MID($G13,N13,O13-N13)),VALUE(MID($G13,N13,LEN($G13)-N13)))</f>
        <v>335</v>
      </c>
      <c r="F13" t="str">
        <f>"D"&amp;TEXT(F2+F16,"0")</f>
        <v>D60</v>
      </c>
      <c r="G13" s="1" t="s">
        <v>21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B13+B$6+B17*A17</f>
        <v>93.716445322367832</v>
      </c>
      <c r="C14">
        <f>C13+C$6+C17</f>
        <v>136.78936081835622</v>
      </c>
      <c r="D14">
        <f>IF(D13+D$5&lt;0,360+D13+D$5,D13+D$5)</f>
        <v>354.99999819407134</v>
      </c>
      <c r="F14" t="str">
        <f>F13&amp;"'"</f>
        <v>D60'</v>
      </c>
      <c r="G14" t="str">
        <f>LEFT(G13,L13)&amp;TEXT(B14,"#0.0####")&amp;" "&amp;TEXT(C14,"#0.0####")&amp;" "&amp;TEXT(D14,"#0")&amp;")"</f>
        <v xml:space="preserve">    (at 93.71645 136.78936 355)</v>
      </c>
    </row>
    <row r="16" spans="1:26" x14ac:dyDescent="0.35">
      <c r="A16" s="5"/>
      <c r="B16" s="5">
        <v>0</v>
      </c>
      <c r="C16" s="5">
        <v>-5.0799999999999983</v>
      </c>
      <c r="D16" s="5">
        <f>SQRT(B16^2+C16^2)</f>
        <v>5.0799999999999983</v>
      </c>
      <c r="F16" s="1">
        <f>74-36</f>
        <v>38</v>
      </c>
    </row>
    <row r="17" spans="1:3" x14ac:dyDescent="0.35">
      <c r="A17" s="1">
        <v>-1</v>
      </c>
      <c r="B17" s="5">
        <f>B16+$D16*SIN(RADIANS($D5))</f>
        <v>1.7374621776321681</v>
      </c>
      <c r="C17" s="5">
        <f>C16+$D16*COS(RADIANS($D5))</f>
        <v>-0.30636143164381568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G6" sqref="G6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2" ht="8.5" customHeight="1" x14ac:dyDescent="0.35"/>
    <row r="2" spans="1:22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2" x14ac:dyDescent="0.35">
      <c r="A3" s="3" t="s">
        <v>4</v>
      </c>
      <c r="B3" s="5">
        <f>MoveSW!B6</f>
        <v>-72.029092500000004</v>
      </c>
      <c r="C3" s="5"/>
      <c r="D3" s="5">
        <f>MoveSW!B6</f>
        <v>-72.029092500000004</v>
      </c>
      <c r="E3" s="5"/>
      <c r="F3" s="3" t="s">
        <v>4</v>
      </c>
    </row>
    <row r="4" spans="1:22" x14ac:dyDescent="0.35">
      <c r="B4">
        <f>VALUE(MID($G4,K4,L4-K4))+B$3</f>
        <v>-40.203392500000007</v>
      </c>
      <c r="C4">
        <f>VALUE(MID($G4,L4,M4-L4-1))+C$3</f>
        <v>119.8426</v>
      </c>
      <c r="D4">
        <f>VALUE(MID($G4,N4,O4-N4))+D$3</f>
        <v>-39.736592500000008</v>
      </c>
      <c r="E4">
        <f>VALUE(MID($G4,O4,P4-O4-1))+E$3</f>
        <v>120.26649999999999</v>
      </c>
      <c r="G4" s="1" t="s">
        <v>12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26</v>
      </c>
      <c r="M4" s="1">
        <f t="shared" si="0"/>
        <v>36</v>
      </c>
      <c r="N4" s="1">
        <f t="shared" si="0"/>
        <v>41</v>
      </c>
      <c r="O4" s="1">
        <f t="shared" si="0"/>
        <v>49</v>
      </c>
      <c r="P4" s="1">
        <f t="shared" si="0"/>
        <v>59</v>
      </c>
      <c r="Q4" s="1">
        <f t="shared" si="0"/>
        <v>66</v>
      </c>
      <c r="R4" s="1">
        <f t="shared" si="0"/>
        <v>74</v>
      </c>
      <c r="S4" s="1">
        <f t="shared" si="0"/>
        <v>81</v>
      </c>
      <c r="T4" s="1">
        <f t="shared" si="0"/>
        <v>88</v>
      </c>
      <c r="U4" s="1">
        <f t="shared" si="0"/>
        <v>93</v>
      </c>
      <c r="V4" s="1" t="e">
        <f t="shared" si="0"/>
        <v>#VALUE!</v>
      </c>
    </row>
    <row r="5" spans="1:22" x14ac:dyDescent="0.35">
      <c r="B5">
        <f t="shared" ref="B5:B8" si="1">VALUE(MID($G5,K5,L5-K5))+B$3</f>
        <v>-40.203392500000007</v>
      </c>
      <c r="C5">
        <f t="shared" ref="C5:C8" si="2">VALUE(MID($G5,L5,M5-L5-1))+C$3</f>
        <v>119.8426</v>
      </c>
      <c r="D5">
        <f t="shared" ref="D5:D8" si="3">VALUE(MID($G5,N5,O5-N5))+D$3</f>
        <v>-40.617792500000007</v>
      </c>
      <c r="E5">
        <f t="shared" ref="E5:E8" si="4">VALUE(MID($G5,O5,P5-O5-1))+E$3</f>
        <v>120.3177</v>
      </c>
      <c r="G5" s="1" t="s">
        <v>13</v>
      </c>
      <c r="H5" s="1">
        <f t="shared" ref="H5:H13" si="5">FIND(" ",$G5)</f>
        <v>1</v>
      </c>
      <c r="I5" s="1">
        <f t="shared" ref="I5:V8" si="6">FIND(" ",$G5,H5+1)</f>
        <v>2</v>
      </c>
      <c r="J5" s="1">
        <f t="shared" si="6"/>
        <v>11</v>
      </c>
      <c r="K5" s="1">
        <f t="shared" si="6"/>
        <v>18</v>
      </c>
      <c r="L5" s="1">
        <f t="shared" si="6"/>
        <v>26</v>
      </c>
      <c r="M5" s="1">
        <f t="shared" si="6"/>
        <v>36</v>
      </c>
      <c r="N5" s="1">
        <f t="shared" si="6"/>
        <v>41</v>
      </c>
      <c r="O5" s="1">
        <f t="shared" si="6"/>
        <v>49</v>
      </c>
      <c r="P5" s="1">
        <f t="shared" si="6"/>
        <v>59</v>
      </c>
      <c r="Q5" s="1">
        <f t="shared" si="6"/>
        <v>66</v>
      </c>
      <c r="R5" s="1">
        <f t="shared" si="6"/>
        <v>74</v>
      </c>
      <c r="S5" s="1">
        <f t="shared" si="6"/>
        <v>81</v>
      </c>
      <c r="T5" s="1">
        <f t="shared" si="6"/>
        <v>88</v>
      </c>
      <c r="U5" s="1">
        <f t="shared" si="6"/>
        <v>93</v>
      </c>
      <c r="V5" s="1" t="e">
        <f t="shared" si="6"/>
        <v>#VALUE!</v>
      </c>
    </row>
    <row r="6" spans="1:22" x14ac:dyDescent="0.35"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t="e">
        <f t="shared" si="4"/>
        <v>#VALUE!</v>
      </c>
      <c r="H6" s="1" t="e">
        <f t="shared" si="5"/>
        <v>#VALUE!</v>
      </c>
      <c r="I6" s="1" t="e">
        <f t="shared" si="6"/>
        <v>#VALUE!</v>
      </c>
      <c r="J6" s="1" t="e">
        <f t="shared" si="6"/>
        <v>#VALUE!</v>
      </c>
      <c r="K6" s="1" t="e">
        <f t="shared" si="6"/>
        <v>#VALUE!</v>
      </c>
      <c r="L6" s="1" t="e">
        <f t="shared" si="6"/>
        <v>#VALUE!</v>
      </c>
      <c r="M6" s="1" t="e">
        <f t="shared" si="6"/>
        <v>#VALUE!</v>
      </c>
      <c r="N6" s="1" t="e">
        <f t="shared" si="6"/>
        <v>#VALUE!</v>
      </c>
      <c r="O6" s="1" t="e">
        <f t="shared" si="6"/>
        <v>#VALUE!</v>
      </c>
      <c r="P6" s="1" t="e">
        <f t="shared" si="6"/>
        <v>#VALUE!</v>
      </c>
      <c r="Q6" s="1" t="e">
        <f t="shared" si="6"/>
        <v>#VALUE!</v>
      </c>
      <c r="R6" s="1" t="e">
        <f t="shared" si="6"/>
        <v>#VALUE!</v>
      </c>
      <c r="S6" s="1" t="e">
        <f t="shared" si="6"/>
        <v>#VALUE!</v>
      </c>
      <c r="T6" s="1" t="e">
        <f t="shared" si="6"/>
        <v>#VALUE!</v>
      </c>
      <c r="U6" s="1" t="e">
        <f t="shared" si="6"/>
        <v>#VALUE!</v>
      </c>
      <c r="V6" s="1" t="e">
        <f t="shared" si="6"/>
        <v>#VALUE!</v>
      </c>
    </row>
    <row r="7" spans="1:22" x14ac:dyDescent="0.35"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t="e">
        <f t="shared" si="4"/>
        <v>#VALUE!</v>
      </c>
      <c r="H7" s="1" t="e">
        <f t="shared" si="5"/>
        <v>#VALUE!</v>
      </c>
      <c r="I7" s="1" t="e">
        <f t="shared" si="6"/>
        <v>#VALUE!</v>
      </c>
      <c r="J7" s="1" t="e">
        <f t="shared" si="6"/>
        <v>#VALUE!</v>
      </c>
      <c r="K7" s="1" t="e">
        <f t="shared" si="6"/>
        <v>#VALUE!</v>
      </c>
      <c r="L7" s="1" t="e">
        <f t="shared" si="6"/>
        <v>#VALUE!</v>
      </c>
      <c r="M7" s="1" t="e">
        <f t="shared" si="6"/>
        <v>#VALUE!</v>
      </c>
      <c r="N7" s="1" t="e">
        <f t="shared" si="6"/>
        <v>#VALUE!</v>
      </c>
      <c r="O7" s="1" t="e">
        <f t="shared" si="6"/>
        <v>#VALUE!</v>
      </c>
      <c r="P7" s="1" t="e">
        <f t="shared" si="6"/>
        <v>#VALUE!</v>
      </c>
      <c r="Q7" s="1" t="e">
        <f t="shared" si="6"/>
        <v>#VALUE!</v>
      </c>
      <c r="R7" s="1" t="e">
        <f t="shared" si="6"/>
        <v>#VALUE!</v>
      </c>
      <c r="S7" s="1" t="e">
        <f t="shared" si="6"/>
        <v>#VALUE!</v>
      </c>
      <c r="T7" s="1" t="e">
        <f t="shared" si="6"/>
        <v>#VALUE!</v>
      </c>
      <c r="U7" s="1" t="e">
        <f t="shared" si="6"/>
        <v>#VALUE!</v>
      </c>
      <c r="V7" s="1" t="e">
        <f t="shared" si="6"/>
        <v>#VALUE!</v>
      </c>
    </row>
    <row r="8" spans="1:22" x14ac:dyDescent="0.35">
      <c r="B8">
        <f t="shared" si="1"/>
        <v>-41.975592500000005</v>
      </c>
      <c r="C8">
        <f t="shared" si="2"/>
        <v>121.3496</v>
      </c>
      <c r="D8">
        <f t="shared" si="3"/>
        <v>-41.97959250000001</v>
      </c>
      <c r="E8">
        <f t="shared" si="4"/>
        <v>121.34869999999999</v>
      </c>
      <c r="G8" s="1" t="s">
        <v>7</v>
      </c>
      <c r="H8" s="1">
        <f t="shared" si="5"/>
        <v>1</v>
      </c>
      <c r="I8" s="1">
        <f t="shared" si="6"/>
        <v>2</v>
      </c>
      <c r="J8" s="1">
        <f t="shared" si="6"/>
        <v>11</v>
      </c>
      <c r="K8" s="1">
        <f t="shared" si="6"/>
        <v>18</v>
      </c>
      <c r="L8" s="1">
        <f t="shared" si="6"/>
        <v>26</v>
      </c>
      <c r="M8" s="1">
        <f t="shared" si="6"/>
        <v>36</v>
      </c>
      <c r="N8" s="1">
        <f t="shared" si="6"/>
        <v>41</v>
      </c>
      <c r="O8" s="1">
        <f t="shared" si="6"/>
        <v>49</v>
      </c>
      <c r="P8" s="1">
        <f t="shared" si="6"/>
        <v>59</v>
      </c>
      <c r="Q8" s="1">
        <f t="shared" si="6"/>
        <v>66</v>
      </c>
      <c r="R8" s="1">
        <f t="shared" si="6"/>
        <v>74</v>
      </c>
      <c r="S8" s="1">
        <f t="shared" si="6"/>
        <v>81</v>
      </c>
      <c r="T8" s="1">
        <f t="shared" si="6"/>
        <v>87</v>
      </c>
      <c r="U8" s="1">
        <f t="shared" si="6"/>
        <v>92</v>
      </c>
      <c r="V8" s="1" t="e">
        <f t="shared" si="6"/>
        <v>#VALUE!</v>
      </c>
    </row>
    <row r="9" spans="1:22" x14ac:dyDescent="0.35">
      <c r="B9">
        <f t="shared" ref="B9:B13" si="7">VALUE(MID($G9,K9,L9-K9))+B$3</f>
        <v>-40.3692925</v>
      </c>
      <c r="C9">
        <f t="shared" ref="C9:C13" si="8">VALUE(MID($G9,L9,M9-L9-1))+C$3</f>
        <v>121.7052</v>
      </c>
      <c r="D9">
        <f t="shared" ref="D9:D13" si="9">VALUE(MID($G9,N9,O9-N9))+D$3</f>
        <v>-41.975592500000005</v>
      </c>
      <c r="E9">
        <f t="shared" ref="E9:E13" si="10">VALUE(MID($G9,O9,P9-O9-1))+E$3</f>
        <v>121.3496</v>
      </c>
      <c r="G9" s="1" t="s">
        <v>8</v>
      </c>
      <c r="H9" s="1">
        <f t="shared" si="5"/>
        <v>1</v>
      </c>
      <c r="I9" s="1">
        <f t="shared" ref="I9:V9" si="11">FIND(" ",$G9,H9+1)</f>
        <v>2</v>
      </c>
      <c r="J9" s="1">
        <f t="shared" si="11"/>
        <v>11</v>
      </c>
      <c r="K9" s="1">
        <f t="shared" si="11"/>
        <v>18</v>
      </c>
      <c r="L9" s="1">
        <f t="shared" si="11"/>
        <v>26</v>
      </c>
      <c r="M9" s="1">
        <f t="shared" si="11"/>
        <v>36</v>
      </c>
      <c r="N9" s="1">
        <f t="shared" si="11"/>
        <v>41</v>
      </c>
      <c r="O9" s="1">
        <f t="shared" si="11"/>
        <v>49</v>
      </c>
      <c r="P9" s="1">
        <f t="shared" si="11"/>
        <v>59</v>
      </c>
      <c r="Q9" s="1">
        <f t="shared" si="11"/>
        <v>66</v>
      </c>
      <c r="R9" s="1">
        <f t="shared" si="11"/>
        <v>74</v>
      </c>
      <c r="S9" s="1">
        <f t="shared" si="11"/>
        <v>81</v>
      </c>
      <c r="T9" s="1">
        <f t="shared" si="11"/>
        <v>87</v>
      </c>
      <c r="U9" s="1">
        <f t="shared" si="11"/>
        <v>92</v>
      </c>
      <c r="V9" s="1" t="e">
        <f t="shared" si="11"/>
        <v>#VALUE!</v>
      </c>
    </row>
    <row r="10" spans="1:22" x14ac:dyDescent="0.35">
      <c r="B10">
        <f t="shared" si="7"/>
        <v>-40.188692500000002</v>
      </c>
      <c r="C10">
        <f t="shared" si="8"/>
        <v>121.73009999999999</v>
      </c>
      <c r="D10">
        <f t="shared" si="9"/>
        <v>-40.127892500000002</v>
      </c>
      <c r="E10">
        <f t="shared" si="10"/>
        <v>121.7286</v>
      </c>
      <c r="G10" s="1" t="s">
        <v>9</v>
      </c>
      <c r="H10" s="1">
        <f t="shared" si="5"/>
        <v>1</v>
      </c>
      <c r="I10" s="1">
        <f t="shared" ref="I10:V10" si="12">FIND(" ",$G10,H10+1)</f>
        <v>2</v>
      </c>
      <c r="J10" s="1">
        <f t="shared" si="12"/>
        <v>11</v>
      </c>
      <c r="K10" s="1">
        <f t="shared" si="12"/>
        <v>18</v>
      </c>
      <c r="L10" s="1">
        <f t="shared" si="12"/>
        <v>26</v>
      </c>
      <c r="M10" s="1">
        <f t="shared" si="12"/>
        <v>36</v>
      </c>
      <c r="N10" s="1">
        <f t="shared" si="12"/>
        <v>41</v>
      </c>
      <c r="O10" s="1">
        <f t="shared" si="12"/>
        <v>49</v>
      </c>
      <c r="P10" s="1">
        <f t="shared" si="12"/>
        <v>59</v>
      </c>
      <c r="Q10" s="1">
        <f t="shared" si="12"/>
        <v>66</v>
      </c>
      <c r="R10" s="1">
        <f t="shared" si="12"/>
        <v>74</v>
      </c>
      <c r="S10" s="1">
        <f t="shared" si="12"/>
        <v>81</v>
      </c>
      <c r="T10" s="1">
        <f t="shared" si="12"/>
        <v>87</v>
      </c>
      <c r="U10" s="1">
        <f t="shared" si="12"/>
        <v>92</v>
      </c>
      <c r="V10" s="1" t="e">
        <f t="shared" si="12"/>
        <v>#VALUE!</v>
      </c>
    </row>
    <row r="11" spans="1:22" x14ac:dyDescent="0.35">
      <c r="B11">
        <f t="shared" si="7"/>
        <v>-40.309292500000005</v>
      </c>
      <c r="C11">
        <f t="shared" si="8"/>
        <v>121.7184</v>
      </c>
      <c r="D11">
        <f t="shared" si="9"/>
        <v>-40.188692500000002</v>
      </c>
      <c r="E11">
        <f t="shared" si="10"/>
        <v>121.73009999999999</v>
      </c>
      <c r="G11" s="1" t="s">
        <v>10</v>
      </c>
      <c r="H11" s="1">
        <f t="shared" si="5"/>
        <v>1</v>
      </c>
      <c r="I11" s="1">
        <f t="shared" ref="I11:V11" si="13">FIND(" ",$G11,H11+1)</f>
        <v>2</v>
      </c>
      <c r="J11" s="1">
        <f t="shared" si="13"/>
        <v>11</v>
      </c>
      <c r="K11" s="1">
        <f t="shared" si="13"/>
        <v>18</v>
      </c>
      <c r="L11" s="1">
        <f t="shared" si="13"/>
        <v>26</v>
      </c>
      <c r="M11" s="1">
        <f t="shared" si="13"/>
        <v>36</v>
      </c>
      <c r="N11" s="1">
        <f t="shared" si="13"/>
        <v>41</v>
      </c>
      <c r="O11" s="1">
        <f t="shared" si="13"/>
        <v>49</v>
      </c>
      <c r="P11" s="1">
        <f t="shared" si="13"/>
        <v>59</v>
      </c>
      <c r="Q11" s="1">
        <f t="shared" si="13"/>
        <v>66</v>
      </c>
      <c r="R11" s="1">
        <f t="shared" si="13"/>
        <v>74</v>
      </c>
      <c r="S11" s="1">
        <f t="shared" si="13"/>
        <v>81</v>
      </c>
      <c r="T11" s="1">
        <f t="shared" si="13"/>
        <v>87</v>
      </c>
      <c r="U11" s="1">
        <f t="shared" si="13"/>
        <v>92</v>
      </c>
      <c r="V11" s="1" t="e">
        <f t="shared" si="13"/>
        <v>#VALUE!</v>
      </c>
    </row>
    <row r="12" spans="1:22" x14ac:dyDescent="0.35">
      <c r="B12">
        <f t="shared" si="7"/>
        <v>-40.3692925</v>
      </c>
      <c r="C12">
        <f t="shared" si="8"/>
        <v>121.7052</v>
      </c>
      <c r="D12">
        <f t="shared" si="9"/>
        <v>-40.309292500000005</v>
      </c>
      <c r="E12">
        <f t="shared" si="10"/>
        <v>121.7184</v>
      </c>
      <c r="G12" s="1" t="s">
        <v>11</v>
      </c>
      <c r="H12" s="1">
        <f t="shared" si="5"/>
        <v>1</v>
      </c>
      <c r="I12" s="1">
        <f t="shared" ref="I12:V12" si="14">FIND(" ",$G12,H12+1)</f>
        <v>2</v>
      </c>
      <c r="J12" s="1">
        <f t="shared" si="14"/>
        <v>11</v>
      </c>
      <c r="K12" s="1">
        <f t="shared" si="14"/>
        <v>18</v>
      </c>
      <c r="L12" s="1">
        <f t="shared" si="14"/>
        <v>26</v>
      </c>
      <c r="M12" s="1">
        <f t="shared" si="14"/>
        <v>36</v>
      </c>
      <c r="N12" s="1">
        <f t="shared" si="14"/>
        <v>41</v>
      </c>
      <c r="O12" s="1">
        <f t="shared" si="14"/>
        <v>49</v>
      </c>
      <c r="P12" s="1">
        <f t="shared" si="14"/>
        <v>59</v>
      </c>
      <c r="Q12" s="1">
        <f t="shared" si="14"/>
        <v>66</v>
      </c>
      <c r="R12" s="1">
        <f t="shared" si="14"/>
        <v>74</v>
      </c>
      <c r="S12" s="1">
        <f t="shared" si="14"/>
        <v>81</v>
      </c>
      <c r="T12" s="1">
        <f t="shared" si="14"/>
        <v>87</v>
      </c>
      <c r="U12" s="1">
        <f t="shared" si="14"/>
        <v>92</v>
      </c>
      <c r="V12" s="1" t="e">
        <f t="shared" si="14"/>
        <v>#VALUE!</v>
      </c>
    </row>
    <row r="13" spans="1:22" x14ac:dyDescent="0.35">
      <c r="B13" t="e">
        <f t="shared" si="7"/>
        <v>#VALUE!</v>
      </c>
      <c r="C13" t="e">
        <f t="shared" si="8"/>
        <v>#VALUE!</v>
      </c>
      <c r="D13" t="e">
        <f t="shared" si="9"/>
        <v>#VALUE!</v>
      </c>
      <c r="E13" t="e">
        <f t="shared" si="10"/>
        <v>#VALUE!</v>
      </c>
      <c r="H13" s="1" t="e">
        <f t="shared" si="5"/>
        <v>#VALUE!</v>
      </c>
      <c r="I13" s="1" t="e">
        <f t="shared" ref="I13:V13" si="15">FIND(" ",$G13,H13+1)</f>
        <v>#VALUE!</v>
      </c>
      <c r="J13" s="1" t="e">
        <f t="shared" si="15"/>
        <v>#VALUE!</v>
      </c>
      <c r="K13" s="1" t="e">
        <f t="shared" si="15"/>
        <v>#VALUE!</v>
      </c>
      <c r="L13" s="1" t="e">
        <f t="shared" si="15"/>
        <v>#VALUE!</v>
      </c>
      <c r="M13" s="1" t="e">
        <f t="shared" si="15"/>
        <v>#VALUE!</v>
      </c>
      <c r="N13" s="1" t="e">
        <f t="shared" si="15"/>
        <v>#VALUE!</v>
      </c>
      <c r="O13" s="1" t="e">
        <f t="shared" si="15"/>
        <v>#VALUE!</v>
      </c>
      <c r="P13" s="1" t="e">
        <f t="shared" si="15"/>
        <v>#VALUE!</v>
      </c>
      <c r="Q13" s="1" t="e">
        <f t="shared" si="15"/>
        <v>#VALUE!</v>
      </c>
      <c r="R13" s="1" t="e">
        <f t="shared" si="15"/>
        <v>#VALUE!</v>
      </c>
      <c r="S13" s="1" t="e">
        <f t="shared" si="15"/>
        <v>#VALUE!</v>
      </c>
      <c r="T13" s="1" t="e">
        <f t="shared" si="15"/>
        <v>#VALUE!</v>
      </c>
      <c r="U13" s="1" t="e">
        <f t="shared" si="15"/>
        <v>#VALUE!</v>
      </c>
      <c r="V13" s="1" t="e">
        <f t="shared" si="15"/>
        <v>#VALUE!</v>
      </c>
    </row>
    <row r="14" spans="1:22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2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(segment (start -40.2034 119.8426) (end -39.7366 120.26655) (width 0.1524) (layer Front) (net 5))</v>
      </c>
    </row>
    <row r="17" spans="7:7" x14ac:dyDescent="0.35">
      <c r="G17" s="4" t="str">
        <f t="shared" ref="G17:G30" si="16">LEFT(G5,K5)&amp;TEXT(B5,"#0.0000")&amp;" "&amp;TEXT(C5,"#0.0000")&amp;MID(G5,M5-1,N5-M5+2)&amp;TEXT(D5,"#0.0000")&amp;" "&amp;TEXT(E5,"#0.0000")&amp;RIGHT(G5,LEN(G5)-P5+3)</f>
        <v xml:space="preserve">  (segment (start -40.2034 119.8426) (end -40.6178 120.31777) (width 0.1524) (layer Front) (net 5))</v>
      </c>
    </row>
    <row r="18" spans="7:7" x14ac:dyDescent="0.35">
      <c r="G18" s="4" t="e">
        <f t="shared" si="16"/>
        <v>#VALUE!</v>
      </c>
    </row>
    <row r="19" spans="7:7" x14ac:dyDescent="0.35">
      <c r="G19" s="4" t="e">
        <f t="shared" si="16"/>
        <v>#VALUE!</v>
      </c>
    </row>
    <row r="20" spans="7:7" x14ac:dyDescent="0.35">
      <c r="G20" s="4" t="str">
        <f t="shared" si="16"/>
        <v xml:space="preserve">  (segment (start -41.9756 121.3496) (end -41.9796 121.34877) (width 0.1524) (layer Back) (net 10))</v>
      </c>
    </row>
    <row r="21" spans="7:7" x14ac:dyDescent="0.35">
      <c r="G21" s="4" t="str">
        <f t="shared" si="16"/>
        <v xml:space="preserve">  (segment (start -40.3693 121.7052) (end -41.9756 121.34966) (width 0.1524) (layer Back) (net 10))</v>
      </c>
    </row>
    <row r="22" spans="7:7" x14ac:dyDescent="0.35">
      <c r="G22" s="4" t="str">
        <f t="shared" si="16"/>
        <v xml:space="preserve">  (segment (start -40.1887 121.7301) (end -40.1279 121.72866) (width 0.1524) (layer Back) (net 10))</v>
      </c>
    </row>
    <row r="23" spans="7:7" x14ac:dyDescent="0.35">
      <c r="G23" s="4" t="str">
        <f t="shared" si="16"/>
        <v xml:space="preserve">  (segment (start -40.3093 121.7184) (end -40.1887 121.73011) (width 0.1524) (layer Back) (net 10))</v>
      </c>
    </row>
    <row r="24" spans="7:7" x14ac:dyDescent="0.35">
      <c r="G24" s="4" t="str">
        <f t="shared" si="16"/>
        <v xml:space="preserve">  (segment (start -40.3693 121.7052) (end -40.3093 121.71844) (width 0.1524) (layer Back) (net 10))</v>
      </c>
    </row>
    <row r="25" spans="7:7" x14ac:dyDescent="0.35">
      <c r="G25" s="4" t="e">
        <f t="shared" si="16"/>
        <v>#VALUE!</v>
      </c>
    </row>
    <row r="26" spans="7:7" x14ac:dyDescent="0.35">
      <c r="G26" s="4" t="e">
        <f t="shared" si="16"/>
        <v>#VALUE!</v>
      </c>
    </row>
    <row r="27" spans="7:7" x14ac:dyDescent="0.35">
      <c r="G27" s="4" t="e">
        <f t="shared" si="16"/>
        <v>#VALUE!</v>
      </c>
    </row>
    <row r="28" spans="7:7" x14ac:dyDescent="0.35">
      <c r="G28" s="4" t="e">
        <f t="shared" si="16"/>
        <v>#VALUE!</v>
      </c>
    </row>
    <row r="29" spans="7:7" x14ac:dyDescent="0.35">
      <c r="G29" s="4" t="e">
        <f t="shared" si="16"/>
        <v>#VALUE!</v>
      </c>
    </row>
    <row r="30" spans="7:7" x14ac:dyDescent="0.35">
      <c r="G30" s="4" t="e">
        <f t="shared" si="16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"/>
  <sheetViews>
    <sheetView tabSelected="1"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</cols>
  <sheetData>
    <row r="1" spans="2:22" ht="10" customHeight="1" x14ac:dyDescent="0.35">
      <c r="B1" s="11">
        <f>B4-B3</f>
        <v>-31.78</v>
      </c>
      <c r="C1" s="11">
        <f>C4-C3</f>
        <v>33.239000000000004</v>
      </c>
      <c r="D1" s="11">
        <f>D4-D3</f>
        <v>0</v>
      </c>
      <c r="F1" s="11">
        <f>B1</f>
        <v>-31.78</v>
      </c>
      <c r="G1" s="11">
        <f t="shared" ref="G1:H1" si="0">C1</f>
        <v>33.239000000000004</v>
      </c>
      <c r="H1" s="11">
        <f t="shared" si="0"/>
        <v>0</v>
      </c>
      <c r="L1" s="12" t="s">
        <v>23</v>
      </c>
      <c r="M1" s="12" t="s">
        <v>24</v>
      </c>
      <c r="N1" s="12" t="s">
        <v>24</v>
      </c>
      <c r="O1" s="12" t="s">
        <v>25</v>
      </c>
    </row>
    <row r="2" spans="2:22" x14ac:dyDescent="0.35">
      <c r="B2" s="2" t="s">
        <v>0</v>
      </c>
      <c r="C2" s="2" t="s">
        <v>1</v>
      </c>
      <c r="D2" s="2" t="s">
        <v>14</v>
      </c>
      <c r="F2" s="2" t="s">
        <v>0</v>
      </c>
      <c r="G2" s="2" t="s">
        <v>1</v>
      </c>
      <c r="H2" s="2" t="s">
        <v>14</v>
      </c>
      <c r="Q2" s="2" t="s">
        <v>0</v>
      </c>
      <c r="R2" s="2" t="s">
        <v>1</v>
      </c>
      <c r="S2" s="2" t="s">
        <v>14</v>
      </c>
    </row>
    <row r="3" spans="2:22" x14ac:dyDescent="0.35">
      <c r="B3">
        <v>144.78</v>
      </c>
      <c r="C3">
        <v>119.761</v>
      </c>
      <c r="D3">
        <v>270</v>
      </c>
      <c r="E3" t="s">
        <v>22</v>
      </c>
      <c r="F3">
        <f>VALUE(MID($K3,L3+LEN(L$1),M3-L3-LEN(L$1)))</f>
        <v>136.52500000000001</v>
      </c>
      <c r="G3">
        <f>VALUE(MID($K3,M3+LEN(M$1),N3-M3-LEN(M$1)))</f>
        <v>125.98399999999999</v>
      </c>
      <c r="H3">
        <f>VALUE(MID($K3,N3+LEN(N$1),O3-N3-LEN(N$1)))</f>
        <v>180</v>
      </c>
      <c r="I3" t="s">
        <v>26</v>
      </c>
      <c r="K3" s="11" t="s">
        <v>27</v>
      </c>
      <c r="L3" s="13">
        <f>FIND(L$1,$K3)</f>
        <v>6</v>
      </c>
      <c r="M3" s="13">
        <f>FIND(M$1,$K3,L3+LEN(L$1))</f>
        <v>16</v>
      </c>
      <c r="N3" s="13">
        <f>FIND(N$1,$K3,M3+LEN(M$1))</f>
        <v>24</v>
      </c>
      <c r="O3" s="13">
        <f>FIND(O$1,$K3,N3+LEN(N$1))</f>
        <v>28</v>
      </c>
      <c r="U3" s="10">
        <v>99.460995999999994</v>
      </c>
      <c r="V3">
        <v>156.21478300000001</v>
      </c>
    </row>
    <row r="4" spans="2:22" x14ac:dyDescent="0.35">
      <c r="B4">
        <v>113</v>
      </c>
      <c r="C4">
        <v>153</v>
      </c>
      <c r="D4">
        <v>270</v>
      </c>
      <c r="E4" t="str">
        <f>E3&amp;"'"</f>
        <v>U1'</v>
      </c>
      <c r="F4">
        <f>F3+F1</f>
        <v>104.745</v>
      </c>
      <c r="G4">
        <f>G3+G1</f>
        <v>159.22300000000001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"&amp;TEXT(H4,"#0")&amp;RIGHT(K3,LEN(K3)-O3+1)</f>
        <v xml:space="preserve">    (at 104.745 159.223 180)</v>
      </c>
      <c r="U4">
        <v>96.173552999999998</v>
      </c>
      <c r="V4">
        <v>155.92716899999999</v>
      </c>
    </row>
    <row r="5" spans="2:22" x14ac:dyDescent="0.35">
      <c r="U5">
        <v>138.15238299999999</v>
      </c>
      <c r="V5">
        <v>157.72632999999999</v>
      </c>
    </row>
    <row r="6" spans="2:22" x14ac:dyDescent="0.35">
      <c r="U6">
        <v>137.365522</v>
      </c>
      <c r="V6">
        <v>157.86507499999999</v>
      </c>
    </row>
    <row r="8" spans="2:22" x14ac:dyDescent="0.35">
      <c r="U8" s="10">
        <f>ROUND(AVERAGE(U3:U6),0)</f>
        <v>118</v>
      </c>
      <c r="V8" s="10">
        <f>ROUND(AVERAGE(V3:V6),0)</f>
        <v>157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2017-06-03T05:43:00Z</dcterms:modified>
</cp:coreProperties>
</file>