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8195" windowHeight="11565" activeTab="4"/>
  </bookViews>
  <sheets>
    <sheet name="Table of Contents" sheetId="1" r:id="rId1"/>
    <sheet name="Employees" sheetId="2" r:id="rId2"/>
    <sheet name="Conservancy Spending" sheetId="5" r:id="rId3"/>
    <sheet name="Price of Living" sheetId="3" r:id="rId4"/>
    <sheet name="Spending per Resident" sheetId="6" r:id="rId5"/>
    <sheet name="Spending by Agency" sheetId="7" r:id="rId6"/>
  </sheets>
  <definedNames>
    <definedName name="_xlnm.Print_Area" localSheetId="2">'Conservancy Spending'!$A$1:$I$46</definedName>
    <definedName name="_xlnm.Print_Area" localSheetId="1">Employees!$A$1:$D$108</definedName>
    <definedName name="_xlnm.Print_Area" localSheetId="4">'Spending per Resident'!$A$1:$H$109</definedName>
  </definedNames>
  <calcPr calcId="145621"/>
</workbook>
</file>

<file path=xl/calcChain.xml><?xml version="1.0" encoding="utf-8"?>
<calcChain xmlns="http://schemas.openxmlformats.org/spreadsheetml/2006/main">
  <c r="L114" i="6" l="1"/>
  <c r="Q111" i="6"/>
  <c r="P111" i="6"/>
  <c r="O111" i="6"/>
  <c r="N111" i="6"/>
  <c r="M111" i="6"/>
  <c r="L111" i="6"/>
  <c r="E471" i="7" l="1"/>
  <c r="G469" i="7"/>
  <c r="G466" i="7"/>
  <c r="G463" i="7"/>
  <c r="F458" i="7"/>
  <c r="F455" i="7"/>
  <c r="F454" i="7"/>
  <c r="G456" i="7" s="1"/>
  <c r="F446" i="7"/>
  <c r="G449" i="7" s="1"/>
  <c r="F442" i="7"/>
  <c r="G444" i="7" s="1"/>
  <c r="G439" i="7"/>
  <c r="G435" i="7"/>
  <c r="G430" i="7"/>
  <c r="G426" i="7"/>
  <c r="F419" i="7"/>
  <c r="G421" i="7" s="1"/>
  <c r="G416" i="7"/>
  <c r="G410" i="7"/>
  <c r="F405" i="7"/>
  <c r="G406" i="7" s="1"/>
  <c r="G403" i="7"/>
  <c r="G399" i="7"/>
  <c r="F392" i="7"/>
  <c r="F391" i="7"/>
  <c r="F390" i="7"/>
  <c r="F389" i="7"/>
  <c r="F388" i="7"/>
  <c r="G393" i="7" s="1"/>
  <c r="G386" i="7"/>
  <c r="F377" i="7"/>
  <c r="F376" i="7"/>
  <c r="F375" i="7"/>
  <c r="F374" i="7"/>
  <c r="G378" i="7" s="1"/>
  <c r="F373" i="7"/>
  <c r="G371" i="7"/>
  <c r="G365" i="7"/>
  <c r="G357" i="7"/>
  <c r="G353" i="7"/>
  <c r="G348" i="7"/>
  <c r="G343" i="7"/>
  <c r="G340" i="7"/>
  <c r="G336" i="7"/>
  <c r="G332" i="7"/>
  <c r="G325" i="7"/>
  <c r="G321" i="7"/>
  <c r="G318" i="7"/>
  <c r="G314" i="7"/>
  <c r="F313" i="7"/>
  <c r="G309" i="7"/>
  <c r="G306" i="7"/>
  <c r="G303" i="7"/>
  <c r="G299" i="7"/>
  <c r="G291" i="7"/>
  <c r="H282" i="7"/>
  <c r="G280" i="7"/>
  <c r="G274" i="7"/>
  <c r="G271" i="7"/>
  <c r="G265" i="7"/>
  <c r="G259" i="7"/>
  <c r="F255" i="7"/>
  <c r="D252" i="7"/>
  <c r="F252" i="7" s="1"/>
  <c r="G256" i="7" s="1"/>
  <c r="G250" i="7"/>
  <c r="G246" i="7"/>
  <c r="G243" i="7"/>
  <c r="G237" i="7"/>
  <c r="G228" i="7"/>
  <c r="G225" i="7"/>
  <c r="G222" i="7"/>
  <c r="G218" i="7"/>
  <c r="G214" i="7"/>
  <c r="G210" i="7"/>
  <c r="G206" i="7"/>
  <c r="G201" i="7"/>
  <c r="G190" i="7"/>
  <c r="G186" i="7"/>
  <c r="F184" i="7"/>
  <c r="G182" i="7"/>
  <c r="G175" i="7"/>
  <c r="G167" i="7"/>
  <c r="G163" i="7"/>
  <c r="G159" i="7"/>
  <c r="G156" i="7"/>
  <c r="G149" i="7"/>
  <c r="G146" i="7"/>
  <c r="G141" i="7"/>
  <c r="G138" i="7"/>
  <c r="D133" i="7"/>
  <c r="D135" i="7" s="1"/>
  <c r="G129" i="7"/>
  <c r="G125" i="7"/>
  <c r="G120" i="7"/>
  <c r="G117" i="7"/>
  <c r="G113" i="7"/>
  <c r="G108" i="7"/>
  <c r="G104" i="7"/>
  <c r="G99" i="7"/>
  <c r="F97" i="7"/>
  <c r="G95" i="7"/>
  <c r="G89" i="7"/>
  <c r="G84" i="7"/>
  <c r="G78" i="7"/>
  <c r="G73" i="7"/>
  <c r="G67" i="7"/>
  <c r="G62" i="7"/>
  <c r="F51" i="7"/>
  <c r="G52" i="7" s="1"/>
  <c r="D51" i="7"/>
  <c r="D471" i="7" s="1"/>
  <c r="G49" i="7"/>
  <c r="G45" i="7"/>
  <c r="G40" i="7"/>
  <c r="G34" i="7"/>
  <c r="G31" i="7"/>
  <c r="G26" i="7"/>
  <c r="G21" i="7"/>
  <c r="G18" i="7"/>
  <c r="G14" i="7"/>
  <c r="F11" i="7"/>
  <c r="G9" i="7"/>
  <c r="G98" i="6"/>
  <c r="E98" i="6"/>
  <c r="C98" i="6"/>
  <c r="H98" i="6" s="1"/>
  <c r="G97" i="6"/>
  <c r="E97" i="6"/>
  <c r="C97" i="6"/>
  <c r="H97" i="6" s="1"/>
  <c r="G87" i="6"/>
  <c r="E87" i="6"/>
  <c r="C87" i="6"/>
  <c r="H87" i="6" s="1"/>
  <c r="G96" i="6"/>
  <c r="D96" i="6"/>
  <c r="E96" i="6" s="1"/>
  <c r="G86" i="6"/>
  <c r="E86" i="6"/>
  <c r="C86" i="6"/>
  <c r="H86" i="6" s="1"/>
  <c r="G73" i="6"/>
  <c r="D73" i="6"/>
  <c r="E73" i="6" s="1"/>
  <c r="C73" i="6"/>
  <c r="H73" i="6" s="1"/>
  <c r="G95" i="6"/>
  <c r="E95" i="6"/>
  <c r="C95" i="6"/>
  <c r="H95" i="6" s="1"/>
  <c r="G69" i="6"/>
  <c r="D69" i="6"/>
  <c r="E69" i="6" s="1"/>
  <c r="G61" i="6"/>
  <c r="E61" i="6"/>
  <c r="C61" i="6"/>
  <c r="H61" i="6" s="1"/>
  <c r="G94" i="6"/>
  <c r="D94" i="6"/>
  <c r="E94" i="6" s="1"/>
  <c r="C94" i="6"/>
  <c r="H94" i="6" s="1"/>
  <c r="G93" i="6"/>
  <c r="E93" i="6"/>
  <c r="C93" i="6"/>
  <c r="H93" i="6" s="1"/>
  <c r="G20" i="6"/>
  <c r="D20" i="6"/>
  <c r="E20" i="6" s="1"/>
  <c r="H62" i="6"/>
  <c r="G62" i="6"/>
  <c r="E62" i="6"/>
  <c r="C62" i="6"/>
  <c r="H47" i="6"/>
  <c r="G47" i="6"/>
  <c r="E47" i="6"/>
  <c r="C47" i="6"/>
  <c r="H92" i="6"/>
  <c r="G92" i="6"/>
  <c r="E92" i="6"/>
  <c r="C92" i="6"/>
  <c r="H90" i="6"/>
  <c r="G90" i="6"/>
  <c r="E90" i="6"/>
  <c r="C90" i="6"/>
  <c r="H84" i="6"/>
  <c r="G84" i="6"/>
  <c r="E84" i="6"/>
  <c r="C84" i="6"/>
  <c r="H91" i="6"/>
  <c r="G91" i="6"/>
  <c r="E91" i="6"/>
  <c r="C91" i="6"/>
  <c r="H89" i="6"/>
  <c r="G89" i="6"/>
  <c r="E89" i="6"/>
  <c r="C89" i="6"/>
  <c r="G88" i="6"/>
  <c r="D88" i="6"/>
  <c r="C88" i="6" s="1"/>
  <c r="H88" i="6" s="1"/>
  <c r="G74" i="6"/>
  <c r="E74" i="6"/>
  <c r="C74" i="6"/>
  <c r="H74" i="6" s="1"/>
  <c r="G30" i="6"/>
  <c r="E30" i="6"/>
  <c r="C30" i="6"/>
  <c r="H30" i="6" s="1"/>
  <c r="G80" i="6"/>
  <c r="E80" i="6"/>
  <c r="C80" i="6"/>
  <c r="H80" i="6" s="1"/>
  <c r="G51" i="6"/>
  <c r="E51" i="6"/>
  <c r="C51" i="6"/>
  <c r="H51" i="6" s="1"/>
  <c r="G85" i="6"/>
  <c r="E85" i="6"/>
  <c r="C85" i="6"/>
  <c r="H85" i="6" s="1"/>
  <c r="G82" i="6"/>
  <c r="E82" i="6"/>
  <c r="C82" i="6"/>
  <c r="H82" i="6" s="1"/>
  <c r="G75" i="6"/>
  <c r="E75" i="6"/>
  <c r="C75" i="6"/>
  <c r="H75" i="6" s="1"/>
  <c r="G81" i="6"/>
  <c r="E81" i="6"/>
  <c r="C81" i="6"/>
  <c r="H81" i="6" s="1"/>
  <c r="G49" i="6"/>
  <c r="E49" i="6"/>
  <c r="C49" i="6"/>
  <c r="H49" i="6" s="1"/>
  <c r="G83" i="6"/>
  <c r="E83" i="6"/>
  <c r="C83" i="6"/>
  <c r="H83" i="6" s="1"/>
  <c r="G68" i="6"/>
  <c r="E68" i="6"/>
  <c r="C68" i="6"/>
  <c r="H68" i="6" s="1"/>
  <c r="G78" i="6"/>
  <c r="E78" i="6"/>
  <c r="C78" i="6"/>
  <c r="H78" i="6" s="1"/>
  <c r="G71" i="6"/>
  <c r="E71" i="6"/>
  <c r="C71" i="6"/>
  <c r="H71" i="6" s="1"/>
  <c r="G60" i="6"/>
  <c r="E60" i="6"/>
  <c r="C60" i="6"/>
  <c r="H60" i="6" s="1"/>
  <c r="G16" i="6"/>
  <c r="E16" i="6"/>
  <c r="C16" i="6"/>
  <c r="H16" i="6" s="1"/>
  <c r="G55" i="6"/>
  <c r="E55" i="6"/>
  <c r="C55" i="6"/>
  <c r="H55" i="6" s="1"/>
  <c r="G44" i="6"/>
  <c r="D44" i="6"/>
  <c r="E44" i="6" s="1"/>
  <c r="G72" i="6"/>
  <c r="E72" i="6"/>
  <c r="C72" i="6"/>
  <c r="H72" i="6" s="1"/>
  <c r="G79" i="6"/>
  <c r="E79" i="6"/>
  <c r="C79" i="6"/>
  <c r="H79" i="6" s="1"/>
  <c r="G56" i="6"/>
  <c r="E56" i="6"/>
  <c r="C56" i="6"/>
  <c r="H56" i="6" s="1"/>
  <c r="G45" i="6"/>
  <c r="E45" i="6"/>
  <c r="C45" i="6"/>
  <c r="H45" i="6" s="1"/>
  <c r="G77" i="6"/>
  <c r="E77" i="6"/>
  <c r="C77" i="6"/>
  <c r="H77" i="6" s="1"/>
  <c r="G67" i="6"/>
  <c r="E67" i="6"/>
  <c r="C67" i="6"/>
  <c r="H67" i="6" s="1"/>
  <c r="G66" i="6"/>
  <c r="E66" i="6"/>
  <c r="C66" i="6"/>
  <c r="H66" i="6" s="1"/>
  <c r="G76" i="6"/>
  <c r="E76" i="6"/>
  <c r="C76" i="6"/>
  <c r="H76" i="6" s="1"/>
  <c r="G52" i="6"/>
  <c r="D52" i="6"/>
  <c r="E52" i="6" s="1"/>
  <c r="C52" i="6"/>
  <c r="H52" i="6" s="1"/>
  <c r="G57" i="6"/>
  <c r="E57" i="6"/>
  <c r="C57" i="6"/>
  <c r="H57" i="6" s="1"/>
  <c r="G8" i="6"/>
  <c r="D8" i="6"/>
  <c r="E8" i="6" s="1"/>
  <c r="G63" i="6"/>
  <c r="E63" i="6"/>
  <c r="C63" i="6"/>
  <c r="H63" i="6" s="1"/>
  <c r="G15" i="6"/>
  <c r="E15" i="6"/>
  <c r="C15" i="6"/>
  <c r="H15" i="6" s="1"/>
  <c r="G54" i="6"/>
  <c r="E54" i="6"/>
  <c r="D54" i="6"/>
  <c r="C54" i="6"/>
  <c r="H54" i="6" s="1"/>
  <c r="G41" i="6"/>
  <c r="D41" i="6"/>
  <c r="E41" i="6" s="1"/>
  <c r="G25" i="6"/>
  <c r="E25" i="6"/>
  <c r="C25" i="6"/>
  <c r="H25" i="6" s="1"/>
  <c r="G65" i="6"/>
  <c r="E65" i="6"/>
  <c r="C65" i="6"/>
  <c r="H65" i="6" s="1"/>
  <c r="G64" i="6"/>
  <c r="E64" i="6"/>
  <c r="C64" i="6"/>
  <c r="H64" i="6" s="1"/>
  <c r="G50" i="6"/>
  <c r="E50" i="6"/>
  <c r="C50" i="6"/>
  <c r="H50" i="6" s="1"/>
  <c r="G23" i="6"/>
  <c r="E23" i="6"/>
  <c r="C23" i="6"/>
  <c r="H23" i="6" s="1"/>
  <c r="G31" i="6"/>
  <c r="E31" i="6"/>
  <c r="C31" i="6"/>
  <c r="H31" i="6" s="1"/>
  <c r="F14" i="6"/>
  <c r="G14" i="6" s="1"/>
  <c r="E14" i="6"/>
  <c r="G70" i="6"/>
  <c r="E70" i="6"/>
  <c r="C70" i="6"/>
  <c r="H70" i="6" s="1"/>
  <c r="G28" i="6"/>
  <c r="D28" i="6"/>
  <c r="E28" i="6" s="1"/>
  <c r="G27" i="6"/>
  <c r="E27" i="6"/>
  <c r="C27" i="6"/>
  <c r="H27" i="6" s="1"/>
  <c r="G40" i="6"/>
  <c r="E40" i="6"/>
  <c r="C40" i="6"/>
  <c r="H40" i="6" s="1"/>
  <c r="G43" i="6"/>
  <c r="E43" i="6"/>
  <c r="C43" i="6"/>
  <c r="H43" i="6" s="1"/>
  <c r="G17" i="6"/>
  <c r="E17" i="6"/>
  <c r="C17" i="6"/>
  <c r="H17" i="6" s="1"/>
  <c r="G13" i="6"/>
  <c r="E13" i="6"/>
  <c r="D13" i="6"/>
  <c r="C13" i="6"/>
  <c r="H13" i="6" s="1"/>
  <c r="G34" i="6"/>
  <c r="E34" i="6"/>
  <c r="C34" i="6"/>
  <c r="H34" i="6" s="1"/>
  <c r="G36" i="6"/>
  <c r="E36" i="6"/>
  <c r="C36" i="6"/>
  <c r="H36" i="6" s="1"/>
  <c r="G58" i="6"/>
  <c r="E58" i="6"/>
  <c r="C58" i="6"/>
  <c r="H58" i="6" s="1"/>
  <c r="G59" i="6"/>
  <c r="E59" i="6"/>
  <c r="C59" i="6"/>
  <c r="H59" i="6" s="1"/>
  <c r="G21" i="6"/>
  <c r="E21" i="6"/>
  <c r="C21" i="6"/>
  <c r="H21" i="6" s="1"/>
  <c r="G48" i="6"/>
  <c r="E48" i="6"/>
  <c r="C48" i="6"/>
  <c r="H48" i="6" s="1"/>
  <c r="G24" i="6"/>
  <c r="E24" i="6"/>
  <c r="C24" i="6"/>
  <c r="H24" i="6" s="1"/>
  <c r="G42" i="6"/>
  <c r="E42" i="6"/>
  <c r="C42" i="6"/>
  <c r="H42" i="6" s="1"/>
  <c r="G53" i="6"/>
  <c r="E53" i="6"/>
  <c r="C53" i="6"/>
  <c r="H53" i="6" s="1"/>
  <c r="G32" i="6"/>
  <c r="D32" i="6"/>
  <c r="E32" i="6" s="1"/>
  <c r="G19" i="6"/>
  <c r="D19" i="6"/>
  <c r="E19" i="6" s="1"/>
  <c r="C19" i="6"/>
  <c r="H19" i="6" s="1"/>
  <c r="G38" i="6"/>
  <c r="E38" i="6"/>
  <c r="C38" i="6"/>
  <c r="H38" i="6" s="1"/>
  <c r="G46" i="6"/>
  <c r="E46" i="6"/>
  <c r="C46" i="6"/>
  <c r="H46" i="6" s="1"/>
  <c r="G29" i="6"/>
  <c r="E29" i="6"/>
  <c r="C29" i="6"/>
  <c r="H29" i="6" s="1"/>
  <c r="G26" i="6"/>
  <c r="D26" i="6"/>
  <c r="E26" i="6" s="1"/>
  <c r="G6" i="6"/>
  <c r="E6" i="6"/>
  <c r="C6" i="6"/>
  <c r="H6" i="6" s="1"/>
  <c r="G12" i="6"/>
  <c r="E12" i="6"/>
  <c r="C12" i="6"/>
  <c r="H12" i="6" s="1"/>
  <c r="G22" i="6"/>
  <c r="E22" i="6"/>
  <c r="C22" i="6"/>
  <c r="H22" i="6" s="1"/>
  <c r="G7" i="6"/>
  <c r="D7" i="6"/>
  <c r="E7" i="6" s="1"/>
  <c r="C7" i="6"/>
  <c r="H7" i="6" s="1"/>
  <c r="G37" i="6"/>
  <c r="D37" i="6"/>
  <c r="E37" i="6" s="1"/>
  <c r="G35" i="6"/>
  <c r="D35" i="6"/>
  <c r="C35" i="6" s="1"/>
  <c r="H35" i="6" s="1"/>
  <c r="G39" i="6"/>
  <c r="E39" i="6"/>
  <c r="C39" i="6"/>
  <c r="H39" i="6" s="1"/>
  <c r="G11" i="6"/>
  <c r="E11" i="6"/>
  <c r="C11" i="6"/>
  <c r="H11" i="6" s="1"/>
  <c r="G18" i="6"/>
  <c r="E18" i="6"/>
  <c r="C18" i="6"/>
  <c r="H18" i="6" s="1"/>
  <c r="G33" i="6"/>
  <c r="E33" i="6"/>
  <c r="C33" i="6"/>
  <c r="H33" i="6" s="1"/>
  <c r="G10" i="6"/>
  <c r="E10" i="6"/>
  <c r="C10" i="6"/>
  <c r="H10" i="6" s="1"/>
  <c r="G9" i="6"/>
  <c r="D9" i="6"/>
  <c r="G108" i="3"/>
  <c r="F108" i="3"/>
  <c r="E108" i="3"/>
  <c r="I106" i="3"/>
  <c r="H106" i="3"/>
  <c r="J106" i="3" s="1"/>
  <c r="K106" i="3" s="1"/>
  <c r="L106" i="3" s="1"/>
  <c r="I105" i="3"/>
  <c r="H105" i="3"/>
  <c r="J105" i="3" s="1"/>
  <c r="K105" i="3" s="1"/>
  <c r="L105" i="3" s="1"/>
  <c r="I104" i="3"/>
  <c r="H104" i="3"/>
  <c r="J104" i="3" s="1"/>
  <c r="K104" i="3" s="1"/>
  <c r="L104" i="3" s="1"/>
  <c r="I103" i="3"/>
  <c r="H103" i="3"/>
  <c r="J103" i="3" s="1"/>
  <c r="K103" i="3" s="1"/>
  <c r="L103" i="3" s="1"/>
  <c r="I102" i="3"/>
  <c r="H102" i="3"/>
  <c r="J102" i="3" s="1"/>
  <c r="K102" i="3" s="1"/>
  <c r="L102" i="3" s="1"/>
  <c r="I101" i="3"/>
  <c r="H101" i="3"/>
  <c r="J101" i="3" s="1"/>
  <c r="K101" i="3" s="1"/>
  <c r="L101" i="3" s="1"/>
  <c r="I100" i="3"/>
  <c r="H100" i="3"/>
  <c r="J100" i="3" s="1"/>
  <c r="K100" i="3" s="1"/>
  <c r="L100" i="3" s="1"/>
  <c r="I99" i="3"/>
  <c r="H99" i="3"/>
  <c r="J99" i="3" s="1"/>
  <c r="K99" i="3" s="1"/>
  <c r="L99" i="3" s="1"/>
  <c r="M99" i="3" s="1"/>
  <c r="D99" i="3"/>
  <c r="I98" i="3"/>
  <c r="H98" i="3"/>
  <c r="J98" i="3" s="1"/>
  <c r="K98" i="3" s="1"/>
  <c r="L98" i="3" s="1"/>
  <c r="M98" i="3" s="1"/>
  <c r="D98" i="3"/>
  <c r="I97" i="3"/>
  <c r="H97" i="3"/>
  <c r="J97" i="3" s="1"/>
  <c r="K97" i="3" s="1"/>
  <c r="L97" i="3" s="1"/>
  <c r="M97" i="3" s="1"/>
  <c r="D97" i="3"/>
  <c r="I96" i="3"/>
  <c r="H96" i="3"/>
  <c r="J96" i="3" s="1"/>
  <c r="K96" i="3" s="1"/>
  <c r="L96" i="3" s="1"/>
  <c r="M96" i="3" s="1"/>
  <c r="D96" i="3"/>
  <c r="I95" i="3"/>
  <c r="H95" i="3"/>
  <c r="J95" i="3" s="1"/>
  <c r="K95" i="3" s="1"/>
  <c r="L95" i="3" s="1"/>
  <c r="M95" i="3" s="1"/>
  <c r="D95" i="3"/>
  <c r="I94" i="3"/>
  <c r="H94" i="3"/>
  <c r="J94" i="3" s="1"/>
  <c r="K94" i="3" s="1"/>
  <c r="L94" i="3" s="1"/>
  <c r="M94" i="3" s="1"/>
  <c r="D94" i="3"/>
  <c r="I93" i="3"/>
  <c r="H93" i="3"/>
  <c r="J93" i="3" s="1"/>
  <c r="K93" i="3" s="1"/>
  <c r="L93" i="3" s="1"/>
  <c r="M93" i="3" s="1"/>
  <c r="D93" i="3"/>
  <c r="I92" i="3"/>
  <c r="H92" i="3"/>
  <c r="J92" i="3" s="1"/>
  <c r="K92" i="3" s="1"/>
  <c r="L92" i="3" s="1"/>
  <c r="M92" i="3" s="1"/>
  <c r="D92" i="3"/>
  <c r="I91" i="3"/>
  <c r="H91" i="3"/>
  <c r="J91" i="3" s="1"/>
  <c r="K91" i="3" s="1"/>
  <c r="L91" i="3" s="1"/>
  <c r="M91" i="3" s="1"/>
  <c r="D91" i="3"/>
  <c r="I90" i="3"/>
  <c r="H90" i="3"/>
  <c r="J90" i="3" s="1"/>
  <c r="K90" i="3" s="1"/>
  <c r="L90" i="3" s="1"/>
  <c r="M90" i="3" s="1"/>
  <c r="D90" i="3"/>
  <c r="I89" i="3"/>
  <c r="H89" i="3"/>
  <c r="J89" i="3" s="1"/>
  <c r="K89" i="3" s="1"/>
  <c r="L89" i="3" s="1"/>
  <c r="M89" i="3" s="1"/>
  <c r="D89" i="3"/>
  <c r="I88" i="3"/>
  <c r="H88" i="3"/>
  <c r="J88" i="3" s="1"/>
  <c r="K88" i="3" s="1"/>
  <c r="L88" i="3" s="1"/>
  <c r="M88" i="3" s="1"/>
  <c r="D88" i="3"/>
  <c r="I87" i="3"/>
  <c r="H87" i="3"/>
  <c r="J87" i="3" s="1"/>
  <c r="K87" i="3" s="1"/>
  <c r="L87" i="3" s="1"/>
  <c r="M87" i="3" s="1"/>
  <c r="D87" i="3"/>
  <c r="I86" i="3"/>
  <c r="H86" i="3"/>
  <c r="J86" i="3" s="1"/>
  <c r="K86" i="3" s="1"/>
  <c r="L86" i="3" s="1"/>
  <c r="M86" i="3" s="1"/>
  <c r="D86" i="3"/>
  <c r="I85" i="3"/>
  <c r="H85" i="3"/>
  <c r="J85" i="3" s="1"/>
  <c r="K85" i="3" s="1"/>
  <c r="L85" i="3" s="1"/>
  <c r="M85" i="3" s="1"/>
  <c r="D85" i="3"/>
  <c r="I84" i="3"/>
  <c r="H84" i="3"/>
  <c r="J84" i="3" s="1"/>
  <c r="K84" i="3" s="1"/>
  <c r="L84" i="3" s="1"/>
  <c r="M84" i="3" s="1"/>
  <c r="D84" i="3"/>
  <c r="I83" i="3"/>
  <c r="H83" i="3"/>
  <c r="J83" i="3" s="1"/>
  <c r="K83" i="3" s="1"/>
  <c r="L83" i="3" s="1"/>
  <c r="M83" i="3" s="1"/>
  <c r="D83" i="3"/>
  <c r="I82" i="3"/>
  <c r="H82" i="3"/>
  <c r="J82" i="3" s="1"/>
  <c r="K82" i="3" s="1"/>
  <c r="L82" i="3" s="1"/>
  <c r="M82" i="3" s="1"/>
  <c r="D82" i="3"/>
  <c r="I81" i="3"/>
  <c r="H81" i="3"/>
  <c r="J81" i="3" s="1"/>
  <c r="K81" i="3" s="1"/>
  <c r="L81" i="3" s="1"/>
  <c r="M81" i="3" s="1"/>
  <c r="D81" i="3"/>
  <c r="I80" i="3"/>
  <c r="H80" i="3"/>
  <c r="J80" i="3" s="1"/>
  <c r="K80" i="3" s="1"/>
  <c r="L80" i="3" s="1"/>
  <c r="M80" i="3" s="1"/>
  <c r="D80" i="3"/>
  <c r="I79" i="3"/>
  <c r="H79" i="3"/>
  <c r="J79" i="3" s="1"/>
  <c r="K79" i="3" s="1"/>
  <c r="L79" i="3" s="1"/>
  <c r="M79" i="3" s="1"/>
  <c r="D79" i="3"/>
  <c r="I78" i="3"/>
  <c r="H78" i="3"/>
  <c r="J78" i="3" s="1"/>
  <c r="K78" i="3" s="1"/>
  <c r="L78" i="3" s="1"/>
  <c r="M78" i="3" s="1"/>
  <c r="D78" i="3"/>
  <c r="I77" i="3"/>
  <c r="H77" i="3"/>
  <c r="J77" i="3" s="1"/>
  <c r="K77" i="3" s="1"/>
  <c r="L77" i="3" s="1"/>
  <c r="M77" i="3" s="1"/>
  <c r="D77" i="3"/>
  <c r="I76" i="3"/>
  <c r="H76" i="3"/>
  <c r="J76" i="3" s="1"/>
  <c r="K76" i="3" s="1"/>
  <c r="L76" i="3" s="1"/>
  <c r="M76" i="3" s="1"/>
  <c r="D76" i="3"/>
  <c r="I75" i="3"/>
  <c r="H75" i="3"/>
  <c r="J75" i="3" s="1"/>
  <c r="K75" i="3" s="1"/>
  <c r="L75" i="3" s="1"/>
  <c r="M75" i="3" s="1"/>
  <c r="D75" i="3"/>
  <c r="I74" i="3"/>
  <c r="H74" i="3"/>
  <c r="J74" i="3" s="1"/>
  <c r="K74" i="3" s="1"/>
  <c r="L74" i="3" s="1"/>
  <c r="M74" i="3" s="1"/>
  <c r="D74" i="3"/>
  <c r="I73" i="3"/>
  <c r="H73" i="3"/>
  <c r="J73" i="3" s="1"/>
  <c r="K73" i="3" s="1"/>
  <c r="L73" i="3" s="1"/>
  <c r="M73" i="3" s="1"/>
  <c r="D73" i="3"/>
  <c r="I72" i="3"/>
  <c r="H72" i="3"/>
  <c r="J72" i="3" s="1"/>
  <c r="K72" i="3" s="1"/>
  <c r="L72" i="3" s="1"/>
  <c r="M72" i="3" s="1"/>
  <c r="D72" i="3"/>
  <c r="I71" i="3"/>
  <c r="H71" i="3"/>
  <c r="J71" i="3" s="1"/>
  <c r="K71" i="3" s="1"/>
  <c r="L71" i="3" s="1"/>
  <c r="M71" i="3" s="1"/>
  <c r="D71" i="3"/>
  <c r="I70" i="3"/>
  <c r="H70" i="3"/>
  <c r="J70" i="3" s="1"/>
  <c r="K70" i="3" s="1"/>
  <c r="L70" i="3" s="1"/>
  <c r="M70" i="3" s="1"/>
  <c r="D70" i="3"/>
  <c r="I69" i="3"/>
  <c r="H69" i="3"/>
  <c r="J69" i="3" s="1"/>
  <c r="K69" i="3" s="1"/>
  <c r="L69" i="3" s="1"/>
  <c r="M69" i="3" s="1"/>
  <c r="D69" i="3"/>
  <c r="I68" i="3"/>
  <c r="H68" i="3"/>
  <c r="J68" i="3" s="1"/>
  <c r="K68" i="3" s="1"/>
  <c r="L68" i="3" s="1"/>
  <c r="M68" i="3" s="1"/>
  <c r="D68" i="3"/>
  <c r="I67" i="3"/>
  <c r="H67" i="3"/>
  <c r="J67" i="3" s="1"/>
  <c r="K67" i="3" s="1"/>
  <c r="L67" i="3" s="1"/>
  <c r="M67" i="3" s="1"/>
  <c r="D67" i="3"/>
  <c r="I66" i="3"/>
  <c r="H66" i="3"/>
  <c r="J66" i="3" s="1"/>
  <c r="K66" i="3" s="1"/>
  <c r="L66" i="3" s="1"/>
  <c r="M66" i="3" s="1"/>
  <c r="D66" i="3"/>
  <c r="I65" i="3"/>
  <c r="H65" i="3"/>
  <c r="J65" i="3" s="1"/>
  <c r="K65" i="3" s="1"/>
  <c r="L65" i="3" s="1"/>
  <c r="M65" i="3" s="1"/>
  <c r="D65" i="3"/>
  <c r="I64" i="3"/>
  <c r="H64" i="3"/>
  <c r="J64" i="3" s="1"/>
  <c r="K64" i="3" s="1"/>
  <c r="L64" i="3" s="1"/>
  <c r="M64" i="3" s="1"/>
  <c r="D64" i="3"/>
  <c r="I63" i="3"/>
  <c r="H63" i="3"/>
  <c r="J63" i="3" s="1"/>
  <c r="K63" i="3" s="1"/>
  <c r="L63" i="3" s="1"/>
  <c r="M63" i="3" s="1"/>
  <c r="D63" i="3"/>
  <c r="I62" i="3"/>
  <c r="H62" i="3"/>
  <c r="J62" i="3" s="1"/>
  <c r="K62" i="3" s="1"/>
  <c r="L62" i="3" s="1"/>
  <c r="M62" i="3" s="1"/>
  <c r="D62" i="3"/>
  <c r="I61" i="3"/>
  <c r="H61" i="3"/>
  <c r="J61" i="3" s="1"/>
  <c r="K61" i="3" s="1"/>
  <c r="L61" i="3" s="1"/>
  <c r="M61" i="3" s="1"/>
  <c r="D61" i="3"/>
  <c r="I60" i="3"/>
  <c r="H60" i="3"/>
  <c r="J60" i="3" s="1"/>
  <c r="K60" i="3" s="1"/>
  <c r="L60" i="3" s="1"/>
  <c r="M60" i="3" s="1"/>
  <c r="D60" i="3"/>
  <c r="I59" i="3"/>
  <c r="H59" i="3"/>
  <c r="J59" i="3" s="1"/>
  <c r="K59" i="3" s="1"/>
  <c r="L59" i="3" s="1"/>
  <c r="M59" i="3" s="1"/>
  <c r="D59" i="3"/>
  <c r="I58" i="3"/>
  <c r="H58" i="3"/>
  <c r="J58" i="3" s="1"/>
  <c r="K58" i="3" s="1"/>
  <c r="L58" i="3" s="1"/>
  <c r="M58" i="3" s="1"/>
  <c r="D58" i="3"/>
  <c r="I57" i="3"/>
  <c r="H57" i="3"/>
  <c r="J57" i="3" s="1"/>
  <c r="K57" i="3" s="1"/>
  <c r="L57" i="3" s="1"/>
  <c r="M57" i="3" s="1"/>
  <c r="D57" i="3"/>
  <c r="I56" i="3"/>
  <c r="H56" i="3"/>
  <c r="J56" i="3" s="1"/>
  <c r="K56" i="3" s="1"/>
  <c r="L56" i="3" s="1"/>
  <c r="M56" i="3" s="1"/>
  <c r="D56" i="3"/>
  <c r="I55" i="3"/>
  <c r="H55" i="3"/>
  <c r="J55" i="3" s="1"/>
  <c r="K55" i="3" s="1"/>
  <c r="L55" i="3" s="1"/>
  <c r="M55" i="3" s="1"/>
  <c r="D55" i="3"/>
  <c r="I54" i="3"/>
  <c r="H54" i="3"/>
  <c r="J54" i="3" s="1"/>
  <c r="K54" i="3" s="1"/>
  <c r="L54" i="3" s="1"/>
  <c r="M54" i="3" s="1"/>
  <c r="D54" i="3"/>
  <c r="I53" i="3"/>
  <c r="H53" i="3"/>
  <c r="J53" i="3" s="1"/>
  <c r="K53" i="3" s="1"/>
  <c r="L53" i="3" s="1"/>
  <c r="M53" i="3" s="1"/>
  <c r="D53" i="3"/>
  <c r="I52" i="3"/>
  <c r="H52" i="3"/>
  <c r="J52" i="3" s="1"/>
  <c r="K52" i="3" s="1"/>
  <c r="L52" i="3" s="1"/>
  <c r="M52" i="3" s="1"/>
  <c r="D52" i="3"/>
  <c r="I51" i="3"/>
  <c r="H51" i="3"/>
  <c r="J51" i="3" s="1"/>
  <c r="K51" i="3" s="1"/>
  <c r="L51" i="3" s="1"/>
  <c r="M51" i="3" s="1"/>
  <c r="D51" i="3"/>
  <c r="I50" i="3"/>
  <c r="H50" i="3"/>
  <c r="J50" i="3" s="1"/>
  <c r="K50" i="3" s="1"/>
  <c r="L50" i="3" s="1"/>
  <c r="M50" i="3" s="1"/>
  <c r="D50" i="3"/>
  <c r="I49" i="3"/>
  <c r="H49" i="3"/>
  <c r="J49" i="3" s="1"/>
  <c r="K49" i="3" s="1"/>
  <c r="L49" i="3" s="1"/>
  <c r="M49" i="3" s="1"/>
  <c r="D49" i="3"/>
  <c r="I48" i="3"/>
  <c r="H48" i="3"/>
  <c r="J48" i="3" s="1"/>
  <c r="K48" i="3" s="1"/>
  <c r="L48" i="3" s="1"/>
  <c r="M48" i="3" s="1"/>
  <c r="D48" i="3"/>
  <c r="I47" i="3"/>
  <c r="H47" i="3"/>
  <c r="J47" i="3" s="1"/>
  <c r="K47" i="3" s="1"/>
  <c r="L47" i="3" s="1"/>
  <c r="M47" i="3" s="1"/>
  <c r="D47" i="3"/>
  <c r="I46" i="3"/>
  <c r="H46" i="3"/>
  <c r="J46" i="3" s="1"/>
  <c r="K46" i="3" s="1"/>
  <c r="L46" i="3" s="1"/>
  <c r="M46" i="3" s="1"/>
  <c r="D46" i="3"/>
  <c r="I45" i="3"/>
  <c r="H45" i="3"/>
  <c r="J45" i="3" s="1"/>
  <c r="K45" i="3" s="1"/>
  <c r="L45" i="3" s="1"/>
  <c r="M45" i="3" s="1"/>
  <c r="D45" i="3"/>
  <c r="I44" i="3"/>
  <c r="H44" i="3"/>
  <c r="J44" i="3" s="1"/>
  <c r="K44" i="3" s="1"/>
  <c r="L44" i="3" s="1"/>
  <c r="M44" i="3" s="1"/>
  <c r="D44" i="3"/>
  <c r="I43" i="3"/>
  <c r="H43" i="3"/>
  <c r="J43" i="3" s="1"/>
  <c r="K43" i="3" s="1"/>
  <c r="L43" i="3" s="1"/>
  <c r="M43" i="3" s="1"/>
  <c r="D43" i="3"/>
  <c r="I42" i="3"/>
  <c r="H42" i="3"/>
  <c r="J42" i="3" s="1"/>
  <c r="K42" i="3" s="1"/>
  <c r="L42" i="3" s="1"/>
  <c r="M42" i="3" s="1"/>
  <c r="D42" i="3"/>
  <c r="I41" i="3"/>
  <c r="H41" i="3"/>
  <c r="J41" i="3" s="1"/>
  <c r="K41" i="3" s="1"/>
  <c r="L41" i="3" s="1"/>
  <c r="M41" i="3" s="1"/>
  <c r="D41" i="3"/>
  <c r="I40" i="3"/>
  <c r="H40" i="3"/>
  <c r="J40" i="3" s="1"/>
  <c r="K40" i="3" s="1"/>
  <c r="L40" i="3" s="1"/>
  <c r="M40" i="3" s="1"/>
  <c r="D40" i="3"/>
  <c r="I39" i="3"/>
  <c r="H39" i="3"/>
  <c r="J39" i="3" s="1"/>
  <c r="K39" i="3" s="1"/>
  <c r="L39" i="3" s="1"/>
  <c r="M39" i="3" s="1"/>
  <c r="D39" i="3"/>
  <c r="I38" i="3"/>
  <c r="H38" i="3"/>
  <c r="J38" i="3" s="1"/>
  <c r="K38" i="3" s="1"/>
  <c r="L38" i="3" s="1"/>
  <c r="M38" i="3" s="1"/>
  <c r="D38" i="3"/>
  <c r="I37" i="3"/>
  <c r="H37" i="3"/>
  <c r="J37" i="3" s="1"/>
  <c r="K37" i="3" s="1"/>
  <c r="L37" i="3" s="1"/>
  <c r="M37" i="3" s="1"/>
  <c r="D37" i="3"/>
  <c r="I36" i="3"/>
  <c r="H36" i="3"/>
  <c r="J36" i="3" s="1"/>
  <c r="K36" i="3" s="1"/>
  <c r="L36" i="3" s="1"/>
  <c r="M36" i="3" s="1"/>
  <c r="D36" i="3"/>
  <c r="I35" i="3"/>
  <c r="H35" i="3"/>
  <c r="J35" i="3" s="1"/>
  <c r="K35" i="3" s="1"/>
  <c r="L35" i="3" s="1"/>
  <c r="M35" i="3" s="1"/>
  <c r="D35" i="3"/>
  <c r="I34" i="3"/>
  <c r="H34" i="3"/>
  <c r="J34" i="3" s="1"/>
  <c r="K34" i="3" s="1"/>
  <c r="L34" i="3" s="1"/>
  <c r="M34" i="3" s="1"/>
  <c r="D34" i="3"/>
  <c r="I33" i="3"/>
  <c r="H33" i="3"/>
  <c r="J33" i="3" s="1"/>
  <c r="K33" i="3" s="1"/>
  <c r="L33" i="3" s="1"/>
  <c r="M33" i="3" s="1"/>
  <c r="D33" i="3"/>
  <c r="I32" i="3"/>
  <c r="H32" i="3"/>
  <c r="J32" i="3" s="1"/>
  <c r="K32" i="3" s="1"/>
  <c r="L32" i="3" s="1"/>
  <c r="M32" i="3" s="1"/>
  <c r="D32" i="3"/>
  <c r="I31" i="3"/>
  <c r="H31" i="3"/>
  <c r="J31" i="3" s="1"/>
  <c r="K31" i="3" s="1"/>
  <c r="L31" i="3" s="1"/>
  <c r="M31" i="3" s="1"/>
  <c r="D31" i="3"/>
  <c r="I30" i="3"/>
  <c r="H30" i="3"/>
  <c r="J30" i="3" s="1"/>
  <c r="K30" i="3" s="1"/>
  <c r="L30" i="3" s="1"/>
  <c r="M30" i="3" s="1"/>
  <c r="D30" i="3"/>
  <c r="I29" i="3"/>
  <c r="H29" i="3"/>
  <c r="J29" i="3" s="1"/>
  <c r="K29" i="3" s="1"/>
  <c r="L29" i="3" s="1"/>
  <c r="M29" i="3" s="1"/>
  <c r="D29" i="3"/>
  <c r="I28" i="3"/>
  <c r="H28" i="3"/>
  <c r="J28" i="3" s="1"/>
  <c r="K28" i="3" s="1"/>
  <c r="L28" i="3" s="1"/>
  <c r="M28" i="3" s="1"/>
  <c r="D28" i="3"/>
  <c r="I27" i="3"/>
  <c r="H27" i="3"/>
  <c r="J27" i="3" s="1"/>
  <c r="K27" i="3" s="1"/>
  <c r="L27" i="3" s="1"/>
  <c r="M27" i="3" s="1"/>
  <c r="D27" i="3"/>
  <c r="I26" i="3"/>
  <c r="H26" i="3"/>
  <c r="D26" i="3"/>
  <c r="I25" i="3"/>
  <c r="H25" i="3"/>
  <c r="J25" i="3" s="1"/>
  <c r="K25" i="3" s="1"/>
  <c r="L25" i="3" s="1"/>
  <c r="M25" i="3" s="1"/>
  <c r="D25" i="3"/>
  <c r="I24" i="3"/>
  <c r="H24" i="3"/>
  <c r="J24" i="3" s="1"/>
  <c r="K24" i="3" s="1"/>
  <c r="L24" i="3" s="1"/>
  <c r="M24" i="3" s="1"/>
  <c r="D24" i="3"/>
  <c r="I23" i="3"/>
  <c r="H23" i="3"/>
  <c r="J23" i="3" s="1"/>
  <c r="K23" i="3" s="1"/>
  <c r="L23" i="3" s="1"/>
  <c r="M23" i="3" s="1"/>
  <c r="D23" i="3"/>
  <c r="I22" i="3"/>
  <c r="H22" i="3"/>
  <c r="J22" i="3" s="1"/>
  <c r="K22" i="3" s="1"/>
  <c r="L22" i="3" s="1"/>
  <c r="M22" i="3" s="1"/>
  <c r="D22" i="3"/>
  <c r="I21" i="3"/>
  <c r="H21" i="3"/>
  <c r="J21" i="3" s="1"/>
  <c r="K21" i="3" s="1"/>
  <c r="L21" i="3" s="1"/>
  <c r="M21" i="3" s="1"/>
  <c r="D21" i="3"/>
  <c r="I20" i="3"/>
  <c r="H20" i="3"/>
  <c r="J20" i="3" s="1"/>
  <c r="K20" i="3" s="1"/>
  <c r="L20" i="3" s="1"/>
  <c r="M20" i="3" s="1"/>
  <c r="D20" i="3"/>
  <c r="I19" i="3"/>
  <c r="H19" i="3"/>
  <c r="J19" i="3" s="1"/>
  <c r="K19" i="3" s="1"/>
  <c r="L19" i="3" s="1"/>
  <c r="M19" i="3" s="1"/>
  <c r="D19" i="3"/>
  <c r="I18" i="3"/>
  <c r="H18" i="3"/>
  <c r="J18" i="3" s="1"/>
  <c r="K18" i="3" s="1"/>
  <c r="L18" i="3" s="1"/>
  <c r="M18" i="3" s="1"/>
  <c r="D18" i="3"/>
  <c r="I17" i="3"/>
  <c r="H17" i="3"/>
  <c r="J17" i="3" s="1"/>
  <c r="K17" i="3" s="1"/>
  <c r="L17" i="3" s="1"/>
  <c r="M17" i="3" s="1"/>
  <c r="D17" i="3"/>
  <c r="I16" i="3"/>
  <c r="H16" i="3"/>
  <c r="J16" i="3" s="1"/>
  <c r="K16" i="3" s="1"/>
  <c r="L16" i="3" s="1"/>
  <c r="M16" i="3" s="1"/>
  <c r="D16" i="3"/>
  <c r="I15" i="3"/>
  <c r="H15" i="3"/>
  <c r="J15" i="3" s="1"/>
  <c r="K15" i="3" s="1"/>
  <c r="L15" i="3" s="1"/>
  <c r="M15" i="3" s="1"/>
  <c r="D15" i="3"/>
  <c r="I14" i="3"/>
  <c r="H14" i="3"/>
  <c r="J14" i="3" s="1"/>
  <c r="K14" i="3" s="1"/>
  <c r="L14" i="3" s="1"/>
  <c r="M14" i="3" s="1"/>
  <c r="D14" i="3"/>
  <c r="I13" i="3"/>
  <c r="H13" i="3"/>
  <c r="J13" i="3" s="1"/>
  <c r="K13" i="3" s="1"/>
  <c r="L13" i="3" s="1"/>
  <c r="M13" i="3" s="1"/>
  <c r="D13" i="3"/>
  <c r="I12" i="3"/>
  <c r="H12" i="3"/>
  <c r="J12" i="3" s="1"/>
  <c r="K12" i="3" s="1"/>
  <c r="L12" i="3" s="1"/>
  <c r="M12" i="3" s="1"/>
  <c r="D12" i="3"/>
  <c r="I11" i="3"/>
  <c r="H11" i="3"/>
  <c r="J11" i="3" s="1"/>
  <c r="K11" i="3" s="1"/>
  <c r="L11" i="3" s="1"/>
  <c r="M11" i="3" s="1"/>
  <c r="D11" i="3"/>
  <c r="I10" i="3"/>
  <c r="H10" i="3"/>
  <c r="J10" i="3" s="1"/>
  <c r="K10" i="3" s="1"/>
  <c r="L10" i="3" s="1"/>
  <c r="M10" i="3" s="1"/>
  <c r="D10" i="3"/>
  <c r="I9" i="3"/>
  <c r="H9" i="3"/>
  <c r="J9" i="3" s="1"/>
  <c r="K9" i="3" s="1"/>
  <c r="L9" i="3" s="1"/>
  <c r="M9" i="3" s="1"/>
  <c r="D9" i="3"/>
  <c r="I8" i="3"/>
  <c r="H8" i="3"/>
  <c r="J8" i="3" s="1"/>
  <c r="K8" i="3" s="1"/>
  <c r="L8" i="3" s="1"/>
  <c r="M8" i="3" s="1"/>
  <c r="D8" i="3"/>
  <c r="I7" i="3"/>
  <c r="I108" i="3" s="1"/>
  <c r="H7" i="3"/>
  <c r="H108" i="3" s="1"/>
  <c r="D7" i="3"/>
  <c r="D108" i="3" s="1"/>
  <c r="E35" i="6" l="1"/>
  <c r="E108" i="6" s="1"/>
  <c r="G108" i="6"/>
  <c r="E88" i="6"/>
  <c r="D107" i="6"/>
  <c r="C14" i="6"/>
  <c r="H14" i="6" s="1"/>
  <c r="G471" i="7"/>
  <c r="F133" i="7"/>
  <c r="F107" i="6"/>
  <c r="C9" i="6"/>
  <c r="E9" i="6"/>
  <c r="C37" i="6"/>
  <c r="H37" i="6" s="1"/>
  <c r="C26" i="6"/>
  <c r="H26" i="6" s="1"/>
  <c r="C32" i="6"/>
  <c r="H32" i="6" s="1"/>
  <c r="C28" i="6"/>
  <c r="H28" i="6" s="1"/>
  <c r="C41" i="6"/>
  <c r="H41" i="6" s="1"/>
  <c r="C8" i="6"/>
  <c r="H8" i="6" s="1"/>
  <c r="C44" i="6"/>
  <c r="H44" i="6" s="1"/>
  <c r="C20" i="6"/>
  <c r="H20" i="6" s="1"/>
  <c r="C69" i="6"/>
  <c r="H69" i="6" s="1"/>
  <c r="C96" i="6"/>
  <c r="H96" i="6" s="1"/>
  <c r="J26" i="3"/>
  <c r="K26" i="3" s="1"/>
  <c r="L26" i="3" s="1"/>
  <c r="M26" i="3" s="1"/>
  <c r="J7" i="3"/>
  <c r="H108" i="6" l="1"/>
  <c r="G135" i="7"/>
  <c r="H133" i="7"/>
  <c r="H9" i="6"/>
  <c r="C107" i="6"/>
  <c r="J108" i="3"/>
  <c r="K7" i="3"/>
  <c r="K108" i="3" l="1"/>
  <c r="L7" i="3"/>
  <c r="L108" i="3" l="1"/>
  <c r="M7" i="3"/>
  <c r="M108" i="3" s="1"/>
  <c r="D96" i="2" l="1"/>
  <c r="D95" i="2"/>
  <c r="D94" i="2"/>
  <c r="D93" i="2"/>
  <c r="D92" i="2"/>
  <c r="D91" i="2"/>
  <c r="D90" i="2"/>
  <c r="D89" i="2"/>
  <c r="D88" i="2"/>
  <c r="D87" i="2"/>
  <c r="D86" i="2"/>
  <c r="D85" i="2"/>
  <c r="D84" i="2"/>
  <c r="D83" i="2"/>
  <c r="D82" i="2"/>
  <c r="D81" i="2"/>
  <c r="D80" i="2"/>
  <c r="D79" i="2"/>
  <c r="D78" i="2"/>
  <c r="C77" i="2"/>
  <c r="D77" i="2" s="1"/>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C37" i="2"/>
  <c r="D37" i="2" s="1"/>
  <c r="D36" i="2"/>
  <c r="C35" i="2"/>
  <c r="D35" i="2" s="1"/>
  <c r="D34" i="2"/>
  <c r="D33" i="2"/>
  <c r="D32" i="2"/>
  <c r="D31" i="2"/>
  <c r="D30" i="2"/>
  <c r="D29" i="2"/>
  <c r="D28" i="2"/>
  <c r="D27" i="2"/>
  <c r="D26" i="2"/>
  <c r="D25" i="2"/>
  <c r="D24" i="2"/>
  <c r="D23" i="2"/>
  <c r="D22" i="2"/>
  <c r="D21" i="2"/>
  <c r="D20" i="2"/>
  <c r="D19" i="2"/>
  <c r="D18" i="2"/>
  <c r="D17" i="2"/>
  <c r="D16" i="2"/>
  <c r="D15" i="2"/>
  <c r="D14" i="2"/>
  <c r="D13" i="2"/>
  <c r="D12" i="2"/>
  <c r="D11" i="2"/>
  <c r="D10" i="2"/>
  <c r="D9" i="2"/>
  <c r="C8" i="2"/>
  <c r="D8" i="2" s="1"/>
  <c r="D7" i="2"/>
  <c r="C6" i="2"/>
  <c r="D6" i="2" s="1"/>
  <c r="D108" i="2" s="1"/>
  <c r="C107" i="2" l="1"/>
</calcChain>
</file>

<file path=xl/sharedStrings.xml><?xml version="1.0" encoding="utf-8"?>
<sst xmlns="http://schemas.openxmlformats.org/spreadsheetml/2006/main" count="1420" uniqueCount="584">
  <si>
    <t>Tables contained as separate tabs in this file:</t>
  </si>
  <si>
    <t>Employees per 10,000 Residents by Major City Agency</t>
  </si>
  <si>
    <t>Spending on Parks and Recreation Adjusted for Price of Living</t>
  </si>
  <si>
    <t>Spending on Parks and Recreation per Resident</t>
  </si>
  <si>
    <t xml:space="preserve">Spending on Parks and Recreation per Resident by Agency </t>
  </si>
  <si>
    <t>Definitions:</t>
  </si>
  <si>
    <r>
      <t>Employees</t>
    </r>
    <r>
      <rPr>
        <sz val="11"/>
        <rFont val="Bookman Old Style"/>
        <family val="1"/>
      </rPr>
      <t xml:space="preserve"> are full-time and part-time employees, counted as Full-Time Equivalent (FTE); seasonal staff are not counted. Italics indicate estimates based on past-year data.</t>
    </r>
  </si>
  <si>
    <r>
      <t>Major city agencies</t>
    </r>
    <r>
      <rPr>
        <sz val="11"/>
        <rFont val="Bookman Old Style"/>
        <family val="1"/>
      </rPr>
      <t xml:space="preserve"> are the primary park departments in their cities. Note that Boston, Cincinnati, New Orleans, and Washington, D.C. have two major city park agencies.</t>
    </r>
  </si>
  <si>
    <r>
      <t>A Price of Living Score</t>
    </r>
    <r>
      <rPr>
        <sz val="11"/>
        <rFont val="Bookman Old Style"/>
        <family val="1"/>
      </rPr>
      <t xml:space="preserve"> indicates a city's housing and transportation costs compared with median housing and transportation costs in the 100 most populous cities. The price of living is calculated using the HUD Location Affordability Index.</t>
    </r>
  </si>
  <si>
    <r>
      <t>Capital spending</t>
    </r>
    <r>
      <rPr>
        <sz val="11"/>
        <rFont val="Bookman Old Style"/>
        <family val="1"/>
      </rPr>
      <t xml:space="preserve"> includes capital improvement and land acquisition expenditures.</t>
    </r>
  </si>
  <si>
    <r>
      <t>Operating spending</t>
    </r>
    <r>
      <rPr>
        <b/>
        <i/>
        <sz val="11"/>
        <rFont val="Bookman Old Style"/>
        <family val="1"/>
      </rPr>
      <t xml:space="preserve"> </t>
    </r>
    <r>
      <rPr>
        <sz val="11"/>
        <rFont val="Bookman Old Style"/>
        <family val="1"/>
      </rPr>
      <t>includes landscaping, maintenance, tree work, programming, administrative, and debt service expenditures.</t>
    </r>
  </si>
  <si>
    <r>
      <t>Total spending</t>
    </r>
    <r>
      <rPr>
        <sz val="11"/>
        <rFont val="Bookman Old Style"/>
        <family val="1"/>
      </rPr>
      <t xml:space="preserve"> includes both operating and capital spending by all park agencies in the city, but excludes professional sports stadiums, zoos, museums, aquariums, and cemeteries. If a city has more than one agency, expenditures are combined. Italics indicate cities whose spending is estimated based on past-year information.</t>
    </r>
  </si>
  <si>
    <t>When using this data, please cite the Center for City Park Excellence, The Trust for Public Land.</t>
  </si>
  <si>
    <t>For more information, or to download the printed publication, visit http://www.tpl.org/cityparkfacts.</t>
  </si>
  <si>
    <r>
      <t xml:space="preserve">Park Spending and Staffing Data Tables from </t>
    </r>
    <r>
      <rPr>
        <b/>
        <i/>
        <sz val="11"/>
        <color indexed="8"/>
        <rFont val="Bookman Old Style"/>
        <family val="1"/>
      </rPr>
      <t>2015 City Park Facts</t>
    </r>
  </si>
  <si>
    <t>Employees per 10,000 Residents, by Major City Agency</t>
  </si>
  <si>
    <t>Most Recently Reported Fiscal Year</t>
  </si>
  <si>
    <t>Employees are full-time and part-time employees, counted as Full-Time Equivalent (FTE); seasonal staff are not counted. Italics indicate that city has two primary park agencies.</t>
  </si>
  <si>
    <t>Agency</t>
  </si>
  <si>
    <t>Population</t>
  </si>
  <si>
    <t>Regular, Nonseasonal Employees</t>
  </si>
  <si>
    <t>Employees per 10,000 Residents</t>
  </si>
  <si>
    <t>Washington, D.C.*</t>
  </si>
  <si>
    <t>Henderson</t>
  </si>
  <si>
    <t>Cincinnati</t>
  </si>
  <si>
    <t>Tampa</t>
  </si>
  <si>
    <t>St. Petersburg</t>
  </si>
  <si>
    <t>Seattle</t>
  </si>
  <si>
    <t>Scottsdale*</t>
  </si>
  <si>
    <t>Arlington, Virginia</t>
  </si>
  <si>
    <t>Virginia Beach</t>
  </si>
  <si>
    <t>Minneapolis</t>
  </si>
  <si>
    <t>Raleigh</t>
  </si>
  <si>
    <t>Chicago</t>
  </si>
  <si>
    <t>Cleveland*</t>
  </si>
  <si>
    <t>Norfolk</t>
  </si>
  <si>
    <t>Plano</t>
  </si>
  <si>
    <t>San Francisco</t>
  </si>
  <si>
    <t>Pittsburgh</t>
  </si>
  <si>
    <t>Chesapeake*</t>
  </si>
  <si>
    <t>Atlanta</t>
  </si>
  <si>
    <t>St. Paul</t>
  </si>
  <si>
    <t>Anaheim*</t>
  </si>
  <si>
    <t>Orland</t>
  </si>
  <si>
    <t>Corpus Christi</t>
  </si>
  <si>
    <t>Aurora</t>
  </si>
  <si>
    <t>Denver</t>
  </si>
  <si>
    <t>St. Louis</t>
  </si>
  <si>
    <t>Kansas City</t>
  </si>
  <si>
    <t>Austin</t>
  </si>
  <si>
    <t>Dallas</t>
  </si>
  <si>
    <t>Boston</t>
  </si>
  <si>
    <t>Portland</t>
  </si>
  <si>
    <t>New Orleans*</t>
  </si>
  <si>
    <t>Phoenix</t>
  </si>
  <si>
    <t>Madison</t>
  </si>
  <si>
    <t>Greensboro</t>
  </si>
  <si>
    <t>New York</t>
  </si>
  <si>
    <t>Riverside</t>
  </si>
  <si>
    <t>Oakland</t>
  </si>
  <si>
    <t>Garland*</t>
  </si>
  <si>
    <t>Tucson</t>
  </si>
  <si>
    <t>Fort Worth</t>
  </si>
  <si>
    <t>Long Beach</t>
  </si>
  <si>
    <t>Nashville/Davidson</t>
  </si>
  <si>
    <t>San Diego</t>
  </si>
  <si>
    <t>Sacramento</t>
  </si>
  <si>
    <t>Baltimore</t>
  </si>
  <si>
    <t>Lexington/Fayette</t>
  </si>
  <si>
    <t>Lincoln</t>
  </si>
  <si>
    <t>El Paso</t>
  </si>
  <si>
    <t>San Antonio</t>
  </si>
  <si>
    <t>Arlington, Texas</t>
  </si>
  <si>
    <t>Fort Wayne</t>
  </si>
  <si>
    <t>Louisville</t>
  </si>
  <si>
    <t>Durham</t>
  </si>
  <si>
    <t>Albuquerque</t>
  </si>
  <si>
    <t>Miami*</t>
  </si>
  <si>
    <t>Bakersfield</t>
  </si>
  <si>
    <t>Wichita</t>
  </si>
  <si>
    <t>Columbus</t>
  </si>
  <si>
    <t>Philadelphia</t>
  </si>
  <si>
    <t>Winston-Salem</t>
  </si>
  <si>
    <t>Houston</t>
  </si>
  <si>
    <t>Los Angeles</t>
  </si>
  <si>
    <t>Lubbock*</t>
  </si>
  <si>
    <t>San Jose</t>
  </si>
  <si>
    <t>Omaha</t>
  </si>
  <si>
    <t>Colorado Springs</t>
  </si>
  <si>
    <t>Hialeah</t>
  </si>
  <si>
    <t>Toledo</t>
  </si>
  <si>
    <t>Memphis*</t>
  </si>
  <si>
    <t>Oklahoma City</t>
  </si>
  <si>
    <t>Milwaukee</t>
  </si>
  <si>
    <t>Mesa</t>
  </si>
  <si>
    <t>Baton Rouge</t>
  </si>
  <si>
    <t>Glendale</t>
  </si>
  <si>
    <t>Jacksonville</t>
  </si>
  <si>
    <t>Charlotte/Mecklenburg</t>
  </si>
  <si>
    <t>Gilbert</t>
  </si>
  <si>
    <t>Tulsa</t>
  </si>
  <si>
    <t>Buffalo</t>
  </si>
  <si>
    <t>Anchorage</t>
  </si>
  <si>
    <t>Santa Ana</t>
  </si>
  <si>
    <t>Reno</t>
  </si>
  <si>
    <t>Jersey City*</t>
  </si>
  <si>
    <t>Fresno</t>
  </si>
  <si>
    <t>Indianapolis</t>
  </si>
  <si>
    <t>Chula Vista</t>
  </si>
  <si>
    <t>Las Vegas</t>
  </si>
  <si>
    <t>Stockton</t>
  </si>
  <si>
    <t>Newark</t>
  </si>
  <si>
    <t>Detroit</t>
  </si>
  <si>
    <t>Boise</t>
  </si>
  <si>
    <t>n.a.</t>
  </si>
  <si>
    <t>Chandler</t>
  </si>
  <si>
    <t>Fremont</t>
  </si>
  <si>
    <t>Honolulu</t>
  </si>
  <si>
    <t>Irvine</t>
  </si>
  <si>
    <t>Irving</t>
  </si>
  <si>
    <t>Laredo</t>
  </si>
  <si>
    <t>North Las Vegas</t>
  </si>
  <si>
    <t>Richmond</t>
  </si>
  <si>
    <t>TOTAL</t>
  </si>
  <si>
    <t>MEDIAN</t>
  </si>
  <si>
    <t>* Estimate based on past-year data.</t>
  </si>
  <si>
    <t>Spending on Parks and Recreation by City, Adjusted for Price of Living</t>
  </si>
  <si>
    <r>
      <rPr>
        <b/>
        <sz val="9"/>
        <rFont val="Arial"/>
        <family val="2"/>
      </rPr>
      <t>A Price of Living Score</t>
    </r>
    <r>
      <rPr>
        <sz val="9"/>
        <rFont val="Arial"/>
        <family val="2"/>
      </rPr>
      <t xml:space="preserve"> of 100 indicates median housing and transportation costs in the 100 most populous cities. The cost of living is calculated using the Department of Housing and Urban Development's Location Affordability Index.</t>
    </r>
  </si>
  <si>
    <t>These are FYI--won't publish</t>
  </si>
  <si>
    <t>City</t>
  </si>
  <si>
    <t>Total Spending</t>
  </si>
  <si>
    <t>Total Spending per Resident</t>
  </si>
  <si>
    <t>Median Income</t>
  </si>
  <si>
    <t>Housing Costs as portion of median income</t>
  </si>
  <si>
    <t>Transportation Costs as portion of median income</t>
  </si>
  <si>
    <t>Housing costs</t>
  </si>
  <si>
    <t>transportation costs</t>
  </si>
  <si>
    <t>H+T costs (V2, most current)</t>
  </si>
  <si>
    <t>Price of Living</t>
  </si>
  <si>
    <t>Price of Living Multiplier</t>
  </si>
  <si>
    <t>Adjusted Spending Reflecting Price of Living</t>
  </si>
  <si>
    <t>Washington, D.C.</t>
  </si>
  <si>
    <t>Orlando</t>
  </si>
  <si>
    <t>Cleveland</t>
  </si>
  <si>
    <t>Miami</t>
  </si>
  <si>
    <t>New Orleans</t>
  </si>
  <si>
    <t>Scottsdale</t>
  </si>
  <si>
    <t>Anaheim</t>
  </si>
  <si>
    <t>Memphis</t>
  </si>
  <si>
    <t>Lubbock</t>
  </si>
  <si>
    <t>Chesapeake</t>
  </si>
  <si>
    <t>Louisville/Jefferson</t>
  </si>
  <si>
    <t>Jersey City</t>
  </si>
  <si>
    <t>Garland</t>
  </si>
  <si>
    <t>Median, all cities</t>
  </si>
  <si>
    <t>Spending by Selected Urban Park Conservancies</t>
  </si>
  <si>
    <t>Conservancies, non-profit organizations that financially support public parks, are an increasingly popular park management model. Spending data for this sample is taken from the organizations' 2012 IRS filings; it includes both operating and capital expenditures.</t>
  </si>
  <si>
    <t>Private Group</t>
  </si>
  <si>
    <t>Park</t>
  </si>
  <si>
    <t>Parks</t>
  </si>
  <si>
    <t>Acres</t>
  </si>
  <si>
    <t>Year Park Created/Opening Date</t>
  </si>
  <si>
    <t>Total Annual Expenses, 2009-2012 average*,**</t>
  </si>
  <si>
    <t>Revenue, 2009 - 2012 Average*,**</t>
  </si>
  <si>
    <t>Spending</t>
  </si>
  <si>
    <t>Chastain Park Conservancy</t>
  </si>
  <si>
    <t>Chastain Park</t>
  </si>
  <si>
    <t>Piedmont Park Conservancy</t>
  </si>
  <si>
    <t>Piedmont Park</t>
  </si>
  <si>
    <t>Mount Vernon Place Conservancy</t>
  </si>
  <si>
    <t>Mount Vernon Place</t>
  </si>
  <si>
    <t>Emerald Necklace Conservancy</t>
  </si>
  <si>
    <t>Back Bay Fens, The Riverway, Olmsted Park, Jamaica Pond, Franklin Park</t>
  </si>
  <si>
    <t>Friends of the Public Garden, Inc.</t>
  </si>
  <si>
    <t>Boston Common, The Public Garden, Commonwealth Avenue Mall</t>
  </si>
  <si>
    <t>Rose Fitzgerald Kennedy Greenway Conservancy</t>
  </si>
  <si>
    <t>Chinatown Park, Dewey Square Park, Fort Point Channel Parks, Wharf District Parks, and North End Parks</t>
  </si>
  <si>
    <t>Buffalo Olmsted Parks Conservancy</t>
  </si>
  <si>
    <t>6 large Olmsted parks, 7 parkways, 8 landscaped traffic circles</t>
  </si>
  <si>
    <t>Friends of Fair Park</t>
  </si>
  <si>
    <t>Fair Park</t>
  </si>
  <si>
    <t>Woodall Rogers Park Foundation</t>
  </si>
  <si>
    <t>Klyde Warren Park</t>
  </si>
  <si>
    <t>Civic Center Conservancy</t>
  </si>
  <si>
    <t>Civic Center</t>
  </si>
  <si>
    <t>Detroit 300 Conservancy</t>
  </si>
  <si>
    <t>Campus Martius Park, Grand Circus Park, Capitol Park, Beatrice Buck Park</t>
  </si>
  <si>
    <t>Detroit Riverfront Conservancy</t>
  </si>
  <si>
    <t>5.5 miles of Riverfront property</t>
  </si>
  <si>
    <t>Buffalo Bayou Partnership</t>
  </si>
  <si>
    <t>Buffalo Bayou</t>
  </si>
  <si>
    <t>Discovery Green Conservancy</t>
  </si>
  <si>
    <t>Discovery Green</t>
  </si>
  <si>
    <t>Hermann Park Conservancy</t>
  </si>
  <si>
    <t>Hermann Park</t>
  </si>
  <si>
    <t>Memorial Park Conservancy</t>
  </si>
  <si>
    <t>Memorial Park</t>
  </si>
  <si>
    <t>Louisville Olmsted Parks Conservancy</t>
  </si>
  <si>
    <t>Algonquin Park, Baxter Square, Bingham Park, Boone Square, Central Park, Cherokee Park, Chickasaw Park, Churchill Park, Elliott Square, Iroquois Park, Seneca Park, Shawnee Park, Shelby Park, Stansbury Park, Tyler Park, Victory Park, Wayside Park, Willow Park</t>
  </si>
  <si>
    <t>Overton Park Conservancy</t>
  </si>
  <si>
    <t>Overton Park</t>
  </si>
  <si>
    <t>Shelby Farms Park Conservancy</t>
  </si>
  <si>
    <t>Shelby Farms Park</t>
  </si>
  <si>
    <t>Battery Park City Parks Conservancy</t>
  </si>
  <si>
    <t>Battery Park City Parks</t>
  </si>
  <si>
    <t>Brooklyn Bridge Park Conservancy</t>
  </si>
  <si>
    <t>Brooklyn Bridge Park</t>
  </si>
  <si>
    <t>Carl Schurz Park Conservancy</t>
  </si>
  <si>
    <t>Cal Schurz Park</t>
  </si>
  <si>
    <t>Central Park Conservancy</t>
  </si>
  <si>
    <t>Central Park</t>
  </si>
  <si>
    <t>Friends of Hudson River Park</t>
  </si>
  <si>
    <t>Hudson River Park</t>
  </si>
  <si>
    <t>Friends of the High Line</t>
  </si>
  <si>
    <t>High Line</t>
  </si>
  <si>
    <t>Madison Square Park Conservancy</t>
  </si>
  <si>
    <t>Madison Square Park</t>
  </si>
  <si>
    <t>Prospect Park Alliance</t>
  </si>
  <si>
    <t>Prospect Park</t>
  </si>
  <si>
    <t>Randall's Island Park Alliance</t>
  </si>
  <si>
    <t>Randalls Island Park</t>
  </si>
  <si>
    <t>Riverside Park Conservancy</t>
  </si>
  <si>
    <t>Riverside Park</t>
  </si>
  <si>
    <t>Staten Island Greenbelt Conservancy</t>
  </si>
  <si>
    <t>Willowbrook Park, Latourette Park, High Rock Park, Deere Park, Reed's Basket Willow Swamp, Chapin Woods Park, Bloodroot Valley, Amundsen Circle, Manor Park, William T. Davis Wildlife Refuge</t>
  </si>
  <si>
    <t>The Battery Conservancy</t>
  </si>
  <si>
    <t>The Battery</t>
  </si>
  <si>
    <t>Myriad Gardens Foundation</t>
  </si>
  <si>
    <t>Myriad Botanical Gardens</t>
  </si>
  <si>
    <t>Fairmount Park Conservancy</t>
  </si>
  <si>
    <t>Fairmount Park System</t>
  </si>
  <si>
    <t>Pittsburgh Parks Conservancy</t>
  </si>
  <si>
    <t>Frick, Highland, Riverview, Schenley, Schenley Plaza, Mellon Square, Mellon Park, Cliffside Park</t>
  </si>
  <si>
    <t>The Forest Park Conservancy</t>
  </si>
  <si>
    <t>Forest Park</t>
  </si>
  <si>
    <t>Brackenridge Park Conservancy</t>
  </si>
  <si>
    <t>Brackenridge Park</t>
  </si>
  <si>
    <t>Guadalupe River Park Conservancy</t>
  </si>
  <si>
    <t>Guadalupe River Park</t>
  </si>
  <si>
    <t>Forest Park Forever</t>
  </si>
  <si>
    <t>Trust for the National Mall</t>
  </si>
  <si>
    <t>Washington</t>
  </si>
  <si>
    <t>The National Mall</t>
  </si>
  <si>
    <t>Historic Oakland Foundation</t>
  </si>
  <si>
    <t>Oakland Cemetery</t>
  </si>
  <si>
    <t>Grant Park Conservancy</t>
  </si>
  <si>
    <t>Grant Park</t>
  </si>
  <si>
    <t>Hill Country Conservancy</t>
  </si>
  <si>
    <t>The Saint Paul Parks Conservancy</t>
  </si>
  <si>
    <t>Saint Paul</t>
  </si>
  <si>
    <t>Golden Gate National Parks Conservancy</t>
  </si>
  <si>
    <t>Golden Gate National Recreation Area (37 park sites)</t>
  </si>
  <si>
    <t>Western Pennsylvania Conservancy</t>
  </si>
  <si>
    <t>Hudson River Park Trust</t>
  </si>
  <si>
    <t>Irvine Ranch Conservancy</t>
  </si>
  <si>
    <t>Lee Park &amp; Arlington Hall Conservancy</t>
  </si>
  <si>
    <t>Lee Park &amp; Arlington Hall</t>
  </si>
  <si>
    <t>West Side Park Conservancy</t>
  </si>
  <si>
    <t>West Side Park</t>
  </si>
  <si>
    <t>Fort Worth Nature Center &amp; Refuge Conservancy</t>
  </si>
  <si>
    <t>Fort Worth Nature Center &amp; Refuge</t>
  </si>
  <si>
    <t>Friends of the Fort Worth Nature Center and Refuge</t>
  </si>
  <si>
    <t>Fort Tryon Park Trust (Friends of Fort Tryon Park Inc.)</t>
  </si>
  <si>
    <t>Fort Tryon Park</t>
  </si>
  <si>
    <t>Arboretum Park Conservancy</t>
  </si>
  <si>
    <t>Arnold Arboretum</t>
  </si>
  <si>
    <t>Freedom Park Conservancy</t>
  </si>
  <si>
    <t>Freedom Park</t>
  </si>
  <si>
    <t>Willow Waterhole Greenspace Conservancy</t>
  </si>
  <si>
    <t>Willow Waterhole Park</t>
  </si>
  <si>
    <t>Katy Prairie Conservancy</t>
  </si>
  <si>
    <t>14 Preserves</t>
  </si>
  <si>
    <t>Bryant Park Corporation (not-for-profit, private management company)</t>
  </si>
  <si>
    <t>Bryant Park</t>
  </si>
  <si>
    <t>Bronx River Alliance</t>
  </si>
  <si>
    <t>Bronx River</t>
  </si>
  <si>
    <t>Community Conservation Solutions</t>
  </si>
  <si>
    <t>Millennium Park Inc</t>
  </si>
  <si>
    <t>Millennium Park</t>
  </si>
  <si>
    <t>Garfield Park Conservatory Alliance</t>
  </si>
  <si>
    <t>Garfield Park Conservatory</t>
  </si>
  <si>
    <t>National Parks of New York Harbor Conservancy</t>
  </si>
  <si>
    <t>10 NPS sites in metropolitan New York</t>
  </si>
  <si>
    <t>Spending on Parks and Recreation per Resident by City</t>
  </si>
  <si>
    <r>
      <t xml:space="preserve">Total Spending includes both operating and capital spending of all park agencies in the city, but excludes professional stadiums, zoos, museums, aquariums, and cemeteries. If a city has more than one agency, expenditures are combined. Italics indicate cities whose spending is estimated based on past-year information. For a more detailed listing of fiscal year data by city, visit </t>
    </r>
    <r>
      <rPr>
        <b/>
        <sz val="10"/>
        <color indexed="8"/>
        <rFont val="Arial"/>
        <family val="2"/>
      </rPr>
      <t>tpl.org/cityparkfacts.</t>
    </r>
  </si>
  <si>
    <t>Operating Spending</t>
  </si>
  <si>
    <t>Operating Spending per Resident</t>
  </si>
  <si>
    <t>Capital Spending</t>
  </si>
  <si>
    <t>Capital Spending per Resident</t>
  </si>
  <si>
    <t>*Does not include data from city parks department.</t>
  </si>
  <si>
    <t>Spending on Parks and Recreation by City and Agency</t>
  </si>
  <si>
    <t>Fiscal Year</t>
  </si>
  <si>
    <t>Albuquerque Parks and Recreation Department</t>
  </si>
  <si>
    <t xml:space="preserve">2013      </t>
  </si>
  <si>
    <t>Bernalillo County Parks and Recreation Department (within Albuquerque)</t>
  </si>
  <si>
    <t xml:space="preserve">2012      </t>
  </si>
  <si>
    <t>Petroglyph National Monument (within Albuquerque)</t>
  </si>
  <si>
    <t xml:space="preserve">2014      </t>
  </si>
  <si>
    <t>Total:</t>
  </si>
  <si>
    <t>Anaheim Community Services Department</t>
  </si>
  <si>
    <t>Orange County Parks (within Anaheim)</t>
  </si>
  <si>
    <t>California Department of Parks and Recreation (within Anaheim)</t>
  </si>
  <si>
    <t>Anchorage Parks and Recreation Department</t>
  </si>
  <si>
    <t>Chugach State Park (within Anchorage)</t>
  </si>
  <si>
    <t>Arlington, Texas, Parks and Recreation Department</t>
  </si>
  <si>
    <t>Arlington, Va.</t>
  </si>
  <si>
    <t>Arlington County Department of Parks and Recreation</t>
  </si>
  <si>
    <t>National Park Service (within Arlington, Virginia)</t>
  </si>
  <si>
    <t>Northern Virginia Regional Park Authority (within Arlington)</t>
  </si>
  <si>
    <t>Atlanta Department of Parks, Recreation and Cultural Affairs</t>
  </si>
  <si>
    <t>Centennial Olympic Park (within Atlanta)</t>
  </si>
  <si>
    <t>National Park Service (within Atlanta)</t>
  </si>
  <si>
    <t>Aurora Parks, Recreation and Open Space</t>
  </si>
  <si>
    <t>Austin Parks and Recreation Department</t>
  </si>
  <si>
    <t>Texas Parks and Wildlife Department (within Austin)</t>
  </si>
  <si>
    <t>Travis County Parks (within Austin)</t>
  </si>
  <si>
    <t>Austin Water Utility, Wildland Conservation Division</t>
  </si>
  <si>
    <t xml:space="preserve">City of Bakersfield Department of Recreation and Parks </t>
  </si>
  <si>
    <t>North of the River Recreation and Park District (within Bakersfield)</t>
  </si>
  <si>
    <t>Kern County Parks and Recreation Department (within Bakersfield)</t>
  </si>
  <si>
    <t>Baltimore City Department of Recreation and Parks</t>
  </si>
  <si>
    <t>Fort McHenry National Monument and Historic Shrine (within Baltimore)</t>
  </si>
  <si>
    <t>Recreation and Park Commission for the Parish of East Baton Rouge</t>
  </si>
  <si>
    <t>Boise Parks and Recreation</t>
  </si>
  <si>
    <t>Boston Parks and Recreation Department</t>
  </si>
  <si>
    <t>Massachusetts Department of Conservation and Recreation (within Boston)</t>
  </si>
  <si>
    <t>Boston National Historical Park</t>
  </si>
  <si>
    <t>Massachusetts Port Authority (within Boston)</t>
  </si>
  <si>
    <t>Boston Conservation Commission</t>
  </si>
  <si>
    <t>Buffalo Division of Parks and Recreation</t>
  </si>
  <si>
    <t>Theodore Roosevelt Inaugural National Historic Site (within Buffalo)</t>
  </si>
  <si>
    <t>Erie County Department of Parks, Recreation and Forestry (within Buffalo)</t>
  </si>
  <si>
    <t>Chandler Community Services Department</t>
  </si>
  <si>
    <t>Mecklenburg County Park and Recreation</t>
  </si>
  <si>
    <t>City of Chesapeake, Department of Parks, Recreation and Tourism</t>
  </si>
  <si>
    <t>Great Dismal Swamp National Wildlife Refuge (within Chesapeake)</t>
  </si>
  <si>
    <t>Virginia Department of Game and Inland Fisheries (within Chesapeake)</t>
  </si>
  <si>
    <t>Chicago, Ill.</t>
  </si>
  <si>
    <t>Chicago Park District</t>
  </si>
  <si>
    <t>Forest Preserve District of Cook County (within Chicago)</t>
  </si>
  <si>
    <t>Illinois Department of Natural Resources (within Chicago)</t>
  </si>
  <si>
    <t>Illinois International Port District (within Chicago)</t>
  </si>
  <si>
    <t>Chula Vista Public Works Department - Parks Section</t>
  </si>
  <si>
    <t>San Diego County Parks and Recreation (within Chula Vista)</t>
  </si>
  <si>
    <t xml:space="preserve">USFWS, San Diego Bay National Wildlife Refuge </t>
  </si>
  <si>
    <t>Cincinnati Recreation Commission</t>
  </si>
  <si>
    <t>Cincinnati Park Board</t>
  </si>
  <si>
    <t>Great Parks of Hamilton County (within Cincinnati)</t>
  </si>
  <si>
    <t>William Howard Taft National Historic Site (within Cincinnati)</t>
  </si>
  <si>
    <t>Cleveland Department of Public Works</t>
  </si>
  <si>
    <t>Cleveland Metroparks (within Cleveland)</t>
  </si>
  <si>
    <t>Colorado Springs Parks, Recreation and Cultural Services</t>
  </si>
  <si>
    <t>Colorado Parks and Wildlife</t>
  </si>
  <si>
    <t>El Paso County Parks (within Colorado Springs)</t>
  </si>
  <si>
    <t>Columbus Recreation and Parks Department</t>
  </si>
  <si>
    <t>Columbus and Franklin County Metro Park District (within Columbus)</t>
  </si>
  <si>
    <t>Corpus Christi Parks and Recreation Department</t>
  </si>
  <si>
    <t>Texas Parks and Wildlife Department (within Corpus Christi)</t>
  </si>
  <si>
    <t>Nueces County Coastal Parks (within Corpus Christi)</t>
  </si>
  <si>
    <t>Dallas Park and Recreation Department</t>
  </si>
  <si>
    <t>Trinity Watershed Management Division</t>
  </si>
  <si>
    <t>Denver Parks and Recreation</t>
  </si>
  <si>
    <t>Detroit Recreation Department</t>
  </si>
  <si>
    <t>William G. Milliken State Park and Harbor (within Detroit)</t>
  </si>
  <si>
    <t>City of Durham Parks and Recreation Department</t>
  </si>
  <si>
    <t>Eno River State Park (within Durham)</t>
  </si>
  <si>
    <t>El Paso Parks and Recreation Department</t>
  </si>
  <si>
    <t>Texas Parks and Wildlife Department (within El Paso)</t>
  </si>
  <si>
    <t>Chamizal National Memorial (within El Paso)</t>
  </si>
  <si>
    <t>El Paso County Department of Parks and Recreation (within El Paso City)</t>
  </si>
  <si>
    <t>Fort Wayne Parks and Recreation Department</t>
  </si>
  <si>
    <t>Fort Worth Parks and Community Services Department</t>
  </si>
  <si>
    <t>Don Edwards San Francisco Bay National Wildlife Refuge (within Fremont)</t>
  </si>
  <si>
    <t>East Bay Regional Park District (within Fremont)</t>
  </si>
  <si>
    <t>Fremont Recreation Services Division</t>
  </si>
  <si>
    <t>Fresno Parks, After School, Recreation and Community Services Department</t>
  </si>
  <si>
    <t>Garland Parks and Recreation Department</t>
  </si>
  <si>
    <t>Dallas County Planning and Development Department (within Garland)</t>
  </si>
  <si>
    <t>Gilbert Parks and Recreation</t>
  </si>
  <si>
    <t>Glendale Parks and Recreation Department</t>
  </si>
  <si>
    <t>Greensboro Parks and Recreation Department</t>
  </si>
  <si>
    <t>Guilford Courthouse National Military Park (within Greensboro)</t>
  </si>
  <si>
    <t>City of Henderson Department of Public Works, Parks and Recreation</t>
  </si>
  <si>
    <t>Clark County Parks and Recreation Department (within Henderson)</t>
  </si>
  <si>
    <t>Hialeah Department of Recreation and Community Services</t>
  </si>
  <si>
    <t>Honolulu Department of Parks and Recreation (within Urban Honolulu)</t>
  </si>
  <si>
    <t>2012</t>
  </si>
  <si>
    <t>Hawai'i Division of State Parks (within Urban Honolulu)</t>
  </si>
  <si>
    <t>Hawaii Division of Forestry and Wildlife (within Urban Honolulu)</t>
  </si>
  <si>
    <t>Houston Parks and Recreation Department</t>
  </si>
  <si>
    <t>Discovery Green Conservancy (within Houston)</t>
  </si>
  <si>
    <t>Fort Bend County Parks and Recreation Department (within Houston)</t>
  </si>
  <si>
    <t>Texas Parks and Wildlife Department (within Houston)</t>
  </si>
  <si>
    <t>Harris County Parks (within Houston)</t>
  </si>
  <si>
    <t>Indianapolis Department of Parks and Recreation</t>
  </si>
  <si>
    <t>White River State Park Development Commission (within Indianapolis)</t>
  </si>
  <si>
    <t>Irvine Community Services Department</t>
  </si>
  <si>
    <t>Orange County Parks (within Irvine)</t>
  </si>
  <si>
    <t>Irving Parks and Recreation</t>
  </si>
  <si>
    <t>Dallas County Planning and Development Department (within Irving)</t>
  </si>
  <si>
    <t>Jacksonville Recreation and Community Services Department</t>
  </si>
  <si>
    <t>Timucuan Ecological and Historic Preserve and Fort Caroline Memorial (NPS within Jacksonville)</t>
  </si>
  <si>
    <t>Florida Park Service (within Jacksonville)</t>
  </si>
  <si>
    <t>St. Johns River Water Management District (within City of Jacksonville)</t>
  </si>
  <si>
    <t>Florida Forest Service (within Jacksonville)</t>
  </si>
  <si>
    <t>New Jersey Division of Parks and Forestry (within Jersey City)</t>
  </si>
  <si>
    <t>Hudson County Division of Parks (within Jersey City)</t>
  </si>
  <si>
    <t>Jersey City Division of Parks and Forestry</t>
  </si>
  <si>
    <t>Kansas City, Mo. Parks and Recreation Department</t>
  </si>
  <si>
    <t>Jackson County Parks and Recreation (within Kansas City)</t>
  </si>
  <si>
    <t>Texas Parks and Wildlife Department (within Laredo)</t>
  </si>
  <si>
    <t>Laredo Parks and Leisure Services Department</t>
  </si>
  <si>
    <t>Las Vegas Department of Parks, Recreation and Neighborhood Services</t>
  </si>
  <si>
    <t>Nevada Division of State Parks (within Las Vegas)</t>
  </si>
  <si>
    <t>Lexington-Fayette Urban County Government Division of Parks and Recreation</t>
  </si>
  <si>
    <t>Kentucky Department of Parks (within Lexington)</t>
  </si>
  <si>
    <t>Lincoln Parks and Recreation Department</t>
  </si>
  <si>
    <t>Long Beach Department of Parks, Recreation and Marine</t>
  </si>
  <si>
    <t>Los Angeles Department of Recreation and Parks</t>
  </si>
  <si>
    <t>Port of Los Angeles</t>
  </si>
  <si>
    <t>Los Angeles County Department of Parks and Recreation (within Los Angeles City)</t>
  </si>
  <si>
    <t>Mountains Recreation and Conservation Authority (within Los Angeles)</t>
  </si>
  <si>
    <t>California Department of Parks and Recreation (within Los Angeles)</t>
  </si>
  <si>
    <t>Angeles National Forest</t>
  </si>
  <si>
    <t>Los Angeles Department of Water and Power (within Los Angeles City)</t>
  </si>
  <si>
    <t>Louisville Metro Parks</t>
  </si>
  <si>
    <t>Waterfront Development Corporation</t>
  </si>
  <si>
    <t>21st Century Parks</t>
  </si>
  <si>
    <t>E.P. "Tom" Sawyer State Park</t>
  </si>
  <si>
    <t>Lubbock Parks and Recreation</t>
  </si>
  <si>
    <t>Madison Parks Division</t>
  </si>
  <si>
    <t>Dane County Parks Division (within Madison)</t>
  </si>
  <si>
    <t>Memphis Division of Parks and Neighborhoods</t>
  </si>
  <si>
    <t>Riverfront Development Corporation (within Memphis)</t>
  </si>
  <si>
    <t>T.O. Fuller State Park</t>
  </si>
  <si>
    <t>Mesa Parks, Recreation and Commercial Facilities Department</t>
  </si>
  <si>
    <t>Miami Department of Parks and Recreation</t>
  </si>
  <si>
    <t>Bayfront Park Management Trust</t>
  </si>
  <si>
    <t>Miami-Dade County Park and Recreation Department (within Miami)</t>
  </si>
  <si>
    <t>Virginia Key Beach Park Trust</t>
  </si>
  <si>
    <t>Milwaukee County Department of Parks, Recreation and Culture (within Milwuakee city)</t>
  </si>
  <si>
    <t>Milwaukee Recreation</t>
  </si>
  <si>
    <t>Wisconsin Department of Natural Resources</t>
  </si>
  <si>
    <t>Milwaukee Department of Public Works</t>
  </si>
  <si>
    <t>Minneapolis Park and Recreation Board</t>
  </si>
  <si>
    <t>Nashville/Davidson Metropolitan Board of Parks and Recreation</t>
  </si>
  <si>
    <t>Tennessee Department of Environment and Conservation</t>
  </si>
  <si>
    <t>U.S. Army Corps of Engineers (within Nashville/Davidson)</t>
  </si>
  <si>
    <t>Tennessee Wildlife Resource Agency (within Nashville/Davidson)</t>
  </si>
  <si>
    <t>New Orleans Recreation Development Commission</t>
  </si>
  <si>
    <t>New Orleans City Park Improvement Association</t>
  </si>
  <si>
    <t>New Orleans Department of Parks and Parkways</t>
  </si>
  <si>
    <t>Audubon Nature Institute</t>
  </si>
  <si>
    <t>Louisiana Office of State Parks (within New Orleans)</t>
  </si>
  <si>
    <t>Municipal Yacht Harbor</t>
  </si>
  <si>
    <t>Non-Flood Protection Asset Management Authority / Levee Board (within New Orleans)</t>
  </si>
  <si>
    <t>French Market Corporation</t>
  </si>
  <si>
    <t>Bayou Sauvage National Wildlife Refuge (within New Orleans)</t>
  </si>
  <si>
    <t>New York City Department of Parks and Recreation</t>
  </si>
  <si>
    <t>Statue of Liberty National Monument and Ellis Island</t>
  </si>
  <si>
    <t>Gateway National Recreation Area (within New York City)</t>
  </si>
  <si>
    <t>New York State Office of Parks, Recreation and Historic Preservation (within New York City)</t>
  </si>
  <si>
    <t>Governors Island National Monument</t>
  </si>
  <si>
    <t>New York State Department of Environmental Conservation (within New York City)</t>
  </si>
  <si>
    <t>Essex County Department of Parks, Recreation and Cultural Affairs</t>
  </si>
  <si>
    <t>Newark Department of Neighborhood and Recreational Services</t>
  </si>
  <si>
    <t>Norfolk Department of Recreation, Parks and Open Space</t>
  </si>
  <si>
    <t>North Las Vegas Department of Neighborhood and Lesiure Services</t>
  </si>
  <si>
    <t>Oakland Office of Parks and Recreation</t>
  </si>
  <si>
    <t>Port of Oakland</t>
  </si>
  <si>
    <t>East Bay Regional Park District (within Oakland)</t>
  </si>
  <si>
    <t>Oklahoma City Parks and Recreation Department</t>
  </si>
  <si>
    <t>Omaha Department of Parks, Recreation and Public Property</t>
  </si>
  <si>
    <t>Orlando Families, Parks and Recreation Department</t>
  </si>
  <si>
    <t>Orange County Parks and Recreation Division (within Orlando)</t>
  </si>
  <si>
    <t>Philadelphia Parks and Recreation Department</t>
  </si>
  <si>
    <t>Independence National Historical Park</t>
  </si>
  <si>
    <t>John Heinz National Wildlife Refuge at Tinicum</t>
  </si>
  <si>
    <t>University of Pennsylvania -- Penn Park</t>
  </si>
  <si>
    <t>Benjamin Rush State Park</t>
  </si>
  <si>
    <t>Phoenix Parks and Recreation Department</t>
  </si>
  <si>
    <t>Maricopa County Parks and Recreation Department (within Phoenix)</t>
  </si>
  <si>
    <t>Pittsburgh Public Works</t>
  </si>
  <si>
    <t>Point State Park</t>
  </si>
  <si>
    <t>Plano Parks and Recreation Department</t>
  </si>
  <si>
    <t>Portland Parks and Recreation</t>
  </si>
  <si>
    <t>Oregon Parks and Recreation Department</t>
  </si>
  <si>
    <t>Metro Regional Parks and Greenspaces (within Portland)</t>
  </si>
  <si>
    <t>Raleigh Parks, Recreation and Cultural Resources Department</t>
  </si>
  <si>
    <t>William B. Umstead State Park (within Raleigh)</t>
  </si>
  <si>
    <t>Wake County Parks, Recreation and Open Space (within Raleigh)</t>
  </si>
  <si>
    <t>Reno Parks, Recreation and Community Services Department</t>
  </si>
  <si>
    <t>Washoe County Regional Parks and Open Space (within Reno)</t>
  </si>
  <si>
    <t>Department of Parks, Recreation and Community Facilities</t>
  </si>
  <si>
    <t>Riverside Parks, Recreation and Community Services Department</t>
  </si>
  <si>
    <t>California Department of Parks and Recreation (within Riverside)</t>
  </si>
  <si>
    <t>Riverside County Regional Park and Open-Space District (within city of Riverside)</t>
  </si>
  <si>
    <t>Sacramento Department of Parks and Recreation</t>
  </si>
  <si>
    <t>California Department of Parks and Recreation (within Sacramento)</t>
  </si>
  <si>
    <t>Sacramento County Department of Regional Parks (within Sacramento city)</t>
  </si>
  <si>
    <t>Sacramento Department of Convention, Culture and Leisure</t>
  </si>
  <si>
    <t>San Antonio Parks and Recreation Department</t>
  </si>
  <si>
    <t>San Antonio River Authority</t>
  </si>
  <si>
    <t>Bexar County Facilities and Parks Department (within San Antonio)</t>
  </si>
  <si>
    <t>San Antonio Missions National Historical Park</t>
  </si>
  <si>
    <t>Texas Parks and Wildlife Department (within San Antonio)</t>
  </si>
  <si>
    <t>San Diego Park and Recreation Department</t>
  </si>
  <si>
    <t>Port of San Diego (San Diego Unified Port District)</t>
  </si>
  <si>
    <t>Cabrillo National Monument</t>
  </si>
  <si>
    <t>San Diego County Parks and Recreation (within San Diego city)</t>
  </si>
  <si>
    <t>California Department of Parks and Recreation (within San Diego)</t>
  </si>
  <si>
    <t>USFWS, San Diego Bay National Wildlife Refuge and San Diego National Wildlife Refuge</t>
  </si>
  <si>
    <t>San Francisco Recreation and Parks Department</t>
  </si>
  <si>
    <t>Presidio Trust (within San Francisco)</t>
  </si>
  <si>
    <t>Golden Gate National Recreation Area (within San Francisco)</t>
  </si>
  <si>
    <t>San Francisco Maritime National Historic Park</t>
  </si>
  <si>
    <t>California Department of Parks and Recreation (within San Francisco)</t>
  </si>
  <si>
    <t>San Jose Department of Parks, Recreation and Neighborhood Services</t>
  </si>
  <si>
    <t>Don Edwards San Francisco Bay National Wildlife Refuge (within San Jose)</t>
  </si>
  <si>
    <t>Santa Clara County Parks and Recreation (within San Jose)</t>
  </si>
  <si>
    <t xml:space="preserve">Santa Clara Valley Open Space Authority </t>
  </si>
  <si>
    <t xml:space="preserve">Santa Ana Parks, Recreation and Community Services </t>
  </si>
  <si>
    <t>Orange County Parks (within Santa Ana)</t>
  </si>
  <si>
    <t>Scottsdale Parks and Recreation Division</t>
  </si>
  <si>
    <t>Seattle Parks and Recreation</t>
  </si>
  <si>
    <t>The Port of Seattle</t>
  </si>
  <si>
    <t>St. Louis Department of Parks, Recreation and Forestry</t>
  </si>
  <si>
    <t>Jefferson National Expansion Memorial</t>
  </si>
  <si>
    <t>Reported 2014, revised: $5m operating</t>
  </si>
  <si>
    <t>Great Rivers Greenway District (within St. Louis)</t>
  </si>
  <si>
    <t>Tower Grove Park Commission</t>
  </si>
  <si>
    <t>St. Paul Parks and Recreation Department</t>
  </si>
  <si>
    <t>Ramsey County Parks and Recreation Department (within St. Paul)</t>
  </si>
  <si>
    <t>Minnesota DNR Division of Parks and Recreation (within St. Paul)</t>
  </si>
  <si>
    <t>St. Petersburg Parks &amp; Recreation Department</t>
  </si>
  <si>
    <t>Pinellas County Parks &amp; Conservation Resources (within St. Petersburg)</t>
  </si>
  <si>
    <t>Florida Park Service (within St. Petersburg)</t>
  </si>
  <si>
    <t>Stockton Public Works Department</t>
  </si>
  <si>
    <t>Stockton Community Services Department</t>
  </si>
  <si>
    <t>Tampa Parks and Recreation Department</t>
  </si>
  <si>
    <t>Tampa Sports Authority</t>
  </si>
  <si>
    <t>Hillsborough County Parks and Recreation Dept. (within Tampa)</t>
  </si>
  <si>
    <t>Toledo Division of Parks, Recreation and Forestry</t>
  </si>
  <si>
    <t>Metroparks of the Toledo Area</t>
  </si>
  <si>
    <t>Tucson Parks and Recreation Department</t>
  </si>
  <si>
    <t>Pima County Natural Resources, Parks and Recreation Department (within Tucson)</t>
  </si>
  <si>
    <t>Kino Sports Complex</t>
  </si>
  <si>
    <t>Tulsa Park and Recreation Department</t>
  </si>
  <si>
    <t>Tulsa County Parks (within city of Tulsa)</t>
  </si>
  <si>
    <t>River Parks Authority</t>
  </si>
  <si>
    <t>Virginia Beach Department of Parks and Recreation</t>
  </si>
  <si>
    <t>Virginia Department of Conservation and Recreation (within Virginia Beach)</t>
  </si>
  <si>
    <t>Back Bay National Wildlife Refuge (within Virginia Beach)</t>
  </si>
  <si>
    <t>Princess Anne Wildlife Management Area (within Virginia Beach)</t>
  </si>
  <si>
    <t>Mackay Island National Wildlife Refuge (within Virginia Beach)</t>
  </si>
  <si>
    <t>National Park Service (within Washington, D.C.)</t>
  </si>
  <si>
    <t>District of Columbia Department of Parks and Recreation</t>
  </si>
  <si>
    <t>National Arboretum</t>
  </si>
  <si>
    <t>Smithsonian's National Zoo (Within Washington, D.C.)</t>
  </si>
  <si>
    <t>Architect of the Capitol</t>
  </si>
  <si>
    <t>Wichita Park and Recreation Department</t>
  </si>
  <si>
    <t>Winston-Salem Recreation and Parks</t>
  </si>
  <si>
    <t>Total</t>
  </si>
  <si>
    <t>Seattle*</t>
  </si>
  <si>
    <t>St. Louis*</t>
  </si>
  <si>
    <t>St. Paul*</t>
  </si>
  <si>
    <t>Boston*</t>
  </si>
  <si>
    <t>Nashville*</t>
  </si>
  <si>
    <t>Milwaukee*</t>
  </si>
  <si>
    <t>Austin*</t>
  </si>
  <si>
    <t>Lexington</t>
  </si>
  <si>
    <t>Bakersfield*</t>
  </si>
  <si>
    <t>Louisville*</t>
  </si>
  <si>
    <t>Honolulu*</t>
  </si>
  <si>
    <t>Charlotte</t>
  </si>
  <si>
    <t>El Paso*</t>
  </si>
  <si>
    <t>Detroit*</t>
  </si>
  <si>
    <t>TOTAL, All Cities</t>
  </si>
  <si>
    <t>MEDIAN, All Cities</t>
  </si>
  <si>
    <t>Operating Expenditures</t>
  </si>
  <si>
    <t>Capital Expenditures</t>
  </si>
  <si>
    <t>Total, 2015 cities</t>
  </si>
  <si>
    <t>Median, 2015-6 cities</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</si>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</sst>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quot;$&quot;#,##0"/>
    <numFmt numFmtId="166" formatCode="00000"/>
    <numFmt numFmtId="168" formatCode="0.0%"/>
  </numFmts>
  <fonts count="53">
    <font>
      <sz val="10"/>
      <color indexed="8"/>
      <name val="Arial"/>
      <family val="2"/>
    </font>
    <font>
      <sz val="10"/>
      <color indexed="8"/>
      <name val="Arial"/>
      <family val="2"/>
    </font>
    <font>
      <b/>
      <sz val="11"/>
      <color indexed="8"/>
      <name val="Bookman Old Style"/>
      <family val="1"/>
    </font>
    <font>
      <b/>
      <i/>
      <sz val="11"/>
      <color indexed="8"/>
      <name val="Bookman Old Style"/>
      <family val="1"/>
    </font>
    <font>
      <sz val="11"/>
      <color indexed="8"/>
      <name val="Arial"/>
      <family val="2"/>
    </font>
    <font>
      <b/>
      <sz val="11"/>
      <color indexed="8"/>
      <name val="Arial"/>
      <family val="2"/>
    </font>
    <font>
      <u/>
      <sz val="10"/>
      <color theme="10"/>
      <name val="Arial"/>
      <family val="2"/>
    </font>
    <font>
      <b/>
      <sz val="11"/>
      <name val="Bookman Old Style"/>
      <family val="1"/>
    </font>
    <font>
      <sz val="11"/>
      <name val="Bookman Old Style"/>
      <family val="1"/>
    </font>
    <font>
      <sz val="10"/>
      <name val="Arial"/>
      <family val="2"/>
    </font>
    <font>
      <b/>
      <i/>
      <sz val="11"/>
      <name val="Bookman Old Style"/>
      <family val="1"/>
    </font>
    <font>
      <sz val="11"/>
      <color indexed="8"/>
      <name val="Bookman Old Style"/>
      <family val="1"/>
    </font>
    <font>
      <u/>
      <sz val="11"/>
      <color indexed="12"/>
      <name val="Bookman Old Style"/>
      <family val="1"/>
    </font>
    <font>
      <b/>
      <sz val="14"/>
      <color indexed="18"/>
      <name val="Times New Roman"/>
      <family val="1"/>
    </font>
    <font>
      <b/>
      <sz val="10"/>
      <color indexed="8"/>
      <name val="Arial"/>
      <family val="2"/>
    </font>
    <font>
      <sz val="11"/>
      <name val="Times New Roman"/>
      <family val="1"/>
    </font>
    <font>
      <sz val="10"/>
      <color indexed="8"/>
      <name val="Bookman Old Style"/>
      <family val="1"/>
    </font>
    <font>
      <b/>
      <sz val="12"/>
      <color indexed="18"/>
      <name val="Times New Roman"/>
      <family val="1"/>
    </font>
    <font>
      <i/>
      <sz val="10"/>
      <color indexed="8"/>
      <name val="Bookman Old Style"/>
      <family val="1"/>
    </font>
    <font>
      <i/>
      <sz val="10"/>
      <color indexed="8"/>
      <name val="Arial"/>
      <family val="2"/>
    </font>
    <font>
      <b/>
      <sz val="10"/>
      <color indexed="8"/>
      <name val="Bookman Old Style"/>
      <family val="1"/>
    </font>
    <font>
      <i/>
      <sz val="16"/>
      <color indexed="18"/>
      <name val="Arial"/>
      <family val="2"/>
    </font>
    <font>
      <b/>
      <i/>
      <sz val="11"/>
      <name val="Arial"/>
      <family val="2"/>
    </font>
    <font>
      <b/>
      <i/>
      <sz val="12"/>
      <color indexed="18"/>
      <name val="Arial"/>
      <family val="2"/>
    </font>
    <font>
      <i/>
      <sz val="20"/>
      <color indexed="18"/>
      <name val="Arial"/>
      <family val="2"/>
    </font>
    <font>
      <sz val="20"/>
      <color indexed="18"/>
      <name val="Arial"/>
      <family val="2"/>
    </font>
    <font>
      <sz val="11"/>
      <color theme="1"/>
      <name val="Arial"/>
      <family val="2"/>
    </font>
    <font>
      <sz val="9"/>
      <name val="Arial"/>
      <family val="2"/>
    </font>
    <font>
      <b/>
      <sz val="9"/>
      <name val="Arial"/>
      <family val="2"/>
    </font>
    <font>
      <b/>
      <sz val="11"/>
      <color theme="1"/>
      <name val="Arial"/>
      <family val="2"/>
    </font>
    <font>
      <b/>
      <sz val="10"/>
      <name val="Arial"/>
      <family val="2"/>
    </font>
    <font>
      <b/>
      <sz val="11"/>
      <name val="Arial"/>
      <family val="2"/>
    </font>
    <font>
      <b/>
      <i/>
      <sz val="11"/>
      <color theme="1"/>
      <name val="Arial"/>
      <family val="2"/>
    </font>
    <font>
      <sz val="11"/>
      <name val="Arial"/>
      <family val="2"/>
    </font>
    <font>
      <b/>
      <sz val="12"/>
      <name val="Arial"/>
      <family val="2"/>
    </font>
    <font>
      <b/>
      <sz val="11"/>
      <name val="Albertus"/>
      <family val="2"/>
    </font>
    <font>
      <b/>
      <sz val="10"/>
      <name val="Albertus"/>
      <family val="2"/>
    </font>
    <font>
      <sz val="11"/>
      <name val="Albertus"/>
    </font>
    <font>
      <sz val="10"/>
      <name val="Albertus"/>
      <family val="2"/>
    </font>
    <font>
      <sz val="11"/>
      <name val="Albertus"/>
      <family val="2"/>
    </font>
    <font>
      <sz val="10"/>
      <color indexed="8"/>
      <name val="MS Sans Serif"/>
      <family val="2"/>
    </font>
    <font>
      <b/>
      <sz val="13"/>
      <color indexed="62"/>
      <name val="Arial"/>
      <family val="2"/>
    </font>
    <font>
      <b/>
      <i/>
      <sz val="16"/>
      <color indexed="18"/>
      <name val="Times New Roman"/>
      <family val="1"/>
    </font>
    <font>
      <sz val="10"/>
      <name val="Bookman Old Style"/>
      <family val="1"/>
    </font>
    <font>
      <b/>
      <sz val="16"/>
      <color theme="4"/>
      <name val="Arial"/>
      <family val="2"/>
    </font>
    <font>
      <i/>
      <sz val="10"/>
      <name val="Bookman Old Style"/>
      <family val="1"/>
    </font>
    <font>
      <i/>
      <sz val="10"/>
      <name val="Arial"/>
      <family val="2"/>
    </font>
    <font>
      <i/>
      <sz val="11"/>
      <name val="Times New Roman"/>
      <family val="1"/>
    </font>
    <font>
      <sz val="10"/>
      <color rgb="FFFF0000"/>
      <name val="Bookman Old Style"/>
      <family val="1"/>
    </font>
    <font>
      <sz val="10"/>
      <color indexed="8"/>
      <name val="Times New Roman"/>
      <family val="1"/>
    </font>
    <font>
      <i/>
      <sz val="10"/>
      <color indexed="8"/>
      <name val="Times New Roman"/>
      <family val="1"/>
    </font>
    <font>
      <sz val="10"/>
      <name val="Times New Roman"/>
      <family val="1"/>
    </font>
    <font>
      <b/>
      <sz val="10"/>
      <color indexed="8"/>
      <name val="Times New Roman"/>
      <family val="1"/>
    </font>
  </fonts>
  <fills count="9">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indexed="9"/>
        <bgColor indexed="64"/>
      </patternFill>
    </fill>
    <fill>
      <patternFill patternType="solid">
        <fgColor rgb="FFFFFF00"/>
        <bgColor indexed="64"/>
      </patternFill>
    </fill>
    <fill>
      <patternFill patternType="solid">
        <fgColor theme="0" tint="-0.499984740745262"/>
        <bgColor indexed="64"/>
      </patternFill>
    </fill>
    <fill>
      <patternFill patternType="solid">
        <fgColor indexed="13"/>
        <bgColor indexed="64"/>
      </patternFill>
    </fill>
    <fill>
      <patternFill patternType="solid">
        <fgColor theme="0" tint="-0.249977111117893"/>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right/>
      <top/>
      <bottom style="thick">
        <color indexed="22"/>
      </bottom>
      <diagonal/>
    </border>
  </borders>
  <cellStyleXfs count="7">
    <xf numFmtId="0" fontId="0" fillId="0" borderId="0"/>
    <xf numFmtId="0" fontId="6" fillId="0" borderId="0" applyNumberFormat="0" applyFill="0" applyBorder="0" applyAlignment="0" applyProtection="0"/>
    <xf numFmtId="0" fontId="9" fillId="0" borderId="0"/>
    <xf numFmtId="0" fontId="1" fillId="0" borderId="0"/>
    <xf numFmtId="0" fontId="40" fillId="0" borderId="0"/>
    <xf numFmtId="0" fontId="41" fillId="0" borderId="12" applyNumberFormat="0" applyFill="0" applyAlignment="0" applyProtection="0"/>
    <xf numFmtId="9" fontId="1" fillId="0" borderId="0" applyFont="0" applyFill="0" applyBorder="0" applyAlignment="0" applyProtection="0"/>
  </cellStyleXfs>
  <cellXfs count="246">
    <xf numFmtId="0" fontId="0" fillId="0" borderId="0" xfId="0"/>
    <xf numFmtId="0" fontId="4" fillId="0" borderId="0" xfId="0" applyFont="1"/>
    <xf numFmtId="0" fontId="5" fillId="0" borderId="0" xfId="0" applyFont="1"/>
    <xf numFmtId="0" fontId="2" fillId="0" borderId="0" xfId="0" applyFont="1"/>
    <xf numFmtId="0" fontId="1" fillId="0" borderId="0" xfId="0" applyFont="1"/>
    <xf numFmtId="0" fontId="11" fillId="0" borderId="0" xfId="0" applyFont="1" applyAlignment="1">
      <alignment vertical="top"/>
    </xf>
    <xf numFmtId="0" fontId="12" fillId="0" borderId="0" xfId="1" applyFont="1"/>
    <xf numFmtId="0" fontId="13" fillId="0" borderId="0" xfId="0" applyFont="1" applyFill="1" applyAlignment="1">
      <alignment horizontal="left"/>
    </xf>
    <xf numFmtId="3" fontId="14" fillId="0" borderId="0" xfId="0" applyNumberFormat="1" applyFont="1" applyFill="1"/>
    <xf numFmtId="0" fontId="14" fillId="0" borderId="0" xfId="0" applyFont="1" applyFill="1"/>
    <xf numFmtId="0" fontId="15" fillId="0" borderId="0" xfId="0" applyFont="1" applyFill="1" applyAlignment="1">
      <alignment horizontal="left"/>
    </xf>
    <xf numFmtId="0" fontId="17" fillId="0" borderId="0" xfId="0" applyFont="1" applyFill="1" applyAlignment="1">
      <alignment horizontal="left"/>
    </xf>
    <xf numFmtId="0" fontId="14" fillId="0" borderId="0" xfId="0" applyFont="1" applyFill="1" applyAlignment="1">
      <alignment horizontal="left" vertical="center"/>
    </xf>
    <xf numFmtId="3" fontId="14" fillId="0" borderId="0" xfId="0" applyNumberFormat="1" applyFont="1" applyFill="1" applyAlignment="1">
      <alignment horizontal="left"/>
    </xf>
    <xf numFmtId="3" fontId="14" fillId="0" borderId="0" xfId="0" applyNumberFormat="1" applyFont="1" applyFill="1" applyAlignment="1">
      <alignment horizontal="left" wrapText="1"/>
    </xf>
    <xf numFmtId="0" fontId="14" fillId="0" borderId="0" xfId="0" applyFont="1" applyFill="1" applyAlignment="1">
      <alignment horizontal="left" wrapText="1"/>
    </xf>
    <xf numFmtId="0" fontId="14" fillId="0" borderId="0" xfId="0" applyFont="1"/>
    <xf numFmtId="0" fontId="18" fillId="0" borderId="1" xfId="0" applyFont="1" applyFill="1" applyBorder="1" applyAlignment="1">
      <alignment horizontal="left"/>
    </xf>
    <xf numFmtId="3" fontId="16" fillId="0" borderId="1" xfId="0" applyNumberFormat="1" applyFont="1" applyFill="1" applyBorder="1" applyAlignment="1">
      <alignment horizontal="right"/>
    </xf>
    <xf numFmtId="4" fontId="16" fillId="0" borderId="1" xfId="0" applyNumberFormat="1" applyFont="1" applyFill="1" applyBorder="1" applyAlignment="1">
      <alignment horizontal="right"/>
    </xf>
    <xf numFmtId="0" fontId="19" fillId="0" borderId="0" xfId="0" applyFont="1" applyFill="1"/>
    <xf numFmtId="0" fontId="16" fillId="0" borderId="1" xfId="0" applyFont="1" applyFill="1" applyBorder="1" applyAlignment="1">
      <alignment horizontal="left"/>
    </xf>
    <xf numFmtId="0" fontId="0" fillId="0" borderId="0" xfId="0" applyFill="1"/>
    <xf numFmtId="0" fontId="19" fillId="0" borderId="0" xfId="0" applyFont="1"/>
    <xf numFmtId="3" fontId="16" fillId="2" borderId="1" xfId="0" applyNumberFormat="1" applyFont="1" applyFill="1" applyBorder="1" applyAlignment="1">
      <alignment horizontal="right"/>
    </xf>
    <xf numFmtId="4" fontId="16" fillId="2" borderId="1" xfId="0" applyNumberFormat="1" applyFont="1" applyFill="1" applyBorder="1" applyAlignment="1">
      <alignment horizontal="right"/>
    </xf>
    <xf numFmtId="0" fontId="18" fillId="0" borderId="1" xfId="0" applyFont="1" applyFill="1" applyBorder="1" applyAlignment="1">
      <alignment horizontal="left" wrapText="1"/>
    </xf>
    <xf numFmtId="0" fontId="16" fillId="0" borderId="1" xfId="0" applyFont="1" applyFill="1" applyBorder="1" applyAlignment="1">
      <alignment horizontal="left" wrapText="1"/>
    </xf>
    <xf numFmtId="0" fontId="16" fillId="0" borderId="0" xfId="0" applyFont="1" applyFill="1" applyAlignment="1">
      <alignment horizontal="left"/>
    </xf>
    <xf numFmtId="3" fontId="16" fillId="0" borderId="0" xfId="0" applyNumberFormat="1" applyFont="1" applyFill="1" applyAlignment="1">
      <alignment horizontal="right"/>
    </xf>
    <xf numFmtId="4" fontId="16" fillId="0" borderId="0" xfId="0" applyNumberFormat="1" applyFont="1" applyFill="1" applyAlignment="1">
      <alignment horizontal="right"/>
    </xf>
    <xf numFmtId="0" fontId="20" fillId="0" borderId="0" xfId="0" applyFont="1" applyFill="1" applyAlignment="1">
      <alignment horizontal="left"/>
    </xf>
    <xf numFmtId="3" fontId="14" fillId="0" borderId="0" xfId="0" applyNumberFormat="1" applyFont="1"/>
    <xf numFmtId="3" fontId="20" fillId="0" borderId="0" xfId="0" applyNumberFormat="1" applyFont="1" applyFill="1" applyAlignment="1">
      <alignment horizontal="right"/>
    </xf>
    <xf numFmtId="4" fontId="20" fillId="0" borderId="0" xfId="0" applyNumberFormat="1" applyFont="1" applyFill="1" applyAlignment="1">
      <alignment horizontal="right"/>
    </xf>
    <xf numFmtId="4" fontId="14" fillId="0" borderId="0" xfId="0" applyNumberFormat="1" applyFont="1"/>
    <xf numFmtId="0" fontId="1" fillId="0" borderId="0" xfId="0" applyFont="1" applyFill="1"/>
    <xf numFmtId="3" fontId="0" fillId="0" borderId="0" xfId="0" applyNumberFormat="1"/>
    <xf numFmtId="0" fontId="22" fillId="0" borderId="0" xfId="2" applyFont="1" applyFill="1" applyAlignment="1">
      <alignment horizontal="left"/>
    </xf>
    <xf numFmtId="0" fontId="23" fillId="0" borderId="0" xfId="2" applyFont="1" applyFill="1" applyAlignment="1">
      <alignment horizontal="right"/>
    </xf>
    <xf numFmtId="0" fontId="24" fillId="0" borderId="0" xfId="2" applyFont="1" applyFill="1"/>
    <xf numFmtId="164" fontId="24" fillId="0" borderId="0" xfId="2" applyNumberFormat="1" applyFont="1" applyFill="1" applyAlignment="1"/>
    <xf numFmtId="165" fontId="24" fillId="0" borderId="0" xfId="2" applyNumberFormat="1" applyFont="1" applyFill="1" applyAlignment="1"/>
    <xf numFmtId="0" fontId="25" fillId="0" borderId="0" xfId="2" applyFont="1" applyFill="1"/>
    <xf numFmtId="1" fontId="24" fillId="0" borderId="0" xfId="2" applyNumberFormat="1" applyFont="1" applyFill="1"/>
    <xf numFmtId="0" fontId="26" fillId="0" borderId="0" xfId="0" applyFont="1" applyFill="1"/>
    <xf numFmtId="1" fontId="26" fillId="0" borderId="0" xfId="0" applyNumberFormat="1" applyFont="1" applyFill="1"/>
    <xf numFmtId="0" fontId="29" fillId="0" borderId="0" xfId="0" applyFont="1" applyFill="1"/>
    <xf numFmtId="165" fontId="26" fillId="0" borderId="0" xfId="0" applyNumberFormat="1" applyFont="1" applyFill="1"/>
    <xf numFmtId="0" fontId="14" fillId="0" borderId="2" xfId="0" applyFont="1" applyFill="1" applyBorder="1" applyAlignment="1">
      <alignment horizontal="left" wrapText="1"/>
    </xf>
    <xf numFmtId="3" fontId="14" fillId="0" borderId="2" xfId="0" applyNumberFormat="1" applyFont="1" applyFill="1" applyBorder="1" applyAlignment="1">
      <alignment horizontal="left" wrapText="1"/>
    </xf>
    <xf numFmtId="0" fontId="30" fillId="0" borderId="2" xfId="0" applyFont="1" applyFill="1" applyBorder="1" applyAlignment="1">
      <alignment wrapText="1"/>
    </xf>
    <xf numFmtId="165" fontId="14" fillId="0" borderId="2" xfId="0" applyNumberFormat="1" applyFont="1" applyFill="1" applyBorder="1" applyAlignment="1">
      <alignment wrapText="1"/>
    </xf>
    <xf numFmtId="165" fontId="29" fillId="0" borderId="2" xfId="0" applyNumberFormat="1" applyFont="1" applyFill="1" applyBorder="1" applyAlignment="1">
      <alignment wrapText="1"/>
    </xf>
    <xf numFmtId="0" fontId="29" fillId="0" borderId="2" xfId="0" applyFont="1" applyFill="1" applyBorder="1" applyAlignment="1">
      <alignment wrapText="1"/>
    </xf>
    <xf numFmtId="0" fontId="31" fillId="0" borderId="2" xfId="0" applyFont="1" applyFill="1" applyBorder="1" applyAlignment="1">
      <alignment wrapText="1"/>
    </xf>
    <xf numFmtId="1" fontId="31" fillId="0" borderId="2" xfId="0" applyNumberFormat="1" applyFont="1" applyFill="1" applyBorder="1" applyAlignment="1">
      <alignment wrapText="1"/>
    </xf>
    <xf numFmtId="2" fontId="32" fillId="0" borderId="2" xfId="0" applyNumberFormat="1" applyFont="1" applyFill="1" applyBorder="1" applyAlignment="1">
      <alignment wrapText="1"/>
    </xf>
    <xf numFmtId="0" fontId="1" fillId="0" borderId="1" xfId="0" applyFont="1" applyFill="1" applyBorder="1" applyAlignment="1">
      <alignment horizontal="left"/>
    </xf>
    <xf numFmtId="3" fontId="1" fillId="0" borderId="1" xfId="0" applyNumberFormat="1" applyFont="1" applyFill="1" applyBorder="1" applyAlignment="1">
      <alignment horizontal="right"/>
    </xf>
    <xf numFmtId="165" fontId="26" fillId="0" borderId="1" xfId="0" applyNumberFormat="1" applyFont="1" applyFill="1" applyBorder="1"/>
    <xf numFmtId="0" fontId="26" fillId="0" borderId="1" xfId="0" applyFont="1" applyFill="1" applyBorder="1"/>
    <xf numFmtId="1" fontId="26" fillId="0" borderId="1" xfId="0" applyNumberFormat="1" applyFont="1" applyFill="1" applyBorder="1"/>
    <xf numFmtId="2" fontId="26" fillId="0" borderId="1" xfId="0" applyNumberFormat="1" applyFont="1" applyFill="1" applyBorder="1"/>
    <xf numFmtId="0" fontId="19" fillId="0" borderId="1" xfId="0" applyFont="1" applyFill="1" applyBorder="1" applyAlignment="1">
      <alignment horizontal="left"/>
    </xf>
    <xf numFmtId="3" fontId="19" fillId="0" borderId="1" xfId="0" applyNumberFormat="1" applyFont="1" applyFill="1" applyBorder="1" applyAlignment="1">
      <alignment horizontal="right"/>
    </xf>
    <xf numFmtId="2" fontId="33" fillId="0" borderId="1" xfId="0" applyNumberFormat="1" applyFont="1" applyFill="1" applyBorder="1"/>
    <xf numFmtId="165" fontId="1" fillId="0" borderId="1" xfId="0" applyNumberFormat="1" applyFont="1" applyFill="1" applyBorder="1" applyAlignment="1">
      <alignment horizontal="right"/>
    </xf>
    <xf numFmtId="0" fontId="1" fillId="0" borderId="3" xfId="0" applyFont="1" applyFill="1" applyBorder="1" applyAlignment="1">
      <alignment horizontal="left"/>
    </xf>
    <xf numFmtId="3" fontId="1" fillId="0" borderId="3" xfId="0" applyNumberFormat="1" applyFont="1" applyFill="1" applyBorder="1" applyAlignment="1">
      <alignment horizontal="right"/>
    </xf>
    <xf numFmtId="165" fontId="26" fillId="0" borderId="3" xfId="0" applyNumberFormat="1" applyFont="1" applyFill="1" applyBorder="1"/>
    <xf numFmtId="165" fontId="1" fillId="0" borderId="3" xfId="0" applyNumberFormat="1" applyFont="1" applyFill="1" applyBorder="1" applyAlignment="1">
      <alignment horizontal="right"/>
    </xf>
    <xf numFmtId="0" fontId="26" fillId="0" borderId="3" xfId="0" applyFont="1" applyFill="1" applyBorder="1"/>
    <xf numFmtId="1" fontId="26" fillId="0" borderId="3" xfId="0" applyNumberFormat="1" applyFont="1" applyFill="1" applyBorder="1"/>
    <xf numFmtId="2" fontId="26" fillId="0" borderId="3" xfId="0" applyNumberFormat="1" applyFont="1" applyFill="1" applyBorder="1"/>
    <xf numFmtId="0" fontId="1" fillId="0" borderId="0" xfId="0" applyFont="1" applyFill="1" applyBorder="1" applyAlignment="1">
      <alignment horizontal="left"/>
    </xf>
    <xf numFmtId="3" fontId="1" fillId="0" borderId="0" xfId="0" applyNumberFormat="1" applyFont="1" applyFill="1" applyBorder="1" applyAlignment="1">
      <alignment horizontal="right"/>
    </xf>
    <xf numFmtId="165" fontId="26" fillId="0" borderId="0" xfId="0" applyNumberFormat="1" applyFont="1" applyFill="1" applyBorder="1"/>
    <xf numFmtId="165" fontId="1" fillId="0" borderId="0" xfId="0" applyNumberFormat="1" applyFont="1" applyFill="1" applyBorder="1" applyAlignment="1">
      <alignment horizontal="right"/>
    </xf>
    <xf numFmtId="0" fontId="26" fillId="0" borderId="0" xfId="0" applyFont="1" applyFill="1" applyBorder="1"/>
    <xf numFmtId="1" fontId="26" fillId="0" borderId="0" xfId="0" applyNumberFormat="1" applyFont="1" applyFill="1" applyBorder="1"/>
    <xf numFmtId="2" fontId="26" fillId="0" borderId="0" xfId="0" applyNumberFormat="1" applyFont="1" applyFill="1" applyBorder="1"/>
    <xf numFmtId="0" fontId="34" fillId="0" borderId="0" xfId="2" applyFont="1" applyAlignment="1"/>
    <xf numFmtId="0" fontId="9" fillId="0" borderId="0" xfId="2"/>
    <xf numFmtId="0" fontId="9" fillId="0" borderId="0" xfId="2" applyAlignment="1"/>
    <xf numFmtId="0" fontId="30" fillId="0" borderId="0" xfId="2" applyFont="1" applyAlignment="1">
      <alignment horizontal="left"/>
    </xf>
    <xf numFmtId="3" fontId="35" fillId="0" borderId="4" xfId="2" applyNumberFormat="1" applyFont="1" applyFill="1" applyBorder="1" applyAlignment="1">
      <alignment horizontal="center"/>
    </xf>
    <xf numFmtId="3" fontId="36" fillId="0" borderId="4" xfId="2" applyNumberFormat="1" applyFont="1" applyFill="1" applyBorder="1" applyAlignment="1">
      <alignment horizontal="center" wrapText="1"/>
    </xf>
    <xf numFmtId="3" fontId="36" fillId="3" borderId="4" xfId="2" applyNumberFormat="1" applyFont="1" applyFill="1" applyBorder="1" applyAlignment="1">
      <alignment horizontal="center"/>
    </xf>
    <xf numFmtId="166" fontId="36" fillId="0" borderId="4" xfId="2" applyNumberFormat="1" applyFont="1" applyFill="1" applyBorder="1" applyAlignment="1">
      <alignment horizontal="center" wrapText="1"/>
    </xf>
    <xf numFmtId="166" fontId="36" fillId="3" borderId="4" xfId="2" applyNumberFormat="1" applyFont="1" applyFill="1" applyBorder="1" applyAlignment="1">
      <alignment horizontal="center" wrapText="1"/>
    </xf>
    <xf numFmtId="165" fontId="36" fillId="3" borderId="4" xfId="2" applyNumberFormat="1" applyFont="1" applyFill="1" applyBorder="1" applyAlignment="1">
      <alignment horizontal="center" wrapText="1"/>
    </xf>
    <xf numFmtId="165" fontId="36" fillId="0" borderId="4" xfId="2" applyNumberFormat="1" applyFont="1" applyFill="1" applyBorder="1" applyAlignment="1">
      <alignment horizontal="center" wrapText="1"/>
    </xf>
    <xf numFmtId="0" fontId="9" fillId="0" borderId="0" xfId="2" applyFill="1"/>
    <xf numFmtId="0" fontId="37" fillId="0" borderId="4" xfId="2" applyFont="1" applyFill="1" applyBorder="1" applyAlignment="1">
      <alignment horizontal="left"/>
    </xf>
    <xf numFmtId="0" fontId="38" fillId="0" borderId="4" xfId="2" applyFont="1" applyFill="1" applyBorder="1" applyAlignment="1">
      <alignment horizontal="left"/>
    </xf>
    <xf numFmtId="3" fontId="38" fillId="0" borderId="4" xfId="2" applyNumberFormat="1" applyFont="1" applyFill="1" applyBorder="1" applyAlignment="1">
      <alignment horizontal="center"/>
    </xf>
    <xf numFmtId="165" fontId="38" fillId="0" borderId="5" xfId="2" applyNumberFormat="1" applyFont="1" applyFill="1" applyBorder="1" applyAlignment="1"/>
    <xf numFmtId="165" fontId="38" fillId="0" borderId="4" xfId="2" applyNumberFormat="1" applyFont="1" applyFill="1" applyBorder="1" applyAlignment="1"/>
    <xf numFmtId="0" fontId="38" fillId="0" borderId="4" xfId="2" applyFont="1" applyFill="1" applyBorder="1" applyAlignment="1">
      <alignment horizontal="center"/>
    </xf>
    <xf numFmtId="0" fontId="39" fillId="0" borderId="4" xfId="2" applyFont="1" applyFill="1" applyBorder="1" applyAlignment="1">
      <alignment horizontal="left"/>
    </xf>
    <xf numFmtId="0" fontId="39" fillId="0" borderId="4" xfId="2" applyFont="1" applyFill="1" applyBorder="1" applyAlignment="1">
      <alignment horizontal="center"/>
    </xf>
    <xf numFmtId="0" fontId="37" fillId="0" borderId="4" xfId="2" applyFont="1" applyFill="1" applyBorder="1" applyAlignment="1"/>
    <xf numFmtId="0" fontId="38" fillId="0" borderId="4" xfId="2" applyFont="1" applyFill="1" applyBorder="1" applyAlignment="1"/>
    <xf numFmtId="165" fontId="38" fillId="0" borderId="0" xfId="2" applyNumberFormat="1" applyFont="1" applyFill="1" applyBorder="1" applyAlignment="1"/>
    <xf numFmtId="0" fontId="37" fillId="0" borderId="4" xfId="4" applyFont="1" applyFill="1" applyBorder="1" applyAlignment="1">
      <alignment horizontal="left"/>
    </xf>
    <xf numFmtId="0" fontId="37" fillId="0" borderId="4" xfId="2" applyNumberFormat="1" applyFont="1" applyFill="1" applyBorder="1" applyAlignment="1">
      <alignment horizontal="left"/>
    </xf>
    <xf numFmtId="3" fontId="37" fillId="0" borderId="4" xfId="2" applyNumberFormat="1" applyFont="1" applyFill="1" applyBorder="1" applyAlignment="1">
      <alignment horizontal="left"/>
    </xf>
    <xf numFmtId="0" fontId="37" fillId="4" borderId="4" xfId="2" applyFont="1" applyFill="1" applyBorder="1" applyAlignment="1"/>
    <xf numFmtId="0" fontId="38" fillId="4" borderId="4" xfId="2" applyFont="1" applyFill="1" applyBorder="1" applyAlignment="1">
      <alignment horizontal="left"/>
    </xf>
    <xf numFmtId="0" fontId="38" fillId="4" borderId="4" xfId="2" applyFont="1" applyFill="1" applyBorder="1" applyAlignment="1">
      <alignment horizontal="center"/>
    </xf>
    <xf numFmtId="3" fontId="38" fillId="4" borderId="4" xfId="2" applyNumberFormat="1" applyFont="1" applyFill="1" applyBorder="1" applyAlignment="1">
      <alignment horizontal="center"/>
    </xf>
    <xf numFmtId="165" fontId="38" fillId="2" borderId="0" xfId="2" applyNumberFormat="1" applyFont="1" applyFill="1" applyBorder="1" applyAlignment="1"/>
    <xf numFmtId="165" fontId="38" fillId="0" borderId="6" xfId="2" applyNumberFormat="1" applyFont="1" applyFill="1" applyBorder="1" applyAlignment="1"/>
    <xf numFmtId="0" fontId="39" fillId="4" borderId="4" xfId="2" applyFont="1" applyFill="1" applyBorder="1" applyAlignment="1">
      <alignment horizontal="left"/>
    </xf>
    <xf numFmtId="165" fontId="38" fillId="2" borderId="5" xfId="2" applyNumberFormat="1" applyFont="1" applyFill="1" applyBorder="1" applyAlignment="1"/>
    <xf numFmtId="165" fontId="38" fillId="2" borderId="4" xfId="2" applyNumberFormat="1" applyFont="1" applyFill="1" applyBorder="1" applyAlignment="1"/>
    <xf numFmtId="165" fontId="39" fillId="0" borderId="4" xfId="2" applyNumberFormat="1" applyFont="1" applyFill="1" applyBorder="1" applyAlignment="1"/>
    <xf numFmtId="1" fontId="37" fillId="0" borderId="4" xfId="2" applyNumberFormat="1" applyFont="1" applyFill="1" applyBorder="1" applyAlignment="1">
      <alignment horizontal="left"/>
    </xf>
    <xf numFmtId="0" fontId="9" fillId="0" borderId="4" xfId="2" applyBorder="1" applyAlignment="1"/>
    <xf numFmtId="0" fontId="9" fillId="0" borderId="4" xfId="2" applyBorder="1"/>
    <xf numFmtId="0" fontId="9" fillId="0" borderId="5" xfId="2" applyBorder="1"/>
    <xf numFmtId="3" fontId="38" fillId="5" borderId="4" xfId="2" applyNumberFormat="1" applyFont="1" applyFill="1" applyBorder="1" applyAlignment="1">
      <alignment horizontal="center"/>
    </xf>
    <xf numFmtId="0" fontId="39" fillId="4" borderId="7" xfId="2" applyFont="1" applyFill="1" applyBorder="1" applyAlignment="1">
      <alignment horizontal="left"/>
    </xf>
    <xf numFmtId="0" fontId="38" fillId="4" borderId="7" xfId="2" applyFont="1" applyFill="1" applyBorder="1" applyAlignment="1">
      <alignment horizontal="left" wrapText="1"/>
    </xf>
    <xf numFmtId="0" fontId="38" fillId="4" borderId="7" xfId="2" applyFont="1" applyFill="1" applyBorder="1" applyAlignment="1">
      <alignment horizontal="left"/>
    </xf>
    <xf numFmtId="3" fontId="38" fillId="4" borderId="8" xfId="2" applyNumberFormat="1" applyFont="1" applyFill="1" applyBorder="1" applyAlignment="1">
      <alignment horizontal="center"/>
    </xf>
    <xf numFmtId="3" fontId="38" fillId="0" borderId="7" xfId="2" applyNumberFormat="1" applyFont="1" applyFill="1" applyBorder="1" applyAlignment="1">
      <alignment horizontal="center" wrapText="1"/>
    </xf>
    <xf numFmtId="165" fontId="38" fillId="2" borderId="9" xfId="2" applyNumberFormat="1" applyFont="1" applyFill="1" applyBorder="1" applyAlignment="1">
      <alignment wrapText="1"/>
    </xf>
    <xf numFmtId="165" fontId="38" fillId="2" borderId="4" xfId="2" applyNumberFormat="1" applyFont="1" applyFill="1" applyBorder="1" applyAlignment="1">
      <alignment wrapText="1"/>
    </xf>
    <xf numFmtId="165" fontId="39" fillId="0" borderId="7" xfId="2" applyNumberFormat="1" applyFont="1" applyFill="1" applyBorder="1" applyAlignment="1">
      <alignment wrapText="1"/>
    </xf>
    <xf numFmtId="0" fontId="38" fillId="4" borderId="4" xfId="2" applyFont="1" applyFill="1" applyBorder="1" applyAlignment="1">
      <alignment horizontal="left" wrapText="1"/>
    </xf>
    <xf numFmtId="3" fontId="38" fillId="4" borderId="10" xfId="2" applyNumberFormat="1" applyFont="1" applyFill="1" applyBorder="1" applyAlignment="1">
      <alignment horizontal="center"/>
    </xf>
    <xf numFmtId="3" fontId="38" fillId="0" borderId="4" xfId="2" applyNumberFormat="1" applyFont="1" applyFill="1" applyBorder="1" applyAlignment="1">
      <alignment horizontal="center" wrapText="1"/>
    </xf>
    <xf numFmtId="165" fontId="39" fillId="0" borderId="4" xfId="2" applyNumberFormat="1" applyFont="1" applyFill="1" applyBorder="1" applyAlignment="1">
      <alignment wrapText="1"/>
    </xf>
    <xf numFmtId="165" fontId="38" fillId="2" borderId="11" xfId="2" applyNumberFormat="1" applyFont="1" applyFill="1" applyBorder="1" applyAlignment="1"/>
    <xf numFmtId="165" fontId="38" fillId="2" borderId="7" xfId="2" applyNumberFormat="1" applyFont="1" applyFill="1" applyBorder="1" applyAlignment="1"/>
    <xf numFmtId="0" fontId="42" fillId="0" borderId="0" xfId="0" applyFont="1" applyFill="1" applyAlignment="1">
      <alignment horizontal="left"/>
    </xf>
    <xf numFmtId="165" fontId="0" fillId="0" borderId="0" xfId="0" applyNumberFormat="1"/>
    <xf numFmtId="165" fontId="0" fillId="0" borderId="0" xfId="0" applyNumberFormat="1" applyFill="1"/>
    <xf numFmtId="0" fontId="1" fillId="0" borderId="0" xfId="0" applyFont="1" applyAlignment="1">
      <alignment wrapText="1"/>
    </xf>
    <xf numFmtId="165" fontId="1" fillId="0" borderId="0" xfId="0" applyNumberFormat="1" applyFont="1" applyFill="1" applyAlignment="1">
      <alignment wrapText="1"/>
    </xf>
    <xf numFmtId="3" fontId="14" fillId="6" borderId="0" xfId="0" applyNumberFormat="1" applyFont="1" applyFill="1" applyAlignment="1">
      <alignment horizontal="left" wrapText="1"/>
    </xf>
    <xf numFmtId="0" fontId="14" fillId="0" borderId="0" xfId="0" applyFont="1" applyFill="1" applyAlignment="1">
      <alignment wrapText="1"/>
    </xf>
    <xf numFmtId="165" fontId="14" fillId="6" borderId="0" xfId="0" applyNumberFormat="1" applyFont="1" applyFill="1" applyAlignment="1">
      <alignment horizontal="left" wrapText="1"/>
    </xf>
    <xf numFmtId="165" fontId="14" fillId="0" borderId="0" xfId="0" applyNumberFormat="1" applyFont="1" applyFill="1" applyAlignment="1">
      <alignment horizontal="left" wrapText="1"/>
    </xf>
    <xf numFmtId="165" fontId="14" fillId="0" borderId="0" xfId="0" applyNumberFormat="1" applyFont="1" applyFill="1" applyAlignment="1">
      <alignment wrapText="1"/>
    </xf>
    <xf numFmtId="0" fontId="14" fillId="0" borderId="0" xfId="0" applyFont="1" applyAlignment="1">
      <alignment wrapText="1"/>
    </xf>
    <xf numFmtId="3" fontId="18" fillId="0" borderId="1" xfId="0" applyNumberFormat="1" applyFont="1" applyFill="1" applyBorder="1" applyAlignment="1">
      <alignment horizontal="right"/>
    </xf>
    <xf numFmtId="165" fontId="0" fillId="0" borderId="1" xfId="0" applyNumberFormat="1" applyFill="1" applyBorder="1"/>
    <xf numFmtId="165" fontId="18" fillId="0" borderId="1" xfId="0" applyNumberFormat="1" applyFont="1" applyFill="1" applyBorder="1" applyAlignment="1">
      <alignment horizontal="right"/>
    </xf>
    <xf numFmtId="165" fontId="16" fillId="0" borderId="1" xfId="0" applyNumberFormat="1" applyFont="1" applyFill="1" applyBorder="1" applyAlignment="1">
      <alignment horizontal="right"/>
    </xf>
    <xf numFmtId="165" fontId="1" fillId="0" borderId="1" xfId="0" applyNumberFormat="1" applyFont="1" applyFill="1" applyBorder="1"/>
    <xf numFmtId="165" fontId="16" fillId="5" borderId="1" xfId="0" applyNumberFormat="1" applyFont="1" applyFill="1" applyBorder="1" applyAlignment="1">
      <alignment horizontal="right"/>
    </xf>
    <xf numFmtId="165" fontId="16" fillId="7" borderId="1" xfId="0" applyNumberFormat="1" applyFont="1" applyFill="1" applyBorder="1" applyAlignment="1">
      <alignment horizontal="right"/>
    </xf>
    <xf numFmtId="165" fontId="18" fillId="7" borderId="1" xfId="0" applyNumberFormat="1" applyFont="1" applyFill="1" applyBorder="1" applyAlignment="1">
      <alignment horizontal="right"/>
    </xf>
    <xf numFmtId="0" fontId="16" fillId="5" borderId="1" xfId="0" applyFont="1" applyFill="1" applyBorder="1" applyAlignment="1">
      <alignment horizontal="left"/>
    </xf>
    <xf numFmtId="3" fontId="16" fillId="5" borderId="1" xfId="0" applyNumberFormat="1" applyFont="1" applyFill="1" applyBorder="1" applyAlignment="1">
      <alignment horizontal="right"/>
    </xf>
    <xf numFmtId="165" fontId="1" fillId="5" borderId="1" xfId="0" applyNumberFormat="1" applyFont="1" applyFill="1" applyBorder="1"/>
    <xf numFmtId="165" fontId="43" fillId="0" borderId="1" xfId="0" applyNumberFormat="1" applyFont="1" applyFill="1" applyBorder="1" applyAlignment="1">
      <alignment horizontal="right"/>
    </xf>
    <xf numFmtId="0" fontId="18" fillId="5" borderId="1" xfId="0" applyFont="1" applyFill="1" applyBorder="1" applyAlignment="1">
      <alignment horizontal="left"/>
    </xf>
    <xf numFmtId="3" fontId="18" fillId="5" borderId="1" xfId="0" applyNumberFormat="1" applyFont="1" applyFill="1" applyBorder="1" applyAlignment="1">
      <alignment horizontal="right"/>
    </xf>
    <xf numFmtId="165" fontId="0" fillId="5" borderId="1" xfId="0" applyNumberFormat="1" applyFill="1" applyBorder="1"/>
    <xf numFmtId="165" fontId="18" fillId="5" borderId="1" xfId="0" applyNumberFormat="1" applyFont="1" applyFill="1" applyBorder="1" applyAlignment="1">
      <alignment horizontal="right"/>
    </xf>
    <xf numFmtId="3" fontId="16" fillId="7" borderId="1" xfId="0" applyNumberFormat="1" applyFont="1" applyFill="1" applyBorder="1" applyAlignment="1">
      <alignment horizontal="right"/>
    </xf>
    <xf numFmtId="0" fontId="0" fillId="0" borderId="1" xfId="0" applyFill="1" applyBorder="1"/>
    <xf numFmtId="0" fontId="0" fillId="0" borderId="1" xfId="0" applyBorder="1"/>
    <xf numFmtId="0" fontId="20" fillId="0" borderId="1" xfId="0" applyFont="1" applyFill="1" applyBorder="1" applyAlignment="1">
      <alignment horizontal="left"/>
    </xf>
    <xf numFmtId="0" fontId="16" fillId="0" borderId="3" xfId="0" applyFont="1" applyFill="1" applyBorder="1" applyAlignment="1">
      <alignment horizontal="left"/>
    </xf>
    <xf numFmtId="3" fontId="0" fillId="0" borderId="3" xfId="0" applyNumberFormat="1" applyBorder="1"/>
    <xf numFmtId="0" fontId="0" fillId="0" borderId="3" xfId="0" applyFill="1" applyBorder="1"/>
    <xf numFmtId="165" fontId="0" fillId="0" borderId="3" xfId="0" applyNumberFormat="1" applyBorder="1"/>
    <xf numFmtId="165" fontId="0" fillId="0" borderId="3" xfId="0" applyNumberFormat="1" applyFill="1" applyBorder="1"/>
    <xf numFmtId="0" fontId="0" fillId="0" borderId="3" xfId="0" applyBorder="1"/>
    <xf numFmtId="0" fontId="44" fillId="0" borderId="0" xfId="0" applyFont="1" applyFill="1"/>
    <xf numFmtId="0" fontId="0" fillId="0" borderId="0" xfId="0" applyFill="1" applyAlignment="1">
      <alignment horizontal="left"/>
    </xf>
    <xf numFmtId="165" fontId="1" fillId="0" borderId="0" xfId="0" applyNumberFormat="1" applyFont="1" applyFill="1"/>
    <xf numFmtId="3" fontId="0" fillId="0" borderId="0" xfId="0" applyNumberFormat="1" applyFill="1"/>
    <xf numFmtId="0" fontId="30" fillId="0" borderId="0" xfId="0" applyFont="1" applyFill="1" applyAlignment="1">
      <alignment horizontal="left" wrapText="1"/>
    </xf>
    <xf numFmtId="165" fontId="30" fillId="0" borderId="0" xfId="0" applyNumberFormat="1" applyFont="1" applyFill="1" applyAlignment="1">
      <alignment horizontal="left" wrapText="1"/>
    </xf>
    <xf numFmtId="165" fontId="30" fillId="0" borderId="0" xfId="0" applyNumberFormat="1" applyFont="1" applyFill="1" applyAlignment="1">
      <alignment wrapText="1"/>
    </xf>
    <xf numFmtId="0" fontId="9" fillId="0" borderId="0" xfId="0" applyFont="1" applyFill="1"/>
    <xf numFmtId="0" fontId="9" fillId="0" borderId="0" xfId="0" applyFont="1" applyFill="1" applyAlignment="1">
      <alignment horizontal="left"/>
    </xf>
    <xf numFmtId="165" fontId="9" fillId="0" borderId="0" xfId="0" applyNumberFormat="1" applyFont="1" applyFill="1"/>
    <xf numFmtId="0" fontId="43" fillId="0" borderId="0" xfId="0" applyFont="1" applyFill="1" applyAlignment="1">
      <alignment horizontal="left"/>
    </xf>
    <xf numFmtId="165" fontId="43" fillId="0" borderId="0" xfId="0" applyNumberFormat="1" applyFont="1" applyFill="1" applyAlignment="1">
      <alignment horizontal="right"/>
    </xf>
    <xf numFmtId="0" fontId="45" fillId="0" borderId="0" xfId="0" applyFont="1" applyFill="1" applyAlignment="1">
      <alignment horizontal="left"/>
    </xf>
    <xf numFmtId="165" fontId="45" fillId="0" borderId="0" xfId="0" applyNumberFormat="1" applyFont="1" applyFill="1" applyAlignment="1">
      <alignment horizontal="right"/>
    </xf>
    <xf numFmtId="165" fontId="46" fillId="0" borderId="0" xfId="0" applyNumberFormat="1" applyFont="1" applyFill="1"/>
    <xf numFmtId="0" fontId="47" fillId="0" borderId="0" xfId="0" applyFont="1" applyFill="1" applyAlignment="1">
      <alignment horizontal="left"/>
    </xf>
    <xf numFmtId="0" fontId="46" fillId="0" borderId="0" xfId="0" applyFont="1" applyFill="1"/>
    <xf numFmtId="165" fontId="19" fillId="0" borderId="0" xfId="0" applyNumberFormat="1" applyFont="1" applyFill="1"/>
    <xf numFmtId="165" fontId="48" fillId="0" borderId="0" xfId="0" applyNumberFormat="1" applyFont="1" applyFill="1" applyAlignment="1">
      <alignment horizontal="right"/>
    </xf>
    <xf numFmtId="165" fontId="14" fillId="5" borderId="0" xfId="0" applyNumberFormat="1" applyFont="1" applyFill="1"/>
    <xf numFmtId="165" fontId="14" fillId="0" borderId="0" xfId="0" applyNumberFormat="1" applyFont="1" applyFill="1"/>
    <xf numFmtId="0" fontId="7" fillId="0" borderId="0" xfId="2" applyFont="1" applyFill="1" applyAlignment="1">
      <alignment horizontal="left" wrapText="1"/>
    </xf>
    <xf numFmtId="0" fontId="2" fillId="0" borderId="0" xfId="0" applyFont="1"/>
    <xf numFmtId="0" fontId="6" fillId="0" borderId="0" xfId="1"/>
    <xf numFmtId="0" fontId="7" fillId="0" borderId="0" xfId="0" applyFont="1" applyAlignment="1">
      <alignment horizontal="left" wrapText="1"/>
    </xf>
    <xf numFmtId="0" fontId="16" fillId="0" borderId="0" xfId="0" applyFont="1" applyFill="1" applyAlignment="1">
      <alignment horizontal="left" vertical="top" wrapText="1"/>
    </xf>
    <xf numFmtId="0" fontId="14" fillId="0" borderId="0" xfId="0" applyFont="1" applyFill="1" applyAlignment="1">
      <alignment horizontal="center" wrapText="1"/>
    </xf>
    <xf numFmtId="0" fontId="9" fillId="0" borderId="2" xfId="2" applyFont="1" applyBorder="1" applyAlignment="1">
      <alignment horizontal="left" wrapText="1"/>
    </xf>
    <xf numFmtId="0" fontId="21" fillId="0" borderId="0" xfId="2" applyFont="1" applyFill="1" applyAlignment="1">
      <alignment horizontal="left" vertical="center" wrapText="1"/>
    </xf>
    <xf numFmtId="0" fontId="27" fillId="0" borderId="0" xfId="2" applyFont="1" applyFill="1" applyAlignment="1">
      <alignment horizontal="left" wrapText="1"/>
    </xf>
    <xf numFmtId="0" fontId="1" fillId="0" borderId="0" xfId="0" applyFont="1" applyAlignment="1">
      <alignment wrapText="1"/>
    </xf>
    <xf numFmtId="0" fontId="1" fillId="0" borderId="0" xfId="0" applyFont="1" applyFill="1" applyAlignment="1">
      <alignment wrapText="1"/>
    </xf>
    <xf numFmtId="0" fontId="49" fillId="0" borderId="1" xfId="0" applyFont="1" applyFill="1" applyBorder="1" applyAlignment="1">
      <alignment horizontal="left"/>
    </xf>
    <xf numFmtId="3" fontId="49" fillId="0" borderId="1" xfId="0" applyNumberFormat="1" applyFont="1" applyFill="1" applyBorder="1" applyAlignment="1">
      <alignment horizontal="right"/>
    </xf>
    <xf numFmtId="165" fontId="49" fillId="0" borderId="1" xfId="0" applyNumberFormat="1" applyFont="1" applyFill="1" applyBorder="1"/>
    <xf numFmtId="165" fontId="49" fillId="0" borderId="1" xfId="0" applyNumberFormat="1" applyFont="1" applyFill="1" applyBorder="1" applyAlignment="1">
      <alignment horizontal="right"/>
    </xf>
    <xf numFmtId="0" fontId="49" fillId="0" borderId="0" xfId="0" applyFont="1"/>
    <xf numFmtId="0" fontId="50" fillId="0" borderId="0" xfId="0" applyFont="1"/>
    <xf numFmtId="0" fontId="50" fillId="0" borderId="1" xfId="0" applyFont="1" applyFill="1" applyBorder="1" applyAlignment="1">
      <alignment horizontal="left"/>
    </xf>
    <xf numFmtId="3" fontId="50" fillId="0" borderId="1" xfId="0" applyNumberFormat="1" applyFont="1" applyFill="1" applyBorder="1" applyAlignment="1">
      <alignment horizontal="right"/>
    </xf>
    <xf numFmtId="165" fontId="50" fillId="0" borderId="1" xfId="0" applyNumberFormat="1" applyFont="1" applyFill="1" applyBorder="1" applyAlignment="1">
      <alignment horizontal="right"/>
    </xf>
    <xf numFmtId="165" fontId="51" fillId="0" borderId="1" xfId="0" applyNumberFormat="1" applyFont="1" applyFill="1" applyBorder="1" applyAlignment="1">
      <alignment horizontal="right"/>
    </xf>
    <xf numFmtId="0" fontId="50" fillId="0" borderId="0" xfId="0" applyFont="1" applyFill="1"/>
    <xf numFmtId="0" fontId="49" fillId="0" borderId="0" xfId="0" applyFont="1" applyFill="1"/>
    <xf numFmtId="0" fontId="52" fillId="0" borderId="1" xfId="0" applyFont="1" applyFill="1" applyBorder="1" applyAlignment="1">
      <alignment horizontal="left"/>
    </xf>
    <xf numFmtId="3" fontId="52" fillId="0" borderId="1" xfId="0" applyNumberFormat="1" applyFont="1" applyFill="1" applyBorder="1"/>
    <xf numFmtId="165" fontId="52" fillId="0" borderId="1" xfId="0" applyNumberFormat="1" applyFont="1" applyFill="1" applyBorder="1" applyAlignment="1">
      <alignment horizontal="right"/>
    </xf>
    <xf numFmtId="165" fontId="52" fillId="0" borderId="1" xfId="0" applyNumberFormat="1" applyFont="1" applyFill="1" applyBorder="1"/>
    <xf numFmtId="0" fontId="52" fillId="0" borderId="0" xfId="0" applyFont="1"/>
    <xf numFmtId="0" fontId="52" fillId="0" borderId="1" xfId="0" applyFont="1" applyFill="1" applyBorder="1"/>
    <xf numFmtId="0" fontId="52" fillId="0" borderId="0" xfId="0" applyFont="1" applyFill="1" applyAlignment="1">
      <alignment horizontal="left" wrapText="1"/>
    </xf>
    <xf numFmtId="3" fontId="52" fillId="0" borderId="0" xfId="0" applyNumberFormat="1" applyFont="1" applyFill="1" applyAlignment="1">
      <alignment horizontal="left" wrapText="1"/>
    </xf>
    <xf numFmtId="0" fontId="52" fillId="0" borderId="0" xfId="0" applyFont="1" applyFill="1" applyAlignment="1">
      <alignment wrapText="1"/>
    </xf>
    <xf numFmtId="165" fontId="52" fillId="0" borderId="0" xfId="0" applyNumberFormat="1" applyFont="1" applyFill="1" applyAlignment="1">
      <alignment horizontal="left" wrapText="1"/>
    </xf>
    <xf numFmtId="165" fontId="52" fillId="0" borderId="0" xfId="0" applyNumberFormat="1" applyFont="1" applyFill="1" applyAlignment="1">
      <alignment wrapText="1"/>
    </xf>
    <xf numFmtId="3" fontId="14" fillId="0" borderId="1" xfId="0" applyNumberFormat="1" applyFont="1" applyFill="1" applyBorder="1"/>
    <xf numFmtId="165" fontId="20" fillId="0" borderId="1" xfId="0" applyNumberFormat="1" applyFont="1" applyFill="1" applyBorder="1" applyAlignment="1">
      <alignment horizontal="right"/>
    </xf>
    <xf numFmtId="165" fontId="14" fillId="0" borderId="1" xfId="0" applyNumberFormat="1" applyFont="1" applyFill="1" applyBorder="1"/>
    <xf numFmtId="0" fontId="14" fillId="0" borderId="1" xfId="0" applyFont="1" applyFill="1" applyBorder="1"/>
    <xf numFmtId="0" fontId="49" fillId="8" borderId="1" xfId="0" applyFont="1" applyFill="1" applyBorder="1" applyAlignment="1">
      <alignment horizontal="left"/>
    </xf>
    <xf numFmtId="3" fontId="49" fillId="8" borderId="1" xfId="0" applyNumberFormat="1" applyFont="1" applyFill="1" applyBorder="1" applyAlignment="1">
      <alignment horizontal="right"/>
    </xf>
    <xf numFmtId="165" fontId="49" fillId="8" borderId="1" xfId="0" applyNumberFormat="1" applyFont="1" applyFill="1" applyBorder="1"/>
    <xf numFmtId="165" fontId="49" fillId="8" borderId="1" xfId="0" applyNumberFormat="1" applyFont="1" applyFill="1" applyBorder="1" applyAlignment="1">
      <alignment horizontal="right"/>
    </xf>
    <xf numFmtId="0" fontId="50" fillId="8" borderId="1" xfId="0" applyFont="1" applyFill="1" applyBorder="1" applyAlignment="1">
      <alignment horizontal="left"/>
    </xf>
    <xf numFmtId="3" fontId="50" fillId="8" borderId="1" xfId="0" applyNumberFormat="1" applyFont="1" applyFill="1" applyBorder="1" applyAlignment="1">
      <alignment horizontal="right"/>
    </xf>
    <xf numFmtId="165" fontId="50" fillId="8" borderId="1" xfId="0" applyNumberFormat="1" applyFont="1" applyFill="1" applyBorder="1" applyAlignment="1">
      <alignment horizontal="right"/>
    </xf>
    <xf numFmtId="0" fontId="49" fillId="8" borderId="1" xfId="0" applyFont="1" applyFill="1" applyBorder="1"/>
    <xf numFmtId="0" fontId="16" fillId="8" borderId="1" xfId="0" applyFont="1" applyFill="1" applyBorder="1" applyAlignment="1">
      <alignment horizontal="left"/>
    </xf>
    <xf numFmtId="3" fontId="16" fillId="8" borderId="1" xfId="0" applyNumberFormat="1" applyFont="1" applyFill="1" applyBorder="1" applyAlignment="1">
      <alignment horizontal="right"/>
    </xf>
    <xf numFmtId="165" fontId="0" fillId="8" borderId="1" xfId="0" applyNumberFormat="1" applyFill="1" applyBorder="1"/>
    <xf numFmtId="165" fontId="16" fillId="8" borderId="1" xfId="0" applyNumberFormat="1" applyFont="1" applyFill="1" applyBorder="1" applyAlignment="1">
      <alignment horizontal="right"/>
    </xf>
    <xf numFmtId="168" fontId="0" fillId="0" borderId="0" xfId="6" applyNumberFormat="1" applyFont="1"/>
  </cellXfs>
  <cellStyles count="7">
    <cellStyle name="He8ding 2" xfId="5"/>
    <cellStyle name="Hyperlink" xfId="1" builtinId="8"/>
    <cellStyle name="Normal" xfId="0" builtinId="0"/>
    <cellStyle name="Normal 2" xfId="2"/>
    <cellStyle name="Normal 3" xfId="3"/>
    <cellStyle name="Normal_Sheet1" xfId="4"/>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pl.org/cityparkfac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Normal="100" workbookViewId="0">
      <selection activeCell="A12" sqref="A12:J12"/>
    </sheetView>
  </sheetViews>
  <sheetFormatPr defaultColWidth="11.42578125" defaultRowHeight="12.75"/>
  <cols>
    <col min="1" max="1" width="3.140625" customWidth="1"/>
  </cols>
  <sheetData>
    <row r="1" spans="1:10" ht="15">
      <c r="A1" s="196" t="s">
        <v>14</v>
      </c>
      <c r="B1" s="196"/>
      <c r="C1" s="196"/>
      <c r="D1" s="196"/>
      <c r="E1" s="196"/>
      <c r="F1" s="196"/>
      <c r="G1" s="196"/>
      <c r="H1" s="196"/>
      <c r="I1" s="1"/>
    </row>
    <row r="2" spans="1:10" ht="15">
      <c r="A2" s="2"/>
      <c r="B2" s="1"/>
      <c r="C2" s="1"/>
      <c r="D2" s="1"/>
      <c r="E2" s="1"/>
      <c r="F2" s="1"/>
      <c r="G2" s="1"/>
      <c r="H2" s="1"/>
      <c r="I2" s="1"/>
    </row>
    <row r="3" spans="1:10" ht="15">
      <c r="A3" s="196" t="s">
        <v>0</v>
      </c>
      <c r="B3" s="196"/>
      <c r="C3" s="196"/>
      <c r="D3" s="196"/>
      <c r="E3" s="196"/>
      <c r="F3" s="196"/>
      <c r="G3" s="196"/>
      <c r="H3" s="1"/>
      <c r="I3" s="1"/>
    </row>
    <row r="4" spans="1:10" ht="14.25">
      <c r="A4" s="1"/>
      <c r="B4" s="197" t="s">
        <v>1</v>
      </c>
      <c r="C4" s="197"/>
      <c r="D4" s="197"/>
      <c r="E4" s="197"/>
      <c r="F4" s="197"/>
      <c r="G4" s="197"/>
      <c r="H4" s="1"/>
      <c r="I4" s="1"/>
    </row>
    <row r="5" spans="1:10" ht="15">
      <c r="A5" s="3"/>
      <c r="B5" s="197" t="s">
        <v>155</v>
      </c>
      <c r="C5" s="197"/>
      <c r="D5" s="197"/>
      <c r="E5" s="197"/>
      <c r="F5" s="197"/>
      <c r="G5" s="197"/>
      <c r="H5" s="1"/>
      <c r="I5" s="1"/>
    </row>
    <row r="6" spans="1:10" ht="14.25">
      <c r="A6" s="1"/>
      <c r="B6" s="197" t="s">
        <v>2</v>
      </c>
      <c r="C6" s="197"/>
      <c r="D6" s="197"/>
      <c r="E6" s="197"/>
      <c r="F6" s="197"/>
      <c r="G6" s="197"/>
      <c r="H6" s="1"/>
      <c r="I6" s="1"/>
    </row>
    <row r="7" spans="1:10" ht="14.25">
      <c r="A7" s="1"/>
      <c r="B7" s="197" t="s">
        <v>3</v>
      </c>
      <c r="C7" s="197"/>
      <c r="D7" s="197"/>
      <c r="E7" s="197"/>
      <c r="F7" s="197"/>
      <c r="G7" s="197"/>
      <c r="H7" s="1"/>
      <c r="I7" s="1"/>
    </row>
    <row r="8" spans="1:10" ht="14.25">
      <c r="A8" s="1"/>
      <c r="B8" s="197" t="s">
        <v>4</v>
      </c>
      <c r="C8" s="197"/>
      <c r="D8" s="197"/>
      <c r="E8" s="197"/>
      <c r="F8" s="197"/>
      <c r="G8" s="197"/>
      <c r="H8" s="1"/>
      <c r="I8" s="1"/>
    </row>
    <row r="9" spans="1:10" ht="14.25">
      <c r="A9" s="1"/>
      <c r="B9" s="1"/>
      <c r="C9" s="1"/>
      <c r="D9" s="1"/>
      <c r="E9" s="1"/>
      <c r="F9" s="1"/>
      <c r="G9" s="1"/>
      <c r="H9" s="1"/>
      <c r="I9" s="1"/>
    </row>
    <row r="10" spans="1:10" ht="25.5" customHeight="1">
      <c r="A10" s="3" t="s">
        <v>5</v>
      </c>
      <c r="B10" s="1"/>
      <c r="C10" s="1"/>
      <c r="D10" s="1"/>
      <c r="E10" s="1"/>
      <c r="F10" s="1"/>
      <c r="G10" s="1"/>
      <c r="H10" s="1"/>
      <c r="I10" s="1"/>
    </row>
    <row r="11" spans="1:10" ht="38.25" customHeight="1">
      <c r="A11" s="198" t="s">
        <v>6</v>
      </c>
      <c r="B11" s="198"/>
      <c r="C11" s="198"/>
      <c r="D11" s="198"/>
      <c r="E11" s="198"/>
      <c r="F11" s="198"/>
      <c r="G11" s="198"/>
      <c r="H11" s="198"/>
      <c r="I11" s="198"/>
      <c r="J11" s="198"/>
    </row>
    <row r="12" spans="1:10" ht="39.75" customHeight="1">
      <c r="A12" s="198" t="s">
        <v>7</v>
      </c>
      <c r="B12" s="198"/>
      <c r="C12" s="198"/>
      <c r="D12" s="198"/>
      <c r="E12" s="198"/>
      <c r="F12" s="198"/>
      <c r="G12" s="198"/>
      <c r="H12" s="198"/>
      <c r="I12" s="198"/>
      <c r="J12" s="198"/>
    </row>
    <row r="13" spans="1:10" ht="48.95" customHeight="1">
      <c r="A13" s="195" t="s">
        <v>8</v>
      </c>
      <c r="B13" s="195"/>
      <c r="C13" s="195"/>
      <c r="D13" s="195"/>
      <c r="E13" s="195"/>
      <c r="F13" s="195"/>
      <c r="G13" s="195"/>
      <c r="H13" s="195"/>
      <c r="I13" s="195"/>
      <c r="J13" s="195"/>
    </row>
    <row r="14" spans="1:10" ht="23.1" customHeight="1">
      <c r="A14" s="195" t="s">
        <v>9</v>
      </c>
      <c r="B14" s="195"/>
      <c r="C14" s="195"/>
      <c r="D14" s="195"/>
      <c r="E14" s="195"/>
      <c r="F14" s="195"/>
      <c r="G14" s="195"/>
      <c r="H14" s="195"/>
      <c r="I14" s="195"/>
      <c r="J14" s="195"/>
    </row>
    <row r="15" spans="1:10" ht="31.5" customHeight="1">
      <c r="A15" s="195" t="s">
        <v>10</v>
      </c>
      <c r="B15" s="195"/>
      <c r="C15" s="195"/>
      <c r="D15" s="195"/>
      <c r="E15" s="195"/>
      <c r="F15" s="195"/>
      <c r="G15" s="195"/>
      <c r="H15" s="195"/>
      <c r="I15" s="195"/>
      <c r="J15" s="195"/>
    </row>
    <row r="16" spans="1:10" ht="60" customHeight="1">
      <c r="A16" s="195" t="s">
        <v>11</v>
      </c>
      <c r="B16" s="195"/>
      <c r="C16" s="195"/>
      <c r="D16" s="195"/>
      <c r="E16" s="195"/>
      <c r="F16" s="195"/>
      <c r="G16" s="195"/>
      <c r="H16" s="195"/>
      <c r="I16" s="195"/>
      <c r="J16" s="195"/>
    </row>
    <row r="17" spans="1:9" ht="14.25">
      <c r="A17" s="1"/>
      <c r="B17" s="1"/>
      <c r="C17" s="1"/>
      <c r="D17" s="1"/>
      <c r="E17" s="1"/>
      <c r="F17" s="1"/>
      <c r="G17" s="1"/>
      <c r="H17" s="1"/>
      <c r="I17" s="4"/>
    </row>
    <row r="18" spans="1:9" ht="15">
      <c r="A18" s="5" t="s">
        <v>12</v>
      </c>
      <c r="B18" s="1"/>
      <c r="C18" s="1"/>
      <c r="D18" s="1"/>
      <c r="E18" s="1"/>
      <c r="F18" s="1"/>
      <c r="G18" s="1"/>
      <c r="H18" s="1"/>
      <c r="I18" s="4"/>
    </row>
    <row r="19" spans="1:9" ht="15">
      <c r="A19" s="6" t="s">
        <v>13</v>
      </c>
      <c r="B19" s="1"/>
      <c r="C19" s="1"/>
      <c r="D19" s="1"/>
      <c r="E19" s="1"/>
      <c r="F19" s="1"/>
      <c r="G19" s="1"/>
      <c r="H19" s="1"/>
      <c r="I19" s="4"/>
    </row>
    <row r="20" spans="1:9">
      <c r="A20" s="4"/>
      <c r="B20" s="4"/>
      <c r="C20" s="4"/>
      <c r="D20" s="4"/>
      <c r="E20" s="4"/>
      <c r="F20" s="4"/>
      <c r="G20" s="4"/>
      <c r="H20" s="4"/>
      <c r="I20" s="4"/>
    </row>
    <row r="21" spans="1:9">
      <c r="A21" s="4"/>
      <c r="B21" s="4"/>
      <c r="C21" s="4"/>
      <c r="D21" s="4"/>
      <c r="E21" s="4"/>
      <c r="F21" s="4"/>
      <c r="G21" s="4"/>
      <c r="H21" s="4"/>
      <c r="I21" s="4"/>
    </row>
    <row r="22" spans="1:9">
      <c r="A22" s="4"/>
      <c r="B22" s="4"/>
      <c r="C22" s="4"/>
      <c r="D22" s="4"/>
      <c r="E22" s="4"/>
      <c r="F22" s="4"/>
      <c r="G22" s="4"/>
      <c r="H22" s="4"/>
      <c r="I22" s="4"/>
    </row>
  </sheetData>
  <mergeCells count="13">
    <mergeCell ref="A16:J16"/>
    <mergeCell ref="A1:H1"/>
    <mergeCell ref="A3:G3"/>
    <mergeCell ref="B4:G4"/>
    <mergeCell ref="B6:G6"/>
    <mergeCell ref="B7:G7"/>
    <mergeCell ref="B8:G8"/>
    <mergeCell ref="B5:G5"/>
    <mergeCell ref="A11:J11"/>
    <mergeCell ref="A12:J12"/>
    <mergeCell ref="A13:J13"/>
    <mergeCell ref="A14:J14"/>
    <mergeCell ref="A15:J15"/>
  </mergeCells>
  <hyperlinks>
    <hyperlink ref="A19" r:id="rId1"/>
    <hyperlink ref="B4:G4" location="Employees!A1" display="Employees per 10,000 Residents by Major City Agency"/>
    <hyperlink ref="B5:G5" location="'Conservancy Spending'!A1" display="Spending by Selected Urban Park Conservancies"/>
    <hyperlink ref="B6:G6" location="'Price of Living'!A1" display="Spending on Parks and Recreation Adjusted for Price of Living"/>
    <hyperlink ref="B7:G7" location="'Spending per Resident'!A1" display="Spending on Parks and Recreation per Resident"/>
    <hyperlink ref="B8:G8" location="'Spending by Agency'!A1" display="Spending on Parks and Recreation per Resident by Agency "/>
  </hyperlinks>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zoomScaleNormal="169" zoomScaleSheetLayoutView="161" workbookViewId="0">
      <selection activeCell="A3" sqref="A3:D3"/>
    </sheetView>
  </sheetViews>
  <sheetFormatPr defaultColWidth="11.42578125" defaultRowHeight="12.75"/>
  <cols>
    <col min="1" max="1" width="24.5703125" style="36" customWidth="1"/>
    <col min="2" max="2" width="10.42578125" style="37" hidden="1" customWidth="1"/>
    <col min="3" max="3" width="18.5703125" style="37" customWidth="1"/>
    <col min="4" max="4" width="24.28515625" customWidth="1"/>
    <col min="5" max="6" width="11.42578125" style="22"/>
  </cols>
  <sheetData>
    <row r="1" spans="1:6" s="9" customFormat="1" ht="22.5" customHeight="1">
      <c r="A1" s="7" t="s">
        <v>15</v>
      </c>
      <c r="B1" s="8"/>
    </row>
    <row r="2" spans="1:6" s="9" customFormat="1" ht="15" customHeight="1">
      <c r="A2" s="10" t="s">
        <v>16</v>
      </c>
      <c r="B2" s="8"/>
      <c r="C2" s="8"/>
    </row>
    <row r="3" spans="1:6" s="9" customFormat="1" ht="69" customHeight="1">
      <c r="A3" s="199" t="s">
        <v>17</v>
      </c>
      <c r="B3" s="199"/>
      <c r="C3" s="199"/>
      <c r="D3" s="199"/>
      <c r="E3" s="200"/>
      <c r="F3" s="200"/>
    </row>
    <row r="4" spans="1:6" s="9" customFormat="1" ht="15" customHeight="1">
      <c r="A4" s="11"/>
      <c r="B4" s="8"/>
      <c r="C4" s="8"/>
    </row>
    <row r="5" spans="1:6" s="16" customFormat="1" ht="49.5" customHeight="1">
      <c r="A5" s="12" t="s">
        <v>18</v>
      </c>
      <c r="B5" s="13" t="s">
        <v>19</v>
      </c>
      <c r="C5" s="14" t="s">
        <v>20</v>
      </c>
      <c r="D5" s="15" t="s">
        <v>21</v>
      </c>
      <c r="E5" s="9"/>
      <c r="F5" s="9"/>
    </row>
    <row r="6" spans="1:6" ht="15" customHeight="1">
      <c r="A6" s="17" t="s">
        <v>22</v>
      </c>
      <c r="B6" s="18">
        <v>646449</v>
      </c>
      <c r="C6" s="18">
        <f>861+550</f>
        <v>1411</v>
      </c>
      <c r="D6" s="19">
        <f t="shared" ref="D6:D69" si="0">C6/(B6/10000)</f>
        <v>21.826934530024793</v>
      </c>
      <c r="E6" s="20"/>
      <c r="F6" s="20"/>
    </row>
    <row r="7" spans="1:6" s="23" customFormat="1" ht="15" customHeight="1">
      <c r="A7" s="21" t="s">
        <v>23</v>
      </c>
      <c r="B7" s="18">
        <v>270811</v>
      </c>
      <c r="C7" s="18">
        <v>405</v>
      </c>
      <c r="D7" s="19">
        <f t="shared" si="0"/>
        <v>14.955079372699041</v>
      </c>
      <c r="E7" s="22"/>
      <c r="F7" s="22"/>
    </row>
    <row r="8" spans="1:6" ht="15" customHeight="1">
      <c r="A8" s="21" t="s">
        <v>24</v>
      </c>
      <c r="B8" s="18">
        <v>297517</v>
      </c>
      <c r="C8" s="18">
        <f>169+262</f>
        <v>431</v>
      </c>
      <c r="D8" s="19">
        <f t="shared" si="0"/>
        <v>14.486567154145813</v>
      </c>
    </row>
    <row r="9" spans="1:6" ht="15" customHeight="1">
      <c r="A9" s="21" t="s">
        <v>25</v>
      </c>
      <c r="B9" s="18">
        <v>352957</v>
      </c>
      <c r="C9" s="18">
        <v>484</v>
      </c>
      <c r="D9" s="19">
        <f t="shared" si="0"/>
        <v>13.712718546451836</v>
      </c>
    </row>
    <row r="10" spans="1:6" ht="15" customHeight="1">
      <c r="A10" s="21" t="s">
        <v>26</v>
      </c>
      <c r="B10" s="18">
        <v>249688</v>
      </c>
      <c r="C10" s="24">
        <v>340</v>
      </c>
      <c r="D10" s="25">
        <f t="shared" si="0"/>
        <v>13.616994008522635</v>
      </c>
    </row>
    <row r="11" spans="1:6" s="23" customFormat="1" ht="15" customHeight="1">
      <c r="A11" s="21" t="s">
        <v>27</v>
      </c>
      <c r="B11" s="18">
        <v>652405</v>
      </c>
      <c r="C11" s="18">
        <v>813</v>
      </c>
      <c r="D11" s="19">
        <f t="shared" si="0"/>
        <v>12.461584445244902</v>
      </c>
      <c r="E11" s="20"/>
      <c r="F11" s="20"/>
    </row>
    <row r="12" spans="1:6" ht="15" customHeight="1">
      <c r="A12" s="21" t="s">
        <v>28</v>
      </c>
      <c r="B12" s="18">
        <v>226918</v>
      </c>
      <c r="C12" s="18">
        <v>262</v>
      </c>
      <c r="D12" s="19">
        <f t="shared" si="0"/>
        <v>11.546021029623036</v>
      </c>
    </row>
    <row r="13" spans="1:6" ht="15" customHeight="1">
      <c r="A13" s="21" t="s">
        <v>29</v>
      </c>
      <c r="B13" s="18">
        <v>224906</v>
      </c>
      <c r="C13" s="18">
        <v>249</v>
      </c>
      <c r="D13" s="19">
        <f t="shared" si="0"/>
        <v>11.071292006438245</v>
      </c>
    </row>
    <row r="14" spans="1:6" ht="15" customHeight="1">
      <c r="A14" s="21" t="s">
        <v>30</v>
      </c>
      <c r="B14" s="18">
        <v>448479</v>
      </c>
      <c r="C14" s="18">
        <v>486</v>
      </c>
      <c r="D14" s="19">
        <f t="shared" si="0"/>
        <v>10.836627801970661</v>
      </c>
    </row>
    <row r="15" spans="1:6" ht="15" customHeight="1">
      <c r="A15" s="21" t="s">
        <v>31</v>
      </c>
      <c r="B15" s="18">
        <v>400070</v>
      </c>
      <c r="C15" s="18">
        <v>414</v>
      </c>
      <c r="D15" s="19">
        <f t="shared" si="0"/>
        <v>10.348189066913291</v>
      </c>
    </row>
    <row r="16" spans="1:6" ht="15" customHeight="1">
      <c r="A16" s="21" t="s">
        <v>32</v>
      </c>
      <c r="B16" s="18">
        <v>431746</v>
      </c>
      <c r="C16" s="18">
        <v>443</v>
      </c>
      <c r="D16" s="19">
        <f t="shared" si="0"/>
        <v>10.260662519166361</v>
      </c>
    </row>
    <row r="17" spans="1:6" ht="15" customHeight="1">
      <c r="A17" s="21" t="s">
        <v>33</v>
      </c>
      <c r="B17" s="18">
        <v>2718782</v>
      </c>
      <c r="C17" s="18">
        <v>2702</v>
      </c>
      <c r="D17" s="19">
        <f t="shared" si="0"/>
        <v>9.9382738299723918</v>
      </c>
    </row>
    <row r="18" spans="1:6" s="23" customFormat="1" ht="15" customHeight="1">
      <c r="A18" s="21" t="s">
        <v>34</v>
      </c>
      <c r="B18" s="18">
        <v>390113</v>
      </c>
      <c r="C18" s="18">
        <v>377</v>
      </c>
      <c r="D18" s="19">
        <f t="shared" si="0"/>
        <v>9.6638666232604411</v>
      </c>
      <c r="E18" s="20"/>
      <c r="F18" s="20"/>
    </row>
    <row r="19" spans="1:6" ht="15" customHeight="1">
      <c r="A19" s="21" t="s">
        <v>35</v>
      </c>
      <c r="B19" s="18">
        <v>246139</v>
      </c>
      <c r="C19" s="18">
        <v>230</v>
      </c>
      <c r="D19" s="19">
        <f t="shared" si="0"/>
        <v>9.3443135789127272</v>
      </c>
    </row>
    <row r="20" spans="1:6" ht="15" customHeight="1">
      <c r="A20" s="21" t="s">
        <v>36</v>
      </c>
      <c r="B20" s="18">
        <v>274409</v>
      </c>
      <c r="C20" s="18">
        <v>252</v>
      </c>
      <c r="D20" s="19">
        <f t="shared" si="0"/>
        <v>9.1833722654869199</v>
      </c>
    </row>
    <row r="21" spans="1:6" s="23" customFormat="1" ht="15" customHeight="1">
      <c r="A21" s="21" t="s">
        <v>37</v>
      </c>
      <c r="B21" s="18">
        <v>837442</v>
      </c>
      <c r="C21" s="18">
        <v>739</v>
      </c>
      <c r="D21" s="19">
        <f t="shared" si="0"/>
        <v>8.8244917259941573</v>
      </c>
      <c r="E21" s="20"/>
      <c r="F21" s="20"/>
    </row>
    <row r="22" spans="1:6" s="23" customFormat="1" ht="15" customHeight="1">
      <c r="A22" s="21" t="s">
        <v>38</v>
      </c>
      <c r="B22" s="18">
        <v>305841</v>
      </c>
      <c r="C22" s="18">
        <v>260</v>
      </c>
      <c r="D22" s="19">
        <f t="shared" si="0"/>
        <v>8.5011492899905505</v>
      </c>
      <c r="E22" s="20"/>
      <c r="F22" s="20"/>
    </row>
    <row r="23" spans="1:6" ht="15" customHeight="1">
      <c r="A23" s="21" t="s">
        <v>39</v>
      </c>
      <c r="B23" s="18">
        <v>230571</v>
      </c>
      <c r="C23" s="18">
        <v>192</v>
      </c>
      <c r="D23" s="19">
        <f t="shared" si="0"/>
        <v>8.3271530244480019</v>
      </c>
    </row>
    <row r="24" spans="1:6" ht="15" customHeight="1">
      <c r="A24" s="21" t="s">
        <v>40</v>
      </c>
      <c r="B24" s="18">
        <v>447841</v>
      </c>
      <c r="C24" s="18">
        <v>365</v>
      </c>
      <c r="D24" s="19">
        <f t="shared" si="0"/>
        <v>8.1502140268532806</v>
      </c>
    </row>
    <row r="25" spans="1:6" ht="15" customHeight="1">
      <c r="A25" s="21" t="s">
        <v>41</v>
      </c>
      <c r="B25" s="18">
        <v>294873</v>
      </c>
      <c r="C25" s="18">
        <v>235</v>
      </c>
      <c r="D25" s="19">
        <f t="shared" si="0"/>
        <v>7.9695326462578802</v>
      </c>
    </row>
    <row r="26" spans="1:6" ht="15" customHeight="1">
      <c r="A26" s="21" t="s">
        <v>42</v>
      </c>
      <c r="B26" s="18">
        <v>345012</v>
      </c>
      <c r="C26" s="18">
        <v>271</v>
      </c>
      <c r="D26" s="19">
        <f t="shared" si="0"/>
        <v>7.8547992533593041</v>
      </c>
    </row>
    <row r="27" spans="1:6" s="23" customFormat="1" ht="15" customHeight="1">
      <c r="A27" s="21" t="s">
        <v>43</v>
      </c>
      <c r="B27" s="18">
        <v>255483</v>
      </c>
      <c r="C27" s="18">
        <v>198</v>
      </c>
      <c r="D27" s="19">
        <f t="shared" si="0"/>
        <v>7.7500264205446152</v>
      </c>
      <c r="E27" s="20"/>
      <c r="F27" s="20"/>
    </row>
    <row r="28" spans="1:6" ht="15" customHeight="1">
      <c r="A28" s="21" t="s">
        <v>44</v>
      </c>
      <c r="B28" s="18">
        <v>316381</v>
      </c>
      <c r="C28" s="18">
        <v>236</v>
      </c>
      <c r="D28" s="19">
        <f t="shared" si="0"/>
        <v>7.4593607075013981</v>
      </c>
    </row>
    <row r="29" spans="1:6" s="23" customFormat="1" ht="15" customHeight="1">
      <c r="A29" s="21" t="s">
        <v>45</v>
      </c>
      <c r="B29" s="18">
        <v>345803</v>
      </c>
      <c r="C29" s="18">
        <v>252</v>
      </c>
      <c r="D29" s="19">
        <f t="shared" si="0"/>
        <v>7.2873861707388308</v>
      </c>
      <c r="E29" s="20"/>
      <c r="F29" s="20"/>
    </row>
    <row r="30" spans="1:6" ht="15" customHeight="1">
      <c r="A30" s="21" t="s">
        <v>46</v>
      </c>
      <c r="B30" s="18">
        <v>649495</v>
      </c>
      <c r="C30" s="18">
        <v>468</v>
      </c>
      <c r="D30" s="19">
        <f t="shared" si="0"/>
        <v>7.2055981955211355</v>
      </c>
    </row>
    <row r="31" spans="1:6" ht="15" customHeight="1">
      <c r="A31" s="21" t="s">
        <v>47</v>
      </c>
      <c r="B31" s="18">
        <v>318416</v>
      </c>
      <c r="C31" s="18">
        <v>228</v>
      </c>
      <c r="D31" s="19">
        <f t="shared" si="0"/>
        <v>7.1604441987839804</v>
      </c>
    </row>
    <row r="32" spans="1:6" ht="15" customHeight="1">
      <c r="A32" s="21" t="s">
        <v>48</v>
      </c>
      <c r="B32" s="18">
        <v>467007</v>
      </c>
      <c r="C32" s="18">
        <v>333</v>
      </c>
      <c r="D32" s="19">
        <f t="shared" si="0"/>
        <v>7.1305141036429864</v>
      </c>
    </row>
    <row r="33" spans="1:6" ht="15" customHeight="1">
      <c r="A33" s="21" t="s">
        <v>49</v>
      </c>
      <c r="B33" s="18">
        <v>885400</v>
      </c>
      <c r="C33" s="18">
        <v>627</v>
      </c>
      <c r="D33" s="19">
        <f t="shared" si="0"/>
        <v>7.0815450643776821</v>
      </c>
    </row>
    <row r="34" spans="1:6" ht="15" customHeight="1">
      <c r="A34" s="21" t="s">
        <v>50</v>
      </c>
      <c r="B34" s="18">
        <v>1257676</v>
      </c>
      <c r="C34" s="18">
        <v>862</v>
      </c>
      <c r="D34" s="19">
        <f t="shared" si="0"/>
        <v>6.8539115002592084</v>
      </c>
    </row>
    <row r="35" spans="1:6" ht="15" customHeight="1">
      <c r="A35" s="17" t="s">
        <v>51</v>
      </c>
      <c r="B35" s="18">
        <v>645966</v>
      </c>
      <c r="C35" s="18">
        <f>220+221</f>
        <v>441</v>
      </c>
      <c r="D35" s="19">
        <f t="shared" si="0"/>
        <v>6.8269847019812193</v>
      </c>
    </row>
    <row r="36" spans="1:6" ht="15" customHeight="1">
      <c r="A36" s="21" t="s">
        <v>52</v>
      </c>
      <c r="B36" s="18">
        <v>609456</v>
      </c>
      <c r="C36" s="18">
        <v>411</v>
      </c>
      <c r="D36" s="19">
        <f t="shared" si="0"/>
        <v>6.7437189887374975</v>
      </c>
    </row>
    <row r="37" spans="1:6" s="23" customFormat="1" ht="15" customHeight="1">
      <c r="A37" s="17" t="s">
        <v>53</v>
      </c>
      <c r="B37" s="18">
        <v>378715</v>
      </c>
      <c r="C37" s="18">
        <f>120+135</f>
        <v>255</v>
      </c>
      <c r="D37" s="19">
        <f t="shared" si="0"/>
        <v>6.7332954860515164</v>
      </c>
      <c r="E37" s="20"/>
      <c r="F37" s="20"/>
    </row>
    <row r="38" spans="1:6" ht="15" customHeight="1">
      <c r="A38" s="21" t="s">
        <v>54</v>
      </c>
      <c r="B38" s="18">
        <v>1513367</v>
      </c>
      <c r="C38" s="18">
        <v>999</v>
      </c>
      <c r="D38" s="19">
        <f t="shared" si="0"/>
        <v>6.6011747315753544</v>
      </c>
    </row>
    <row r="39" spans="1:6" ht="15" customHeight="1">
      <c r="A39" s="21" t="s">
        <v>55</v>
      </c>
      <c r="B39" s="18">
        <v>243344</v>
      </c>
      <c r="C39" s="18">
        <v>149</v>
      </c>
      <c r="D39" s="19">
        <f t="shared" si="0"/>
        <v>6.1230192649089359</v>
      </c>
    </row>
    <row r="40" spans="1:6" ht="15" customHeight="1">
      <c r="A40" s="21" t="s">
        <v>56</v>
      </c>
      <c r="B40" s="18">
        <v>279639</v>
      </c>
      <c r="C40" s="18">
        <v>169</v>
      </c>
      <c r="D40" s="19">
        <f t="shared" si="0"/>
        <v>6.0435060917826195</v>
      </c>
    </row>
    <row r="41" spans="1:6" ht="15" customHeight="1">
      <c r="A41" s="21" t="s">
        <v>57</v>
      </c>
      <c r="B41" s="18">
        <v>8405837</v>
      </c>
      <c r="C41" s="18">
        <v>5009</v>
      </c>
      <c r="D41" s="19">
        <f t="shared" si="0"/>
        <v>5.958954474135056</v>
      </c>
    </row>
    <row r="42" spans="1:6" ht="15" customHeight="1">
      <c r="A42" s="21" t="s">
        <v>58</v>
      </c>
      <c r="B42" s="18">
        <v>316619</v>
      </c>
      <c r="C42" s="18">
        <v>188</v>
      </c>
      <c r="D42" s="19">
        <f t="shared" si="0"/>
        <v>5.9377358907709263</v>
      </c>
    </row>
    <row r="43" spans="1:6" ht="15" customHeight="1">
      <c r="A43" s="21" t="s">
        <v>59</v>
      </c>
      <c r="B43" s="18">
        <v>406253</v>
      </c>
      <c r="C43" s="18">
        <v>241</v>
      </c>
      <c r="D43" s="19">
        <f t="shared" si="0"/>
        <v>5.932263884820542</v>
      </c>
    </row>
    <row r="44" spans="1:6" ht="15" customHeight="1">
      <c r="A44" s="21" t="s">
        <v>60</v>
      </c>
      <c r="B44" s="18">
        <v>234566</v>
      </c>
      <c r="C44" s="18">
        <v>136</v>
      </c>
      <c r="D44" s="19">
        <f t="shared" si="0"/>
        <v>5.797941730685606</v>
      </c>
    </row>
    <row r="45" spans="1:6" ht="15" customHeight="1">
      <c r="A45" s="21" t="s">
        <v>61</v>
      </c>
      <c r="B45" s="18">
        <v>526116</v>
      </c>
      <c r="C45" s="18">
        <v>305</v>
      </c>
      <c r="D45" s="19">
        <f t="shared" si="0"/>
        <v>5.7972006173543473</v>
      </c>
    </row>
    <row r="46" spans="1:6" s="23" customFormat="1" ht="15" customHeight="1">
      <c r="A46" s="21" t="s">
        <v>62</v>
      </c>
      <c r="B46" s="18">
        <v>792727</v>
      </c>
      <c r="C46" s="18">
        <v>442</v>
      </c>
      <c r="D46" s="19">
        <f t="shared" si="0"/>
        <v>5.5756899916364651</v>
      </c>
      <c r="E46" s="20"/>
      <c r="F46" s="20"/>
    </row>
    <row r="47" spans="1:6" ht="15" customHeight="1">
      <c r="A47" s="21" t="s">
        <v>63</v>
      </c>
      <c r="B47" s="18">
        <v>469428</v>
      </c>
      <c r="C47" s="18">
        <v>259</v>
      </c>
      <c r="D47" s="19">
        <f t="shared" si="0"/>
        <v>5.5173530339050929</v>
      </c>
    </row>
    <row r="48" spans="1:6" ht="15" customHeight="1">
      <c r="A48" s="21" t="s">
        <v>64</v>
      </c>
      <c r="B48" s="18">
        <v>658602</v>
      </c>
      <c r="C48" s="18">
        <v>363</v>
      </c>
      <c r="D48" s="19">
        <f t="shared" si="0"/>
        <v>5.5116747291991208</v>
      </c>
    </row>
    <row r="49" spans="1:6" ht="15" customHeight="1">
      <c r="A49" s="21" t="s">
        <v>65</v>
      </c>
      <c r="B49" s="18">
        <v>1355896</v>
      </c>
      <c r="C49" s="18">
        <v>743</v>
      </c>
      <c r="D49" s="19">
        <f t="shared" si="0"/>
        <v>5.4797713098939749</v>
      </c>
    </row>
    <row r="50" spans="1:6" ht="15" customHeight="1">
      <c r="A50" s="21" t="s">
        <v>66</v>
      </c>
      <c r="B50" s="18">
        <v>479686</v>
      </c>
      <c r="C50" s="18">
        <v>251</v>
      </c>
      <c r="D50" s="19">
        <f t="shared" si="0"/>
        <v>5.2325896523976096</v>
      </c>
    </row>
    <row r="51" spans="1:6" ht="15" customHeight="1">
      <c r="A51" s="21" t="s">
        <v>67</v>
      </c>
      <c r="B51" s="18">
        <v>622104</v>
      </c>
      <c r="C51" s="18">
        <v>320</v>
      </c>
      <c r="D51" s="19">
        <f t="shared" si="0"/>
        <v>5.1438344714067101</v>
      </c>
    </row>
    <row r="52" spans="1:6" ht="15" customHeight="1">
      <c r="A52" s="21" t="s">
        <v>68</v>
      </c>
      <c r="B52" s="18">
        <v>308428</v>
      </c>
      <c r="C52" s="18">
        <v>151</v>
      </c>
      <c r="D52" s="19">
        <f t="shared" si="0"/>
        <v>4.8957941561725908</v>
      </c>
    </row>
    <row r="53" spans="1:6" ht="15" customHeight="1">
      <c r="A53" s="21" t="s">
        <v>69</v>
      </c>
      <c r="B53" s="18">
        <v>268738</v>
      </c>
      <c r="C53" s="18">
        <v>130</v>
      </c>
      <c r="D53" s="19">
        <f t="shared" si="0"/>
        <v>4.8374252989900945</v>
      </c>
    </row>
    <row r="54" spans="1:6" ht="15" customHeight="1">
      <c r="A54" s="21" t="s">
        <v>70</v>
      </c>
      <c r="B54" s="18">
        <v>674433</v>
      </c>
      <c r="C54" s="18">
        <v>325</v>
      </c>
      <c r="D54" s="19">
        <f t="shared" si="0"/>
        <v>4.8188626594487518</v>
      </c>
    </row>
    <row r="55" spans="1:6" ht="15" customHeight="1">
      <c r="A55" s="21" t="s">
        <v>71</v>
      </c>
      <c r="B55" s="18">
        <v>1409019</v>
      </c>
      <c r="C55" s="18">
        <v>666</v>
      </c>
      <c r="D55" s="19">
        <f t="shared" si="0"/>
        <v>4.7266928267113499</v>
      </c>
    </row>
    <row r="56" spans="1:6" ht="15" customHeight="1">
      <c r="A56" s="21" t="s">
        <v>72</v>
      </c>
      <c r="B56" s="18">
        <v>379577</v>
      </c>
      <c r="C56" s="18">
        <v>178</v>
      </c>
      <c r="D56" s="19">
        <f t="shared" si="0"/>
        <v>4.6894306030133537</v>
      </c>
    </row>
    <row r="57" spans="1:6" ht="15" customHeight="1">
      <c r="A57" s="21" t="s">
        <v>73</v>
      </c>
      <c r="B57" s="18">
        <v>256496</v>
      </c>
      <c r="C57" s="18">
        <v>120</v>
      </c>
      <c r="D57" s="19">
        <f t="shared" si="0"/>
        <v>4.6784355311583807</v>
      </c>
    </row>
    <row r="58" spans="1:6" ht="15" customHeight="1">
      <c r="A58" s="21" t="s">
        <v>74</v>
      </c>
      <c r="B58" s="18">
        <v>756832</v>
      </c>
      <c r="C58" s="18">
        <v>344</v>
      </c>
      <c r="D58" s="19">
        <f t="shared" si="0"/>
        <v>4.5452623567713841</v>
      </c>
    </row>
    <row r="59" spans="1:6" ht="15" customHeight="1">
      <c r="A59" s="21" t="s">
        <v>75</v>
      </c>
      <c r="B59" s="18">
        <v>245475</v>
      </c>
      <c r="C59" s="18">
        <v>109</v>
      </c>
      <c r="D59" s="19">
        <f t="shared" si="0"/>
        <v>4.4403707098482537</v>
      </c>
    </row>
    <row r="60" spans="1:6" ht="15" customHeight="1">
      <c r="A60" s="21" t="s">
        <v>76</v>
      </c>
      <c r="B60" s="18">
        <v>556495</v>
      </c>
      <c r="C60" s="18">
        <v>245</v>
      </c>
      <c r="D60" s="19">
        <f t="shared" si="0"/>
        <v>4.4025552790231712</v>
      </c>
    </row>
    <row r="61" spans="1:6" ht="15" customHeight="1">
      <c r="A61" s="21" t="s">
        <v>77</v>
      </c>
      <c r="B61" s="18">
        <v>417650</v>
      </c>
      <c r="C61" s="18">
        <v>180</v>
      </c>
      <c r="D61" s="19">
        <f t="shared" si="0"/>
        <v>4.3098288040225068</v>
      </c>
    </row>
    <row r="62" spans="1:6" ht="15" customHeight="1">
      <c r="A62" s="21" t="s">
        <v>78</v>
      </c>
      <c r="B62" s="18">
        <v>363630</v>
      </c>
      <c r="C62" s="18">
        <v>149</v>
      </c>
      <c r="D62" s="19">
        <f t="shared" si="0"/>
        <v>4.0975717075048816</v>
      </c>
    </row>
    <row r="63" spans="1:6" s="23" customFormat="1" ht="15" customHeight="1">
      <c r="A63" s="21" t="s">
        <v>79</v>
      </c>
      <c r="B63" s="18">
        <v>386552</v>
      </c>
      <c r="C63" s="18">
        <v>157</v>
      </c>
      <c r="D63" s="19">
        <f t="shared" si="0"/>
        <v>4.0615492870299468</v>
      </c>
      <c r="E63" s="20"/>
      <c r="F63" s="20"/>
    </row>
    <row r="64" spans="1:6" ht="15" customHeight="1">
      <c r="A64" s="21" t="s">
        <v>80</v>
      </c>
      <c r="B64" s="18">
        <v>822553</v>
      </c>
      <c r="C64" s="18">
        <v>326</v>
      </c>
      <c r="D64" s="19">
        <f t="shared" si="0"/>
        <v>3.9632704518736177</v>
      </c>
    </row>
    <row r="65" spans="1:6" ht="15" customHeight="1">
      <c r="A65" s="21" t="s">
        <v>81</v>
      </c>
      <c r="B65" s="18">
        <v>1553165</v>
      </c>
      <c r="C65" s="18">
        <v>605</v>
      </c>
      <c r="D65" s="19">
        <f t="shared" si="0"/>
        <v>3.8952719125141244</v>
      </c>
    </row>
    <row r="66" spans="1:6" ht="15" customHeight="1">
      <c r="A66" s="21" t="s">
        <v>82</v>
      </c>
      <c r="B66" s="18">
        <v>236441</v>
      </c>
      <c r="C66" s="18">
        <v>91</v>
      </c>
      <c r="D66" s="19">
        <f t="shared" si="0"/>
        <v>3.8487402777014137</v>
      </c>
    </row>
    <row r="67" spans="1:6" ht="15" customHeight="1">
      <c r="A67" s="21" t="s">
        <v>83</v>
      </c>
      <c r="B67" s="18">
        <v>2195914</v>
      </c>
      <c r="C67" s="18">
        <v>800</v>
      </c>
      <c r="D67" s="19">
        <f t="shared" si="0"/>
        <v>3.6431299222100684</v>
      </c>
    </row>
    <row r="68" spans="1:6" ht="15" customHeight="1">
      <c r="A68" s="21" t="s">
        <v>84</v>
      </c>
      <c r="B68" s="18">
        <v>3884307</v>
      </c>
      <c r="C68" s="18">
        <v>1367</v>
      </c>
      <c r="D68" s="19">
        <f t="shared" si="0"/>
        <v>3.5192892837770033</v>
      </c>
    </row>
    <row r="69" spans="1:6" ht="15" customHeight="1">
      <c r="A69" s="21" t="s">
        <v>85</v>
      </c>
      <c r="B69" s="18">
        <v>239538</v>
      </c>
      <c r="C69" s="18">
        <v>81</v>
      </c>
      <c r="D69" s="19">
        <f t="shared" si="0"/>
        <v>3.3815094056057911</v>
      </c>
    </row>
    <row r="70" spans="1:6" s="23" customFormat="1" ht="15" customHeight="1">
      <c r="A70" s="21" t="s">
        <v>86</v>
      </c>
      <c r="B70" s="18">
        <v>998537</v>
      </c>
      <c r="C70" s="18">
        <v>334</v>
      </c>
      <c r="D70" s="19">
        <f t="shared" ref="D70:D96" si="1">C70/(B70/10000)</f>
        <v>3.3448935793065253</v>
      </c>
      <c r="E70" s="20"/>
      <c r="F70" s="20"/>
    </row>
    <row r="71" spans="1:6" s="23" customFormat="1" ht="15" customHeight="1">
      <c r="A71" s="21" t="s">
        <v>87</v>
      </c>
      <c r="B71" s="18">
        <v>434353</v>
      </c>
      <c r="C71" s="18">
        <v>145</v>
      </c>
      <c r="D71" s="19">
        <f t="shared" si="1"/>
        <v>3.3382985728198036</v>
      </c>
      <c r="E71" s="20"/>
      <c r="F71" s="20"/>
    </row>
    <row r="72" spans="1:6" ht="15" customHeight="1">
      <c r="A72" s="21" t="s">
        <v>88</v>
      </c>
      <c r="B72" s="18">
        <v>439886</v>
      </c>
      <c r="C72" s="18">
        <v>146</v>
      </c>
      <c r="D72" s="19">
        <f t="shared" si="1"/>
        <v>3.319041751726584</v>
      </c>
    </row>
    <row r="73" spans="1:6" ht="15" customHeight="1">
      <c r="A73" s="21" t="s">
        <v>89</v>
      </c>
      <c r="B73" s="18">
        <v>233394</v>
      </c>
      <c r="C73" s="18">
        <v>77</v>
      </c>
      <c r="D73" s="19">
        <f t="shared" si="1"/>
        <v>3.299142223022014</v>
      </c>
    </row>
    <row r="74" spans="1:6" ht="15" customHeight="1">
      <c r="A74" s="21" t="s">
        <v>90</v>
      </c>
      <c r="B74" s="18">
        <v>282313</v>
      </c>
      <c r="C74" s="18">
        <v>89</v>
      </c>
      <c r="D74" s="19">
        <f t="shared" si="1"/>
        <v>3.1525292848717559</v>
      </c>
    </row>
    <row r="75" spans="1:6" ht="15" customHeight="1">
      <c r="A75" s="21" t="s">
        <v>91</v>
      </c>
      <c r="B75" s="18">
        <v>653450</v>
      </c>
      <c r="C75" s="18">
        <v>206</v>
      </c>
      <c r="D75" s="19">
        <f t="shared" si="1"/>
        <v>3.1524982783686588</v>
      </c>
    </row>
    <row r="76" spans="1:6" ht="15" customHeight="1">
      <c r="A76" s="21" t="s">
        <v>92</v>
      </c>
      <c r="B76" s="18">
        <v>610613</v>
      </c>
      <c r="C76" s="18">
        <v>188</v>
      </c>
      <c r="D76" s="19">
        <f t="shared" si="1"/>
        <v>3.0788731979175026</v>
      </c>
    </row>
    <row r="77" spans="1:6" ht="15" customHeight="1">
      <c r="A77" s="26" t="s">
        <v>93</v>
      </c>
      <c r="B77" s="18">
        <v>599164</v>
      </c>
      <c r="C77" s="18">
        <f>122+62</f>
        <v>184</v>
      </c>
      <c r="D77" s="19">
        <f t="shared" si="1"/>
        <v>3.0709455174209399</v>
      </c>
    </row>
    <row r="78" spans="1:6" s="23" customFormat="1" ht="15" customHeight="1">
      <c r="A78" s="21" t="s">
        <v>94</v>
      </c>
      <c r="B78" s="18">
        <v>457587</v>
      </c>
      <c r="C78" s="18">
        <v>136</v>
      </c>
      <c r="D78" s="19">
        <f t="shared" si="1"/>
        <v>2.9721124070395359</v>
      </c>
      <c r="E78" s="20"/>
      <c r="F78" s="20"/>
    </row>
    <row r="79" spans="1:6" ht="15" customHeight="1">
      <c r="A79" s="21" t="s">
        <v>95</v>
      </c>
      <c r="B79" s="18">
        <v>229426</v>
      </c>
      <c r="C79" s="18">
        <v>64</v>
      </c>
      <c r="D79" s="19">
        <f t="shared" si="1"/>
        <v>2.7895704933181071</v>
      </c>
    </row>
    <row r="80" spans="1:6" ht="15" customHeight="1">
      <c r="A80" s="21" t="s">
        <v>96</v>
      </c>
      <c r="B80" s="18">
        <v>234632</v>
      </c>
      <c r="C80" s="18">
        <v>65</v>
      </c>
      <c r="D80" s="19">
        <f t="shared" si="1"/>
        <v>2.7702956118517506</v>
      </c>
    </row>
    <row r="81" spans="1:6" ht="15" customHeight="1">
      <c r="A81" s="21" t="s">
        <v>97</v>
      </c>
      <c r="B81" s="18">
        <v>842583</v>
      </c>
      <c r="C81" s="18">
        <v>231</v>
      </c>
      <c r="D81" s="19">
        <f t="shared" si="1"/>
        <v>2.7415696732547414</v>
      </c>
    </row>
    <row r="82" spans="1:6" s="23" customFormat="1" ht="15" customHeight="1">
      <c r="A82" s="21" t="s">
        <v>98</v>
      </c>
      <c r="B82" s="18">
        <v>990977</v>
      </c>
      <c r="C82" s="18">
        <v>268</v>
      </c>
      <c r="D82" s="19">
        <f t="shared" si="1"/>
        <v>2.7044018176002065</v>
      </c>
      <c r="E82" s="20"/>
      <c r="F82" s="20"/>
    </row>
    <row r="83" spans="1:6" ht="15" customHeight="1">
      <c r="A83" s="21" t="s">
        <v>99</v>
      </c>
      <c r="B83" s="18">
        <v>229972</v>
      </c>
      <c r="C83" s="18">
        <v>61</v>
      </c>
      <c r="D83" s="19">
        <f t="shared" si="1"/>
        <v>2.6524968257005201</v>
      </c>
    </row>
    <row r="84" spans="1:6" ht="15" customHeight="1">
      <c r="A84" s="21" t="s">
        <v>100</v>
      </c>
      <c r="B84" s="18">
        <v>398121</v>
      </c>
      <c r="C84" s="18">
        <v>98</v>
      </c>
      <c r="D84" s="19">
        <f t="shared" si="1"/>
        <v>2.4615631930995852</v>
      </c>
    </row>
    <row r="85" spans="1:6" ht="15" customHeight="1">
      <c r="A85" s="21" t="s">
        <v>101</v>
      </c>
      <c r="B85" s="18">
        <v>258959</v>
      </c>
      <c r="C85" s="18">
        <v>61</v>
      </c>
      <c r="D85" s="19">
        <f t="shared" si="1"/>
        <v>2.3555852470854459</v>
      </c>
    </row>
    <row r="86" spans="1:6" ht="15" customHeight="1">
      <c r="A86" s="21" t="s">
        <v>102</v>
      </c>
      <c r="B86" s="18">
        <v>300950</v>
      </c>
      <c r="C86" s="18">
        <v>70</v>
      </c>
      <c r="D86" s="19">
        <f t="shared" si="1"/>
        <v>2.3259677687323475</v>
      </c>
    </row>
    <row r="87" spans="1:6" ht="15" customHeight="1">
      <c r="A87" s="21" t="s">
        <v>103</v>
      </c>
      <c r="B87" s="18">
        <v>334227</v>
      </c>
      <c r="C87" s="18">
        <v>69</v>
      </c>
      <c r="D87" s="19">
        <f t="shared" si="1"/>
        <v>2.0644651688822266</v>
      </c>
    </row>
    <row r="88" spans="1:6" ht="15" customHeight="1">
      <c r="A88" s="21" t="s">
        <v>104</v>
      </c>
      <c r="B88" s="18">
        <v>233294</v>
      </c>
      <c r="C88" s="18">
        <v>48</v>
      </c>
      <c r="D88" s="19">
        <f t="shared" si="1"/>
        <v>2.0574896911193603</v>
      </c>
    </row>
    <row r="89" spans="1:6" ht="15" customHeight="1">
      <c r="A89" s="21" t="s">
        <v>105</v>
      </c>
      <c r="B89" s="18">
        <v>257342</v>
      </c>
      <c r="C89" s="18">
        <v>49</v>
      </c>
      <c r="D89" s="19">
        <f t="shared" si="1"/>
        <v>1.9040809506415586</v>
      </c>
    </row>
    <row r="90" spans="1:6" ht="15" customHeight="1">
      <c r="A90" s="21" t="s">
        <v>106</v>
      </c>
      <c r="B90" s="18">
        <v>509924</v>
      </c>
      <c r="C90" s="18">
        <v>80</v>
      </c>
      <c r="D90" s="19">
        <f t="shared" si="1"/>
        <v>1.5688612420674453</v>
      </c>
    </row>
    <row r="91" spans="1:6" ht="15" customHeight="1">
      <c r="A91" s="21" t="s">
        <v>107</v>
      </c>
      <c r="B91" s="18">
        <v>843393</v>
      </c>
      <c r="C91" s="18">
        <v>124</v>
      </c>
      <c r="D91" s="19">
        <f t="shared" si="1"/>
        <v>1.4702517094640342</v>
      </c>
    </row>
    <row r="92" spans="1:6" ht="15" customHeight="1">
      <c r="A92" s="21" t="s">
        <v>108</v>
      </c>
      <c r="B92" s="18">
        <v>256780</v>
      </c>
      <c r="C92" s="18">
        <v>37</v>
      </c>
      <c r="D92" s="19">
        <f t="shared" si="1"/>
        <v>1.4409221902017291</v>
      </c>
    </row>
    <row r="93" spans="1:6" ht="15" customHeight="1">
      <c r="A93" s="21" t="s">
        <v>109</v>
      </c>
      <c r="B93" s="18">
        <v>603488</v>
      </c>
      <c r="C93" s="18">
        <v>85</v>
      </c>
      <c r="D93" s="19">
        <f t="shared" si="1"/>
        <v>1.4084787104300334</v>
      </c>
    </row>
    <row r="94" spans="1:6" s="23" customFormat="1" ht="15" customHeight="1">
      <c r="A94" s="21" t="s">
        <v>110</v>
      </c>
      <c r="B94" s="18">
        <v>298118</v>
      </c>
      <c r="C94" s="18">
        <v>39</v>
      </c>
      <c r="D94" s="19">
        <f t="shared" si="1"/>
        <v>1.308206817434707</v>
      </c>
      <c r="E94" s="20"/>
      <c r="F94" s="20"/>
    </row>
    <row r="95" spans="1:6" ht="15" customHeight="1">
      <c r="A95" s="27" t="s">
        <v>111</v>
      </c>
      <c r="B95" s="18">
        <v>278427</v>
      </c>
      <c r="C95" s="18">
        <v>35</v>
      </c>
      <c r="D95" s="19">
        <f t="shared" si="1"/>
        <v>1.2570619947059731</v>
      </c>
    </row>
    <row r="96" spans="1:6" ht="15" customHeight="1">
      <c r="A96" s="21" t="s">
        <v>112</v>
      </c>
      <c r="B96" s="18">
        <v>688701</v>
      </c>
      <c r="C96" s="18">
        <v>45</v>
      </c>
      <c r="D96" s="19">
        <f t="shared" si="1"/>
        <v>0.65340401712789731</v>
      </c>
    </row>
    <row r="97" spans="1:4" ht="15" customHeight="1">
      <c r="A97" s="21" t="s">
        <v>113</v>
      </c>
      <c r="B97" s="18">
        <v>214237</v>
      </c>
      <c r="C97" s="18" t="s">
        <v>114</v>
      </c>
      <c r="D97" s="19"/>
    </row>
    <row r="98" spans="1:4" ht="15" customHeight="1">
      <c r="A98" s="21" t="s">
        <v>115</v>
      </c>
      <c r="B98" s="18">
        <v>249146</v>
      </c>
      <c r="C98" s="18" t="s">
        <v>114</v>
      </c>
      <c r="D98" s="19"/>
    </row>
    <row r="99" spans="1:4" ht="15" customHeight="1">
      <c r="A99" s="21" t="s">
        <v>116</v>
      </c>
      <c r="B99" s="18"/>
      <c r="C99" s="18" t="s">
        <v>114</v>
      </c>
      <c r="D99" s="19"/>
    </row>
    <row r="100" spans="1:4" ht="15" customHeight="1">
      <c r="A100" s="21" t="s">
        <v>117</v>
      </c>
      <c r="B100" s="18"/>
      <c r="C100" s="18" t="s">
        <v>114</v>
      </c>
      <c r="D100" s="19"/>
    </row>
    <row r="101" spans="1:4" ht="15" customHeight="1">
      <c r="A101" s="21" t="s">
        <v>118</v>
      </c>
      <c r="B101" s="18">
        <v>236716</v>
      </c>
      <c r="C101" s="18" t="s">
        <v>114</v>
      </c>
      <c r="D101" s="19"/>
    </row>
    <row r="102" spans="1:4" ht="15" customHeight="1">
      <c r="A102" s="21" t="s">
        <v>119</v>
      </c>
      <c r="B102" s="18"/>
      <c r="C102" s="18" t="s">
        <v>114</v>
      </c>
      <c r="D102" s="19"/>
    </row>
    <row r="103" spans="1:4" ht="15" customHeight="1">
      <c r="A103" s="21" t="s">
        <v>120</v>
      </c>
      <c r="B103" s="18"/>
      <c r="C103" s="18" t="s">
        <v>114</v>
      </c>
      <c r="D103" s="19"/>
    </row>
    <row r="104" spans="1:4" ht="15" customHeight="1">
      <c r="A104" s="21" t="s">
        <v>121</v>
      </c>
      <c r="B104" s="18">
        <v>226877</v>
      </c>
      <c r="C104" s="18" t="s">
        <v>114</v>
      </c>
      <c r="D104" s="19"/>
    </row>
    <row r="105" spans="1:4" ht="15" customHeight="1">
      <c r="A105" s="21" t="s">
        <v>122</v>
      </c>
      <c r="B105" s="18"/>
      <c r="C105" s="18" t="s">
        <v>114</v>
      </c>
      <c r="D105" s="19"/>
    </row>
    <row r="106" spans="1:4" ht="15">
      <c r="A106" s="28"/>
      <c r="B106" s="29"/>
      <c r="C106" s="29"/>
      <c r="D106" s="30"/>
    </row>
    <row r="107" spans="1:4">
      <c r="A107" s="31" t="s">
        <v>123</v>
      </c>
      <c r="B107" s="32"/>
      <c r="C107" s="33">
        <f>SUM($C5:C105)</f>
        <v>34304</v>
      </c>
      <c r="D107" s="34"/>
    </row>
    <row r="108" spans="1:4">
      <c r="A108" s="31" t="s">
        <v>124</v>
      </c>
      <c r="B108" s="32"/>
      <c r="C108" s="32"/>
      <c r="D108" s="35">
        <f>MEDIAN(D5:D105)</f>
        <v>5.1438344714067101</v>
      </c>
    </row>
    <row r="110" spans="1:4">
      <c r="A110" s="36" t="s">
        <v>125</v>
      </c>
    </row>
  </sheetData>
  <mergeCells count="2">
    <mergeCell ref="A3:D3"/>
    <mergeCell ref="E3:F3"/>
  </mergeCells>
  <pageMargins left="0.75" right="0.75" top="1" bottom="1" header="0.5" footer="0.5"/>
  <pageSetup orientation="portrait" r:id="rId1"/>
  <headerFooter alignWithMargins="0">
    <oddHeader>&amp;R&amp;D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4"/>
  <sheetViews>
    <sheetView topLeftCell="A10" workbookViewId="0">
      <selection activeCell="A36" sqref="A36:IV37"/>
    </sheetView>
  </sheetViews>
  <sheetFormatPr defaultRowHeight="12.75"/>
  <cols>
    <col min="1" max="1" width="41.85546875" style="84" customWidth="1"/>
    <col min="2" max="2" width="18.5703125" style="83" customWidth="1"/>
    <col min="3" max="3" width="33.28515625" style="84" hidden="1" customWidth="1"/>
    <col min="4" max="5" width="9.140625" style="83"/>
    <col min="6" max="6" width="9.140625" style="83" hidden="1" customWidth="1"/>
    <col min="7" max="7" width="16.28515625" style="83" hidden="1" customWidth="1"/>
    <col min="8" max="8" width="15.85546875" style="83" hidden="1" customWidth="1"/>
    <col min="9" max="9" width="13.85546875" style="83" customWidth="1"/>
    <col min="10" max="16384" width="9.140625" style="83"/>
  </cols>
  <sheetData>
    <row r="1" spans="1:9" ht="15.75">
      <c r="A1" s="82" t="s">
        <v>155</v>
      </c>
    </row>
    <row r="2" spans="1:9">
      <c r="A2" s="85">
        <v>2012</v>
      </c>
    </row>
    <row r="3" spans="1:9" ht="45" customHeight="1">
      <c r="A3" s="201" t="s">
        <v>156</v>
      </c>
      <c r="B3" s="201"/>
      <c r="C3" s="201"/>
      <c r="D3" s="201"/>
      <c r="E3" s="201"/>
      <c r="F3" s="201"/>
      <c r="G3" s="201"/>
      <c r="H3" s="201"/>
      <c r="I3" s="201"/>
    </row>
    <row r="4" spans="1:9" s="93" customFormat="1" ht="21" customHeight="1">
      <c r="A4" s="86" t="s">
        <v>157</v>
      </c>
      <c r="B4" s="87" t="s">
        <v>129</v>
      </c>
      <c r="C4" s="88" t="s">
        <v>158</v>
      </c>
      <c r="D4" s="89" t="s">
        <v>159</v>
      </c>
      <c r="E4" s="87" t="s">
        <v>160</v>
      </c>
      <c r="F4" s="90" t="s">
        <v>161</v>
      </c>
      <c r="G4" s="91" t="s">
        <v>162</v>
      </c>
      <c r="H4" s="91" t="s">
        <v>163</v>
      </c>
      <c r="I4" s="92" t="s">
        <v>164</v>
      </c>
    </row>
    <row r="5" spans="1:9" s="84" customFormat="1" ht="14.25">
      <c r="A5" s="94" t="s">
        <v>165</v>
      </c>
      <c r="B5" s="95" t="s">
        <v>40</v>
      </c>
      <c r="C5" s="95" t="s">
        <v>166</v>
      </c>
      <c r="D5" s="96">
        <v>1</v>
      </c>
      <c r="E5" s="96">
        <v>268</v>
      </c>
      <c r="F5" s="96">
        <v>1938</v>
      </c>
      <c r="G5" s="97">
        <v>453746.5</v>
      </c>
      <c r="H5" s="98">
        <v>557472.5</v>
      </c>
      <c r="I5" s="98">
        <v>588986</v>
      </c>
    </row>
    <row r="6" spans="1:9" s="84" customFormat="1" ht="14.25">
      <c r="A6" s="94" t="s">
        <v>167</v>
      </c>
      <c r="B6" s="95" t="s">
        <v>40</v>
      </c>
      <c r="C6" s="95" t="s">
        <v>168</v>
      </c>
      <c r="D6" s="99">
        <v>1</v>
      </c>
      <c r="E6" s="96">
        <v>185</v>
      </c>
      <c r="F6" s="99">
        <v>1887</v>
      </c>
      <c r="G6" s="97">
        <v>11608365</v>
      </c>
      <c r="H6" s="98">
        <v>6678384</v>
      </c>
      <c r="I6" s="98">
        <v>2852136</v>
      </c>
    </row>
    <row r="7" spans="1:9" s="84" customFormat="1" ht="14.25">
      <c r="A7" s="100" t="s">
        <v>169</v>
      </c>
      <c r="B7" s="95" t="s">
        <v>67</v>
      </c>
      <c r="C7" s="95" t="s">
        <v>170</v>
      </c>
      <c r="D7" s="101">
        <v>1</v>
      </c>
      <c r="E7" s="96">
        <v>6.3</v>
      </c>
      <c r="F7" s="101">
        <v>1829</v>
      </c>
      <c r="G7" s="97">
        <v>185345.33333333334</v>
      </c>
      <c r="H7" s="98">
        <v>378297.33333333331</v>
      </c>
      <c r="I7" s="98">
        <v>165537</v>
      </c>
    </row>
    <row r="8" spans="1:9" s="84" customFormat="1" ht="14.25">
      <c r="A8" s="94" t="s">
        <v>171</v>
      </c>
      <c r="B8" s="95" t="s">
        <v>51</v>
      </c>
      <c r="C8" s="95" t="s">
        <v>172</v>
      </c>
      <c r="D8" s="99">
        <v>5</v>
      </c>
      <c r="E8" s="96">
        <v>835</v>
      </c>
      <c r="F8" s="99">
        <v>1879</v>
      </c>
      <c r="G8" s="97">
        <v>1171475</v>
      </c>
      <c r="H8" s="98">
        <v>1300425</v>
      </c>
      <c r="I8" s="98">
        <v>1441400</v>
      </c>
    </row>
    <row r="9" spans="1:9" s="84" customFormat="1" ht="14.25">
      <c r="A9" s="100" t="s">
        <v>173</v>
      </c>
      <c r="B9" s="95" t="s">
        <v>51</v>
      </c>
      <c r="C9" s="95" t="s">
        <v>174</v>
      </c>
      <c r="D9" s="99">
        <v>3</v>
      </c>
      <c r="E9" s="96">
        <v>81.882999999999996</v>
      </c>
      <c r="F9" s="99">
        <v>1634</v>
      </c>
      <c r="G9" s="97">
        <v>1255494.5</v>
      </c>
      <c r="H9" s="98">
        <v>1977304</v>
      </c>
      <c r="I9" s="98">
        <v>1430253</v>
      </c>
    </row>
    <row r="10" spans="1:9" ht="14.25">
      <c r="A10" s="102" t="s">
        <v>175</v>
      </c>
      <c r="B10" s="103" t="s">
        <v>51</v>
      </c>
      <c r="C10" s="95" t="s">
        <v>176</v>
      </c>
      <c r="D10" s="99">
        <v>5</v>
      </c>
      <c r="E10" s="96">
        <v>15</v>
      </c>
      <c r="F10" s="99">
        <v>2007</v>
      </c>
      <c r="G10" s="104">
        <v>3849151.75</v>
      </c>
      <c r="H10" s="104">
        <v>3034730</v>
      </c>
      <c r="I10" s="98">
        <v>4151430</v>
      </c>
    </row>
    <row r="11" spans="1:9" s="84" customFormat="1" ht="14.25">
      <c r="A11" s="105" t="s">
        <v>177</v>
      </c>
      <c r="B11" s="95" t="s">
        <v>101</v>
      </c>
      <c r="C11" s="95" t="s">
        <v>178</v>
      </c>
      <c r="D11" s="99">
        <v>21</v>
      </c>
      <c r="E11" s="96">
        <v>1200</v>
      </c>
      <c r="F11" s="99">
        <v>1870</v>
      </c>
      <c r="G11" s="97">
        <v>3503314</v>
      </c>
      <c r="H11" s="98">
        <v>3415794</v>
      </c>
      <c r="I11" s="98">
        <v>3495535</v>
      </c>
    </row>
    <row r="12" spans="1:9" s="84" customFormat="1" ht="14.25">
      <c r="A12" s="94" t="s">
        <v>179</v>
      </c>
      <c r="B12" s="95" t="s">
        <v>50</v>
      </c>
      <c r="C12" s="95" t="s">
        <v>180</v>
      </c>
      <c r="D12" s="99">
        <v>1</v>
      </c>
      <c r="E12" s="96">
        <v>277</v>
      </c>
      <c r="F12" s="99">
        <v>1886</v>
      </c>
      <c r="G12" s="97">
        <v>519666</v>
      </c>
      <c r="H12" s="98">
        <v>444699.66666666669</v>
      </c>
      <c r="I12" s="98">
        <v>485341</v>
      </c>
    </row>
    <row r="13" spans="1:9" s="84" customFormat="1" ht="14.25">
      <c r="A13" s="100" t="s">
        <v>181</v>
      </c>
      <c r="B13" s="95" t="s">
        <v>50</v>
      </c>
      <c r="C13" s="95" t="s">
        <v>182</v>
      </c>
      <c r="D13" s="99">
        <v>1</v>
      </c>
      <c r="E13" s="96">
        <v>5.2</v>
      </c>
      <c r="F13" s="99">
        <v>2012</v>
      </c>
      <c r="G13" s="97">
        <v>1344732.75</v>
      </c>
      <c r="H13" s="98">
        <v>8599293.5</v>
      </c>
      <c r="I13" s="98">
        <v>2659858</v>
      </c>
    </row>
    <row r="14" spans="1:9" s="84" customFormat="1" ht="14.25">
      <c r="A14" s="106" t="s">
        <v>183</v>
      </c>
      <c r="B14" s="95" t="s">
        <v>46</v>
      </c>
      <c r="C14" s="95" t="s">
        <v>184</v>
      </c>
      <c r="D14" s="99">
        <v>1</v>
      </c>
      <c r="E14" s="96">
        <v>12</v>
      </c>
      <c r="F14" s="99">
        <v>1894</v>
      </c>
      <c r="G14" s="97">
        <v>541714.5</v>
      </c>
      <c r="H14" s="98">
        <v>637386.75</v>
      </c>
      <c r="I14" s="98">
        <v>599348</v>
      </c>
    </row>
    <row r="15" spans="1:9" s="84" customFormat="1" ht="14.25">
      <c r="A15" s="107" t="s">
        <v>185</v>
      </c>
      <c r="B15" s="95" t="s">
        <v>112</v>
      </c>
      <c r="C15" s="95" t="s">
        <v>186</v>
      </c>
      <c r="D15" s="99">
        <v>4</v>
      </c>
      <c r="E15" s="96">
        <v>7.76</v>
      </c>
      <c r="F15" s="99">
        <v>1847</v>
      </c>
      <c r="G15" s="97">
        <v>1554425.5</v>
      </c>
      <c r="H15" s="98">
        <v>1394878</v>
      </c>
      <c r="I15" s="98">
        <v>1614448</v>
      </c>
    </row>
    <row r="16" spans="1:9" s="84" customFormat="1" ht="14.25">
      <c r="A16" s="102" t="s">
        <v>187</v>
      </c>
      <c r="B16" s="103" t="s">
        <v>112</v>
      </c>
      <c r="C16" s="95" t="s">
        <v>188</v>
      </c>
      <c r="D16" s="99">
        <v>12</v>
      </c>
      <c r="E16" s="96">
        <v>117</v>
      </c>
      <c r="F16" s="99">
        <v>1975</v>
      </c>
      <c r="G16" s="97">
        <v>7242497.25</v>
      </c>
      <c r="H16" s="98">
        <v>13999812.5</v>
      </c>
      <c r="I16" s="98">
        <v>5915457</v>
      </c>
    </row>
    <row r="17" spans="1:9" s="84" customFormat="1" ht="14.25">
      <c r="A17" s="94" t="s">
        <v>189</v>
      </c>
      <c r="B17" s="95" t="s">
        <v>83</v>
      </c>
      <c r="C17" s="95" t="s">
        <v>190</v>
      </c>
      <c r="D17" s="99">
        <v>8</v>
      </c>
      <c r="E17" s="96">
        <v>45</v>
      </c>
      <c r="F17" s="99">
        <v>1986</v>
      </c>
      <c r="G17" s="97">
        <v>1683191.5</v>
      </c>
      <c r="H17" s="98">
        <v>6699485.5</v>
      </c>
      <c r="I17" s="98">
        <v>1486250</v>
      </c>
    </row>
    <row r="18" spans="1:9" s="84" customFormat="1" ht="14.25">
      <c r="A18" s="94" t="s">
        <v>191</v>
      </c>
      <c r="B18" s="95" t="s">
        <v>83</v>
      </c>
      <c r="C18" s="95" t="s">
        <v>192</v>
      </c>
      <c r="D18" s="99">
        <v>1</v>
      </c>
      <c r="E18" s="96">
        <v>12</v>
      </c>
      <c r="F18" s="99">
        <v>2008</v>
      </c>
      <c r="G18" s="97">
        <v>4751894.75</v>
      </c>
      <c r="H18" s="98">
        <v>3927355.5</v>
      </c>
      <c r="I18" s="98">
        <v>5385345</v>
      </c>
    </row>
    <row r="19" spans="1:9" s="84" customFormat="1" ht="14.25">
      <c r="A19" s="100" t="s">
        <v>193</v>
      </c>
      <c r="B19" s="95" t="s">
        <v>83</v>
      </c>
      <c r="C19" s="95" t="s">
        <v>194</v>
      </c>
      <c r="D19" s="99">
        <v>1</v>
      </c>
      <c r="E19" s="96">
        <v>445</v>
      </c>
      <c r="F19" s="99">
        <v>1914</v>
      </c>
      <c r="G19" s="97">
        <v>3486526.25</v>
      </c>
      <c r="H19" s="98">
        <v>6873614.5</v>
      </c>
      <c r="I19" s="98">
        <v>1804268</v>
      </c>
    </row>
    <row r="20" spans="1:9" s="84" customFormat="1" ht="14.25">
      <c r="A20" s="102" t="s">
        <v>195</v>
      </c>
      <c r="B20" s="103" t="s">
        <v>83</v>
      </c>
      <c r="C20" s="95" t="s">
        <v>196</v>
      </c>
      <c r="D20" s="99">
        <v>1</v>
      </c>
      <c r="E20" s="96">
        <v>1431</v>
      </c>
      <c r="F20" s="99">
        <v>1925</v>
      </c>
      <c r="G20" s="97">
        <v>1100350</v>
      </c>
      <c r="H20" s="98">
        <v>1274454.5</v>
      </c>
      <c r="I20" s="98">
        <v>1084081</v>
      </c>
    </row>
    <row r="21" spans="1:9" s="84" customFormat="1" ht="14.25">
      <c r="A21" s="94" t="s">
        <v>197</v>
      </c>
      <c r="B21" s="95" t="s">
        <v>74</v>
      </c>
      <c r="C21" s="95" t="s">
        <v>198</v>
      </c>
      <c r="D21" s="99">
        <v>18</v>
      </c>
      <c r="E21" s="96">
        <v>2086.73</v>
      </c>
      <c r="F21" s="99">
        <v>1880</v>
      </c>
      <c r="G21" s="97">
        <v>1953274.5</v>
      </c>
      <c r="H21" s="98">
        <v>1782766.75</v>
      </c>
      <c r="I21" s="98">
        <v>1422159</v>
      </c>
    </row>
    <row r="22" spans="1:9" s="84" customFormat="1" ht="14.25">
      <c r="A22" s="107" t="s">
        <v>199</v>
      </c>
      <c r="B22" s="95" t="s">
        <v>148</v>
      </c>
      <c r="C22" s="95" t="s">
        <v>200</v>
      </c>
      <c r="D22" s="99">
        <v>1</v>
      </c>
      <c r="E22" s="96">
        <v>184</v>
      </c>
      <c r="F22" s="99">
        <v>1901</v>
      </c>
      <c r="G22" s="97">
        <v>1210906</v>
      </c>
      <c r="H22" s="98">
        <v>2456492</v>
      </c>
      <c r="I22" s="98">
        <v>1210906</v>
      </c>
    </row>
    <row r="23" spans="1:9" s="84" customFormat="1" ht="14.25">
      <c r="A23" s="102" t="s">
        <v>201</v>
      </c>
      <c r="B23" s="103" t="s">
        <v>148</v>
      </c>
      <c r="C23" s="95" t="s">
        <v>202</v>
      </c>
      <c r="D23" s="99">
        <v>1</v>
      </c>
      <c r="E23" s="96">
        <v>3200</v>
      </c>
      <c r="F23" s="99">
        <v>1975</v>
      </c>
      <c r="G23" s="97">
        <v>6550649.5</v>
      </c>
      <c r="H23" s="98">
        <v>9040278.75</v>
      </c>
      <c r="I23" s="98">
        <v>2913974</v>
      </c>
    </row>
    <row r="24" spans="1:9" ht="14.25">
      <c r="A24" s="108" t="s">
        <v>203</v>
      </c>
      <c r="B24" s="109" t="s">
        <v>57</v>
      </c>
      <c r="C24" s="109" t="s">
        <v>204</v>
      </c>
      <c r="D24" s="110">
        <v>14</v>
      </c>
      <c r="E24" s="111">
        <v>36</v>
      </c>
      <c r="F24" s="110">
        <v>1988</v>
      </c>
      <c r="G24" s="112">
        <v>11427946.25</v>
      </c>
      <c r="H24" s="112">
        <v>8846089.5</v>
      </c>
      <c r="I24" s="98">
        <v>9513124</v>
      </c>
    </row>
    <row r="25" spans="1:9" s="84" customFormat="1" ht="14.25">
      <c r="A25" s="94" t="s">
        <v>205</v>
      </c>
      <c r="B25" s="95" t="s">
        <v>57</v>
      </c>
      <c r="C25" s="95" t="s">
        <v>206</v>
      </c>
      <c r="D25" s="99">
        <v>1</v>
      </c>
      <c r="E25" s="96">
        <v>20.18</v>
      </c>
      <c r="F25" s="99">
        <v>2010</v>
      </c>
      <c r="G25" s="113">
        <v>1045981.75</v>
      </c>
      <c r="H25" s="98">
        <v>1199470.75</v>
      </c>
      <c r="I25" s="98">
        <v>1409704</v>
      </c>
    </row>
    <row r="26" spans="1:9" s="84" customFormat="1" ht="14.25">
      <c r="A26" s="114" t="s">
        <v>207</v>
      </c>
      <c r="B26" s="109" t="s">
        <v>57</v>
      </c>
      <c r="C26" s="109" t="s">
        <v>208</v>
      </c>
      <c r="D26" s="111">
        <v>1</v>
      </c>
      <c r="E26" s="96">
        <v>15.2</v>
      </c>
      <c r="F26" s="111"/>
      <c r="G26" s="115">
        <v>507258.5</v>
      </c>
      <c r="H26" s="116">
        <v>531751.5</v>
      </c>
      <c r="I26" s="117">
        <v>545509</v>
      </c>
    </row>
    <row r="27" spans="1:9" s="84" customFormat="1" ht="14.25">
      <c r="A27" s="100" t="s">
        <v>209</v>
      </c>
      <c r="B27" s="95" t="s">
        <v>57</v>
      </c>
      <c r="C27" s="95" t="s">
        <v>210</v>
      </c>
      <c r="D27" s="99">
        <v>1</v>
      </c>
      <c r="E27" s="96">
        <v>843</v>
      </c>
      <c r="F27" s="99">
        <v>1858</v>
      </c>
      <c r="G27" s="97">
        <v>37227935</v>
      </c>
      <c r="H27" s="98">
        <v>38912440</v>
      </c>
      <c r="I27" s="98">
        <v>40316332</v>
      </c>
    </row>
    <row r="28" spans="1:9" s="84" customFormat="1" ht="14.25">
      <c r="A28" s="100" t="s">
        <v>211</v>
      </c>
      <c r="B28" s="95" t="s">
        <v>57</v>
      </c>
      <c r="C28" s="95" t="s">
        <v>212</v>
      </c>
      <c r="D28" s="99">
        <v>1</v>
      </c>
      <c r="E28" s="96">
        <v>550</v>
      </c>
      <c r="F28" s="99">
        <v>2003</v>
      </c>
      <c r="G28" s="97">
        <v>894714.25</v>
      </c>
      <c r="H28" s="98">
        <v>884966</v>
      </c>
      <c r="I28" s="98">
        <v>410316</v>
      </c>
    </row>
    <row r="29" spans="1:9" s="84" customFormat="1" ht="14.25">
      <c r="A29" s="100" t="s">
        <v>213</v>
      </c>
      <c r="B29" s="95" t="s">
        <v>57</v>
      </c>
      <c r="C29" s="95" t="s">
        <v>214</v>
      </c>
      <c r="D29" s="99">
        <v>1</v>
      </c>
      <c r="E29" s="96">
        <v>6.73</v>
      </c>
      <c r="F29" s="99">
        <v>2009</v>
      </c>
      <c r="G29" s="97">
        <v>11928415.25</v>
      </c>
      <c r="H29" s="98">
        <v>23550670.5</v>
      </c>
      <c r="I29" s="98">
        <v>19904976</v>
      </c>
    </row>
    <row r="30" spans="1:9" s="84" customFormat="1" ht="14.25">
      <c r="A30" s="94" t="s">
        <v>215</v>
      </c>
      <c r="B30" s="95" t="s">
        <v>57</v>
      </c>
      <c r="C30" s="95" t="s">
        <v>216</v>
      </c>
      <c r="D30" s="99">
        <v>1</v>
      </c>
      <c r="E30" s="96">
        <v>6.2</v>
      </c>
      <c r="F30" s="99">
        <v>1847</v>
      </c>
      <c r="G30" s="97">
        <v>3092201.75</v>
      </c>
      <c r="H30" s="98">
        <v>3345020.75</v>
      </c>
      <c r="I30" s="98">
        <v>3159490</v>
      </c>
    </row>
    <row r="31" spans="1:9" s="84" customFormat="1" ht="14.25">
      <c r="A31" s="118" t="s">
        <v>217</v>
      </c>
      <c r="B31" s="95" t="s">
        <v>57</v>
      </c>
      <c r="C31" s="95" t="s">
        <v>218</v>
      </c>
      <c r="D31" s="99">
        <v>1</v>
      </c>
      <c r="E31" s="96">
        <v>585</v>
      </c>
      <c r="F31" s="99">
        <v>1868</v>
      </c>
      <c r="G31" s="97">
        <v>11698227.75</v>
      </c>
      <c r="H31" s="98">
        <v>9996986.5</v>
      </c>
      <c r="I31" s="98">
        <v>12487641</v>
      </c>
    </row>
    <row r="32" spans="1:9" ht="14.25">
      <c r="A32" s="94" t="s">
        <v>219</v>
      </c>
      <c r="B32" s="95" t="s">
        <v>57</v>
      </c>
      <c r="C32" s="95" t="s">
        <v>220</v>
      </c>
      <c r="D32" s="99">
        <v>1</v>
      </c>
      <c r="E32" s="96">
        <v>433</v>
      </c>
      <c r="F32" s="99">
        <v>1933</v>
      </c>
      <c r="G32" s="104">
        <v>6214614.25</v>
      </c>
      <c r="H32" s="104">
        <v>6170924.75</v>
      </c>
      <c r="I32" s="98">
        <v>7754723</v>
      </c>
    </row>
    <row r="33" spans="1:9" s="84" customFormat="1" ht="14.25">
      <c r="A33" s="102" t="s">
        <v>221</v>
      </c>
      <c r="B33" s="103" t="s">
        <v>57</v>
      </c>
      <c r="C33" s="95" t="s">
        <v>222</v>
      </c>
      <c r="D33" s="99">
        <v>1</v>
      </c>
      <c r="E33" s="96">
        <v>330</v>
      </c>
      <c r="F33" s="99">
        <v>1872</v>
      </c>
      <c r="G33" s="97">
        <v>1681303.5</v>
      </c>
      <c r="H33" s="98">
        <v>1574183</v>
      </c>
      <c r="I33" s="98">
        <v>1512748</v>
      </c>
    </row>
    <row r="34" spans="1:9" s="84" customFormat="1" ht="14.25">
      <c r="A34" s="100" t="s">
        <v>223</v>
      </c>
      <c r="B34" s="95" t="s">
        <v>57</v>
      </c>
      <c r="C34" s="95" t="s">
        <v>224</v>
      </c>
      <c r="D34" s="99">
        <v>10</v>
      </c>
      <c r="E34" s="96">
        <v>1792</v>
      </c>
      <c r="F34" s="99">
        <v>1984</v>
      </c>
      <c r="G34" s="97">
        <v>446567.25</v>
      </c>
      <c r="H34" s="98">
        <v>402265</v>
      </c>
      <c r="I34" s="98">
        <v>446117</v>
      </c>
    </row>
    <row r="35" spans="1:9" s="84" customFormat="1" ht="14.25">
      <c r="A35" s="100" t="s">
        <v>225</v>
      </c>
      <c r="B35" s="95" t="s">
        <v>57</v>
      </c>
      <c r="C35" s="95" t="s">
        <v>226</v>
      </c>
      <c r="D35" s="99">
        <v>1</v>
      </c>
      <c r="E35" s="96">
        <v>25</v>
      </c>
      <c r="F35" s="99">
        <v>1823</v>
      </c>
      <c r="G35" s="97">
        <v>1751335</v>
      </c>
      <c r="H35" s="98">
        <v>2472244.25</v>
      </c>
      <c r="I35" s="98">
        <v>2266080</v>
      </c>
    </row>
    <row r="36" spans="1:9" s="84" customFormat="1" ht="14.25">
      <c r="A36" s="94" t="s">
        <v>227</v>
      </c>
      <c r="B36" s="95" t="s">
        <v>92</v>
      </c>
      <c r="C36" s="95" t="s">
        <v>228</v>
      </c>
      <c r="D36" s="99">
        <v>1</v>
      </c>
      <c r="E36" s="96">
        <v>17</v>
      </c>
      <c r="F36" s="99">
        <v>1981</v>
      </c>
      <c r="G36" s="97">
        <v>1881606</v>
      </c>
      <c r="H36" s="98">
        <v>2840753</v>
      </c>
      <c r="I36" s="98">
        <v>1321734</v>
      </c>
    </row>
    <row r="37" spans="1:9" s="84" customFormat="1" ht="14.25">
      <c r="A37" s="100" t="s">
        <v>229</v>
      </c>
      <c r="B37" s="95" t="s">
        <v>81</v>
      </c>
      <c r="C37" s="95" t="s">
        <v>230</v>
      </c>
      <c r="D37" s="99">
        <v>63</v>
      </c>
      <c r="E37" s="96">
        <v>910</v>
      </c>
      <c r="F37" s="99">
        <v>1855</v>
      </c>
      <c r="G37" s="97">
        <v>2146947.25</v>
      </c>
      <c r="H37" s="98">
        <v>1743632</v>
      </c>
      <c r="I37" s="98">
        <v>2553581</v>
      </c>
    </row>
    <row r="38" spans="1:9" s="84" customFormat="1" ht="14.25">
      <c r="A38" s="102" t="s">
        <v>231</v>
      </c>
      <c r="B38" s="103" t="s">
        <v>38</v>
      </c>
      <c r="C38" s="95" t="s">
        <v>232</v>
      </c>
      <c r="D38" s="99">
        <v>8</v>
      </c>
      <c r="E38" s="96">
        <v>1700</v>
      </c>
      <c r="F38" s="99">
        <v>1889</v>
      </c>
      <c r="G38" s="97">
        <v>5347882.25</v>
      </c>
      <c r="H38" s="98">
        <v>4807575.5</v>
      </c>
      <c r="I38" s="98">
        <v>4946833</v>
      </c>
    </row>
    <row r="39" spans="1:9" s="84" customFormat="1" ht="14.25">
      <c r="A39" s="100" t="s">
        <v>233</v>
      </c>
      <c r="B39" s="95" t="s">
        <v>52</v>
      </c>
      <c r="C39" s="95" t="s">
        <v>234</v>
      </c>
      <c r="D39" s="99">
        <v>1</v>
      </c>
      <c r="E39" s="96">
        <v>5171</v>
      </c>
      <c r="F39" s="99">
        <v>1947</v>
      </c>
      <c r="G39" s="97">
        <v>433255.33333333331</v>
      </c>
      <c r="H39" s="98">
        <v>413907.33333333331</v>
      </c>
      <c r="I39" s="98">
        <v>433447</v>
      </c>
    </row>
    <row r="40" spans="1:9" s="84" customFormat="1" ht="14.25">
      <c r="A40" s="100" t="s">
        <v>235</v>
      </c>
      <c r="B40" s="95" t="s">
        <v>71</v>
      </c>
      <c r="C40" s="95" t="s">
        <v>236</v>
      </c>
      <c r="D40" s="96">
        <v>1</v>
      </c>
      <c r="E40" s="96">
        <v>245.91</v>
      </c>
      <c r="F40" s="96">
        <v>1899</v>
      </c>
      <c r="G40" s="97">
        <v>92281</v>
      </c>
      <c r="H40" s="98">
        <v>113045.33333333333</v>
      </c>
      <c r="I40" s="98">
        <v>220669</v>
      </c>
    </row>
    <row r="41" spans="1:9" s="84" customFormat="1" ht="14.25">
      <c r="A41" s="94" t="s">
        <v>237</v>
      </c>
      <c r="B41" s="95" t="s">
        <v>86</v>
      </c>
      <c r="C41" s="95" t="s">
        <v>238</v>
      </c>
      <c r="D41" s="99">
        <v>1</v>
      </c>
      <c r="E41" s="96">
        <v>240</v>
      </c>
      <c r="F41" s="99">
        <v>1990</v>
      </c>
      <c r="G41" s="97">
        <v>444816</v>
      </c>
      <c r="H41" s="98">
        <v>494722</v>
      </c>
      <c r="I41" s="98">
        <v>476663</v>
      </c>
    </row>
    <row r="42" spans="1:9" s="84" customFormat="1" ht="14.25">
      <c r="A42" s="94" t="s">
        <v>239</v>
      </c>
      <c r="B42" s="95" t="s">
        <v>47</v>
      </c>
      <c r="C42" s="95" t="s">
        <v>234</v>
      </c>
      <c r="D42" s="99">
        <v>1</v>
      </c>
      <c r="E42" s="96">
        <v>1293</v>
      </c>
      <c r="F42" s="99">
        <v>1876</v>
      </c>
      <c r="G42" s="97">
        <v>3926486</v>
      </c>
      <c r="H42" s="98">
        <v>12998910.5</v>
      </c>
      <c r="I42" s="98">
        <v>4082653</v>
      </c>
    </row>
    <row r="43" spans="1:9" s="84" customFormat="1" ht="14.25">
      <c r="A43" s="94" t="s">
        <v>240</v>
      </c>
      <c r="B43" s="95" t="s">
        <v>241</v>
      </c>
      <c r="C43" s="95" t="s">
        <v>242</v>
      </c>
      <c r="D43" s="99">
        <v>1</v>
      </c>
      <c r="E43" s="96">
        <v>146.35</v>
      </c>
      <c r="F43" s="99">
        <v>1791</v>
      </c>
      <c r="G43" s="97">
        <v>4779953</v>
      </c>
      <c r="H43" s="98">
        <v>2220062.5</v>
      </c>
      <c r="I43" s="98">
        <v>12172549</v>
      </c>
    </row>
    <row r="44" spans="1:9" s="84" customFormat="1" hidden="1">
      <c r="A44" s="119"/>
      <c r="B44" s="120"/>
      <c r="C44" s="119"/>
      <c r="D44" s="120"/>
      <c r="E44" s="120"/>
      <c r="F44" s="120"/>
      <c r="G44" s="121"/>
      <c r="H44" s="120"/>
      <c r="I44" s="120"/>
    </row>
    <row r="45" spans="1:9" s="84" customFormat="1" hidden="1">
      <c r="A45" s="119"/>
      <c r="B45" s="120"/>
      <c r="C45" s="119"/>
      <c r="D45" s="120"/>
      <c r="E45" s="120"/>
      <c r="F45" s="120"/>
      <c r="G45" s="121"/>
      <c r="H45" s="120"/>
      <c r="I45" s="120"/>
    </row>
    <row r="46" spans="1:9" s="84" customFormat="1" hidden="1">
      <c r="A46" s="119"/>
      <c r="B46" s="120"/>
      <c r="C46" s="119"/>
      <c r="D46" s="120"/>
      <c r="E46" s="120"/>
      <c r="F46" s="120"/>
      <c r="G46" s="121"/>
      <c r="H46" s="120"/>
      <c r="I46" s="120"/>
    </row>
    <row r="47" spans="1:9" s="84" customFormat="1" hidden="1">
      <c r="A47" s="119"/>
      <c r="B47" s="120"/>
      <c r="C47" s="119"/>
      <c r="D47" s="120"/>
      <c r="E47" s="120"/>
      <c r="F47" s="120"/>
      <c r="G47" s="121"/>
      <c r="H47" s="120"/>
      <c r="I47" s="120"/>
    </row>
    <row r="48" spans="1:9" s="84" customFormat="1" ht="14.25" hidden="1">
      <c r="A48" s="114"/>
      <c r="B48" s="109"/>
      <c r="C48" s="109"/>
      <c r="D48" s="111"/>
      <c r="E48" s="96"/>
      <c r="F48" s="111"/>
      <c r="G48" s="115"/>
      <c r="H48" s="116"/>
      <c r="I48" s="117"/>
    </row>
    <row r="49" spans="1:9" s="84" customFormat="1" hidden="1">
      <c r="A49" s="119"/>
      <c r="B49" s="120"/>
      <c r="C49" s="119"/>
      <c r="D49" s="120"/>
      <c r="E49" s="120"/>
      <c r="F49" s="120"/>
      <c r="G49" s="121"/>
      <c r="H49" s="120"/>
      <c r="I49" s="120"/>
    </row>
    <row r="50" spans="1:9" s="84" customFormat="1" ht="14.25" hidden="1">
      <c r="A50" s="94" t="s">
        <v>243</v>
      </c>
      <c r="B50" s="95" t="s">
        <v>40</v>
      </c>
      <c r="C50" s="95" t="s">
        <v>244</v>
      </c>
      <c r="D50" s="99">
        <v>1</v>
      </c>
      <c r="E50" s="96">
        <v>47.7</v>
      </c>
      <c r="F50" s="99">
        <v>1850</v>
      </c>
      <c r="G50" s="97">
        <v>842621.5</v>
      </c>
      <c r="H50" s="98">
        <v>1097643.5</v>
      </c>
      <c r="I50" s="98">
        <v>972462</v>
      </c>
    </row>
    <row r="51" spans="1:9" s="84" customFormat="1" ht="14.25" hidden="1">
      <c r="A51" s="100" t="s">
        <v>245</v>
      </c>
      <c r="B51" s="95" t="s">
        <v>40</v>
      </c>
      <c r="C51" s="95" t="s">
        <v>246</v>
      </c>
      <c r="D51" s="96">
        <v>1</v>
      </c>
      <c r="E51" s="96">
        <v>131.5</v>
      </c>
      <c r="F51" s="96">
        <v>1883</v>
      </c>
      <c r="G51" s="97">
        <v>124480.75</v>
      </c>
      <c r="H51" s="98">
        <v>116012.5</v>
      </c>
      <c r="I51" s="98">
        <v>114501</v>
      </c>
    </row>
    <row r="52" spans="1:9" s="84" customFormat="1" ht="14.25" hidden="1">
      <c r="A52" s="114" t="s">
        <v>247</v>
      </c>
      <c r="B52" s="109" t="s">
        <v>49</v>
      </c>
      <c r="C52" s="109"/>
      <c r="D52" s="122"/>
      <c r="E52" s="122"/>
      <c r="F52" s="111"/>
      <c r="G52" s="115">
        <v>1563585.3333333333</v>
      </c>
      <c r="H52" s="116">
        <v>2793706.6666666665</v>
      </c>
      <c r="I52" s="117">
        <v>910053</v>
      </c>
    </row>
    <row r="53" spans="1:9" s="84" customFormat="1" ht="14.25" hidden="1">
      <c r="A53" s="114" t="s">
        <v>248</v>
      </c>
      <c r="B53" s="109" t="s">
        <v>249</v>
      </c>
      <c r="C53" s="109"/>
      <c r="D53" s="122"/>
      <c r="E53" s="122"/>
      <c r="F53" s="111"/>
      <c r="G53" s="115">
        <v>143363</v>
      </c>
      <c r="H53" s="116">
        <v>264172</v>
      </c>
      <c r="I53" s="117">
        <v>125921</v>
      </c>
    </row>
    <row r="54" spans="1:9" s="84" customFormat="1" ht="14.25" hidden="1">
      <c r="A54" s="114" t="s">
        <v>250</v>
      </c>
      <c r="B54" s="109" t="s">
        <v>37</v>
      </c>
      <c r="C54" s="109" t="s">
        <v>251</v>
      </c>
      <c r="D54" s="111">
        <v>37</v>
      </c>
      <c r="E54" s="96">
        <v>80600</v>
      </c>
      <c r="F54" s="111">
        <v>1972</v>
      </c>
      <c r="G54" s="115">
        <v>32897034</v>
      </c>
      <c r="H54" s="116">
        <v>36129664</v>
      </c>
      <c r="I54" s="98">
        <v>47030237</v>
      </c>
    </row>
    <row r="55" spans="1:9" s="84" customFormat="1" ht="14.25" hidden="1">
      <c r="A55" s="114" t="s">
        <v>252</v>
      </c>
      <c r="B55" s="109" t="s">
        <v>38</v>
      </c>
      <c r="C55" s="109"/>
      <c r="D55" s="111"/>
      <c r="E55" s="96"/>
      <c r="F55" s="111"/>
      <c r="G55" s="115">
        <v>17167463</v>
      </c>
      <c r="H55" s="116">
        <v>16816602.333333332</v>
      </c>
      <c r="I55" s="117">
        <v>17866511</v>
      </c>
    </row>
    <row r="56" spans="1:9" ht="15" hidden="1" thickBot="1">
      <c r="A56" s="123" t="s">
        <v>253</v>
      </c>
      <c r="B56" s="124" t="s">
        <v>57</v>
      </c>
      <c r="C56" s="125" t="s">
        <v>212</v>
      </c>
      <c r="D56" s="126">
        <v>1</v>
      </c>
      <c r="E56" s="127">
        <v>550</v>
      </c>
      <c r="F56" s="126">
        <v>2003</v>
      </c>
      <c r="G56" s="128">
        <v>10175815</v>
      </c>
      <c r="H56" s="129">
        <v>32817095</v>
      </c>
      <c r="I56" s="130"/>
    </row>
    <row r="57" spans="1:9" ht="15" hidden="1" thickBot="1">
      <c r="A57" s="114" t="s">
        <v>254</v>
      </c>
      <c r="B57" s="131" t="s">
        <v>118</v>
      </c>
      <c r="C57" s="109"/>
      <c r="D57" s="132">
        <v>1</v>
      </c>
      <c r="E57" s="133">
        <v>50000</v>
      </c>
      <c r="F57" s="132"/>
      <c r="G57" s="128">
        <v>2964159</v>
      </c>
      <c r="H57" s="129">
        <v>3083224.5</v>
      </c>
      <c r="I57" s="134"/>
    </row>
    <row r="58" spans="1:9" ht="15" hidden="1" thickBot="1">
      <c r="A58" s="114" t="s">
        <v>255</v>
      </c>
      <c r="B58" s="131" t="s">
        <v>50</v>
      </c>
      <c r="C58" s="109" t="s">
        <v>256</v>
      </c>
      <c r="D58" s="132">
        <v>1</v>
      </c>
      <c r="E58" s="133">
        <v>17.5</v>
      </c>
      <c r="F58" s="132">
        <v>1903</v>
      </c>
      <c r="G58" s="128">
        <v>556966.66666666663</v>
      </c>
      <c r="H58" s="129">
        <v>530945.33333333337</v>
      </c>
      <c r="I58" s="134"/>
    </row>
    <row r="59" spans="1:9" ht="15" hidden="1" thickBot="1">
      <c r="A59" s="114" t="s">
        <v>257</v>
      </c>
      <c r="B59" s="131" t="s">
        <v>111</v>
      </c>
      <c r="C59" s="109" t="s">
        <v>258</v>
      </c>
      <c r="D59" s="132">
        <v>1</v>
      </c>
      <c r="E59" s="133">
        <v>31.36</v>
      </c>
      <c r="F59" s="132">
        <v>1895</v>
      </c>
      <c r="G59" s="128">
        <v>285268</v>
      </c>
      <c r="H59" s="129">
        <v>285268</v>
      </c>
      <c r="I59" s="134"/>
    </row>
    <row r="60" spans="1:9" ht="15" hidden="1" thickBot="1">
      <c r="A60" s="114" t="s">
        <v>245</v>
      </c>
      <c r="B60" s="131" t="s">
        <v>33</v>
      </c>
      <c r="C60" s="109" t="s">
        <v>246</v>
      </c>
      <c r="D60" s="132">
        <v>1</v>
      </c>
      <c r="E60" s="133">
        <v>319</v>
      </c>
      <c r="F60" s="132">
        <v>1901</v>
      </c>
      <c r="G60" s="128">
        <v>98034.333333333328</v>
      </c>
      <c r="H60" s="129">
        <v>83221</v>
      </c>
      <c r="I60" s="134"/>
    </row>
    <row r="61" spans="1:9" ht="15" hidden="1" thickBot="1">
      <c r="A61" s="114" t="s">
        <v>259</v>
      </c>
      <c r="B61" s="131" t="s">
        <v>62</v>
      </c>
      <c r="C61" s="109" t="s">
        <v>260</v>
      </c>
      <c r="D61" s="132">
        <v>1</v>
      </c>
      <c r="E61" s="133">
        <v>3662</v>
      </c>
      <c r="F61" s="132">
        <v>1964</v>
      </c>
      <c r="G61" s="128">
        <v>91570.333333333328</v>
      </c>
      <c r="H61" s="129">
        <v>120466.33333333333</v>
      </c>
      <c r="I61" s="134"/>
    </row>
    <row r="62" spans="1:9" ht="15" hidden="1" thickBot="1">
      <c r="A62" s="114" t="s">
        <v>261</v>
      </c>
      <c r="B62" s="131" t="s">
        <v>62</v>
      </c>
      <c r="C62" s="109" t="s">
        <v>260</v>
      </c>
      <c r="D62" s="132">
        <v>1</v>
      </c>
      <c r="E62" s="133">
        <v>3662</v>
      </c>
      <c r="F62" s="132"/>
      <c r="G62" s="128">
        <v>64254.333333333336</v>
      </c>
      <c r="H62" s="129">
        <v>63635.666666666664</v>
      </c>
      <c r="I62" s="134"/>
    </row>
    <row r="63" spans="1:9" ht="15" hidden="1" thickBot="1">
      <c r="A63" s="114" t="s">
        <v>262</v>
      </c>
      <c r="B63" s="131" t="s">
        <v>57</v>
      </c>
      <c r="C63" s="109" t="s">
        <v>263</v>
      </c>
      <c r="D63" s="132">
        <v>1</v>
      </c>
      <c r="E63" s="133">
        <v>67.212999999999994</v>
      </c>
      <c r="F63" s="132">
        <v>1935</v>
      </c>
      <c r="G63" s="128">
        <v>32963.5</v>
      </c>
      <c r="H63" s="129">
        <v>24668.5</v>
      </c>
      <c r="I63" s="134"/>
    </row>
    <row r="64" spans="1:9" ht="15" hidden="1" thickBot="1">
      <c r="A64" s="114" t="s">
        <v>264</v>
      </c>
      <c r="B64" s="131" t="s">
        <v>51</v>
      </c>
      <c r="C64" s="109" t="s">
        <v>265</v>
      </c>
      <c r="D64" s="132">
        <v>1</v>
      </c>
      <c r="E64" s="133">
        <v>265</v>
      </c>
      <c r="F64" s="132">
        <v>1872</v>
      </c>
      <c r="G64" s="128">
        <v>16266</v>
      </c>
      <c r="H64" s="129">
        <v>12149</v>
      </c>
      <c r="I64" s="134"/>
    </row>
    <row r="65" spans="1:9" ht="15" hidden="1" thickBot="1">
      <c r="A65" s="114" t="s">
        <v>266</v>
      </c>
      <c r="B65" s="131" t="s">
        <v>40</v>
      </c>
      <c r="C65" s="109" t="s">
        <v>267</v>
      </c>
      <c r="D65" s="132">
        <v>1</v>
      </c>
      <c r="E65" s="133">
        <v>210</v>
      </c>
      <c r="F65" s="132">
        <v>1992</v>
      </c>
      <c r="G65" s="128">
        <v>7844</v>
      </c>
      <c r="H65" s="129">
        <v>38422</v>
      </c>
      <c r="I65" s="134"/>
    </row>
    <row r="66" spans="1:9" ht="15" hidden="1" thickBot="1">
      <c r="A66" s="114" t="s">
        <v>268</v>
      </c>
      <c r="B66" s="131" t="s">
        <v>83</v>
      </c>
      <c r="C66" s="109" t="s">
        <v>269</v>
      </c>
      <c r="D66" s="132">
        <v>1</v>
      </c>
      <c r="E66" s="133">
        <v>280</v>
      </c>
      <c r="F66" s="132"/>
      <c r="G66" s="128">
        <v>2908</v>
      </c>
      <c r="H66" s="129">
        <v>5823.666666666667</v>
      </c>
      <c r="I66" s="134"/>
    </row>
    <row r="67" spans="1:9" s="84" customFormat="1" ht="14.25" hidden="1">
      <c r="A67" s="114" t="s">
        <v>270</v>
      </c>
      <c r="B67" s="109" t="s">
        <v>83</v>
      </c>
      <c r="C67" s="109" t="s">
        <v>271</v>
      </c>
      <c r="D67" s="111">
        <v>14</v>
      </c>
      <c r="E67" s="96">
        <v>13000</v>
      </c>
      <c r="F67" s="111"/>
      <c r="G67" s="115">
        <v>2439276</v>
      </c>
      <c r="H67" s="116">
        <v>2836961.3333333335</v>
      </c>
      <c r="I67" s="117">
        <v>1315425</v>
      </c>
    </row>
    <row r="68" spans="1:9" s="84" customFormat="1" ht="14.25" hidden="1">
      <c r="A68" s="114" t="s">
        <v>272</v>
      </c>
      <c r="B68" s="109" t="s">
        <v>57</v>
      </c>
      <c r="C68" s="109" t="s">
        <v>273</v>
      </c>
      <c r="D68" s="111">
        <v>1</v>
      </c>
      <c r="E68" s="96">
        <v>10</v>
      </c>
      <c r="F68" s="111">
        <v>1842</v>
      </c>
      <c r="G68" s="115">
        <v>7976500</v>
      </c>
      <c r="H68" s="116">
        <v>7947301.666666667</v>
      </c>
      <c r="I68" s="117">
        <v>9349311</v>
      </c>
    </row>
    <row r="69" spans="1:9" s="84" customFormat="1" ht="14.25" hidden="1">
      <c r="A69" s="114" t="s">
        <v>274</v>
      </c>
      <c r="B69" s="109" t="s">
        <v>57</v>
      </c>
      <c r="C69" s="109" t="s">
        <v>275</v>
      </c>
      <c r="D69" s="122"/>
      <c r="E69" s="122"/>
      <c r="F69" s="111"/>
      <c r="G69" s="115">
        <v>1136281</v>
      </c>
      <c r="H69" s="116">
        <v>1064208</v>
      </c>
      <c r="I69" s="117">
        <v>838384</v>
      </c>
    </row>
    <row r="70" spans="1:9" s="84" customFormat="1" ht="14.25" hidden="1">
      <c r="A70" s="114" t="s">
        <v>276</v>
      </c>
      <c r="B70" s="109" t="s">
        <v>84</v>
      </c>
      <c r="C70" s="109"/>
      <c r="D70" s="122"/>
      <c r="E70" s="122"/>
      <c r="F70" s="111"/>
      <c r="G70" s="115">
        <v>565941</v>
      </c>
      <c r="H70" s="116">
        <v>524803.66666666663</v>
      </c>
      <c r="I70" s="117">
        <v>716617</v>
      </c>
    </row>
    <row r="71" spans="1:9" s="84" customFormat="1" ht="14.25" hidden="1">
      <c r="A71" s="114" t="s">
        <v>277</v>
      </c>
      <c r="B71" s="109" t="s">
        <v>33</v>
      </c>
      <c r="C71" s="109" t="s">
        <v>278</v>
      </c>
      <c r="D71" s="111">
        <v>1</v>
      </c>
      <c r="E71" s="96">
        <v>25</v>
      </c>
      <c r="F71" s="111">
        <v>2004</v>
      </c>
      <c r="G71" s="115">
        <v>1272073</v>
      </c>
      <c r="H71" s="116">
        <v>1186405.6666666667</v>
      </c>
      <c r="I71" s="117">
        <v>1146849</v>
      </c>
    </row>
    <row r="72" spans="1:9" s="84" customFormat="1" ht="14.25" hidden="1">
      <c r="A72" s="114" t="s">
        <v>279</v>
      </c>
      <c r="B72" s="109" t="s">
        <v>33</v>
      </c>
      <c r="C72" s="109" t="s">
        <v>280</v>
      </c>
      <c r="D72" s="111">
        <v>1</v>
      </c>
      <c r="E72" s="96">
        <v>12.25</v>
      </c>
      <c r="F72" s="111">
        <v>1907</v>
      </c>
      <c r="G72" s="135">
        <v>1804018.6666666667</v>
      </c>
      <c r="H72" s="136">
        <v>1705528.3333333333</v>
      </c>
      <c r="I72" s="117">
        <v>1889311</v>
      </c>
    </row>
    <row r="73" spans="1:9" s="84" customFormat="1" ht="14.25" hidden="1">
      <c r="A73" s="114" t="s">
        <v>281</v>
      </c>
      <c r="B73" s="109" t="s">
        <v>57</v>
      </c>
      <c r="C73" s="109" t="s">
        <v>282</v>
      </c>
      <c r="D73" s="111">
        <v>10</v>
      </c>
      <c r="E73" s="96">
        <v>27000</v>
      </c>
      <c r="F73" s="111">
        <v>1842</v>
      </c>
      <c r="G73" s="115">
        <v>1550983.6666666667</v>
      </c>
      <c r="H73" s="116">
        <v>1406374</v>
      </c>
      <c r="I73" s="117">
        <v>1096142</v>
      </c>
    </row>
    <row r="74" spans="1:9" hidden="1"/>
  </sheetData>
  <mergeCells count="1">
    <mergeCell ref="A3:I3"/>
  </mergeCells>
  <pageMargins left="0.7" right="0.7" top="0.75" bottom="0.75" header="0.3" footer="0.3"/>
  <pageSetup scale="97"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A14" sqref="A1:M106"/>
    </sheetView>
  </sheetViews>
  <sheetFormatPr defaultRowHeight="12.75"/>
  <cols>
    <col min="1" max="1" width="19.140625" customWidth="1"/>
    <col min="2" max="2" width="15.85546875" hidden="1" customWidth="1"/>
    <col min="3" max="3" width="17.42578125" hidden="1" customWidth="1"/>
    <col min="4" max="4" width="16.28515625" customWidth="1"/>
    <col min="5" max="10" width="0" hidden="1" customWidth="1"/>
    <col min="11" max="11" width="16" customWidth="1"/>
    <col min="12" max="12" width="0" hidden="1" customWidth="1"/>
    <col min="13" max="13" width="20.5703125" customWidth="1"/>
  </cols>
  <sheetData>
    <row r="1" spans="1:13" ht="42.75" customHeight="1">
      <c r="A1" s="202" t="s">
        <v>126</v>
      </c>
      <c r="B1" s="202"/>
      <c r="C1" s="202"/>
      <c r="D1" s="202"/>
      <c r="E1" s="202"/>
      <c r="F1" s="202"/>
      <c r="G1" s="202"/>
      <c r="H1" s="202"/>
      <c r="I1" s="202"/>
      <c r="J1" s="202"/>
      <c r="K1" s="202"/>
      <c r="L1" s="202"/>
      <c r="M1" s="202"/>
    </row>
    <row r="2" spans="1:13" ht="25.5">
      <c r="A2" s="38" t="s">
        <v>16</v>
      </c>
      <c r="B2" s="39"/>
      <c r="C2" s="40"/>
      <c r="D2" s="41"/>
      <c r="E2" s="42"/>
      <c r="F2" s="43"/>
      <c r="G2" s="40"/>
      <c r="H2" s="44"/>
      <c r="I2" s="44"/>
      <c r="J2" s="45"/>
      <c r="K2" s="46"/>
      <c r="L2" s="45"/>
      <c r="M2" s="45"/>
    </row>
    <row r="3" spans="1:13">
      <c r="A3" s="203" t="s">
        <v>127</v>
      </c>
      <c r="B3" s="203"/>
      <c r="C3" s="203"/>
      <c r="D3" s="203"/>
      <c r="E3" s="203"/>
      <c r="F3" s="203"/>
      <c r="G3" s="203"/>
      <c r="H3" s="203"/>
      <c r="I3" s="203"/>
      <c r="J3" s="203"/>
      <c r="K3" s="203"/>
      <c r="L3" s="203"/>
      <c r="M3" s="203"/>
    </row>
    <row r="4" spans="1:13" ht="25.5" customHeight="1">
      <c r="A4" s="203"/>
      <c r="B4" s="203"/>
      <c r="C4" s="203"/>
      <c r="D4" s="203"/>
      <c r="E4" s="203"/>
      <c r="F4" s="203"/>
      <c r="G4" s="203"/>
      <c r="H4" s="203"/>
      <c r="I4" s="203"/>
      <c r="J4" s="203"/>
      <c r="K4" s="203"/>
      <c r="L4" s="203"/>
      <c r="M4" s="203"/>
    </row>
    <row r="5" spans="1:13" ht="15">
      <c r="A5" s="47"/>
      <c r="B5" s="45"/>
      <c r="C5" s="45"/>
      <c r="D5" s="45"/>
      <c r="E5" s="48"/>
      <c r="F5" s="45"/>
      <c r="G5" s="45"/>
      <c r="H5" s="45"/>
      <c r="I5" s="45"/>
      <c r="J5" s="45"/>
      <c r="K5" s="46"/>
      <c r="L5" s="46" t="s">
        <v>128</v>
      </c>
      <c r="M5" s="46"/>
    </row>
    <row r="6" spans="1:13" ht="120">
      <c r="A6" s="49" t="s">
        <v>129</v>
      </c>
      <c r="B6" s="50" t="s">
        <v>19</v>
      </c>
      <c r="C6" s="51" t="s">
        <v>130</v>
      </c>
      <c r="D6" s="52" t="s">
        <v>131</v>
      </c>
      <c r="E6" s="53" t="s">
        <v>132</v>
      </c>
      <c r="F6" s="54" t="s">
        <v>133</v>
      </c>
      <c r="G6" s="54" t="s">
        <v>134</v>
      </c>
      <c r="H6" s="54" t="s">
        <v>135</v>
      </c>
      <c r="I6" s="54" t="s">
        <v>136</v>
      </c>
      <c r="J6" s="55" t="s">
        <v>137</v>
      </c>
      <c r="K6" s="56" t="s">
        <v>138</v>
      </c>
      <c r="L6" s="57" t="s">
        <v>139</v>
      </c>
      <c r="M6" s="54" t="s">
        <v>140</v>
      </c>
    </row>
    <row r="7" spans="1:13" ht="14.25">
      <c r="A7" s="58" t="s">
        <v>27</v>
      </c>
      <c r="B7" s="59">
        <v>652405</v>
      </c>
      <c r="C7" s="60">
        <v>194267589</v>
      </c>
      <c r="D7" s="60">
        <f t="shared" ref="D7:D70" si="0">C7/B7</f>
        <v>297.77145944620287</v>
      </c>
      <c r="E7" s="60">
        <v>67437</v>
      </c>
      <c r="F7" s="61">
        <v>28.542480000000001</v>
      </c>
      <c r="G7" s="61">
        <v>16.522770000000001</v>
      </c>
      <c r="H7" s="60">
        <f t="shared" ref="H7:H70" si="1">E7*(F7/100)</f>
        <v>19248.192237600004</v>
      </c>
      <c r="I7" s="60">
        <f t="shared" ref="I7:I70" si="2">E7*(G7/100)</f>
        <v>11142.460404900001</v>
      </c>
      <c r="J7" s="60">
        <f t="shared" ref="J7:J70" si="3">SUM(H7,I7)</f>
        <v>30390.652642500005</v>
      </c>
      <c r="K7" s="62">
        <f t="shared" ref="K7:K70" si="4">J7/27729.7088483*100</f>
        <v>109.59600336504485</v>
      </c>
      <c r="L7" s="63">
        <f t="shared" ref="L7:L70" si="5">1/(K7/100)</f>
        <v>0.91244203191349726</v>
      </c>
      <c r="M7" s="60">
        <f t="shared" ref="M7:M70" si="6">(C7*L7)/B7</f>
        <v>271.69919550294088</v>
      </c>
    </row>
    <row r="8" spans="1:13" ht="14.25">
      <c r="A8" s="64" t="s">
        <v>141</v>
      </c>
      <c r="B8" s="65">
        <v>646449</v>
      </c>
      <c r="C8" s="60">
        <v>223588164</v>
      </c>
      <c r="D8" s="60">
        <f t="shared" si="0"/>
        <v>345.87131235410681</v>
      </c>
      <c r="E8" s="60">
        <v>89826</v>
      </c>
      <c r="F8" s="61">
        <v>28.413049999999998</v>
      </c>
      <c r="G8" s="61">
        <v>11.73987</v>
      </c>
      <c r="H8" s="60">
        <f t="shared" si="1"/>
        <v>25522.306293000001</v>
      </c>
      <c r="I8" s="60">
        <f t="shared" si="2"/>
        <v>10545.455626199999</v>
      </c>
      <c r="J8" s="60">
        <f t="shared" si="3"/>
        <v>36067.761919199998</v>
      </c>
      <c r="K8" s="62">
        <f t="shared" si="4"/>
        <v>130.06902494546449</v>
      </c>
      <c r="L8" s="63">
        <f t="shared" si="5"/>
        <v>0.76882255434703328</v>
      </c>
      <c r="M8" s="60">
        <f t="shared" si="6"/>
        <v>265.913665839445</v>
      </c>
    </row>
    <row r="9" spans="1:13" ht="14.25">
      <c r="A9" s="58" t="s">
        <v>31</v>
      </c>
      <c r="B9" s="59">
        <v>400070</v>
      </c>
      <c r="C9" s="60">
        <v>91909094</v>
      </c>
      <c r="D9" s="60">
        <f t="shared" si="0"/>
        <v>229.73253180693379</v>
      </c>
      <c r="E9" s="60">
        <v>66751</v>
      </c>
      <c r="F9" s="61">
        <v>27.38156</v>
      </c>
      <c r="G9" s="61">
        <v>16.27685</v>
      </c>
      <c r="H9" s="60">
        <f t="shared" si="1"/>
        <v>18277.4651156</v>
      </c>
      <c r="I9" s="60">
        <f t="shared" si="2"/>
        <v>10864.960143499999</v>
      </c>
      <c r="J9" s="60">
        <f t="shared" si="3"/>
        <v>29142.425259099997</v>
      </c>
      <c r="K9" s="62">
        <f t="shared" si="4"/>
        <v>105.0945951813937</v>
      </c>
      <c r="L9" s="63">
        <f t="shared" si="5"/>
        <v>0.9515237184880877</v>
      </c>
      <c r="M9" s="60">
        <f t="shared" si="6"/>
        <v>218.5959529226165</v>
      </c>
    </row>
    <row r="10" spans="1:13" ht="14.25">
      <c r="A10" s="64" t="s">
        <v>24</v>
      </c>
      <c r="B10" s="65">
        <v>297517</v>
      </c>
      <c r="C10" s="60">
        <v>52457200</v>
      </c>
      <c r="D10" s="60">
        <f t="shared" si="0"/>
        <v>176.31664745207837</v>
      </c>
      <c r="E10" s="60">
        <v>54779</v>
      </c>
      <c r="F10" s="61">
        <v>26.252970000000001</v>
      </c>
      <c r="G10" s="61">
        <v>19.889800000000001</v>
      </c>
      <c r="H10" s="60">
        <f t="shared" si="1"/>
        <v>14381.114436300002</v>
      </c>
      <c r="I10" s="60">
        <f t="shared" si="2"/>
        <v>10895.433542000001</v>
      </c>
      <c r="J10" s="60">
        <f t="shared" si="3"/>
        <v>25276.547978300005</v>
      </c>
      <c r="K10" s="62">
        <f t="shared" si="4"/>
        <v>91.153311838142898</v>
      </c>
      <c r="L10" s="63">
        <f t="shared" si="5"/>
        <v>1.097052844087177</v>
      </c>
      <c r="M10" s="60">
        <f t="shared" si="6"/>
        <v>193.42867954721868</v>
      </c>
    </row>
    <row r="11" spans="1:13" ht="14.25">
      <c r="A11" s="58" t="s">
        <v>118</v>
      </c>
      <c r="B11" s="59">
        <v>236716</v>
      </c>
      <c r="C11" s="60">
        <v>50042839</v>
      </c>
      <c r="D11" s="60">
        <f t="shared" si="0"/>
        <v>211.40454806603694</v>
      </c>
      <c r="E11" s="60">
        <v>60583</v>
      </c>
      <c r="F11" s="61">
        <v>33.148510000000002</v>
      </c>
      <c r="G11" s="61">
        <v>19.773800000000001</v>
      </c>
      <c r="H11" s="60">
        <f t="shared" si="1"/>
        <v>20082.361813300002</v>
      </c>
      <c r="I11" s="60">
        <f t="shared" si="2"/>
        <v>11979.561254000002</v>
      </c>
      <c r="J11" s="60">
        <f t="shared" si="3"/>
        <v>32061.923067300006</v>
      </c>
      <c r="K11" s="62">
        <f t="shared" si="4"/>
        <v>115.62300651153643</v>
      </c>
      <c r="L11" s="63">
        <f t="shared" si="5"/>
        <v>0.8648797762409195</v>
      </c>
      <c r="M11" s="60">
        <f t="shared" si="6"/>
        <v>182.83951822766673</v>
      </c>
    </row>
    <row r="12" spans="1:13" ht="14.25">
      <c r="A12" s="58" t="s">
        <v>29</v>
      </c>
      <c r="B12" s="59">
        <v>224906</v>
      </c>
      <c r="C12" s="60">
        <v>55985074</v>
      </c>
      <c r="D12" s="60">
        <f t="shared" si="0"/>
        <v>248.9265470907846</v>
      </c>
      <c r="E12" s="60">
        <v>89826</v>
      </c>
      <c r="F12" s="61">
        <v>30.485869999999998</v>
      </c>
      <c r="G12" s="61">
        <v>12.263909999999999</v>
      </c>
      <c r="H12" s="60">
        <f t="shared" si="1"/>
        <v>27384.237586199997</v>
      </c>
      <c r="I12" s="60">
        <f t="shared" si="2"/>
        <v>11016.179796599999</v>
      </c>
      <c r="J12" s="60">
        <f t="shared" si="3"/>
        <v>38400.417382799998</v>
      </c>
      <c r="K12" s="62">
        <f t="shared" si="4"/>
        <v>138.48114162639027</v>
      </c>
      <c r="L12" s="63">
        <f t="shared" si="5"/>
        <v>0.72211998562079338</v>
      </c>
      <c r="M12" s="60">
        <f t="shared" si="6"/>
        <v>179.75483460583112</v>
      </c>
    </row>
    <row r="13" spans="1:13" ht="14.25">
      <c r="A13" s="58" t="s">
        <v>37</v>
      </c>
      <c r="B13" s="59">
        <v>837442</v>
      </c>
      <c r="C13" s="60">
        <v>181309048</v>
      </c>
      <c r="D13" s="60">
        <f t="shared" si="0"/>
        <v>216.5034091913231</v>
      </c>
      <c r="E13" s="60">
        <v>77183</v>
      </c>
      <c r="F13" s="61">
        <v>30.321829999999999</v>
      </c>
      <c r="G13" s="61">
        <v>13.190659999999999</v>
      </c>
      <c r="H13" s="60">
        <f t="shared" si="1"/>
        <v>23403.2980489</v>
      </c>
      <c r="I13" s="60">
        <f t="shared" si="2"/>
        <v>10180.947107799999</v>
      </c>
      <c r="J13" s="60">
        <f t="shared" si="3"/>
        <v>33584.245156699995</v>
      </c>
      <c r="K13" s="62">
        <f t="shared" si="4"/>
        <v>121.11286613367712</v>
      </c>
      <c r="L13" s="63">
        <f t="shared" si="5"/>
        <v>0.82567610851208828</v>
      </c>
      <c r="M13" s="60">
        <f t="shared" si="6"/>
        <v>178.76169238069193</v>
      </c>
    </row>
    <row r="14" spans="1:13" ht="14.25">
      <c r="A14" s="64" t="s">
        <v>33</v>
      </c>
      <c r="B14" s="65">
        <v>2718782</v>
      </c>
      <c r="C14" s="60">
        <v>472102995</v>
      </c>
      <c r="D14" s="60">
        <f t="shared" si="0"/>
        <v>173.64503479867088</v>
      </c>
      <c r="E14" s="60">
        <v>61367</v>
      </c>
      <c r="F14" s="61">
        <v>29.073820000000001</v>
      </c>
      <c r="G14" s="61">
        <v>16.59132</v>
      </c>
      <c r="H14" s="60">
        <f t="shared" si="1"/>
        <v>17841.731119399999</v>
      </c>
      <c r="I14" s="60">
        <f t="shared" si="2"/>
        <v>10181.595344399999</v>
      </c>
      <c r="J14" s="60">
        <f t="shared" si="3"/>
        <v>28023.326463799996</v>
      </c>
      <c r="K14" s="62">
        <f t="shared" si="4"/>
        <v>101.05885574603859</v>
      </c>
      <c r="L14" s="63">
        <f t="shared" si="5"/>
        <v>0.98952238536423276</v>
      </c>
      <c r="M14" s="60">
        <f t="shared" si="6"/>
        <v>171.82564904063602</v>
      </c>
    </row>
    <row r="15" spans="1:13" ht="14.25">
      <c r="A15" s="64" t="s">
        <v>41</v>
      </c>
      <c r="B15" s="65">
        <v>294873</v>
      </c>
      <c r="C15" s="60">
        <v>51564573</v>
      </c>
      <c r="D15" s="60">
        <f t="shared" si="0"/>
        <v>174.87044592078624</v>
      </c>
      <c r="E15" s="60">
        <v>66751</v>
      </c>
      <c r="F15" s="61">
        <v>26.42643</v>
      </c>
      <c r="G15" s="61">
        <v>17.200500000000002</v>
      </c>
      <c r="H15" s="60">
        <f t="shared" si="1"/>
        <v>17639.906289300001</v>
      </c>
      <c r="I15" s="60">
        <f t="shared" si="2"/>
        <v>11481.505755000002</v>
      </c>
      <c r="J15" s="60">
        <f t="shared" si="3"/>
        <v>29121.412044300003</v>
      </c>
      <c r="K15" s="62">
        <f t="shared" si="4"/>
        <v>105.01881647446625</v>
      </c>
      <c r="L15" s="63">
        <f t="shared" si="5"/>
        <v>0.95221031199026607</v>
      </c>
      <c r="M15" s="60">
        <f t="shared" si="6"/>
        <v>166.5134418681088</v>
      </c>
    </row>
    <row r="16" spans="1:13" ht="14.25">
      <c r="A16" s="58" t="s">
        <v>63</v>
      </c>
      <c r="B16" s="59">
        <v>469428</v>
      </c>
      <c r="C16" s="60">
        <v>78648536</v>
      </c>
      <c r="D16" s="60">
        <f t="shared" si="0"/>
        <v>167.54121185783549</v>
      </c>
      <c r="E16" s="60">
        <v>60583</v>
      </c>
      <c r="F16" s="61">
        <v>29.289750000000002</v>
      </c>
      <c r="G16" s="61">
        <v>18.047630000000002</v>
      </c>
      <c r="H16" s="60">
        <f t="shared" si="1"/>
        <v>17744.609242500002</v>
      </c>
      <c r="I16" s="60">
        <f t="shared" si="2"/>
        <v>10933.7956829</v>
      </c>
      <c r="J16" s="60">
        <f t="shared" si="3"/>
        <v>28678.404925400002</v>
      </c>
      <c r="K16" s="62">
        <f t="shared" si="4"/>
        <v>103.42122624615355</v>
      </c>
      <c r="L16" s="63">
        <f t="shared" si="5"/>
        <v>0.96691949640965702</v>
      </c>
      <c r="M16" s="60">
        <f t="shared" si="6"/>
        <v>161.99886419744195</v>
      </c>
    </row>
    <row r="17" spans="1:13" ht="14.25">
      <c r="A17" s="58" t="s">
        <v>25</v>
      </c>
      <c r="B17" s="59">
        <v>352957</v>
      </c>
      <c r="C17" s="60">
        <v>51334033</v>
      </c>
      <c r="D17" s="60">
        <f t="shared" si="0"/>
        <v>145.43990627753521</v>
      </c>
      <c r="E17" s="60">
        <v>46606</v>
      </c>
      <c r="F17" s="61">
        <v>30.489329999999999</v>
      </c>
      <c r="G17" s="61">
        <v>23.781700000000001</v>
      </c>
      <c r="H17" s="60">
        <f t="shared" si="1"/>
        <v>14209.857139799999</v>
      </c>
      <c r="I17" s="60">
        <f t="shared" si="2"/>
        <v>11083.699102</v>
      </c>
      <c r="J17" s="60">
        <f t="shared" si="3"/>
        <v>25293.556241799997</v>
      </c>
      <c r="K17" s="62">
        <f t="shared" si="4"/>
        <v>91.214647727362077</v>
      </c>
      <c r="L17" s="63">
        <f t="shared" si="5"/>
        <v>1.0963151477479482</v>
      </c>
      <c r="M17" s="60">
        <f t="shared" si="6"/>
        <v>159.44797233910379</v>
      </c>
    </row>
    <row r="18" spans="1:13" ht="14.25">
      <c r="A18" s="58" t="s">
        <v>57</v>
      </c>
      <c r="B18" s="59">
        <v>8405837</v>
      </c>
      <c r="C18" s="60">
        <v>1364246406</v>
      </c>
      <c r="D18" s="60">
        <f t="shared" si="0"/>
        <v>162.29750898096168</v>
      </c>
      <c r="E18" s="60">
        <v>65791</v>
      </c>
      <c r="F18" s="61">
        <v>32.683669999999999</v>
      </c>
      <c r="G18" s="61">
        <v>13.910550000000001</v>
      </c>
      <c r="H18" s="60">
        <f t="shared" si="1"/>
        <v>21502.913329699997</v>
      </c>
      <c r="I18" s="60">
        <f t="shared" si="2"/>
        <v>9151.889950499999</v>
      </c>
      <c r="J18" s="60">
        <f t="shared" si="3"/>
        <v>30654.803280199994</v>
      </c>
      <c r="K18" s="62">
        <f t="shared" si="4"/>
        <v>110.54859410137412</v>
      </c>
      <c r="L18" s="63">
        <f t="shared" si="5"/>
        <v>0.90457957256606125</v>
      </c>
      <c r="M18" s="60">
        <f t="shared" si="6"/>
        <v>146.81101130253481</v>
      </c>
    </row>
    <row r="19" spans="1:13" ht="14.25">
      <c r="A19" s="58" t="s">
        <v>32</v>
      </c>
      <c r="B19" s="59">
        <v>431746</v>
      </c>
      <c r="C19" s="60">
        <v>67088060</v>
      </c>
      <c r="D19" s="60">
        <f t="shared" si="0"/>
        <v>155.3877974549851</v>
      </c>
      <c r="E19" s="60">
        <v>61902.388870000002</v>
      </c>
      <c r="F19" s="61">
        <v>27.75789</v>
      </c>
      <c r="G19" s="61">
        <v>19.744910000000001</v>
      </c>
      <c r="H19" s="60">
        <f t="shared" si="1"/>
        <v>17182.797009906844</v>
      </c>
      <c r="I19" s="60">
        <f t="shared" si="2"/>
        <v>12222.570970231518</v>
      </c>
      <c r="J19" s="60">
        <f t="shared" si="3"/>
        <v>29405.367980138362</v>
      </c>
      <c r="K19" s="62">
        <f t="shared" si="4"/>
        <v>106.0428298796981</v>
      </c>
      <c r="L19" s="63">
        <f t="shared" si="5"/>
        <v>0.9430151959679548</v>
      </c>
      <c r="M19" s="60">
        <f t="shared" si="6"/>
        <v>146.53305426804164</v>
      </c>
    </row>
    <row r="20" spans="1:13" ht="14.25">
      <c r="A20" s="58" t="s">
        <v>26</v>
      </c>
      <c r="B20" s="59">
        <v>249688</v>
      </c>
      <c r="C20" s="60">
        <v>32721618</v>
      </c>
      <c r="D20" s="60">
        <f t="shared" si="0"/>
        <v>131.05002242799014</v>
      </c>
      <c r="E20" s="60">
        <v>46606</v>
      </c>
      <c r="F20" s="61">
        <v>29.00844</v>
      </c>
      <c r="G20" s="61">
        <v>24.592269999999999</v>
      </c>
      <c r="H20" s="60">
        <f t="shared" si="1"/>
        <v>13519.673546400001</v>
      </c>
      <c r="I20" s="60">
        <f t="shared" si="2"/>
        <v>11461.4733562</v>
      </c>
      <c r="J20" s="60">
        <f t="shared" si="3"/>
        <v>24981.146902600001</v>
      </c>
      <c r="K20" s="62">
        <f t="shared" si="4"/>
        <v>90.088024505643148</v>
      </c>
      <c r="L20" s="63">
        <f t="shared" si="5"/>
        <v>1.1100254506495029</v>
      </c>
      <c r="M20" s="60">
        <f t="shared" si="6"/>
        <v>145.46886020325721</v>
      </c>
    </row>
    <row r="21" spans="1:13" ht="14.25">
      <c r="A21" s="64" t="s">
        <v>30</v>
      </c>
      <c r="B21" s="65">
        <v>448479</v>
      </c>
      <c r="C21" s="60">
        <v>70080356</v>
      </c>
      <c r="D21" s="60">
        <f t="shared" si="0"/>
        <v>156.26229098798382</v>
      </c>
      <c r="E21" s="60">
        <v>59293</v>
      </c>
      <c r="F21" s="61">
        <v>30.12989</v>
      </c>
      <c r="G21" s="61">
        <v>20.651599999999998</v>
      </c>
      <c r="H21" s="60">
        <f t="shared" si="1"/>
        <v>17864.915677699999</v>
      </c>
      <c r="I21" s="60">
        <f t="shared" si="2"/>
        <v>12244.953187999999</v>
      </c>
      <c r="J21" s="60">
        <f t="shared" si="3"/>
        <v>30109.868865699998</v>
      </c>
      <c r="K21" s="62">
        <f t="shared" si="4"/>
        <v>108.58342952831225</v>
      </c>
      <c r="L21" s="63">
        <f t="shared" si="5"/>
        <v>0.92095083415951418</v>
      </c>
      <c r="M21" s="60">
        <f t="shared" si="6"/>
        <v>143.90988723306043</v>
      </c>
    </row>
    <row r="22" spans="1:13" ht="14.25">
      <c r="A22" s="58" t="s">
        <v>47</v>
      </c>
      <c r="B22" s="59">
        <v>318416</v>
      </c>
      <c r="C22" s="60">
        <v>39686184</v>
      </c>
      <c r="D22" s="60">
        <f t="shared" si="0"/>
        <v>124.63627455906739</v>
      </c>
      <c r="E22" s="60">
        <v>54109</v>
      </c>
      <c r="F22" s="61">
        <v>25.983809999999998</v>
      </c>
      <c r="G22" s="61">
        <v>19.210139999999999</v>
      </c>
      <c r="H22" s="60">
        <f t="shared" si="1"/>
        <v>14059.579752899997</v>
      </c>
      <c r="I22" s="60">
        <f t="shared" si="2"/>
        <v>10394.414652599999</v>
      </c>
      <c r="J22" s="60">
        <f t="shared" si="3"/>
        <v>24453.994405499994</v>
      </c>
      <c r="K22" s="62">
        <f t="shared" si="4"/>
        <v>88.18698580385265</v>
      </c>
      <c r="L22" s="63">
        <f t="shared" si="5"/>
        <v>1.133954166688746</v>
      </c>
      <c r="M22" s="60">
        <f t="shared" si="6"/>
        <v>141.33182285681701</v>
      </c>
    </row>
    <row r="23" spans="1:13" ht="14.25">
      <c r="A23" s="64" t="s">
        <v>52</v>
      </c>
      <c r="B23" s="65">
        <v>609456</v>
      </c>
      <c r="C23" s="60">
        <v>85938414</v>
      </c>
      <c r="D23" s="60">
        <f t="shared" si="0"/>
        <v>141.00839765298889</v>
      </c>
      <c r="E23" s="60">
        <v>57896</v>
      </c>
      <c r="F23" s="61">
        <v>28.26455</v>
      </c>
      <c r="G23" s="61">
        <v>19.602810000000002</v>
      </c>
      <c r="H23" s="60">
        <f t="shared" si="1"/>
        <v>16364.043867999999</v>
      </c>
      <c r="I23" s="60">
        <f t="shared" si="2"/>
        <v>11349.242877600002</v>
      </c>
      <c r="J23" s="60">
        <f t="shared" si="3"/>
        <v>27713.286745600002</v>
      </c>
      <c r="K23" s="62">
        <f t="shared" si="4"/>
        <v>99.940777947616269</v>
      </c>
      <c r="L23" s="63">
        <f t="shared" si="5"/>
        <v>1.000592571456816</v>
      </c>
      <c r="M23" s="60">
        <f t="shared" si="6"/>
        <v>141.09195520460941</v>
      </c>
    </row>
    <row r="24" spans="1:13" ht="14.25">
      <c r="A24" s="58" t="s">
        <v>23</v>
      </c>
      <c r="B24" s="59">
        <v>270811</v>
      </c>
      <c r="C24" s="60">
        <v>40223416</v>
      </c>
      <c r="D24" s="60">
        <f t="shared" si="0"/>
        <v>148.52947627681297</v>
      </c>
      <c r="E24" s="60">
        <v>54218</v>
      </c>
      <c r="F24" s="61">
        <v>30.547689999999999</v>
      </c>
      <c r="G24" s="61">
        <v>23.87604</v>
      </c>
      <c r="H24" s="60">
        <f t="shared" si="1"/>
        <v>16562.346564200001</v>
      </c>
      <c r="I24" s="60">
        <f t="shared" si="2"/>
        <v>12945.111367199999</v>
      </c>
      <c r="J24" s="60">
        <f t="shared" si="3"/>
        <v>29507.4579314</v>
      </c>
      <c r="K24" s="62">
        <f t="shared" si="4"/>
        <v>106.41099079988712</v>
      </c>
      <c r="L24" s="63">
        <f t="shared" si="5"/>
        <v>0.93975255044900952</v>
      </c>
      <c r="M24" s="60">
        <f t="shared" si="6"/>
        <v>139.58095414799064</v>
      </c>
    </row>
    <row r="25" spans="1:13" ht="14.25">
      <c r="A25" s="58" t="s">
        <v>142</v>
      </c>
      <c r="B25" s="59">
        <v>255483</v>
      </c>
      <c r="C25" s="60">
        <v>30162588</v>
      </c>
      <c r="D25" s="60">
        <f t="shared" si="0"/>
        <v>118.06103732929392</v>
      </c>
      <c r="E25" s="60">
        <v>49263</v>
      </c>
      <c r="F25" s="61">
        <v>28.790099999999999</v>
      </c>
      <c r="G25" s="61">
        <v>22.020299999999999</v>
      </c>
      <c r="H25" s="60">
        <f t="shared" si="1"/>
        <v>14182.866962999999</v>
      </c>
      <c r="I25" s="60">
        <f t="shared" si="2"/>
        <v>10847.860388999999</v>
      </c>
      <c r="J25" s="60">
        <f t="shared" si="3"/>
        <v>25030.727351999998</v>
      </c>
      <c r="K25" s="62">
        <f t="shared" si="4"/>
        <v>90.266823531883318</v>
      </c>
      <c r="L25" s="63">
        <f t="shared" si="5"/>
        <v>1.1078267306556855</v>
      </c>
      <c r="M25" s="60">
        <f t="shared" si="6"/>
        <v>130.79117300233054</v>
      </c>
    </row>
    <row r="26" spans="1:13" ht="14.25">
      <c r="A26" s="58" t="s">
        <v>143</v>
      </c>
      <c r="B26" s="59">
        <v>390113</v>
      </c>
      <c r="C26" s="60">
        <v>42998974.879999995</v>
      </c>
      <c r="D26" s="60">
        <f t="shared" si="0"/>
        <v>110.22184567035704</v>
      </c>
      <c r="E26" s="60">
        <v>48952</v>
      </c>
      <c r="F26" s="61">
        <v>26.548819999999999</v>
      </c>
      <c r="G26" s="61">
        <v>22.01932</v>
      </c>
      <c r="H26" s="60">
        <f t="shared" si="1"/>
        <v>12996.1783664</v>
      </c>
      <c r="I26" s="60">
        <f t="shared" si="2"/>
        <v>10778.8975264</v>
      </c>
      <c r="J26" s="60">
        <f t="shared" si="3"/>
        <v>23775.0758928</v>
      </c>
      <c r="K26" s="62">
        <f t="shared" si="4"/>
        <v>85.738642345166767</v>
      </c>
      <c r="L26" s="63">
        <f t="shared" si="5"/>
        <v>1.1663352400358735</v>
      </c>
      <c r="M26" s="60">
        <f t="shared" si="6"/>
        <v>128.55562282713288</v>
      </c>
    </row>
    <row r="27" spans="1:13" ht="14.25">
      <c r="A27" s="58" t="s">
        <v>109</v>
      </c>
      <c r="B27" s="59">
        <v>603488</v>
      </c>
      <c r="C27" s="60">
        <v>75573194</v>
      </c>
      <c r="D27" s="60">
        <f t="shared" si="0"/>
        <v>125.22733509199851</v>
      </c>
      <c r="E27" s="60">
        <v>54218</v>
      </c>
      <c r="F27" s="61">
        <v>29.357089999999999</v>
      </c>
      <c r="G27" s="61">
        <v>22.303129999999999</v>
      </c>
      <c r="H27" s="60">
        <f t="shared" si="1"/>
        <v>15916.827056199998</v>
      </c>
      <c r="I27" s="60">
        <f t="shared" si="2"/>
        <v>12092.3110234</v>
      </c>
      <c r="J27" s="60">
        <f t="shared" si="3"/>
        <v>28009.138079599998</v>
      </c>
      <c r="K27" s="62">
        <f t="shared" si="4"/>
        <v>101.00768901984749</v>
      </c>
      <c r="L27" s="63">
        <f t="shared" si="5"/>
        <v>0.99002364048097879</v>
      </c>
      <c r="M27" s="60">
        <f t="shared" si="6"/>
        <v>123.9780221755118</v>
      </c>
    </row>
    <row r="28" spans="1:13" ht="14.25">
      <c r="A28" s="58" t="s">
        <v>45</v>
      </c>
      <c r="B28" s="59">
        <v>345803</v>
      </c>
      <c r="C28" s="60">
        <v>45290904</v>
      </c>
      <c r="D28" s="60">
        <f t="shared" si="0"/>
        <v>130.97313788486508</v>
      </c>
      <c r="E28" s="60">
        <v>62407</v>
      </c>
      <c r="F28" s="61">
        <v>28.324470000000002</v>
      </c>
      <c r="G28" s="61">
        <v>19.332280000000001</v>
      </c>
      <c r="H28" s="60">
        <f t="shared" si="1"/>
        <v>17676.451992900002</v>
      </c>
      <c r="I28" s="60">
        <f t="shared" si="2"/>
        <v>12064.695979600001</v>
      </c>
      <c r="J28" s="60">
        <f t="shared" si="3"/>
        <v>29741.147972500003</v>
      </c>
      <c r="K28" s="62">
        <f t="shared" si="4"/>
        <v>107.2537332981169</v>
      </c>
      <c r="L28" s="63">
        <f t="shared" si="5"/>
        <v>0.93236847730088057</v>
      </c>
      <c r="M28" s="60">
        <f t="shared" si="6"/>
        <v>122.11522513702994</v>
      </c>
    </row>
    <row r="29" spans="1:13" ht="14.25">
      <c r="A29" s="64" t="s">
        <v>59</v>
      </c>
      <c r="B29" s="65">
        <v>406253</v>
      </c>
      <c r="C29" s="60">
        <v>57033574</v>
      </c>
      <c r="D29" s="60">
        <f t="shared" si="0"/>
        <v>140.38929927902072</v>
      </c>
      <c r="E29" s="60">
        <v>77183</v>
      </c>
      <c r="F29" s="61">
        <v>27.434100000000001</v>
      </c>
      <c r="G29" s="61">
        <v>14.993589999999999</v>
      </c>
      <c r="H29" s="60">
        <f t="shared" si="1"/>
        <v>21174.461403000001</v>
      </c>
      <c r="I29" s="60">
        <f t="shared" si="2"/>
        <v>11572.502569699998</v>
      </c>
      <c r="J29" s="60">
        <f t="shared" si="3"/>
        <v>32746.963972699999</v>
      </c>
      <c r="K29" s="62">
        <f t="shared" si="4"/>
        <v>118.09342879093225</v>
      </c>
      <c r="L29" s="63">
        <f t="shared" si="5"/>
        <v>0.84678716693911804</v>
      </c>
      <c r="M29" s="60">
        <f t="shared" si="6"/>
        <v>118.87985700504991</v>
      </c>
    </row>
    <row r="30" spans="1:13" ht="14.25">
      <c r="A30" s="58" t="s">
        <v>55</v>
      </c>
      <c r="B30" s="59">
        <v>243344</v>
      </c>
      <c r="C30" s="60">
        <v>29111447</v>
      </c>
      <c r="D30" s="60">
        <f t="shared" si="0"/>
        <v>119.63083947005063</v>
      </c>
      <c r="E30" s="60">
        <v>61006</v>
      </c>
      <c r="F30" s="61">
        <v>27.26585</v>
      </c>
      <c r="G30" s="61">
        <v>19.033370000000001</v>
      </c>
      <c r="H30" s="60">
        <f t="shared" si="1"/>
        <v>16633.804451</v>
      </c>
      <c r="I30" s="60">
        <f t="shared" si="2"/>
        <v>11611.497702200002</v>
      </c>
      <c r="J30" s="60">
        <f t="shared" si="3"/>
        <v>28245.302153200002</v>
      </c>
      <c r="K30" s="62">
        <f t="shared" si="4"/>
        <v>101.85935347435719</v>
      </c>
      <c r="L30" s="63">
        <f t="shared" si="5"/>
        <v>0.98174587398274349</v>
      </c>
      <c r="M30" s="60">
        <f t="shared" si="6"/>
        <v>117.44708305081414</v>
      </c>
    </row>
    <row r="31" spans="1:13" ht="14.25">
      <c r="A31" s="58" t="s">
        <v>48</v>
      </c>
      <c r="B31" s="59">
        <v>467007</v>
      </c>
      <c r="C31" s="60">
        <v>53680120</v>
      </c>
      <c r="D31" s="60">
        <f t="shared" si="0"/>
        <v>114.94500082439878</v>
      </c>
      <c r="E31" s="60">
        <v>56826</v>
      </c>
      <c r="F31" s="61">
        <v>26.678249999999998</v>
      </c>
      <c r="G31" s="61">
        <v>21.344239999999999</v>
      </c>
      <c r="H31" s="60">
        <f t="shared" si="1"/>
        <v>15160.182344999999</v>
      </c>
      <c r="I31" s="60">
        <f t="shared" si="2"/>
        <v>12129.077822400001</v>
      </c>
      <c r="J31" s="60">
        <f t="shared" si="3"/>
        <v>27289.2601674</v>
      </c>
      <c r="K31" s="62">
        <f t="shared" si="4"/>
        <v>98.4116361145025</v>
      </c>
      <c r="L31" s="63">
        <f t="shared" si="5"/>
        <v>1.016140000798782</v>
      </c>
      <c r="M31" s="60">
        <f t="shared" si="6"/>
        <v>116.80021322952058</v>
      </c>
    </row>
    <row r="32" spans="1:13" ht="14.25">
      <c r="A32" s="58" t="s">
        <v>40</v>
      </c>
      <c r="B32" s="59">
        <v>447841</v>
      </c>
      <c r="C32" s="60">
        <v>51969024</v>
      </c>
      <c r="D32" s="60">
        <f t="shared" si="0"/>
        <v>116.04347078539035</v>
      </c>
      <c r="E32" s="60">
        <v>57470</v>
      </c>
      <c r="F32" s="61">
        <v>29.303640000000001</v>
      </c>
      <c r="G32" s="61">
        <v>18.97569</v>
      </c>
      <c r="H32" s="60">
        <f t="shared" si="1"/>
        <v>16840.801908000001</v>
      </c>
      <c r="I32" s="60">
        <f t="shared" si="2"/>
        <v>10905.329043</v>
      </c>
      <c r="J32" s="60">
        <f t="shared" si="3"/>
        <v>27746.130950999999</v>
      </c>
      <c r="K32" s="62">
        <f t="shared" si="4"/>
        <v>100.05922205238373</v>
      </c>
      <c r="L32" s="63">
        <f t="shared" si="5"/>
        <v>0.99940812999372786</v>
      </c>
      <c r="M32" s="60">
        <f t="shared" si="6"/>
        <v>115.97478813560876</v>
      </c>
    </row>
    <row r="33" spans="1:13" ht="14.25">
      <c r="A33" s="58" t="s">
        <v>86</v>
      </c>
      <c r="B33" s="59">
        <v>998537</v>
      </c>
      <c r="C33" s="60">
        <v>162589191</v>
      </c>
      <c r="D33" s="60">
        <f t="shared" si="0"/>
        <v>162.82740749716837</v>
      </c>
      <c r="E33" s="60">
        <v>89940</v>
      </c>
      <c r="F33" s="61">
        <v>29.47053</v>
      </c>
      <c r="G33" s="61">
        <v>14.422879999999999</v>
      </c>
      <c r="H33" s="60">
        <f t="shared" si="1"/>
        <v>26505.794682</v>
      </c>
      <c r="I33" s="60">
        <f t="shared" si="2"/>
        <v>12971.938271999999</v>
      </c>
      <c r="J33" s="60">
        <f t="shared" si="3"/>
        <v>39477.732953999999</v>
      </c>
      <c r="K33" s="62">
        <f t="shared" si="4"/>
        <v>142.36620070542222</v>
      </c>
      <c r="L33" s="63">
        <f t="shared" si="5"/>
        <v>0.70241391218211646</v>
      </c>
      <c r="M33" s="60">
        <f t="shared" si="6"/>
        <v>114.37223631055771</v>
      </c>
    </row>
    <row r="34" spans="1:13" ht="14.25">
      <c r="A34" s="58" t="s">
        <v>49</v>
      </c>
      <c r="B34" s="59">
        <v>885400</v>
      </c>
      <c r="C34" s="60">
        <v>98280978</v>
      </c>
      <c r="D34" s="60">
        <f t="shared" si="0"/>
        <v>111.00178224531285</v>
      </c>
      <c r="E34" s="60">
        <v>59646</v>
      </c>
      <c r="F34" s="61">
        <v>28.116679999999999</v>
      </c>
      <c r="G34" s="61">
        <v>18.703510000000001</v>
      </c>
      <c r="H34" s="60">
        <f t="shared" si="1"/>
        <v>16770.474952799999</v>
      </c>
      <c r="I34" s="60">
        <f t="shared" si="2"/>
        <v>11155.895574600001</v>
      </c>
      <c r="J34" s="60">
        <f t="shared" si="3"/>
        <v>27926.370527400002</v>
      </c>
      <c r="K34" s="62">
        <f t="shared" si="4"/>
        <v>100.70920931833749</v>
      </c>
      <c r="L34" s="63">
        <f t="shared" si="5"/>
        <v>0.99295785039781503</v>
      </c>
      <c r="M34" s="60">
        <f t="shared" si="6"/>
        <v>110.2200910886322</v>
      </c>
    </row>
    <row r="35" spans="1:13" ht="14.25">
      <c r="A35" s="58" t="s">
        <v>51</v>
      </c>
      <c r="B35" s="59">
        <v>645966</v>
      </c>
      <c r="C35" s="60">
        <v>79884432</v>
      </c>
      <c r="D35" s="60">
        <f t="shared" si="0"/>
        <v>123.66662022459387</v>
      </c>
      <c r="E35" s="60">
        <v>72769</v>
      </c>
      <c r="F35" s="61">
        <v>29.729099999999999</v>
      </c>
      <c r="G35" s="61">
        <v>13.22247</v>
      </c>
      <c r="H35" s="60">
        <f t="shared" si="1"/>
        <v>21633.568778999997</v>
      </c>
      <c r="I35" s="60">
        <f t="shared" si="2"/>
        <v>9621.8591942999992</v>
      </c>
      <c r="J35" s="60">
        <f t="shared" si="3"/>
        <v>31255.427973299997</v>
      </c>
      <c r="K35" s="62">
        <f t="shared" si="4"/>
        <v>112.7145912143832</v>
      </c>
      <c r="L35" s="63">
        <f t="shared" si="5"/>
        <v>0.88719658140621693</v>
      </c>
      <c r="M35" s="60">
        <f t="shared" si="6"/>
        <v>109.7166026973206</v>
      </c>
    </row>
    <row r="36" spans="1:13" ht="14.25">
      <c r="A36" s="64" t="s">
        <v>64</v>
      </c>
      <c r="B36" s="65">
        <v>658602</v>
      </c>
      <c r="C36" s="60">
        <v>67152939</v>
      </c>
      <c r="D36" s="60">
        <f t="shared" si="0"/>
        <v>101.96285313436643</v>
      </c>
      <c r="E36" s="60">
        <v>52779</v>
      </c>
      <c r="F36" s="61">
        <v>27.967120000000001</v>
      </c>
      <c r="G36" s="61">
        <v>22.711670000000002</v>
      </c>
      <c r="H36" s="60">
        <f t="shared" si="1"/>
        <v>14760.7662648</v>
      </c>
      <c r="I36" s="60">
        <f t="shared" si="2"/>
        <v>11986.9923093</v>
      </c>
      <c r="J36" s="60">
        <f t="shared" si="3"/>
        <v>26747.7585741</v>
      </c>
      <c r="K36" s="62">
        <f t="shared" si="4"/>
        <v>96.458851120392481</v>
      </c>
      <c r="L36" s="63">
        <f t="shared" si="5"/>
        <v>1.0367114975813647</v>
      </c>
      <c r="M36" s="60">
        <f t="shared" si="6"/>
        <v>105.70606217059778</v>
      </c>
    </row>
    <row r="37" spans="1:13" ht="14.25">
      <c r="A37" s="58" t="s">
        <v>93</v>
      </c>
      <c r="B37" s="59">
        <v>599164</v>
      </c>
      <c r="C37" s="60">
        <v>57137060</v>
      </c>
      <c r="D37" s="60">
        <f t="shared" si="0"/>
        <v>95.361303416093094</v>
      </c>
      <c r="E37" s="60">
        <v>53966</v>
      </c>
      <c r="F37" s="61">
        <v>27.00385</v>
      </c>
      <c r="G37" s="61">
        <v>19.591229999999999</v>
      </c>
      <c r="H37" s="60">
        <f t="shared" si="1"/>
        <v>14572.897691</v>
      </c>
      <c r="I37" s="60">
        <f t="shared" si="2"/>
        <v>10572.603181799999</v>
      </c>
      <c r="J37" s="60">
        <f t="shared" si="3"/>
        <v>25145.500872799999</v>
      </c>
      <c r="K37" s="62">
        <f t="shared" si="4"/>
        <v>90.68072445463693</v>
      </c>
      <c r="L37" s="63">
        <f t="shared" si="5"/>
        <v>1.1027701929093547</v>
      </c>
      <c r="M37" s="60">
        <f t="shared" si="6"/>
        <v>105.16160296425248</v>
      </c>
    </row>
    <row r="38" spans="1:13" ht="14.25">
      <c r="A38" s="58" t="s">
        <v>71</v>
      </c>
      <c r="B38" s="59">
        <v>1409019</v>
      </c>
      <c r="C38" s="60">
        <v>136788147</v>
      </c>
      <c r="D38" s="60">
        <f t="shared" si="0"/>
        <v>97.080413393999649</v>
      </c>
      <c r="E38" s="60">
        <v>51208</v>
      </c>
      <c r="F38" s="61">
        <v>28.191500000000001</v>
      </c>
      <c r="G38" s="61">
        <v>22.764479999999999</v>
      </c>
      <c r="H38" s="60">
        <f t="shared" si="1"/>
        <v>14436.303320000001</v>
      </c>
      <c r="I38" s="60">
        <f t="shared" si="2"/>
        <v>11657.2349184</v>
      </c>
      <c r="J38" s="60">
        <f t="shared" si="3"/>
        <v>26093.5382384</v>
      </c>
      <c r="K38" s="62">
        <f t="shared" si="4"/>
        <v>94.099575228680024</v>
      </c>
      <c r="L38" s="63">
        <f t="shared" si="5"/>
        <v>1.0627040532008865</v>
      </c>
      <c r="M38" s="60">
        <f t="shared" si="6"/>
        <v>103.16774880022106</v>
      </c>
    </row>
    <row r="39" spans="1:13" ht="14.25">
      <c r="A39" s="58" t="s">
        <v>66</v>
      </c>
      <c r="B39" s="59">
        <v>479686</v>
      </c>
      <c r="C39" s="60">
        <v>49996267</v>
      </c>
      <c r="D39" s="60">
        <f t="shared" si="0"/>
        <v>104.22707145924626</v>
      </c>
      <c r="E39" s="60">
        <v>59829</v>
      </c>
      <c r="F39" s="61">
        <v>27.602329999999998</v>
      </c>
      <c r="G39" s="61">
        <v>19.74868</v>
      </c>
      <c r="H39" s="60">
        <f t="shared" si="1"/>
        <v>16514.1980157</v>
      </c>
      <c r="I39" s="60">
        <f t="shared" si="2"/>
        <v>11815.437757199999</v>
      </c>
      <c r="J39" s="60">
        <f t="shared" si="3"/>
        <v>28329.635772900001</v>
      </c>
      <c r="K39" s="62">
        <f t="shared" si="4"/>
        <v>102.16348079196216</v>
      </c>
      <c r="L39" s="63">
        <f t="shared" si="5"/>
        <v>0.97882334494487611</v>
      </c>
      <c r="M39" s="60">
        <f t="shared" si="6"/>
        <v>102.01989071954804</v>
      </c>
    </row>
    <row r="40" spans="1:13" ht="14.25">
      <c r="A40" s="58" t="s">
        <v>46</v>
      </c>
      <c r="B40" s="59">
        <v>649495</v>
      </c>
      <c r="C40" s="60">
        <v>67236612</v>
      </c>
      <c r="D40" s="60">
        <f t="shared" si="0"/>
        <v>103.52136967952025</v>
      </c>
      <c r="E40" s="60">
        <v>62407</v>
      </c>
      <c r="F40" s="61">
        <v>27.732669999999999</v>
      </c>
      <c r="G40" s="61">
        <v>17.59994</v>
      </c>
      <c r="H40" s="60">
        <f t="shared" si="1"/>
        <v>17307.1273669</v>
      </c>
      <c r="I40" s="60">
        <f t="shared" si="2"/>
        <v>10983.5945558</v>
      </c>
      <c r="J40" s="60">
        <f t="shared" si="3"/>
        <v>28290.721922700002</v>
      </c>
      <c r="K40" s="62">
        <f t="shared" si="4"/>
        <v>102.02314808809973</v>
      </c>
      <c r="L40" s="63">
        <f t="shared" si="5"/>
        <v>0.98016971514785356</v>
      </c>
      <c r="M40" s="60">
        <f t="shared" si="6"/>
        <v>101.46851143049101</v>
      </c>
    </row>
    <row r="41" spans="1:13" ht="14.25">
      <c r="A41" s="64" t="s">
        <v>65</v>
      </c>
      <c r="B41" s="65">
        <v>1355896</v>
      </c>
      <c r="C41" s="60">
        <v>151170585</v>
      </c>
      <c r="D41" s="60">
        <f t="shared" si="0"/>
        <v>111.49128325476291</v>
      </c>
      <c r="E41" s="60">
        <v>63373</v>
      </c>
      <c r="F41" s="61">
        <v>29.41629</v>
      </c>
      <c r="G41" s="61">
        <v>19.103960000000001</v>
      </c>
      <c r="H41" s="60">
        <f t="shared" si="1"/>
        <v>18641.985461700002</v>
      </c>
      <c r="I41" s="60">
        <f t="shared" si="2"/>
        <v>12106.752570799999</v>
      </c>
      <c r="J41" s="60">
        <f t="shared" si="3"/>
        <v>30748.738032500001</v>
      </c>
      <c r="K41" s="62">
        <f t="shared" si="4"/>
        <v>110.88734541251803</v>
      </c>
      <c r="L41" s="63">
        <f t="shared" si="5"/>
        <v>0.90181615970681384</v>
      </c>
      <c r="M41" s="60">
        <f t="shared" si="6"/>
        <v>100.54464090559489</v>
      </c>
    </row>
    <row r="42" spans="1:13" ht="14.25">
      <c r="A42" s="58" t="s">
        <v>80</v>
      </c>
      <c r="B42" s="59">
        <v>822553</v>
      </c>
      <c r="C42" s="60">
        <v>76227184</v>
      </c>
      <c r="D42" s="60">
        <f t="shared" si="0"/>
        <v>92.671455821083867</v>
      </c>
      <c r="E42" s="60">
        <v>54628</v>
      </c>
      <c r="F42" s="61">
        <v>27.07554</v>
      </c>
      <c r="G42" s="61">
        <v>20.55434</v>
      </c>
      <c r="H42" s="60">
        <f t="shared" si="1"/>
        <v>14790.825991199999</v>
      </c>
      <c r="I42" s="60">
        <f t="shared" si="2"/>
        <v>11228.424855199999</v>
      </c>
      <c r="J42" s="60">
        <f t="shared" si="3"/>
        <v>26019.250846399998</v>
      </c>
      <c r="K42" s="62">
        <f t="shared" si="4"/>
        <v>93.831677024604375</v>
      </c>
      <c r="L42" s="63">
        <f t="shared" si="5"/>
        <v>1.0657381725552895</v>
      </c>
      <c r="M42" s="60">
        <f t="shared" si="6"/>
        <v>98.763507974800177</v>
      </c>
    </row>
    <row r="43" spans="1:13" ht="14.25">
      <c r="A43" s="64" t="s">
        <v>61</v>
      </c>
      <c r="B43" s="65">
        <v>526116</v>
      </c>
      <c r="C43" s="60">
        <v>45839084</v>
      </c>
      <c r="D43" s="60">
        <f t="shared" si="0"/>
        <v>87.12733313565829</v>
      </c>
      <c r="E43" s="60">
        <v>46443</v>
      </c>
      <c r="F43" s="61">
        <v>27.917670000000001</v>
      </c>
      <c r="G43" s="61">
        <v>25.220890000000001</v>
      </c>
      <c r="H43" s="60">
        <f t="shared" si="1"/>
        <v>12965.803478100001</v>
      </c>
      <c r="I43" s="60">
        <f t="shared" si="2"/>
        <v>11713.3379427</v>
      </c>
      <c r="J43" s="60">
        <f t="shared" si="3"/>
        <v>24679.141420799999</v>
      </c>
      <c r="K43" s="62">
        <f t="shared" si="4"/>
        <v>88.998920096173237</v>
      </c>
      <c r="L43" s="63">
        <f t="shared" si="5"/>
        <v>1.1236091392113394</v>
      </c>
      <c r="M43" s="60">
        <f t="shared" si="6"/>
        <v>97.897067786336635</v>
      </c>
    </row>
    <row r="44" spans="1:13" ht="14.25">
      <c r="A44" s="58" t="s">
        <v>69</v>
      </c>
      <c r="B44" s="59">
        <v>268738</v>
      </c>
      <c r="C44" s="60">
        <v>23975561</v>
      </c>
      <c r="D44" s="60">
        <f t="shared" si="0"/>
        <v>89.215373337600184</v>
      </c>
      <c r="E44" s="60">
        <v>52320</v>
      </c>
      <c r="F44" s="61">
        <v>26.91159</v>
      </c>
      <c r="G44" s="61">
        <v>22.17877</v>
      </c>
      <c r="H44" s="60">
        <f t="shared" si="1"/>
        <v>14080.143888000001</v>
      </c>
      <c r="I44" s="60">
        <f t="shared" si="2"/>
        <v>11603.932464</v>
      </c>
      <c r="J44" s="60">
        <f t="shared" si="3"/>
        <v>25684.076352</v>
      </c>
      <c r="K44" s="62">
        <f t="shared" si="4"/>
        <v>92.622957177477133</v>
      </c>
      <c r="L44" s="63">
        <f t="shared" si="5"/>
        <v>1.0796459435902865</v>
      </c>
      <c r="M44" s="60">
        <f t="shared" si="6"/>
        <v>96.321015929833052</v>
      </c>
    </row>
    <row r="45" spans="1:13" ht="14.25">
      <c r="A45" s="64" t="s">
        <v>144</v>
      </c>
      <c r="B45" s="65">
        <v>417650</v>
      </c>
      <c r="C45" s="60">
        <v>33556098</v>
      </c>
      <c r="D45" s="60">
        <f t="shared" si="0"/>
        <v>80.345020950556687</v>
      </c>
      <c r="E45" s="60">
        <v>48582</v>
      </c>
      <c r="F45" s="61">
        <v>29.728870000000001</v>
      </c>
      <c r="G45" s="61">
        <v>19.194690000000001</v>
      </c>
      <c r="H45" s="60">
        <f t="shared" si="1"/>
        <v>14442.8796234</v>
      </c>
      <c r="I45" s="60">
        <f t="shared" si="2"/>
        <v>9325.1642957999993</v>
      </c>
      <c r="J45" s="60">
        <f t="shared" si="3"/>
        <v>23768.043919199998</v>
      </c>
      <c r="K45" s="62">
        <f t="shared" si="4"/>
        <v>85.71328335694777</v>
      </c>
      <c r="L45" s="63">
        <f t="shared" si="5"/>
        <v>1.1666803100233143</v>
      </c>
      <c r="M45" s="60">
        <f t="shared" si="6"/>
        <v>93.736953951425164</v>
      </c>
    </row>
    <row r="46" spans="1:13" ht="14.25">
      <c r="A46" s="58" t="s">
        <v>145</v>
      </c>
      <c r="B46" s="59">
        <v>378715</v>
      </c>
      <c r="C46" s="60">
        <v>30642369</v>
      </c>
      <c r="D46" s="60">
        <f t="shared" si="0"/>
        <v>80.91142151749996</v>
      </c>
      <c r="E46" s="60">
        <v>47429</v>
      </c>
      <c r="F46" s="61">
        <v>28.594729999999998</v>
      </c>
      <c r="G46" s="61">
        <v>21.934090000000001</v>
      </c>
      <c r="H46" s="60">
        <f t="shared" si="1"/>
        <v>13562.194491699998</v>
      </c>
      <c r="I46" s="60">
        <f t="shared" si="2"/>
        <v>10403.119546100001</v>
      </c>
      <c r="J46" s="60">
        <f t="shared" si="3"/>
        <v>23965.314037799999</v>
      </c>
      <c r="K46" s="62">
        <f t="shared" si="4"/>
        <v>86.424686854471673</v>
      </c>
      <c r="L46" s="63">
        <f t="shared" si="5"/>
        <v>1.1570767987668551</v>
      </c>
      <c r="M46" s="60">
        <f t="shared" si="6"/>
        <v>93.620728593144491</v>
      </c>
    </row>
    <row r="47" spans="1:13" ht="14.25">
      <c r="A47" s="58" t="s">
        <v>72</v>
      </c>
      <c r="B47" s="59">
        <v>379577</v>
      </c>
      <c r="C47" s="60">
        <v>35009867</v>
      </c>
      <c r="D47" s="60">
        <f t="shared" si="0"/>
        <v>92.23389984113895</v>
      </c>
      <c r="E47" s="60">
        <v>58190</v>
      </c>
      <c r="F47" s="61">
        <v>28.139109999999999</v>
      </c>
      <c r="G47" s="61">
        <v>20.237760000000002</v>
      </c>
      <c r="H47" s="60">
        <f t="shared" si="1"/>
        <v>16374.148109</v>
      </c>
      <c r="I47" s="60">
        <f t="shared" si="2"/>
        <v>11776.352544000001</v>
      </c>
      <c r="J47" s="60">
        <f t="shared" si="3"/>
        <v>28150.500653000003</v>
      </c>
      <c r="K47" s="62">
        <f t="shared" si="4"/>
        <v>101.51747646180497</v>
      </c>
      <c r="L47" s="66">
        <f t="shared" si="5"/>
        <v>0.98505206675053714</v>
      </c>
      <c r="M47" s="60">
        <f t="shared" si="6"/>
        <v>90.855193662975964</v>
      </c>
    </row>
    <row r="48" spans="1:13" ht="14.25">
      <c r="A48" s="64" t="s">
        <v>146</v>
      </c>
      <c r="B48" s="65">
        <v>226918</v>
      </c>
      <c r="C48" s="60">
        <v>22679992</v>
      </c>
      <c r="D48" s="60">
        <f t="shared" si="0"/>
        <v>99.947963581558099</v>
      </c>
      <c r="E48" s="60">
        <v>54022</v>
      </c>
      <c r="F48" s="61">
        <v>33.260829999999999</v>
      </c>
      <c r="G48" s="61">
        <v>23.27168</v>
      </c>
      <c r="H48" s="60">
        <f t="shared" si="1"/>
        <v>17968.165582599999</v>
      </c>
      <c r="I48" s="60">
        <f t="shared" si="2"/>
        <v>12571.826969600001</v>
      </c>
      <c r="J48" s="60">
        <f t="shared" si="3"/>
        <v>30539.992552199998</v>
      </c>
      <c r="K48" s="62">
        <f t="shared" si="4"/>
        <v>110.13455900050782</v>
      </c>
      <c r="L48" s="63">
        <f t="shared" si="5"/>
        <v>0.90798020991339257</v>
      </c>
      <c r="M48" s="60">
        <f t="shared" si="6"/>
        <v>90.750772953199245</v>
      </c>
    </row>
    <row r="49" spans="1:13" ht="14.25">
      <c r="A49" s="64" t="s">
        <v>78</v>
      </c>
      <c r="B49" s="65">
        <v>363630</v>
      </c>
      <c r="C49" s="60">
        <v>31399680</v>
      </c>
      <c r="D49" s="60">
        <f t="shared" si="0"/>
        <v>86.350631136044882</v>
      </c>
      <c r="E49" s="60">
        <v>47727</v>
      </c>
      <c r="F49" s="61">
        <v>29.270530000000001</v>
      </c>
      <c r="G49" s="61">
        <v>26.265419999999999</v>
      </c>
      <c r="H49" s="60">
        <f t="shared" si="1"/>
        <v>13969.9458531</v>
      </c>
      <c r="I49" s="60">
        <f t="shared" si="2"/>
        <v>12535.697003400001</v>
      </c>
      <c r="J49" s="60">
        <f t="shared" si="3"/>
        <v>26505.642856500002</v>
      </c>
      <c r="K49" s="62">
        <f t="shared" si="4"/>
        <v>95.585723606055666</v>
      </c>
      <c r="L49" s="63">
        <f t="shared" si="5"/>
        <v>1.046181335741488</v>
      </c>
      <c r="M49" s="60">
        <f t="shared" si="6"/>
        <v>90.338418624027952</v>
      </c>
    </row>
    <row r="50" spans="1:13" ht="14.25">
      <c r="A50" s="58" t="s">
        <v>68</v>
      </c>
      <c r="B50" s="59">
        <v>308428</v>
      </c>
      <c r="C50" s="60">
        <v>25568000</v>
      </c>
      <c r="D50" s="60">
        <f t="shared" si="0"/>
        <v>82.897791380808485</v>
      </c>
      <c r="E50" s="60">
        <v>49497</v>
      </c>
      <c r="F50" s="61">
        <v>28.230550000000001</v>
      </c>
      <c r="G50" s="61">
        <v>23.82602</v>
      </c>
      <c r="H50" s="60">
        <f t="shared" si="1"/>
        <v>13973.2753335</v>
      </c>
      <c r="I50" s="60">
        <f t="shared" si="2"/>
        <v>11793.165119400001</v>
      </c>
      <c r="J50" s="60">
        <f t="shared" si="3"/>
        <v>25766.440452900002</v>
      </c>
      <c r="K50" s="62">
        <f t="shared" si="4"/>
        <v>92.919981936556255</v>
      </c>
      <c r="L50" s="63">
        <f t="shared" si="5"/>
        <v>1.0761947851892377</v>
      </c>
      <c r="M50" s="60">
        <f t="shared" si="6"/>
        <v>89.214170787731433</v>
      </c>
    </row>
    <row r="51" spans="1:13" ht="14.25">
      <c r="A51" s="58" t="s">
        <v>62</v>
      </c>
      <c r="B51" s="59">
        <v>792727</v>
      </c>
      <c r="C51" s="60">
        <v>70330955</v>
      </c>
      <c r="D51" s="60">
        <f t="shared" si="0"/>
        <v>88.720271922111905</v>
      </c>
      <c r="E51" s="60">
        <v>58190</v>
      </c>
      <c r="F51" s="61">
        <v>27.009070000000001</v>
      </c>
      <c r="G51" s="61">
        <v>20.70749</v>
      </c>
      <c r="H51" s="60">
        <f t="shared" si="1"/>
        <v>15716.577833000001</v>
      </c>
      <c r="I51" s="60">
        <f t="shared" si="2"/>
        <v>12049.688431</v>
      </c>
      <c r="J51" s="60">
        <f t="shared" si="3"/>
        <v>27766.266264000002</v>
      </c>
      <c r="K51" s="62">
        <f t="shared" si="4"/>
        <v>100.13183483425662</v>
      </c>
      <c r="L51" s="63">
        <f t="shared" si="5"/>
        <v>0.99868338741145768</v>
      </c>
      <c r="M51" s="60">
        <f t="shared" si="6"/>
        <v>88.603461695240355</v>
      </c>
    </row>
    <row r="52" spans="1:13" ht="14.25">
      <c r="A52" s="58" t="s">
        <v>54</v>
      </c>
      <c r="B52" s="59">
        <v>1513367</v>
      </c>
      <c r="C52" s="60">
        <v>126399653</v>
      </c>
      <c r="D52" s="60">
        <f t="shared" si="0"/>
        <v>83.522141688037337</v>
      </c>
      <c r="E52" s="60">
        <v>54022</v>
      </c>
      <c r="F52" s="61">
        <v>29.016349999999999</v>
      </c>
      <c r="G52" s="61">
        <v>22.25151</v>
      </c>
      <c r="H52" s="60">
        <f t="shared" si="1"/>
        <v>15675.212597000002</v>
      </c>
      <c r="I52" s="60">
        <f t="shared" si="2"/>
        <v>12020.710732199999</v>
      </c>
      <c r="J52" s="60">
        <f t="shared" si="3"/>
        <v>27695.923329199999</v>
      </c>
      <c r="K52" s="62">
        <f t="shared" si="4"/>
        <v>99.878161291613878</v>
      </c>
      <c r="L52" s="63">
        <f t="shared" si="5"/>
        <v>1.0012198733618092</v>
      </c>
      <c r="M52" s="60">
        <f t="shared" si="6"/>
        <v>83.624028123803825</v>
      </c>
    </row>
    <row r="53" spans="1:13" ht="14.25">
      <c r="A53" s="58" t="s">
        <v>44</v>
      </c>
      <c r="B53" s="59">
        <v>316381</v>
      </c>
      <c r="C53" s="60">
        <v>23790990</v>
      </c>
      <c r="D53" s="60">
        <f t="shared" si="0"/>
        <v>75.197277965490969</v>
      </c>
      <c r="E53" s="60">
        <v>47108</v>
      </c>
      <c r="F53" s="61">
        <v>28.141210000000001</v>
      </c>
      <c r="G53" s="61">
        <v>25.234529999999999</v>
      </c>
      <c r="H53" s="60">
        <f t="shared" si="1"/>
        <v>13256.7612068</v>
      </c>
      <c r="I53" s="60">
        <f t="shared" si="2"/>
        <v>11887.482392399999</v>
      </c>
      <c r="J53" s="60">
        <f t="shared" si="3"/>
        <v>25144.243599199999</v>
      </c>
      <c r="K53" s="62">
        <f t="shared" si="4"/>
        <v>90.676190423620312</v>
      </c>
      <c r="L53" s="63">
        <f t="shared" si="5"/>
        <v>1.1028253341127454</v>
      </c>
      <c r="M53" s="60">
        <f t="shared" si="6"/>
        <v>82.929463196661573</v>
      </c>
    </row>
    <row r="54" spans="1:13" ht="14.25">
      <c r="A54" s="58" t="s">
        <v>76</v>
      </c>
      <c r="B54" s="59">
        <v>556495</v>
      </c>
      <c r="C54" s="60">
        <v>40677891</v>
      </c>
      <c r="D54" s="60">
        <f t="shared" si="0"/>
        <v>73.096597453705783</v>
      </c>
      <c r="E54" s="60">
        <v>48990</v>
      </c>
      <c r="F54" s="61">
        <v>27.96585</v>
      </c>
      <c r="G54" s="61">
        <v>23.295870000000001</v>
      </c>
      <c r="H54" s="60">
        <f t="shared" si="1"/>
        <v>13700.469915</v>
      </c>
      <c r="I54" s="60">
        <f t="shared" si="2"/>
        <v>11412.646713</v>
      </c>
      <c r="J54" s="60">
        <f t="shared" si="3"/>
        <v>25113.116628</v>
      </c>
      <c r="K54" s="62">
        <f t="shared" si="4"/>
        <v>90.563939078428461</v>
      </c>
      <c r="L54" s="63">
        <f t="shared" si="5"/>
        <v>1.1041922537556577</v>
      </c>
      <c r="M54" s="60">
        <f t="shared" si="6"/>
        <v>80.712696684277446</v>
      </c>
    </row>
    <row r="55" spans="1:13" ht="14.25">
      <c r="A55" s="58" t="s">
        <v>36</v>
      </c>
      <c r="B55" s="59">
        <v>274409</v>
      </c>
      <c r="C55" s="60">
        <v>24827990</v>
      </c>
      <c r="D55" s="60">
        <f t="shared" si="0"/>
        <v>90.478045545153407</v>
      </c>
      <c r="E55" s="60">
        <v>58190</v>
      </c>
      <c r="F55" s="61">
        <v>32.847740000000002</v>
      </c>
      <c r="G55" s="61">
        <v>20.588139999999999</v>
      </c>
      <c r="H55" s="60">
        <f t="shared" si="1"/>
        <v>19114.099906000003</v>
      </c>
      <c r="I55" s="60">
        <f t="shared" si="2"/>
        <v>11980.238665999999</v>
      </c>
      <c r="J55" s="60">
        <f t="shared" si="3"/>
        <v>31094.338572000001</v>
      </c>
      <c r="K55" s="62">
        <f t="shared" si="4"/>
        <v>112.13366408607739</v>
      </c>
      <c r="L55" s="63">
        <f t="shared" si="5"/>
        <v>0.89179285110345452</v>
      </c>
      <c r="M55" s="60">
        <f t="shared" si="6"/>
        <v>80.687674198980559</v>
      </c>
    </row>
    <row r="56" spans="1:13" ht="14.25">
      <c r="A56" s="58" t="s">
        <v>75</v>
      </c>
      <c r="B56" s="59">
        <v>245475</v>
      </c>
      <c r="C56" s="60">
        <v>18312744</v>
      </c>
      <c r="D56" s="60">
        <f t="shared" si="0"/>
        <v>74.601258783990218</v>
      </c>
      <c r="E56" s="60">
        <v>52143</v>
      </c>
      <c r="F56" s="61">
        <v>27.727440000000001</v>
      </c>
      <c r="G56" s="61">
        <v>22.711829999999999</v>
      </c>
      <c r="H56" s="60">
        <f t="shared" si="1"/>
        <v>14457.919039200002</v>
      </c>
      <c r="I56" s="60">
        <f t="shared" si="2"/>
        <v>11842.6295169</v>
      </c>
      <c r="J56" s="60">
        <f t="shared" si="3"/>
        <v>26300.548556100002</v>
      </c>
      <c r="K56" s="62">
        <f t="shared" si="4"/>
        <v>94.846104226991855</v>
      </c>
      <c r="L56" s="63">
        <f t="shared" si="5"/>
        <v>1.0543395621255409</v>
      </c>
      <c r="M56" s="60">
        <f t="shared" si="6"/>
        <v>78.655058520326421</v>
      </c>
    </row>
    <row r="57" spans="1:13" ht="14.25">
      <c r="A57" s="58" t="s">
        <v>73</v>
      </c>
      <c r="B57" s="59">
        <v>256496</v>
      </c>
      <c r="C57" s="60">
        <v>18000434</v>
      </c>
      <c r="D57" s="60">
        <f t="shared" si="0"/>
        <v>70.178225001559483</v>
      </c>
      <c r="E57" s="60">
        <v>50082</v>
      </c>
      <c r="F57" s="61">
        <v>26.07752</v>
      </c>
      <c r="G57" s="61">
        <v>24.422029999999999</v>
      </c>
      <c r="H57" s="60">
        <f t="shared" si="1"/>
        <v>13060.1435664</v>
      </c>
      <c r="I57" s="60">
        <f t="shared" si="2"/>
        <v>12231.0410646</v>
      </c>
      <c r="J57" s="60">
        <f t="shared" si="3"/>
        <v>25291.184631</v>
      </c>
      <c r="K57" s="62">
        <f t="shared" si="4"/>
        <v>91.206095128368077</v>
      </c>
      <c r="L57" s="63">
        <f t="shared" si="5"/>
        <v>1.0964179516649071</v>
      </c>
      <c r="M57" s="60">
        <f t="shared" si="6"/>
        <v>76.944665707688813</v>
      </c>
    </row>
    <row r="58" spans="1:13" ht="14.25">
      <c r="A58" s="58" t="s">
        <v>35</v>
      </c>
      <c r="B58" s="59">
        <v>246139</v>
      </c>
      <c r="C58" s="60">
        <v>18578982</v>
      </c>
      <c r="D58" s="60">
        <f t="shared" si="0"/>
        <v>75.481666863032672</v>
      </c>
      <c r="E58" s="60">
        <v>59293</v>
      </c>
      <c r="F58" s="61">
        <v>27.024439999999998</v>
      </c>
      <c r="G58" s="61">
        <v>18.89358</v>
      </c>
      <c r="H58" s="60">
        <f t="shared" si="1"/>
        <v>16023.6012092</v>
      </c>
      <c r="I58" s="60">
        <f t="shared" si="2"/>
        <v>11202.5703894</v>
      </c>
      <c r="J58" s="60">
        <f t="shared" si="3"/>
        <v>27226.171598599998</v>
      </c>
      <c r="K58" s="62">
        <f t="shared" si="4"/>
        <v>98.184123560565723</v>
      </c>
      <c r="L58" s="63">
        <f t="shared" si="5"/>
        <v>1.0184946035426403</v>
      </c>
      <c r="M58" s="60">
        <f t="shared" si="6"/>
        <v>76.877670366402128</v>
      </c>
    </row>
    <row r="59" spans="1:13" ht="14.25">
      <c r="A59" s="64" t="s">
        <v>84</v>
      </c>
      <c r="B59" s="65">
        <v>3884307</v>
      </c>
      <c r="C59" s="60">
        <v>317485144</v>
      </c>
      <c r="D59" s="60">
        <f t="shared" si="0"/>
        <v>81.73533760333568</v>
      </c>
      <c r="E59" s="60">
        <v>60583</v>
      </c>
      <c r="F59" s="61">
        <v>30.894929999999999</v>
      </c>
      <c r="G59" s="61">
        <v>17.852630000000001</v>
      </c>
      <c r="H59" s="60">
        <f t="shared" si="1"/>
        <v>18717.0754419</v>
      </c>
      <c r="I59" s="60">
        <f t="shared" si="2"/>
        <v>10815.658832900002</v>
      </c>
      <c r="J59" s="60">
        <f t="shared" si="3"/>
        <v>29532.734274800001</v>
      </c>
      <c r="K59" s="62">
        <f t="shared" si="4"/>
        <v>106.5021433739667</v>
      </c>
      <c r="L59" s="63">
        <f t="shared" si="5"/>
        <v>0.93894823927500326</v>
      </c>
      <c r="M59" s="60">
        <f t="shared" si="6"/>
        <v>76.745251329200002</v>
      </c>
    </row>
    <row r="60" spans="1:13" ht="14.25">
      <c r="A60" s="64" t="s">
        <v>92</v>
      </c>
      <c r="B60" s="65">
        <v>610613</v>
      </c>
      <c r="C60" s="60">
        <v>42064298</v>
      </c>
      <c r="D60" s="60">
        <f t="shared" si="0"/>
        <v>68.888638139050428</v>
      </c>
      <c r="E60" s="60">
        <v>49533.334219999997</v>
      </c>
      <c r="F60" s="61">
        <v>27.345849999999999</v>
      </c>
      <c r="G60" s="61">
        <v>24.51127</v>
      </c>
      <c r="H60" s="60">
        <f t="shared" si="1"/>
        <v>13545.31127579987</v>
      </c>
      <c r="I60" s="60">
        <f t="shared" si="2"/>
        <v>12141.249290666592</v>
      </c>
      <c r="J60" s="60">
        <f t="shared" si="3"/>
        <v>25686.560566466462</v>
      </c>
      <c r="K60" s="62">
        <f t="shared" si="4"/>
        <v>92.631915852377233</v>
      </c>
      <c r="L60" s="63">
        <f t="shared" si="5"/>
        <v>1.0795415282068106</v>
      </c>
      <c r="M60" s="60">
        <f t="shared" si="6"/>
        <v>74.368145692716467</v>
      </c>
    </row>
    <row r="61" spans="1:13" ht="14.25">
      <c r="A61" s="58" t="s">
        <v>56</v>
      </c>
      <c r="B61" s="59">
        <v>279639</v>
      </c>
      <c r="C61" s="60">
        <v>18209234</v>
      </c>
      <c r="D61" s="60">
        <f t="shared" si="0"/>
        <v>65.116932902778231</v>
      </c>
      <c r="E61" s="60">
        <v>43913</v>
      </c>
      <c r="F61" s="61">
        <v>28.975660000000001</v>
      </c>
      <c r="G61" s="61">
        <v>26.559850000000001</v>
      </c>
      <c r="H61" s="60">
        <f t="shared" si="1"/>
        <v>12724.081575800001</v>
      </c>
      <c r="I61" s="60">
        <f t="shared" si="2"/>
        <v>11663.226930500001</v>
      </c>
      <c r="J61" s="60">
        <f t="shared" si="3"/>
        <v>24387.308506300004</v>
      </c>
      <c r="K61" s="62">
        <f t="shared" si="4"/>
        <v>87.946500411219048</v>
      </c>
      <c r="L61" s="63">
        <f t="shared" si="5"/>
        <v>1.1370549087504489</v>
      </c>
      <c r="M61" s="60">
        <f t="shared" si="6"/>
        <v>74.041528199877604</v>
      </c>
    </row>
    <row r="62" spans="1:13" ht="14.25">
      <c r="A62" s="58" t="s">
        <v>87</v>
      </c>
      <c r="B62" s="59">
        <v>434353</v>
      </c>
      <c r="C62" s="60">
        <v>30878614</v>
      </c>
      <c r="D62" s="60">
        <f t="shared" si="0"/>
        <v>71.09105727369213</v>
      </c>
      <c r="E62" s="60">
        <v>56727</v>
      </c>
      <c r="F62" s="61">
        <v>27.107399999999998</v>
      </c>
      <c r="G62" s="61">
        <v>20.620809999999999</v>
      </c>
      <c r="H62" s="60">
        <f t="shared" si="1"/>
        <v>15377.214797999999</v>
      </c>
      <c r="I62" s="60">
        <f t="shared" si="2"/>
        <v>11697.566888699999</v>
      </c>
      <c r="J62" s="60">
        <f t="shared" si="3"/>
        <v>27074.7816867</v>
      </c>
      <c r="K62" s="62">
        <f t="shared" si="4"/>
        <v>97.638175124077605</v>
      </c>
      <c r="L62" s="63">
        <f t="shared" si="5"/>
        <v>1.0241895638967136</v>
      </c>
      <c r="M62" s="60">
        <f t="shared" si="6"/>
        <v>72.810718946099044</v>
      </c>
    </row>
    <row r="63" spans="1:13" ht="14.25">
      <c r="A63" s="58" t="s">
        <v>58</v>
      </c>
      <c r="B63" s="59">
        <v>316619</v>
      </c>
      <c r="C63" s="60">
        <v>23725919</v>
      </c>
      <c r="D63" s="60">
        <f t="shared" si="0"/>
        <v>74.935234461608431</v>
      </c>
      <c r="E63" s="60">
        <v>55928</v>
      </c>
      <c r="F63" s="61">
        <v>30.43552</v>
      </c>
      <c r="G63" s="61">
        <v>22.56156</v>
      </c>
      <c r="H63" s="60">
        <f t="shared" si="1"/>
        <v>17021.9776256</v>
      </c>
      <c r="I63" s="60">
        <f t="shared" si="2"/>
        <v>12618.229276800001</v>
      </c>
      <c r="J63" s="60">
        <f t="shared" si="3"/>
        <v>29640.206902400001</v>
      </c>
      <c r="K63" s="62">
        <f t="shared" si="4"/>
        <v>106.88971551973985</v>
      </c>
      <c r="L63" s="63">
        <f t="shared" si="5"/>
        <v>0.93554370047446245</v>
      </c>
      <c r="M63" s="60">
        <f t="shared" si="6"/>
        <v>70.105186544134611</v>
      </c>
    </row>
    <row r="64" spans="1:13" ht="14.25">
      <c r="A64" s="58" t="s">
        <v>81</v>
      </c>
      <c r="B64" s="59">
        <v>1553165</v>
      </c>
      <c r="C64" s="60">
        <v>103277592</v>
      </c>
      <c r="D64" s="60">
        <f t="shared" si="0"/>
        <v>66.494926166891474</v>
      </c>
      <c r="E64" s="60">
        <v>61927</v>
      </c>
      <c r="F64" s="61">
        <v>27.417110000000001</v>
      </c>
      <c r="G64" s="61">
        <v>16.325589999999998</v>
      </c>
      <c r="H64" s="60">
        <f t="shared" si="1"/>
        <v>16978.593709699999</v>
      </c>
      <c r="I64" s="60">
        <f t="shared" si="2"/>
        <v>10109.948119299999</v>
      </c>
      <c r="J64" s="60">
        <f t="shared" si="3"/>
        <v>27088.541828999998</v>
      </c>
      <c r="K64" s="62">
        <f t="shared" si="4"/>
        <v>97.687797506971265</v>
      </c>
      <c r="L64" s="63">
        <f t="shared" si="5"/>
        <v>1.0236693072424294</v>
      </c>
      <c r="M64" s="60">
        <f t="shared" si="6"/>
        <v>68.068815004398289</v>
      </c>
    </row>
    <row r="65" spans="1:13" ht="14.25">
      <c r="A65" s="58" t="s">
        <v>94</v>
      </c>
      <c r="B65" s="59">
        <v>457587</v>
      </c>
      <c r="C65" s="60">
        <v>31172670</v>
      </c>
      <c r="D65" s="60">
        <f t="shared" si="0"/>
        <v>68.124028873197886</v>
      </c>
      <c r="E65" s="60">
        <v>54022</v>
      </c>
      <c r="F65" s="61">
        <v>28.710909999999998</v>
      </c>
      <c r="G65" s="61">
        <v>22.778670000000002</v>
      </c>
      <c r="H65" s="60">
        <f t="shared" si="1"/>
        <v>15510.2078002</v>
      </c>
      <c r="I65" s="60">
        <f t="shared" si="2"/>
        <v>12305.4931074</v>
      </c>
      <c r="J65" s="60">
        <f t="shared" si="3"/>
        <v>27815.700907599999</v>
      </c>
      <c r="K65" s="62">
        <f t="shared" si="4"/>
        <v>100.31010804971099</v>
      </c>
      <c r="L65" s="63">
        <f t="shared" si="5"/>
        <v>0.99690850647317308</v>
      </c>
      <c r="M65" s="60">
        <f t="shared" si="6"/>
        <v>67.913423878915026</v>
      </c>
    </row>
    <row r="66" spans="1:13" ht="14.25">
      <c r="A66" s="58" t="s">
        <v>88</v>
      </c>
      <c r="B66" s="59">
        <v>439886</v>
      </c>
      <c r="C66" s="60">
        <v>28999840</v>
      </c>
      <c r="D66" s="60">
        <f t="shared" si="0"/>
        <v>65.925808050267563</v>
      </c>
      <c r="E66" s="60">
        <v>57549</v>
      </c>
      <c r="F66" s="61">
        <v>27.816310000000001</v>
      </c>
      <c r="G66" s="61">
        <v>20.98265</v>
      </c>
      <c r="H66" s="60">
        <f t="shared" si="1"/>
        <v>16008.008241899999</v>
      </c>
      <c r="I66" s="60">
        <f t="shared" si="2"/>
        <v>12075.305248500001</v>
      </c>
      <c r="J66" s="60">
        <f t="shared" si="3"/>
        <v>28083.3134904</v>
      </c>
      <c r="K66" s="62">
        <f t="shared" si="4"/>
        <v>101.27518339278083</v>
      </c>
      <c r="L66" s="63">
        <f t="shared" si="5"/>
        <v>0.98740872788316536</v>
      </c>
      <c r="M66" s="60">
        <f t="shared" si="6"/>
        <v>65.095718261584437</v>
      </c>
    </row>
    <row r="67" spans="1:13" ht="14.25">
      <c r="A67" s="58" t="s">
        <v>100</v>
      </c>
      <c r="B67" s="59">
        <v>398121</v>
      </c>
      <c r="C67" s="60">
        <v>23323150</v>
      </c>
      <c r="D67" s="60">
        <f t="shared" si="0"/>
        <v>58.583068966469995</v>
      </c>
      <c r="E67" s="60">
        <v>48338</v>
      </c>
      <c r="F67" s="61">
        <v>27.989159999999998</v>
      </c>
      <c r="G67" s="61">
        <v>24.05423</v>
      </c>
      <c r="H67" s="60">
        <f t="shared" si="1"/>
        <v>13529.400160799998</v>
      </c>
      <c r="I67" s="60">
        <f t="shared" si="2"/>
        <v>11627.333697400001</v>
      </c>
      <c r="J67" s="60">
        <f t="shared" si="3"/>
        <v>25156.733858200001</v>
      </c>
      <c r="K67" s="62">
        <f t="shared" si="4"/>
        <v>90.721233301886116</v>
      </c>
      <c r="L67" s="63">
        <f t="shared" si="5"/>
        <v>1.1022777839366187</v>
      </c>
      <c r="M67" s="60">
        <f t="shared" si="6"/>
        <v>64.574815436566652</v>
      </c>
    </row>
    <row r="68" spans="1:13" ht="14.25">
      <c r="A68" s="58" t="s">
        <v>38</v>
      </c>
      <c r="B68" s="59">
        <v>305841</v>
      </c>
      <c r="C68" s="60">
        <v>16636280</v>
      </c>
      <c r="D68" s="60">
        <f t="shared" si="0"/>
        <v>54.395192273109231</v>
      </c>
      <c r="E68" s="60">
        <v>50182</v>
      </c>
      <c r="F68" s="61">
        <v>27.92886</v>
      </c>
      <c r="G68" s="61">
        <v>20.604220000000002</v>
      </c>
      <c r="H68" s="60">
        <f t="shared" si="1"/>
        <v>14015.260525199999</v>
      </c>
      <c r="I68" s="60">
        <f t="shared" si="2"/>
        <v>10339.609680400001</v>
      </c>
      <c r="J68" s="60">
        <f t="shared" si="3"/>
        <v>24354.8702056</v>
      </c>
      <c r="K68" s="62">
        <f t="shared" si="4"/>
        <v>87.829520096432972</v>
      </c>
      <c r="L68" s="63">
        <f t="shared" si="5"/>
        <v>1.1385693544744908</v>
      </c>
      <c r="M68" s="60">
        <f t="shared" si="6"/>
        <v>61.932698952909789</v>
      </c>
    </row>
    <row r="69" spans="1:13" ht="14.25">
      <c r="A69" s="58" t="s">
        <v>101</v>
      </c>
      <c r="B69" s="59">
        <v>258959</v>
      </c>
      <c r="C69" s="60">
        <v>13767694</v>
      </c>
      <c r="D69" s="60">
        <f t="shared" si="0"/>
        <v>53.165535857027564</v>
      </c>
      <c r="E69" s="60">
        <v>49572</v>
      </c>
      <c r="F69" s="61">
        <v>26.660920000000001</v>
      </c>
      <c r="G69" s="61">
        <v>21.565909999999999</v>
      </c>
      <c r="H69" s="60">
        <f t="shared" si="1"/>
        <v>13216.3512624</v>
      </c>
      <c r="I69" s="60">
        <f t="shared" si="2"/>
        <v>10690.652905200001</v>
      </c>
      <c r="J69" s="60">
        <f t="shared" si="3"/>
        <v>23907.0041676</v>
      </c>
      <c r="K69" s="62">
        <f t="shared" si="4"/>
        <v>86.214407437118282</v>
      </c>
      <c r="L69" s="63">
        <f t="shared" si="5"/>
        <v>1.1598989423309143</v>
      </c>
      <c r="M69" s="60">
        <f t="shared" si="6"/>
        <v>61.666648809022561</v>
      </c>
    </row>
    <row r="70" spans="1:13" ht="14.25">
      <c r="A70" s="64" t="s">
        <v>147</v>
      </c>
      <c r="B70" s="65">
        <v>345012</v>
      </c>
      <c r="C70" s="60">
        <v>22509474</v>
      </c>
      <c r="D70" s="60">
        <f t="shared" si="0"/>
        <v>65.242582866682895</v>
      </c>
      <c r="E70" s="60">
        <v>60583</v>
      </c>
      <c r="F70" s="61">
        <v>30.690809999999999</v>
      </c>
      <c r="G70" s="61">
        <v>19.40692</v>
      </c>
      <c r="H70" s="60">
        <f t="shared" si="1"/>
        <v>18593.4134223</v>
      </c>
      <c r="I70" s="60">
        <f t="shared" si="2"/>
        <v>11757.294343600001</v>
      </c>
      <c r="J70" s="60">
        <f t="shared" si="3"/>
        <v>30350.707765899999</v>
      </c>
      <c r="K70" s="62">
        <f t="shared" si="4"/>
        <v>109.45195253198874</v>
      </c>
      <c r="L70" s="63">
        <f t="shared" si="5"/>
        <v>0.91364290619460364</v>
      </c>
      <c r="M70" s="60">
        <f t="shared" si="6"/>
        <v>59.608423017958422</v>
      </c>
    </row>
    <row r="71" spans="1:13" ht="14.25">
      <c r="A71" s="58" t="s">
        <v>148</v>
      </c>
      <c r="B71" s="59">
        <v>653450</v>
      </c>
      <c r="C71" s="60">
        <v>34217940</v>
      </c>
      <c r="D71" s="60">
        <f t="shared" ref="D71:D99" si="7">C71/B71</f>
        <v>52.365047057923327</v>
      </c>
      <c r="E71" s="60">
        <v>47477</v>
      </c>
      <c r="F71" s="61">
        <v>28.341809999999999</v>
      </c>
      <c r="G71" s="61">
        <v>24.73245</v>
      </c>
      <c r="H71" s="60">
        <f t="shared" ref="H71:H106" si="8">E71*(F71/100)</f>
        <v>13455.8411337</v>
      </c>
      <c r="I71" s="60">
        <f t="shared" ref="I71:I106" si="9">E71*(G71/100)</f>
        <v>11742.225286500001</v>
      </c>
      <c r="J71" s="60">
        <f t="shared" ref="J71:J106" si="10">SUM(H71,I71)</f>
        <v>25198.066420200001</v>
      </c>
      <c r="K71" s="62">
        <f t="shared" ref="K71:K106" si="11">J71/27729.7088483*100</f>
        <v>90.87028846227787</v>
      </c>
      <c r="L71" s="63">
        <f t="shared" ref="L71:L106" si="12">1/(K71/100)</f>
        <v>1.100469710091347</v>
      </c>
      <c r="M71" s="60">
        <f t="shared" ref="M71:M99" si="13">(C71*L71)/B71</f>
        <v>57.626148154752634</v>
      </c>
    </row>
    <row r="72" spans="1:13" ht="14.25">
      <c r="A72" s="58" t="s">
        <v>102</v>
      </c>
      <c r="B72" s="59">
        <v>300950</v>
      </c>
      <c r="C72" s="60">
        <v>20916098</v>
      </c>
      <c r="D72" s="60">
        <f t="shared" si="7"/>
        <v>69.500242565210172</v>
      </c>
      <c r="E72" s="60">
        <v>75196</v>
      </c>
      <c r="F72" s="61">
        <v>27.06118</v>
      </c>
      <c r="G72" s="61">
        <v>17.856110000000001</v>
      </c>
      <c r="H72" s="60">
        <f t="shared" si="8"/>
        <v>20348.924912800001</v>
      </c>
      <c r="I72" s="60">
        <f t="shared" si="9"/>
        <v>13427.0804756</v>
      </c>
      <c r="J72" s="60">
        <f t="shared" si="10"/>
        <v>33776.005388400001</v>
      </c>
      <c r="K72" s="62">
        <f t="shared" si="11"/>
        <v>121.80439965373337</v>
      </c>
      <c r="L72" s="63">
        <f t="shared" si="12"/>
        <v>0.82098840669368989</v>
      </c>
      <c r="M72" s="60">
        <f t="shared" si="13"/>
        <v>57.058893408436866</v>
      </c>
    </row>
    <row r="73" spans="1:13" ht="14.25">
      <c r="A73" s="58" t="s">
        <v>67</v>
      </c>
      <c r="B73" s="59">
        <v>622104</v>
      </c>
      <c r="C73" s="60">
        <v>35477353</v>
      </c>
      <c r="D73" s="60">
        <f t="shared" si="7"/>
        <v>57.028009786145084</v>
      </c>
      <c r="E73" s="60">
        <v>68616</v>
      </c>
      <c r="F73" s="61">
        <v>26.539010000000001</v>
      </c>
      <c r="G73" s="61">
        <v>15.26482</v>
      </c>
      <c r="H73" s="60">
        <f t="shared" si="8"/>
        <v>18210.0071016</v>
      </c>
      <c r="I73" s="60">
        <f t="shared" si="9"/>
        <v>10474.108891200001</v>
      </c>
      <c r="J73" s="60">
        <f t="shared" si="10"/>
        <v>28684.115992800002</v>
      </c>
      <c r="K73" s="62">
        <f t="shared" si="11"/>
        <v>103.4418217288946</v>
      </c>
      <c r="L73" s="63">
        <f t="shared" si="12"/>
        <v>0.96672698071854246</v>
      </c>
      <c r="M73" s="60">
        <f t="shared" si="13"/>
        <v>55.130515716947521</v>
      </c>
    </row>
    <row r="74" spans="1:13" ht="14.25">
      <c r="A74" s="58" t="s">
        <v>149</v>
      </c>
      <c r="B74" s="59">
        <v>239538</v>
      </c>
      <c r="C74" s="60">
        <v>11140649</v>
      </c>
      <c r="D74" s="60">
        <f t="shared" si="7"/>
        <v>46.508900466731795</v>
      </c>
      <c r="E74" s="60">
        <v>43800</v>
      </c>
      <c r="F74" s="61">
        <v>28.107240000000001</v>
      </c>
      <c r="G74" s="61">
        <v>26.17015</v>
      </c>
      <c r="H74" s="60">
        <f t="shared" si="8"/>
        <v>12310.97112</v>
      </c>
      <c r="I74" s="60">
        <f t="shared" si="9"/>
        <v>11462.525699999998</v>
      </c>
      <c r="J74" s="60">
        <f t="shared" si="10"/>
        <v>23773.49682</v>
      </c>
      <c r="K74" s="62">
        <f t="shared" si="11"/>
        <v>85.732947828831811</v>
      </c>
      <c r="L74" s="63">
        <f t="shared" si="12"/>
        <v>1.1664127098446766</v>
      </c>
      <c r="M74" s="60">
        <f t="shared" si="13"/>
        <v>54.248572625296973</v>
      </c>
    </row>
    <row r="75" spans="1:13" ht="14.25">
      <c r="A75" s="58" t="s">
        <v>79</v>
      </c>
      <c r="B75" s="59">
        <v>386552</v>
      </c>
      <c r="C75" s="60">
        <v>19162625</v>
      </c>
      <c r="D75" s="60">
        <f t="shared" si="7"/>
        <v>49.573213953103334</v>
      </c>
      <c r="E75" s="60">
        <v>50511</v>
      </c>
      <c r="F75" s="61">
        <v>26.65832</v>
      </c>
      <c r="G75" s="61">
        <v>23.837569999999999</v>
      </c>
      <c r="H75" s="60">
        <f t="shared" si="8"/>
        <v>13465.384015200001</v>
      </c>
      <c r="I75" s="60">
        <f t="shared" si="9"/>
        <v>12040.5949827</v>
      </c>
      <c r="J75" s="60">
        <f t="shared" si="10"/>
        <v>25505.978997900002</v>
      </c>
      <c r="K75" s="62">
        <f t="shared" si="11"/>
        <v>91.980695280411041</v>
      </c>
      <c r="L75" s="63">
        <f t="shared" si="12"/>
        <v>1.0871846499435716</v>
      </c>
      <c r="M75" s="60">
        <f t="shared" si="13"/>
        <v>53.895237258182426</v>
      </c>
    </row>
    <row r="76" spans="1:13" ht="14.25">
      <c r="A76" s="58" t="s">
        <v>95</v>
      </c>
      <c r="B76" s="59">
        <v>229426</v>
      </c>
      <c r="C76" s="60">
        <v>11205546.22218868</v>
      </c>
      <c r="D76" s="60">
        <f t="shared" si="7"/>
        <v>48.841657973327692</v>
      </c>
      <c r="E76" s="60">
        <v>51383</v>
      </c>
      <c r="F76" s="61">
        <v>26.653790000000001</v>
      </c>
      <c r="G76" s="61">
        <v>22.277080000000002</v>
      </c>
      <c r="H76" s="60">
        <f t="shared" si="8"/>
        <v>13695.5169157</v>
      </c>
      <c r="I76" s="60">
        <f t="shared" si="9"/>
        <v>11446.632016400001</v>
      </c>
      <c r="J76" s="60">
        <f t="shared" si="10"/>
        <v>25142.148932100001</v>
      </c>
      <c r="K76" s="62">
        <f t="shared" si="11"/>
        <v>90.668636550222431</v>
      </c>
      <c r="L76" s="63">
        <f t="shared" si="12"/>
        <v>1.1029172137667342</v>
      </c>
      <c r="M76" s="60">
        <f t="shared" si="13"/>
        <v>53.868305327690379</v>
      </c>
    </row>
    <row r="77" spans="1:13" ht="14.25">
      <c r="A77" s="58" t="s">
        <v>99</v>
      </c>
      <c r="B77" s="59">
        <v>229972</v>
      </c>
      <c r="C77" s="60">
        <v>13306969</v>
      </c>
      <c r="D77" s="60">
        <f t="shared" si="7"/>
        <v>57.863431200320036</v>
      </c>
      <c r="E77" s="60">
        <v>54022</v>
      </c>
      <c r="F77" s="61">
        <v>30.867999999999999</v>
      </c>
      <c r="G77" s="61">
        <v>25.2516</v>
      </c>
      <c r="H77" s="60">
        <f t="shared" si="8"/>
        <v>16675.51096</v>
      </c>
      <c r="I77" s="60">
        <f t="shared" si="9"/>
        <v>13641.419352000001</v>
      </c>
      <c r="J77" s="60">
        <f t="shared" si="10"/>
        <v>30316.930312</v>
      </c>
      <c r="K77" s="62">
        <f t="shared" si="11"/>
        <v>109.33014290865377</v>
      </c>
      <c r="L77" s="63">
        <f t="shared" si="12"/>
        <v>0.91466083679732146</v>
      </c>
      <c r="M77" s="60">
        <f t="shared" si="13"/>
        <v>52.925414401648965</v>
      </c>
    </row>
    <row r="78" spans="1:13" ht="14.25">
      <c r="A78" s="58" t="s">
        <v>50</v>
      </c>
      <c r="B78" s="59">
        <v>1257676</v>
      </c>
      <c r="C78" s="60">
        <v>63043348</v>
      </c>
      <c r="D78" s="60">
        <f t="shared" si="7"/>
        <v>50.126859381907579</v>
      </c>
      <c r="E78" s="60">
        <v>58190</v>
      </c>
      <c r="F78" s="61">
        <v>27.369230000000002</v>
      </c>
      <c r="G78" s="61">
        <v>18.423639999999999</v>
      </c>
      <c r="H78" s="60">
        <f t="shared" si="8"/>
        <v>15926.154936999999</v>
      </c>
      <c r="I78" s="60">
        <f t="shared" si="9"/>
        <v>10720.716116</v>
      </c>
      <c r="J78" s="60">
        <f t="shared" si="10"/>
        <v>26646.871052999999</v>
      </c>
      <c r="K78" s="62">
        <f t="shared" si="11"/>
        <v>96.095026452589721</v>
      </c>
      <c r="L78" s="63">
        <f t="shared" si="12"/>
        <v>1.0406365833026423</v>
      </c>
      <c r="M78" s="60">
        <f t="shared" si="13"/>
        <v>52.163843678880305</v>
      </c>
    </row>
    <row r="79" spans="1:13" ht="14.25">
      <c r="A79" s="58" t="s">
        <v>90</v>
      </c>
      <c r="B79" s="59">
        <v>282313</v>
      </c>
      <c r="C79" s="60">
        <v>12399152</v>
      </c>
      <c r="D79" s="60">
        <f t="shared" si="7"/>
        <v>43.919876165815957</v>
      </c>
      <c r="E79" s="60">
        <v>45078</v>
      </c>
      <c r="F79" s="61">
        <v>27.060839999999999</v>
      </c>
      <c r="G79" s="61">
        <v>25.585979999999999</v>
      </c>
      <c r="H79" s="60">
        <f t="shared" si="8"/>
        <v>12198.485455199998</v>
      </c>
      <c r="I79" s="60">
        <f t="shared" si="9"/>
        <v>11533.648064399998</v>
      </c>
      <c r="J79" s="60">
        <f t="shared" si="10"/>
        <v>23732.133519599996</v>
      </c>
      <c r="K79" s="62">
        <f t="shared" si="11"/>
        <v>85.583781818376067</v>
      </c>
      <c r="L79" s="63">
        <f t="shared" si="12"/>
        <v>1.1684456783204287</v>
      </c>
      <c r="M79" s="60">
        <f t="shared" si="13"/>
        <v>51.317989498316052</v>
      </c>
    </row>
    <row r="80" spans="1:13" ht="14.25">
      <c r="A80" s="58" t="s">
        <v>103</v>
      </c>
      <c r="B80" s="59">
        <v>334227</v>
      </c>
      <c r="C80" s="60">
        <v>17109364</v>
      </c>
      <c r="D80" s="60">
        <f t="shared" si="7"/>
        <v>51.190849332938392</v>
      </c>
      <c r="E80" s="60">
        <v>60583</v>
      </c>
      <c r="F80" s="61">
        <v>29.34243</v>
      </c>
      <c r="G80" s="61">
        <v>18.468859999999999</v>
      </c>
      <c r="H80" s="60">
        <f t="shared" si="8"/>
        <v>17776.524366900001</v>
      </c>
      <c r="I80" s="60">
        <f t="shared" si="9"/>
        <v>11188.989453799999</v>
      </c>
      <c r="J80" s="60">
        <f t="shared" si="10"/>
        <v>28965.513820699998</v>
      </c>
      <c r="K80" s="62">
        <f t="shared" si="11"/>
        <v>104.45660998159295</v>
      </c>
      <c r="L80" s="63">
        <f t="shared" si="12"/>
        <v>0.95733529948580298</v>
      </c>
      <c r="M80" s="60">
        <f t="shared" si="13"/>
        <v>49.006807077081191</v>
      </c>
    </row>
    <row r="81" spans="1:13" ht="14.25">
      <c r="A81" s="64" t="s">
        <v>117</v>
      </c>
      <c r="B81" s="65">
        <v>347884</v>
      </c>
      <c r="C81" s="60">
        <v>18710610</v>
      </c>
      <c r="D81" s="60">
        <f t="shared" si="7"/>
        <v>53.78404870589047</v>
      </c>
      <c r="E81" s="60">
        <v>72292</v>
      </c>
      <c r="F81" s="61">
        <v>28.40795</v>
      </c>
      <c r="G81" s="61">
        <v>14.63531</v>
      </c>
      <c r="H81" s="60">
        <f t="shared" si="8"/>
        <v>20536.675213999999</v>
      </c>
      <c r="I81" s="60">
        <f t="shared" si="9"/>
        <v>10580.158305200001</v>
      </c>
      <c r="J81" s="60">
        <f t="shared" si="10"/>
        <v>31116.833519200001</v>
      </c>
      <c r="K81" s="62">
        <f t="shared" si="11"/>
        <v>112.2147862764439</v>
      </c>
      <c r="L81" s="63">
        <f t="shared" si="12"/>
        <v>0.89114815719247131</v>
      </c>
      <c r="M81" s="60">
        <f t="shared" si="13"/>
        <v>47.929555890604412</v>
      </c>
    </row>
    <row r="82" spans="1:13" ht="14.25">
      <c r="A82" s="58" t="s">
        <v>150</v>
      </c>
      <c r="B82" s="59">
        <v>230571</v>
      </c>
      <c r="C82" s="60">
        <v>12091963</v>
      </c>
      <c r="D82" s="60">
        <f t="shared" si="7"/>
        <v>52.44355534737673</v>
      </c>
      <c r="E82" s="60">
        <v>59293</v>
      </c>
      <c r="F82" s="61">
        <v>30.125250000000001</v>
      </c>
      <c r="G82" s="61">
        <v>21.929880000000001</v>
      </c>
      <c r="H82" s="60">
        <f t="shared" si="8"/>
        <v>17862.1644825</v>
      </c>
      <c r="I82" s="60">
        <f t="shared" si="9"/>
        <v>13002.883748400001</v>
      </c>
      <c r="J82" s="60">
        <f t="shared" si="10"/>
        <v>30865.0482309</v>
      </c>
      <c r="K82" s="62">
        <f t="shared" si="11"/>
        <v>111.30678796431796</v>
      </c>
      <c r="L82" s="63">
        <f t="shared" si="12"/>
        <v>0.89841780388144321</v>
      </c>
      <c r="M82" s="60">
        <f t="shared" si="13"/>
        <v>47.116223822925122</v>
      </c>
    </row>
    <row r="83" spans="1:13" ht="14.25">
      <c r="A83" s="58" t="s">
        <v>82</v>
      </c>
      <c r="B83" s="59">
        <v>236441</v>
      </c>
      <c r="C83" s="60">
        <v>9879287</v>
      </c>
      <c r="D83" s="60">
        <f t="shared" si="7"/>
        <v>41.78330746359557</v>
      </c>
      <c r="E83" s="60">
        <v>45356</v>
      </c>
      <c r="F83" s="61">
        <v>28.050650000000001</v>
      </c>
      <c r="G83" s="61">
        <v>26.56625</v>
      </c>
      <c r="H83" s="60">
        <f t="shared" si="8"/>
        <v>12722.652813999999</v>
      </c>
      <c r="I83" s="60">
        <f t="shared" si="9"/>
        <v>12049.388350000001</v>
      </c>
      <c r="J83" s="60">
        <f t="shared" si="10"/>
        <v>24772.041164000002</v>
      </c>
      <c r="K83" s="62">
        <f t="shared" si="11"/>
        <v>89.333938915549339</v>
      </c>
      <c r="L83" s="63">
        <f t="shared" si="12"/>
        <v>1.1193953967991235</v>
      </c>
      <c r="M83" s="60">
        <f t="shared" si="13"/>
        <v>46.772042037791337</v>
      </c>
    </row>
    <row r="84" spans="1:13" ht="14.25">
      <c r="A84" s="64" t="s">
        <v>70</v>
      </c>
      <c r="B84" s="65">
        <v>674433</v>
      </c>
      <c r="C84" s="60">
        <v>25869198</v>
      </c>
      <c r="D84" s="60">
        <f t="shared" si="7"/>
        <v>38.35695762218041</v>
      </c>
      <c r="E84" s="60">
        <v>39699</v>
      </c>
      <c r="F84" s="61">
        <v>29.442240000000002</v>
      </c>
      <c r="G84" s="61">
        <v>27.989339999999999</v>
      </c>
      <c r="H84" s="60">
        <f t="shared" si="8"/>
        <v>11688.274857600001</v>
      </c>
      <c r="I84" s="60">
        <f t="shared" si="9"/>
        <v>11111.488086599998</v>
      </c>
      <c r="J84" s="60">
        <f t="shared" si="10"/>
        <v>22799.7629442</v>
      </c>
      <c r="K84" s="62">
        <f t="shared" si="11"/>
        <v>82.221429258164619</v>
      </c>
      <c r="L84" s="63">
        <f t="shared" si="12"/>
        <v>1.2162279457100287</v>
      </c>
      <c r="M84" s="60">
        <f t="shared" si="13"/>
        <v>46.650803772511104</v>
      </c>
    </row>
    <row r="85" spans="1:13" ht="14.25">
      <c r="A85" s="58" t="s">
        <v>104</v>
      </c>
      <c r="B85" s="59">
        <v>233294</v>
      </c>
      <c r="C85" s="60">
        <v>10283961</v>
      </c>
      <c r="D85" s="60">
        <f t="shared" si="7"/>
        <v>44.081549461194889</v>
      </c>
      <c r="E85" s="60">
        <v>54077</v>
      </c>
      <c r="F85" s="61">
        <v>26.805019999999999</v>
      </c>
      <c r="G85" s="61">
        <v>22.064070000000001</v>
      </c>
      <c r="H85" s="60">
        <f t="shared" si="8"/>
        <v>14495.350665400001</v>
      </c>
      <c r="I85" s="60">
        <f t="shared" si="9"/>
        <v>11931.5871339</v>
      </c>
      <c r="J85" s="60">
        <f t="shared" si="10"/>
        <v>26426.937799300002</v>
      </c>
      <c r="K85" s="62">
        <f t="shared" si="11"/>
        <v>95.301894238677278</v>
      </c>
      <c r="L85" s="63">
        <f t="shared" si="12"/>
        <v>1.0492970868926974</v>
      </c>
      <c r="M85" s="60">
        <f t="shared" si="13"/>
        <v>46.254641435348148</v>
      </c>
    </row>
    <row r="86" spans="1:13" ht="14.25">
      <c r="A86" s="58" t="s">
        <v>98</v>
      </c>
      <c r="B86" s="59">
        <v>990977</v>
      </c>
      <c r="C86" s="60">
        <v>39720763</v>
      </c>
      <c r="D86" s="60">
        <f t="shared" si="7"/>
        <v>40.082426736442926</v>
      </c>
      <c r="E86" s="60">
        <v>54152</v>
      </c>
      <c r="F86" s="61">
        <v>29.226569999999999</v>
      </c>
      <c r="G86" s="61">
        <v>22.411860000000001</v>
      </c>
      <c r="H86" s="60">
        <f t="shared" si="8"/>
        <v>15826.772186399998</v>
      </c>
      <c r="I86" s="60">
        <f t="shared" si="9"/>
        <v>12136.4704272</v>
      </c>
      <c r="J86" s="60">
        <f t="shared" si="10"/>
        <v>27963.242613599999</v>
      </c>
      <c r="K86" s="62">
        <f t="shared" si="11"/>
        <v>100.84217893010556</v>
      </c>
      <c r="L86" s="63">
        <f t="shared" si="12"/>
        <v>0.99164854489420262</v>
      </c>
      <c r="M86" s="60">
        <f t="shared" si="13"/>
        <v>39.747680149022109</v>
      </c>
    </row>
    <row r="87" spans="1:13" ht="14.25">
      <c r="A87" s="64" t="s">
        <v>83</v>
      </c>
      <c r="B87" s="65">
        <v>2195914</v>
      </c>
      <c r="C87" s="60">
        <v>82103769</v>
      </c>
      <c r="D87" s="60">
        <f t="shared" si="7"/>
        <v>37.38933719626543</v>
      </c>
      <c r="E87" s="60">
        <v>57426</v>
      </c>
      <c r="F87" s="61">
        <v>27.856639999999999</v>
      </c>
      <c r="G87" s="61">
        <v>18.73912</v>
      </c>
      <c r="H87" s="60">
        <f t="shared" si="8"/>
        <v>15996.954086399999</v>
      </c>
      <c r="I87" s="60">
        <f t="shared" si="9"/>
        <v>10761.127051200001</v>
      </c>
      <c r="J87" s="60">
        <f t="shared" si="10"/>
        <v>26758.081137599998</v>
      </c>
      <c r="K87" s="62">
        <f t="shared" si="11"/>
        <v>96.496076767284308</v>
      </c>
      <c r="L87" s="63">
        <f t="shared" si="12"/>
        <v>1.0363115615691398</v>
      </c>
      <c r="M87" s="60">
        <f t="shared" si="13"/>
        <v>38.747002415896951</v>
      </c>
    </row>
    <row r="88" spans="1:13" ht="14.25">
      <c r="A88" s="58" t="s">
        <v>151</v>
      </c>
      <c r="B88" s="59">
        <v>756832</v>
      </c>
      <c r="C88" s="60">
        <v>26192385</v>
      </c>
      <c r="D88" s="60">
        <f t="shared" si="7"/>
        <v>34.607924876326585</v>
      </c>
      <c r="E88" s="60">
        <v>49435</v>
      </c>
      <c r="F88" s="61">
        <v>27.930109999999999</v>
      </c>
      <c r="G88" s="61">
        <v>24.273399999999999</v>
      </c>
      <c r="H88" s="60">
        <f t="shared" si="8"/>
        <v>13807.249878499999</v>
      </c>
      <c r="I88" s="60">
        <f t="shared" si="9"/>
        <v>11999.555289999998</v>
      </c>
      <c r="J88" s="60">
        <f t="shared" si="10"/>
        <v>25806.805168499995</v>
      </c>
      <c r="K88" s="62">
        <f t="shared" si="11"/>
        <v>93.065546810031179</v>
      </c>
      <c r="L88" s="63">
        <f t="shared" si="12"/>
        <v>1.074511496763928</v>
      </c>
      <c r="M88" s="60">
        <f t="shared" si="13"/>
        <v>37.18661315875525</v>
      </c>
    </row>
    <row r="89" spans="1:13" ht="14.25">
      <c r="A89" s="58" t="s">
        <v>108</v>
      </c>
      <c r="B89" s="59">
        <v>256780</v>
      </c>
      <c r="C89" s="60">
        <v>10961252</v>
      </c>
      <c r="D89" s="60">
        <f t="shared" si="7"/>
        <v>42.687327673494821</v>
      </c>
      <c r="E89" s="60">
        <v>63373</v>
      </c>
      <c r="F89" s="61">
        <v>30.584540000000001</v>
      </c>
      <c r="G89" s="61">
        <v>20.726839999999999</v>
      </c>
      <c r="H89" s="60">
        <f t="shared" si="8"/>
        <v>19382.340534200001</v>
      </c>
      <c r="I89" s="60">
        <f t="shared" si="9"/>
        <v>13135.2203132</v>
      </c>
      <c r="J89" s="60">
        <f t="shared" si="10"/>
        <v>32517.5608474</v>
      </c>
      <c r="K89" s="62">
        <f t="shared" si="11"/>
        <v>117.26614594221938</v>
      </c>
      <c r="L89" s="63">
        <f t="shared" si="12"/>
        <v>0.85276103513517931</v>
      </c>
      <c r="M89" s="60">
        <f t="shared" si="13"/>
        <v>36.402089734004029</v>
      </c>
    </row>
    <row r="90" spans="1:13" ht="14.25">
      <c r="A90" s="58" t="s">
        <v>96</v>
      </c>
      <c r="B90" s="59">
        <v>234632</v>
      </c>
      <c r="C90" s="60">
        <v>8548784</v>
      </c>
      <c r="D90" s="60">
        <f t="shared" si="7"/>
        <v>36.43485969518224</v>
      </c>
      <c r="E90" s="60">
        <v>54022</v>
      </c>
      <c r="F90" s="61">
        <v>28.870950000000001</v>
      </c>
      <c r="G90" s="61">
        <v>22.75628</v>
      </c>
      <c r="H90" s="60">
        <f t="shared" si="8"/>
        <v>15596.664609000001</v>
      </c>
      <c r="I90" s="60">
        <f t="shared" si="9"/>
        <v>12293.3975816</v>
      </c>
      <c r="J90" s="60">
        <f t="shared" si="10"/>
        <v>27890.062190600001</v>
      </c>
      <c r="K90" s="62">
        <f t="shared" si="11"/>
        <v>100.57827272250582</v>
      </c>
      <c r="L90" s="63">
        <f t="shared" si="12"/>
        <v>0.99425052044688356</v>
      </c>
      <c r="M90" s="60">
        <f t="shared" si="13"/>
        <v>36.225378214344126</v>
      </c>
    </row>
    <row r="91" spans="1:13" ht="14.25">
      <c r="A91" s="64" t="s">
        <v>97</v>
      </c>
      <c r="B91" s="65">
        <v>842583</v>
      </c>
      <c r="C91" s="60">
        <v>23123973</v>
      </c>
      <c r="D91" s="60">
        <f t="shared" si="7"/>
        <v>27.44414852898765</v>
      </c>
      <c r="E91" s="60">
        <v>52881</v>
      </c>
      <c r="F91" s="61">
        <v>29.039429999999999</v>
      </c>
      <c r="G91" s="61">
        <v>23.58464</v>
      </c>
      <c r="H91" s="60">
        <f t="shared" si="8"/>
        <v>15356.340978299999</v>
      </c>
      <c r="I91" s="60">
        <f t="shared" si="9"/>
        <v>12471.793478400001</v>
      </c>
      <c r="J91" s="60">
        <f t="shared" si="10"/>
        <v>27828.134456699998</v>
      </c>
      <c r="K91" s="62">
        <f t="shared" si="11"/>
        <v>100.35494641843681</v>
      </c>
      <c r="L91" s="63">
        <f t="shared" si="12"/>
        <v>0.99646308995117361</v>
      </c>
      <c r="M91" s="60">
        <f t="shared" si="13"/>
        <v>27.347081044273988</v>
      </c>
    </row>
    <row r="92" spans="1:13" ht="14.25">
      <c r="A92" s="64" t="s">
        <v>116</v>
      </c>
      <c r="B92" s="65">
        <v>224922</v>
      </c>
      <c r="C92" s="60">
        <v>7806034</v>
      </c>
      <c r="D92" s="60">
        <f t="shared" si="7"/>
        <v>34.705515689883605</v>
      </c>
      <c r="E92" s="60">
        <v>77183.938800000004</v>
      </c>
      <c r="F92" s="61">
        <v>29.997199999999999</v>
      </c>
      <c r="G92" s="61">
        <v>17.25873</v>
      </c>
      <c r="H92" s="60">
        <f t="shared" si="8"/>
        <v>23153.020489713603</v>
      </c>
      <c r="I92" s="60">
        <f t="shared" si="9"/>
        <v>13320.967600857241</v>
      </c>
      <c r="J92" s="60">
        <f t="shared" si="10"/>
        <v>36473.988090570841</v>
      </c>
      <c r="K92" s="62">
        <f t="shared" si="11"/>
        <v>131.53397422997796</v>
      </c>
      <c r="L92" s="63">
        <f t="shared" si="12"/>
        <v>0.76025985366455195</v>
      </c>
      <c r="M92" s="60">
        <f t="shared" si="13"/>
        <v>26.38521027974372</v>
      </c>
    </row>
    <row r="93" spans="1:13" ht="14.25">
      <c r="A93" s="58" t="s">
        <v>106</v>
      </c>
      <c r="B93" s="59">
        <v>509924</v>
      </c>
      <c r="C93" s="60">
        <v>11860064</v>
      </c>
      <c r="D93" s="60">
        <f t="shared" si="7"/>
        <v>23.258493422549243</v>
      </c>
      <c r="E93" s="60">
        <v>45741</v>
      </c>
      <c r="F93" s="61">
        <v>28.858689999999999</v>
      </c>
      <c r="G93" s="61">
        <v>25.882739999999998</v>
      </c>
      <c r="H93" s="60">
        <f t="shared" si="8"/>
        <v>13200.253392899998</v>
      </c>
      <c r="I93" s="60">
        <f t="shared" si="9"/>
        <v>11839.024103399999</v>
      </c>
      <c r="J93" s="60">
        <f t="shared" si="10"/>
        <v>25039.277496299997</v>
      </c>
      <c r="K93" s="62">
        <f t="shared" si="11"/>
        <v>90.297657408815738</v>
      </c>
      <c r="L93" s="63">
        <f t="shared" si="12"/>
        <v>1.1074484418489137</v>
      </c>
      <c r="M93" s="60">
        <f t="shared" si="13"/>
        <v>25.757582300555367</v>
      </c>
    </row>
    <row r="94" spans="1:13" ht="14.25">
      <c r="A94" s="64" t="s">
        <v>107</v>
      </c>
      <c r="B94" s="65">
        <v>843393</v>
      </c>
      <c r="C94" s="60">
        <v>20040480</v>
      </c>
      <c r="D94" s="60">
        <f t="shared" si="7"/>
        <v>23.761733853612728</v>
      </c>
      <c r="E94" s="60">
        <v>53324</v>
      </c>
      <c r="F94" s="61">
        <v>27.344919999999998</v>
      </c>
      <c r="G94" s="61">
        <v>22.256900000000002</v>
      </c>
      <c r="H94" s="60">
        <f t="shared" si="8"/>
        <v>14581.4051408</v>
      </c>
      <c r="I94" s="60">
        <f t="shared" si="9"/>
        <v>11868.269356000001</v>
      </c>
      <c r="J94" s="60">
        <f t="shared" si="10"/>
        <v>26449.674496799998</v>
      </c>
      <c r="K94" s="62">
        <f t="shared" si="11"/>
        <v>95.383888238774361</v>
      </c>
      <c r="L94" s="63">
        <f t="shared" si="12"/>
        <v>1.0483950890078011</v>
      </c>
      <c r="M94" s="60">
        <f t="shared" si="13"/>
        <v>24.911685078437998</v>
      </c>
    </row>
    <row r="95" spans="1:13" ht="14.25">
      <c r="A95" s="58" t="s">
        <v>111</v>
      </c>
      <c r="B95" s="59">
        <v>278427</v>
      </c>
      <c r="C95" s="60">
        <v>7041313</v>
      </c>
      <c r="D95" s="60">
        <f t="shared" si="7"/>
        <v>25.289619900368859</v>
      </c>
      <c r="E95" s="60">
        <v>65791</v>
      </c>
      <c r="F95" s="61">
        <v>28.495229999999999</v>
      </c>
      <c r="G95" s="61">
        <v>15.1981</v>
      </c>
      <c r="H95" s="60">
        <f t="shared" si="8"/>
        <v>18747.296769299999</v>
      </c>
      <c r="I95" s="60">
        <f t="shared" si="9"/>
        <v>9998.9819710000011</v>
      </c>
      <c r="J95" s="60">
        <f t="shared" si="10"/>
        <v>28746.2787403</v>
      </c>
      <c r="K95" s="62">
        <f t="shared" si="11"/>
        <v>103.66599554853357</v>
      </c>
      <c r="L95" s="63">
        <f t="shared" si="12"/>
        <v>0.96463646995202723</v>
      </c>
      <c r="M95" s="60">
        <f t="shared" si="13"/>
        <v>24.395289667120355</v>
      </c>
    </row>
    <row r="96" spans="1:13" ht="14.25">
      <c r="A96" s="64" t="s">
        <v>152</v>
      </c>
      <c r="B96" s="65">
        <v>257342</v>
      </c>
      <c r="C96" s="60">
        <v>5750000</v>
      </c>
      <c r="D96" s="60">
        <f t="shared" si="7"/>
        <v>22.343807073855025</v>
      </c>
      <c r="E96" s="60">
        <v>65791</v>
      </c>
      <c r="F96" s="61">
        <v>32.189120000000003</v>
      </c>
      <c r="G96" s="61">
        <v>14.290279999999999</v>
      </c>
      <c r="H96" s="60">
        <f t="shared" si="8"/>
        <v>21177.543939200004</v>
      </c>
      <c r="I96" s="60">
        <f t="shared" si="9"/>
        <v>9401.7181148</v>
      </c>
      <c r="J96" s="60">
        <f t="shared" si="10"/>
        <v>30579.262054000006</v>
      </c>
      <c r="K96" s="62">
        <f t="shared" si="11"/>
        <v>110.2761742695856</v>
      </c>
      <c r="L96" s="63">
        <f t="shared" si="12"/>
        <v>0.90681419320492518</v>
      </c>
      <c r="M96" s="60">
        <f t="shared" si="13"/>
        <v>20.261681384804344</v>
      </c>
    </row>
    <row r="97" spans="1:13" ht="14.25">
      <c r="A97" s="58" t="s">
        <v>112</v>
      </c>
      <c r="B97" s="59">
        <v>688701</v>
      </c>
      <c r="C97" s="60">
        <v>11652000</v>
      </c>
      <c r="D97" s="60">
        <f t="shared" si="7"/>
        <v>16.918808016831687</v>
      </c>
      <c r="E97" s="60">
        <v>51903</v>
      </c>
      <c r="F97" s="61">
        <v>27.048220000000001</v>
      </c>
      <c r="G97" s="61">
        <v>22.043880000000001</v>
      </c>
      <c r="H97" s="60">
        <f t="shared" si="8"/>
        <v>14038.8376266</v>
      </c>
      <c r="I97" s="60">
        <f t="shared" si="9"/>
        <v>11441.4350364</v>
      </c>
      <c r="J97" s="60">
        <f t="shared" si="10"/>
        <v>25480.272663</v>
      </c>
      <c r="K97" s="62">
        <f t="shared" si="11"/>
        <v>91.887992053555564</v>
      </c>
      <c r="L97" s="63">
        <f t="shared" si="12"/>
        <v>1.0882814801494027</v>
      </c>
      <c r="M97" s="60">
        <f t="shared" si="13"/>
        <v>18.412425430921171</v>
      </c>
    </row>
    <row r="98" spans="1:13" ht="14.25">
      <c r="A98" s="58" t="s">
        <v>110</v>
      </c>
      <c r="B98" s="59">
        <v>298118</v>
      </c>
      <c r="C98" s="60">
        <v>4088876</v>
      </c>
      <c r="D98" s="60">
        <f t="shared" si="7"/>
        <v>13.715629381654244</v>
      </c>
      <c r="E98" s="60">
        <v>53895</v>
      </c>
      <c r="F98" s="61">
        <v>28.910699999999999</v>
      </c>
      <c r="G98" s="61">
        <v>23.027979999999999</v>
      </c>
      <c r="H98" s="60">
        <f t="shared" si="8"/>
        <v>15581.421765000001</v>
      </c>
      <c r="I98" s="60">
        <f t="shared" si="9"/>
        <v>12410.929821</v>
      </c>
      <c r="J98" s="60">
        <f t="shared" si="10"/>
        <v>27992.351586000001</v>
      </c>
      <c r="K98" s="62">
        <f t="shared" si="11"/>
        <v>100.94715288623055</v>
      </c>
      <c r="L98" s="63">
        <f t="shared" si="12"/>
        <v>0.99061733927951379</v>
      </c>
      <c r="M98" s="60">
        <f t="shared" si="13"/>
        <v>13.586940284598249</v>
      </c>
    </row>
    <row r="99" spans="1:13" ht="14.25">
      <c r="A99" s="58" t="s">
        <v>89</v>
      </c>
      <c r="B99" s="59">
        <v>233394</v>
      </c>
      <c r="C99" s="60">
        <v>817676</v>
      </c>
      <c r="D99" s="60">
        <f t="shared" si="7"/>
        <v>3.5034148264308422</v>
      </c>
      <c r="E99" s="60">
        <v>48582</v>
      </c>
      <c r="F99" s="61">
        <v>30.505649999999999</v>
      </c>
      <c r="G99" s="61">
        <v>21.257850000000001</v>
      </c>
      <c r="H99" s="60">
        <f t="shared" si="8"/>
        <v>14820.254883</v>
      </c>
      <c r="I99" s="60">
        <f t="shared" si="9"/>
        <v>10327.488687000001</v>
      </c>
      <c r="J99" s="60">
        <f t="shared" si="10"/>
        <v>25147.743569999999</v>
      </c>
      <c r="K99" s="62">
        <f t="shared" si="11"/>
        <v>90.688812160181428</v>
      </c>
      <c r="L99" s="63">
        <f t="shared" si="12"/>
        <v>1.102671846923879</v>
      </c>
      <c r="M99" s="60">
        <f t="shared" si="13"/>
        <v>3.8631168972009982</v>
      </c>
    </row>
    <row r="100" spans="1:13" ht="14.25">
      <c r="A100" s="58" t="s">
        <v>113</v>
      </c>
      <c r="B100" s="59">
        <v>214237</v>
      </c>
      <c r="C100" s="60"/>
      <c r="D100" s="67" t="s">
        <v>114</v>
      </c>
      <c r="E100" s="60">
        <v>50619</v>
      </c>
      <c r="F100" s="61">
        <v>27.88542</v>
      </c>
      <c r="G100" s="61">
        <v>23.204499999999999</v>
      </c>
      <c r="H100" s="60">
        <f t="shared" si="8"/>
        <v>14115.320749799999</v>
      </c>
      <c r="I100" s="60">
        <f t="shared" si="9"/>
        <v>11745.885855</v>
      </c>
      <c r="J100" s="60">
        <f t="shared" si="10"/>
        <v>25861.206604799998</v>
      </c>
      <c r="K100" s="62">
        <f t="shared" si="11"/>
        <v>93.26173147463625</v>
      </c>
      <c r="L100" s="63">
        <f t="shared" si="12"/>
        <v>1.0722511626024906</v>
      </c>
      <c r="M100" s="60"/>
    </row>
    <row r="101" spans="1:13" ht="14.25">
      <c r="A101" s="58" t="s">
        <v>115</v>
      </c>
      <c r="B101" s="59">
        <v>249146</v>
      </c>
      <c r="C101" s="60"/>
      <c r="D101" s="67" t="s">
        <v>114</v>
      </c>
      <c r="E101" s="60">
        <v>54022</v>
      </c>
      <c r="F101" s="61">
        <v>30.381699999999999</v>
      </c>
      <c r="G101" s="61">
        <v>23.514040000000001</v>
      </c>
      <c r="H101" s="60">
        <f t="shared" si="8"/>
        <v>16412.801974000002</v>
      </c>
      <c r="I101" s="60">
        <f t="shared" si="9"/>
        <v>12702.754688800002</v>
      </c>
      <c r="J101" s="60">
        <f t="shared" si="10"/>
        <v>29115.556662800002</v>
      </c>
      <c r="K101" s="62">
        <f t="shared" si="11"/>
        <v>104.99770056036834</v>
      </c>
      <c r="L101" s="63">
        <f t="shared" si="12"/>
        <v>0.95240180943300823</v>
      </c>
      <c r="M101" s="60"/>
    </row>
    <row r="102" spans="1:13" ht="14.25">
      <c r="A102" s="58" t="s">
        <v>153</v>
      </c>
      <c r="B102" s="59">
        <v>234566</v>
      </c>
      <c r="C102" s="60"/>
      <c r="D102" s="67" t="s">
        <v>114</v>
      </c>
      <c r="E102" s="60">
        <v>58190</v>
      </c>
      <c r="F102" s="61">
        <v>28.564900000000002</v>
      </c>
      <c r="G102" s="61">
        <v>20.686250000000001</v>
      </c>
      <c r="H102" s="60">
        <f t="shared" si="8"/>
        <v>16621.915310000004</v>
      </c>
      <c r="I102" s="60">
        <f t="shared" si="9"/>
        <v>12037.328875000001</v>
      </c>
      <c r="J102" s="60">
        <f t="shared" si="10"/>
        <v>28659.244185000003</v>
      </c>
      <c r="K102" s="62">
        <f t="shared" si="11"/>
        <v>103.35212800749254</v>
      </c>
      <c r="L102" s="63">
        <f t="shared" si="12"/>
        <v>0.96756595077317109</v>
      </c>
      <c r="M102" s="60"/>
    </row>
    <row r="103" spans="1:13" ht="14.25">
      <c r="A103" s="58" t="s">
        <v>119</v>
      </c>
      <c r="B103" s="59">
        <v>228653</v>
      </c>
      <c r="C103" s="60"/>
      <c r="D103" s="67" t="s">
        <v>114</v>
      </c>
      <c r="E103" s="60">
        <v>58190</v>
      </c>
      <c r="F103" s="61">
        <v>27.418279999999999</v>
      </c>
      <c r="G103" s="61">
        <v>18.179580000000001</v>
      </c>
      <c r="H103" s="60">
        <f t="shared" si="8"/>
        <v>15954.697132000001</v>
      </c>
      <c r="I103" s="60">
        <f t="shared" si="9"/>
        <v>10578.697602</v>
      </c>
      <c r="J103" s="60">
        <f t="shared" si="10"/>
        <v>26533.394734000001</v>
      </c>
      <c r="K103" s="62">
        <f t="shared" si="11"/>
        <v>95.685803551545973</v>
      </c>
      <c r="L103" s="63">
        <f t="shared" si="12"/>
        <v>1.0450871110271855</v>
      </c>
      <c r="M103" s="60"/>
    </row>
    <row r="104" spans="1:13" ht="14.25">
      <c r="A104" s="58" t="s">
        <v>120</v>
      </c>
      <c r="B104" s="59">
        <v>248142</v>
      </c>
      <c r="C104" s="60"/>
      <c r="D104" s="67" t="s">
        <v>114</v>
      </c>
      <c r="E104" s="60">
        <v>38421</v>
      </c>
      <c r="F104" s="61">
        <v>29.688300000000002</v>
      </c>
      <c r="G104" s="61">
        <v>28.749649999999999</v>
      </c>
      <c r="H104" s="60">
        <f t="shared" si="8"/>
        <v>11406.541743</v>
      </c>
      <c r="I104" s="60">
        <f t="shared" si="9"/>
        <v>11045.9030265</v>
      </c>
      <c r="J104" s="60">
        <f t="shared" si="10"/>
        <v>22452.444769499998</v>
      </c>
      <c r="K104" s="62">
        <f t="shared" si="11"/>
        <v>80.968916378927176</v>
      </c>
      <c r="L104" s="63">
        <f t="shared" si="12"/>
        <v>1.2350418465773838</v>
      </c>
      <c r="M104" s="60"/>
    </row>
    <row r="105" spans="1:13" ht="14.25">
      <c r="A105" s="58" t="s">
        <v>121</v>
      </c>
      <c r="B105" s="59">
        <v>226877</v>
      </c>
      <c r="C105" s="60"/>
      <c r="D105" s="67" t="s">
        <v>114</v>
      </c>
      <c r="E105" s="60">
        <v>54218</v>
      </c>
      <c r="F105" s="61">
        <v>28.632339999999999</v>
      </c>
      <c r="G105" s="61">
        <v>23.588049999999999</v>
      </c>
      <c r="H105" s="60">
        <f t="shared" si="8"/>
        <v>15523.882101200001</v>
      </c>
      <c r="I105" s="60">
        <f t="shared" si="9"/>
        <v>12788.968949</v>
      </c>
      <c r="J105" s="60">
        <f t="shared" si="10"/>
        <v>28312.851050199999</v>
      </c>
      <c r="K105" s="62">
        <f t="shared" si="11"/>
        <v>102.10295104463655</v>
      </c>
      <c r="L105" s="63">
        <f t="shared" si="12"/>
        <v>0.97940362131436132</v>
      </c>
      <c r="M105" s="60"/>
    </row>
    <row r="106" spans="1:13" ht="14.25">
      <c r="A106" s="68" t="s">
        <v>122</v>
      </c>
      <c r="B106" s="69">
        <v>214114</v>
      </c>
      <c r="C106" s="70"/>
      <c r="D106" s="71" t="s">
        <v>114</v>
      </c>
      <c r="E106" s="70">
        <v>58577</v>
      </c>
      <c r="F106" s="72">
        <v>27.082419999999999</v>
      </c>
      <c r="G106" s="72">
        <v>18.854520000000001</v>
      </c>
      <c r="H106" s="70">
        <f t="shared" si="8"/>
        <v>15864.069163400001</v>
      </c>
      <c r="I106" s="70">
        <f t="shared" si="9"/>
        <v>11044.412180400001</v>
      </c>
      <c r="J106" s="70">
        <f t="shared" si="10"/>
        <v>26908.481343800002</v>
      </c>
      <c r="K106" s="73">
        <f t="shared" si="11"/>
        <v>97.038456086961972</v>
      </c>
      <c r="L106" s="74">
        <f t="shared" si="12"/>
        <v>1.0305192810403332</v>
      </c>
      <c r="M106" s="70"/>
    </row>
    <row r="107" spans="1:13" ht="14.25">
      <c r="A107" s="75"/>
      <c r="B107" s="76"/>
      <c r="C107" s="77"/>
      <c r="D107" s="78"/>
      <c r="E107" s="77"/>
      <c r="F107" s="79"/>
      <c r="G107" s="79"/>
      <c r="H107" s="77"/>
      <c r="I107" s="77"/>
      <c r="J107" s="77"/>
      <c r="K107" s="80"/>
      <c r="L107" s="81"/>
      <c r="M107" s="77"/>
    </row>
    <row r="108" spans="1:13" ht="14.25">
      <c r="A108" s="75" t="s">
        <v>154</v>
      </c>
      <c r="B108" s="45"/>
      <c r="C108" s="45"/>
      <c r="D108" s="77">
        <f>MEDIAN(D7:D99)</f>
        <v>80.91142151749996</v>
      </c>
      <c r="E108" s="77">
        <f t="shared" ref="E108:M108" si="14">MEDIAN(E7:E99)</f>
        <v>54628</v>
      </c>
      <c r="F108" s="77">
        <f t="shared" si="14"/>
        <v>28.26455</v>
      </c>
      <c r="G108" s="77">
        <f t="shared" si="14"/>
        <v>20.726839999999999</v>
      </c>
      <c r="H108" s="77">
        <f t="shared" si="14"/>
        <v>15826.772186399998</v>
      </c>
      <c r="I108" s="77">
        <f t="shared" si="14"/>
        <v>11627.333697400001</v>
      </c>
      <c r="J108" s="77">
        <f t="shared" si="14"/>
        <v>27746.130950999999</v>
      </c>
      <c r="K108" s="77">
        <f t="shared" si="14"/>
        <v>100.05922205238373</v>
      </c>
      <c r="L108" s="77">
        <f t="shared" si="14"/>
        <v>0.99940812999372786</v>
      </c>
      <c r="M108" s="77">
        <f t="shared" si="14"/>
        <v>82.929463196661573</v>
      </c>
    </row>
  </sheetData>
  <mergeCells count="2">
    <mergeCell ref="A1:M1"/>
    <mergeCell ref="A3: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14"/>
  <sheetViews>
    <sheetView tabSelected="1" topLeftCell="A75" zoomScale="85" zoomScaleNormal="85" zoomScaleSheetLayoutView="95" workbookViewId="0">
      <selection activeCell="M112" sqref="M112"/>
    </sheetView>
  </sheetViews>
  <sheetFormatPr defaultColWidth="8.85546875" defaultRowHeight="12.75"/>
  <cols>
    <col min="1" max="1" width="35.140625" customWidth="1"/>
    <col min="2" max="2" width="20.42578125" style="37" hidden="1" customWidth="1"/>
    <col min="3" max="3" width="17.28515625" style="22" customWidth="1"/>
    <col min="4" max="4" width="20.7109375" style="138" hidden="1" customWidth="1"/>
    <col min="5" max="5" width="13.7109375" style="139" customWidth="1"/>
    <col min="6" max="6" width="17.7109375" hidden="1" customWidth="1"/>
    <col min="7" max="8" width="14.28515625" style="139" customWidth="1"/>
    <col min="10" max="10" width="21.5703125" customWidth="1"/>
    <col min="11" max="11" width="13.85546875" customWidth="1"/>
    <col min="12" max="12" width="14" customWidth="1"/>
    <col min="13" max="13" width="14.140625" customWidth="1"/>
    <col min="15" max="15" width="14.85546875" customWidth="1"/>
  </cols>
  <sheetData>
    <row r="1" spans="1:18" ht="20.25">
      <c r="A1" s="137" t="s">
        <v>283</v>
      </c>
    </row>
    <row r="2" spans="1:18" ht="15" customHeight="1">
      <c r="A2" s="16" t="s">
        <v>16</v>
      </c>
    </row>
    <row r="3" spans="1:18" ht="54.75" customHeight="1">
      <c r="A3" s="204" t="s">
        <v>284</v>
      </c>
      <c r="B3" s="204"/>
      <c r="C3" s="204"/>
      <c r="D3" s="204"/>
      <c r="E3" s="204"/>
      <c r="F3" s="204"/>
      <c r="G3" s="204"/>
      <c r="H3" s="204"/>
    </row>
    <row r="4" spans="1:18" ht="15" customHeight="1">
      <c r="A4" s="140"/>
      <c r="B4" s="140"/>
      <c r="D4" s="140"/>
      <c r="E4" s="141"/>
      <c r="F4" s="140"/>
      <c r="G4" s="141"/>
    </row>
    <row r="5" spans="1:18" s="147" customFormat="1" ht="63" customHeight="1">
      <c r="A5" s="15" t="s">
        <v>129</v>
      </c>
      <c r="B5" s="142" t="s">
        <v>19</v>
      </c>
      <c r="C5" s="143" t="s">
        <v>130</v>
      </c>
      <c r="D5" s="144" t="s">
        <v>285</v>
      </c>
      <c r="E5" s="145" t="s">
        <v>286</v>
      </c>
      <c r="F5" s="144" t="s">
        <v>287</v>
      </c>
      <c r="G5" s="145" t="s">
        <v>288</v>
      </c>
      <c r="H5" s="146" t="s">
        <v>131</v>
      </c>
      <c r="J5" s="224" t="s">
        <v>129</v>
      </c>
      <c r="K5" s="225" t="s">
        <v>19</v>
      </c>
      <c r="L5" s="226" t="s">
        <v>130</v>
      </c>
      <c r="M5" s="227" t="s">
        <v>579</v>
      </c>
      <c r="N5" s="227" t="s">
        <v>286</v>
      </c>
      <c r="O5" s="227" t="s">
        <v>580</v>
      </c>
      <c r="P5" s="227" t="s">
        <v>288</v>
      </c>
      <c r="Q5" s="228" t="s">
        <v>131</v>
      </c>
    </row>
    <row r="6" spans="1:18" ht="15" customHeight="1">
      <c r="A6" s="21" t="s">
        <v>57</v>
      </c>
      <c r="B6" s="18">
        <v>8405837</v>
      </c>
      <c r="C6" s="149">
        <f>SUM(F6,D6)</f>
        <v>1364246406</v>
      </c>
      <c r="D6" s="154">
        <v>941022767</v>
      </c>
      <c r="E6" s="151">
        <f>D6/B6</f>
        <v>111.94872884163706</v>
      </c>
      <c r="F6" s="154">
        <v>423223639</v>
      </c>
      <c r="G6" s="151">
        <f>F6/B6</f>
        <v>50.348780139324617</v>
      </c>
      <c r="H6" s="149">
        <f>C6/B6</f>
        <v>162.29750898096168</v>
      </c>
      <c r="J6" s="212" t="s">
        <v>57</v>
      </c>
      <c r="K6" s="213">
        <v>8491079</v>
      </c>
      <c r="L6" s="208">
        <v>1740630989</v>
      </c>
      <c r="M6" s="214">
        <v>1020226039</v>
      </c>
      <c r="N6" s="209">
        <v>120.15269661252709</v>
      </c>
      <c r="O6" s="209">
        <v>720404950</v>
      </c>
      <c r="P6" s="209">
        <v>84.842568300212491</v>
      </c>
      <c r="Q6" s="208">
        <v>204.9952649127396</v>
      </c>
      <c r="R6" s="210"/>
    </row>
    <row r="7" spans="1:18" ht="15" customHeight="1">
      <c r="A7" s="17" t="s">
        <v>33</v>
      </c>
      <c r="B7" s="148">
        <v>2718782</v>
      </c>
      <c r="C7" s="149">
        <f>SUM(F7,D7)</f>
        <v>472102995</v>
      </c>
      <c r="D7" s="150">
        <f>353597414+146844</f>
        <v>353744258</v>
      </c>
      <c r="E7" s="151">
        <f>D7/B7</f>
        <v>130.11129910378986</v>
      </c>
      <c r="F7" s="151">
        <v>118358737</v>
      </c>
      <c r="G7" s="151">
        <f>F7/B7</f>
        <v>43.533735694881017</v>
      </c>
      <c r="H7" s="149">
        <f>C7/B7</f>
        <v>173.64503479867088</v>
      </c>
      <c r="J7" s="206" t="s">
        <v>33</v>
      </c>
      <c r="K7" s="207">
        <v>2722389</v>
      </c>
      <c r="L7" s="208">
        <v>470727611</v>
      </c>
      <c r="M7" s="209">
        <v>363973801</v>
      </c>
      <c r="N7" s="209">
        <v>133.69647063663569</v>
      </c>
      <c r="O7" s="209">
        <v>106753810</v>
      </c>
      <c r="P7" s="209">
        <v>39.213282892341986</v>
      </c>
      <c r="Q7" s="208">
        <v>172.90975352897766</v>
      </c>
      <c r="R7" s="210"/>
    </row>
    <row r="8" spans="1:18" ht="15" customHeight="1">
      <c r="A8" s="17" t="s">
        <v>84</v>
      </c>
      <c r="B8" s="148">
        <v>3884307</v>
      </c>
      <c r="C8" s="149">
        <f>SUM(F8,D8)</f>
        <v>317485144</v>
      </c>
      <c r="D8" s="150">
        <f>255422796+2400000</f>
        <v>257822796</v>
      </c>
      <c r="E8" s="151">
        <f>D8/B8</f>
        <v>66.375494007039094</v>
      </c>
      <c r="F8" s="151">
        <v>59662348</v>
      </c>
      <c r="G8" s="151">
        <f>F8/B8</f>
        <v>15.359843596296585</v>
      </c>
      <c r="H8" s="149">
        <f>C8/B8</f>
        <v>81.73533760333568</v>
      </c>
      <c r="I8" s="23"/>
      <c r="J8" s="206" t="s">
        <v>84</v>
      </c>
      <c r="K8" s="207">
        <v>3928864</v>
      </c>
      <c r="L8" s="208">
        <v>369154975</v>
      </c>
      <c r="M8" s="209">
        <v>284515525</v>
      </c>
      <c r="N8" s="209">
        <v>72.416740564193617</v>
      </c>
      <c r="O8" s="209">
        <v>84639450</v>
      </c>
      <c r="P8" s="209">
        <v>21.542982908036521</v>
      </c>
      <c r="Q8" s="208">
        <v>93.959723472230138</v>
      </c>
      <c r="R8" s="211"/>
    </row>
    <row r="9" spans="1:18" s="23" customFormat="1" ht="15" customHeight="1">
      <c r="A9" s="17" t="s">
        <v>141</v>
      </c>
      <c r="B9" s="148">
        <v>646449</v>
      </c>
      <c r="C9" s="149">
        <f>SUM(F9,D9)</f>
        <v>223588164</v>
      </c>
      <c r="D9" s="150">
        <f>50491128+118990189</f>
        <v>169481317</v>
      </c>
      <c r="E9" s="151">
        <f>D9/B9</f>
        <v>262.1727576343996</v>
      </c>
      <c r="F9" s="150">
        <v>54106847</v>
      </c>
      <c r="G9" s="151">
        <f>F9/B9</f>
        <v>83.698554719707204</v>
      </c>
      <c r="H9" s="149">
        <f>C9/B9</f>
        <v>345.87131235410681</v>
      </c>
      <c r="I9"/>
      <c r="J9" s="206" t="s">
        <v>141</v>
      </c>
      <c r="K9" s="207">
        <v>658893</v>
      </c>
      <c r="L9" s="208">
        <v>144370876</v>
      </c>
      <c r="M9" s="209">
        <v>93594386</v>
      </c>
      <c r="N9" s="209">
        <v>142.04792887464276</v>
      </c>
      <c r="O9" s="209">
        <v>50776490</v>
      </c>
      <c r="P9" s="209">
        <v>77.063331982582909</v>
      </c>
      <c r="Q9" s="208">
        <v>219.11126085722569</v>
      </c>
      <c r="R9" s="210"/>
    </row>
    <row r="10" spans="1:18" s="4" customFormat="1" ht="15" customHeight="1">
      <c r="A10" s="21" t="s">
        <v>27</v>
      </c>
      <c r="B10" s="18">
        <v>652405</v>
      </c>
      <c r="C10" s="149">
        <f>SUM(F10,D10)</f>
        <v>194267589</v>
      </c>
      <c r="D10" s="151">
        <v>116887113</v>
      </c>
      <c r="E10" s="151">
        <f>D10/B10</f>
        <v>179.1634230271074</v>
      </c>
      <c r="F10" s="151">
        <v>77380476</v>
      </c>
      <c r="G10" s="151">
        <f>F10/B10</f>
        <v>118.6080364190955</v>
      </c>
      <c r="H10" s="149">
        <f>C10/B10</f>
        <v>297.77145944620287</v>
      </c>
      <c r="I10" s="36"/>
      <c r="J10" s="206" t="s">
        <v>563</v>
      </c>
      <c r="K10" s="207">
        <v>668342</v>
      </c>
      <c r="L10" s="208">
        <v>187501978</v>
      </c>
      <c r="M10" s="209">
        <v>133407929</v>
      </c>
      <c r="N10" s="209">
        <v>199.61027288424191</v>
      </c>
      <c r="O10" s="209">
        <v>54094049</v>
      </c>
      <c r="P10" s="209">
        <v>80.937677117403965</v>
      </c>
      <c r="Q10" s="208">
        <v>280.54795000164586</v>
      </c>
      <c r="R10" s="211"/>
    </row>
    <row r="11" spans="1:18" s="23" customFormat="1" ht="15" customHeight="1">
      <c r="A11" s="21" t="s">
        <v>37</v>
      </c>
      <c r="B11" s="18">
        <v>837442</v>
      </c>
      <c r="C11" s="152">
        <f>SUM(F11,D11)</f>
        <v>181309048</v>
      </c>
      <c r="D11" s="153">
        <v>148376986</v>
      </c>
      <c r="E11" s="151">
        <f>D11/B11</f>
        <v>177.17882074221259</v>
      </c>
      <c r="F11" s="153">
        <v>32932062</v>
      </c>
      <c r="G11" s="151">
        <f>F11/B11</f>
        <v>39.324588449110507</v>
      </c>
      <c r="H11" s="149">
        <f>C11/B11</f>
        <v>216.5034091913231</v>
      </c>
      <c r="J11" s="206" t="s">
        <v>37</v>
      </c>
      <c r="K11" s="207">
        <v>852469</v>
      </c>
      <c r="L11" s="208">
        <v>205298303</v>
      </c>
      <c r="M11" s="209">
        <v>158949027</v>
      </c>
      <c r="N11" s="209">
        <v>186.45725181795467</v>
      </c>
      <c r="O11" s="209">
        <v>46349276</v>
      </c>
      <c r="P11" s="209">
        <v>54.370629313206699</v>
      </c>
      <c r="Q11" s="208">
        <v>240.82788113116138</v>
      </c>
      <c r="R11" s="210"/>
    </row>
    <row r="12" spans="1:18" ht="15" customHeight="1">
      <c r="A12" s="21" t="s">
        <v>86</v>
      </c>
      <c r="B12" s="18">
        <v>998537</v>
      </c>
      <c r="C12" s="149">
        <f>SUM(F12,D12)</f>
        <v>162589191</v>
      </c>
      <c r="D12" s="151">
        <v>61601771</v>
      </c>
      <c r="E12" s="151">
        <f>D12/B12</f>
        <v>61.692026434673927</v>
      </c>
      <c r="F12" s="151">
        <v>100987420</v>
      </c>
      <c r="G12" s="151">
        <f>F12/B12</f>
        <v>101.13538106249443</v>
      </c>
      <c r="H12" s="149">
        <f>C12/B12</f>
        <v>162.82740749716837</v>
      </c>
      <c r="J12" s="206" t="s">
        <v>86</v>
      </c>
      <c r="K12" s="207">
        <v>1015785</v>
      </c>
      <c r="L12" s="208">
        <v>137213857</v>
      </c>
      <c r="M12" s="209">
        <v>64147095</v>
      </c>
      <c r="N12" s="209">
        <v>63.150268019315114</v>
      </c>
      <c r="O12" s="209">
        <v>73066762</v>
      </c>
      <c r="P12" s="209">
        <v>71.931326018793342</v>
      </c>
      <c r="Q12" s="208">
        <v>135.08159403810845</v>
      </c>
      <c r="R12" s="210"/>
    </row>
    <row r="13" spans="1:18" s="4" customFormat="1" ht="15" customHeight="1">
      <c r="A13" s="17" t="s">
        <v>65</v>
      </c>
      <c r="B13" s="148">
        <v>1355896</v>
      </c>
      <c r="C13" s="149">
        <f>SUM(F13,D13)</f>
        <v>151170585</v>
      </c>
      <c r="D13" s="155">
        <f>138495467</f>
        <v>138495467</v>
      </c>
      <c r="E13" s="151">
        <f>D13/B13</f>
        <v>102.14313413418138</v>
      </c>
      <c r="F13" s="154">
        <v>12675118</v>
      </c>
      <c r="G13" s="151">
        <f>F13/B13</f>
        <v>9.3481491205815193</v>
      </c>
      <c r="H13" s="149">
        <f>C13/B13</f>
        <v>111.49128325476291</v>
      </c>
      <c r="I13"/>
      <c r="J13" s="212" t="s">
        <v>65</v>
      </c>
      <c r="K13" s="213">
        <v>1381069</v>
      </c>
      <c r="L13" s="208">
        <v>162694063</v>
      </c>
      <c r="M13" s="214">
        <v>145059200</v>
      </c>
      <c r="N13" s="209">
        <v>105.03399902539265</v>
      </c>
      <c r="O13" s="209">
        <v>17634863</v>
      </c>
      <c r="P13" s="209">
        <v>12.768994887293829</v>
      </c>
      <c r="Q13" s="208">
        <v>117.80299391268647</v>
      </c>
      <c r="R13" s="210"/>
    </row>
    <row r="14" spans="1:18" ht="15" customHeight="1">
      <c r="A14" s="21" t="s">
        <v>71</v>
      </c>
      <c r="B14" s="18">
        <v>1409019</v>
      </c>
      <c r="C14" s="149">
        <f>SUM(F14,D14)</f>
        <v>136788147</v>
      </c>
      <c r="D14" s="151">
        <v>92034968</v>
      </c>
      <c r="E14" s="151">
        <f>D14/B14</f>
        <v>65.31847192976106</v>
      </c>
      <c r="F14" s="159">
        <f>44573179+180000</f>
        <v>44753179</v>
      </c>
      <c r="G14" s="151">
        <f>F14/B14</f>
        <v>31.761941464238593</v>
      </c>
      <c r="H14" s="149">
        <f>C14/B14</f>
        <v>97.080413393999649</v>
      </c>
      <c r="I14" s="23"/>
      <c r="J14" s="212" t="s">
        <v>71</v>
      </c>
      <c r="K14" s="213">
        <v>1436697</v>
      </c>
      <c r="L14" s="208">
        <v>113799144</v>
      </c>
      <c r="M14" s="214">
        <v>88995606</v>
      </c>
      <c r="N14" s="209">
        <v>61.944589568990537</v>
      </c>
      <c r="O14" s="214">
        <v>24803538</v>
      </c>
      <c r="P14" s="209">
        <v>17.264279106868045</v>
      </c>
      <c r="Q14" s="208">
        <v>79.208868675858582</v>
      </c>
      <c r="R14" s="210"/>
    </row>
    <row r="15" spans="1:18" ht="15" customHeight="1">
      <c r="A15" s="21" t="s">
        <v>54</v>
      </c>
      <c r="B15" s="18">
        <v>1513367</v>
      </c>
      <c r="C15" s="149">
        <f>SUM(F15,D15)</f>
        <v>126399653</v>
      </c>
      <c r="D15" s="151">
        <v>107011715</v>
      </c>
      <c r="E15" s="151">
        <f>D15/B15</f>
        <v>70.711013917972309</v>
      </c>
      <c r="F15" s="151">
        <v>19387938</v>
      </c>
      <c r="G15" s="151">
        <f>F15/B15</f>
        <v>12.811127770065028</v>
      </c>
      <c r="H15" s="149">
        <f>C15/B15</f>
        <v>83.522141688037337</v>
      </c>
      <c r="I15" s="4"/>
      <c r="J15" s="206" t="s">
        <v>54</v>
      </c>
      <c r="K15" s="207">
        <v>1537058</v>
      </c>
      <c r="L15" s="208">
        <v>121089185</v>
      </c>
      <c r="M15" s="209">
        <v>99298476</v>
      </c>
      <c r="N15" s="209">
        <v>64.602946668245437</v>
      </c>
      <c r="O15" s="209">
        <v>21790709</v>
      </c>
      <c r="P15" s="209">
        <v>14.17689443078921</v>
      </c>
      <c r="Q15" s="208">
        <v>78.779841099034655</v>
      </c>
      <c r="R15" s="210"/>
    </row>
    <row r="16" spans="1:18" ht="15" customHeight="1">
      <c r="A16" s="21" t="s">
        <v>81</v>
      </c>
      <c r="B16" s="18">
        <v>1553165</v>
      </c>
      <c r="C16" s="149">
        <f>SUM(F16,D16)</f>
        <v>103277592</v>
      </c>
      <c r="D16" s="154">
        <v>84436710</v>
      </c>
      <c r="E16" s="151">
        <f>D16/B16</f>
        <v>54.364288404644711</v>
      </c>
      <c r="F16" s="154">
        <v>18840882</v>
      </c>
      <c r="G16" s="151">
        <f>F16/B16</f>
        <v>12.130637762246767</v>
      </c>
      <c r="H16" s="149">
        <f>C16/B16</f>
        <v>66.494926166891474</v>
      </c>
      <c r="J16" s="206" t="s">
        <v>81</v>
      </c>
      <c r="K16" s="207">
        <v>1560297</v>
      </c>
      <c r="L16" s="208">
        <v>89845579</v>
      </c>
      <c r="M16" s="209">
        <v>87914191</v>
      </c>
      <c r="N16" s="209">
        <v>56.344523510588047</v>
      </c>
      <c r="O16" s="209">
        <v>1931388</v>
      </c>
      <c r="P16" s="209">
        <v>1.2378335663018003</v>
      </c>
      <c r="Q16" s="208">
        <v>57.582357076889849</v>
      </c>
      <c r="R16" s="210"/>
    </row>
    <row r="17" spans="1:18" ht="15" customHeight="1">
      <c r="A17" s="21" t="s">
        <v>49</v>
      </c>
      <c r="B17" s="18">
        <v>885400</v>
      </c>
      <c r="C17" s="149">
        <f>SUM(F17,D17)</f>
        <v>98280978</v>
      </c>
      <c r="D17" s="151">
        <v>57238448</v>
      </c>
      <c r="E17" s="151">
        <f>D17/B17</f>
        <v>64.646993449288459</v>
      </c>
      <c r="F17" s="151">
        <v>41042530</v>
      </c>
      <c r="G17" s="151">
        <f>F17/B17</f>
        <v>46.354788796024394</v>
      </c>
      <c r="H17" s="149">
        <f>C17/B17</f>
        <v>111.00178224531285</v>
      </c>
      <c r="I17" s="4"/>
      <c r="J17" s="206" t="s">
        <v>569</v>
      </c>
      <c r="K17" s="207">
        <v>912791</v>
      </c>
      <c r="L17" s="208">
        <v>80674484</v>
      </c>
      <c r="M17" s="209">
        <v>57856575</v>
      </c>
      <c r="N17" s="209">
        <v>63.384252254897341</v>
      </c>
      <c r="O17" s="209">
        <v>22817909</v>
      </c>
      <c r="P17" s="209">
        <v>24.997955720422308</v>
      </c>
      <c r="Q17" s="208">
        <v>88.382207975319645</v>
      </c>
      <c r="R17" s="210"/>
    </row>
    <row r="18" spans="1:18" ht="15" customHeight="1">
      <c r="A18" s="21" t="s">
        <v>31</v>
      </c>
      <c r="B18" s="18">
        <v>400070</v>
      </c>
      <c r="C18" s="149">
        <f>SUM(F18,D18)</f>
        <v>91909094</v>
      </c>
      <c r="D18" s="151">
        <v>70736168</v>
      </c>
      <c r="E18" s="151">
        <f>D18/B18</f>
        <v>176.80947834129029</v>
      </c>
      <c r="F18" s="151">
        <v>21172926</v>
      </c>
      <c r="G18" s="151">
        <f>F18/B18</f>
        <v>52.923053465643513</v>
      </c>
      <c r="H18" s="149">
        <f>C18/B18</f>
        <v>229.73253180693379</v>
      </c>
      <c r="I18" s="23"/>
      <c r="J18" s="206" t="s">
        <v>31</v>
      </c>
      <c r="K18" s="207">
        <v>407207</v>
      </c>
      <c r="L18" s="208">
        <v>90488104</v>
      </c>
      <c r="M18" s="209">
        <v>75758873</v>
      </c>
      <c r="N18" s="209">
        <v>186.04511464685038</v>
      </c>
      <c r="O18" s="209">
        <v>14729231</v>
      </c>
      <c r="P18" s="209">
        <v>36.171360020824793</v>
      </c>
      <c r="Q18" s="208">
        <v>222.21647466767516</v>
      </c>
      <c r="R18" s="211"/>
    </row>
    <row r="19" spans="1:18" s="23" customFormat="1" ht="15" customHeight="1">
      <c r="A19" s="17" t="s">
        <v>52</v>
      </c>
      <c r="B19" s="148">
        <v>609456</v>
      </c>
      <c r="C19" s="149">
        <f>SUM(F19,D19)</f>
        <v>85938414</v>
      </c>
      <c r="D19" s="150">
        <f>73400528+304050</f>
        <v>73704578</v>
      </c>
      <c r="E19" s="151">
        <f>D19/B19</f>
        <v>120.93502730303746</v>
      </c>
      <c r="F19" s="150">
        <v>12233836</v>
      </c>
      <c r="G19" s="151">
        <f>F19/B19</f>
        <v>20.073370349951432</v>
      </c>
      <c r="H19" s="149">
        <f>C19/B19</f>
        <v>141.00839765298889</v>
      </c>
      <c r="I19"/>
      <c r="J19" s="206" t="s">
        <v>52</v>
      </c>
      <c r="K19" s="207">
        <v>619360</v>
      </c>
      <c r="L19" s="208">
        <v>106261275</v>
      </c>
      <c r="M19" s="209">
        <v>94744705</v>
      </c>
      <c r="N19" s="209">
        <v>152.97194684835961</v>
      </c>
      <c r="O19" s="209">
        <v>11516570</v>
      </c>
      <c r="P19" s="209">
        <v>18.59430702660811</v>
      </c>
      <c r="Q19" s="208">
        <v>171.56625387496771</v>
      </c>
      <c r="R19" s="210"/>
    </row>
    <row r="20" spans="1:18" ht="15" customHeight="1">
      <c r="A20" s="17" t="s">
        <v>83</v>
      </c>
      <c r="B20" s="148">
        <v>2195914</v>
      </c>
      <c r="C20" s="149">
        <f>SUM(F20,D20)</f>
        <v>82103769</v>
      </c>
      <c r="D20" s="150">
        <f>64697673+4883000</f>
        <v>69580673</v>
      </c>
      <c r="E20" s="151">
        <f>D20/B20</f>
        <v>31.686428976726773</v>
      </c>
      <c r="F20" s="151">
        <v>12523096</v>
      </c>
      <c r="G20" s="151">
        <f>F20/B20</f>
        <v>5.702908219538652</v>
      </c>
      <c r="H20" s="149">
        <f>C20/B20</f>
        <v>37.38933719626543</v>
      </c>
      <c r="J20" s="212" t="s">
        <v>83</v>
      </c>
      <c r="K20" s="213">
        <v>2239558</v>
      </c>
      <c r="L20" s="208">
        <v>80883069</v>
      </c>
      <c r="M20" s="214">
        <v>64758821</v>
      </c>
      <c r="N20" s="209">
        <v>28.915893671876326</v>
      </c>
      <c r="O20" s="214">
        <v>16124248</v>
      </c>
      <c r="P20" s="209">
        <v>7.1997456640997912</v>
      </c>
      <c r="Q20" s="208">
        <v>36.11563933597612</v>
      </c>
      <c r="R20" s="210"/>
    </row>
    <row r="21" spans="1:18" ht="15" customHeight="1">
      <c r="A21" s="21" t="s">
        <v>51</v>
      </c>
      <c r="B21" s="18">
        <v>645966</v>
      </c>
      <c r="C21" s="149">
        <f>SUM(F21,D21)</f>
        <v>79884432</v>
      </c>
      <c r="D21" s="151">
        <v>56569167</v>
      </c>
      <c r="E21" s="151">
        <f>D21/B21</f>
        <v>87.572979073201992</v>
      </c>
      <c r="F21" s="151">
        <v>23315265</v>
      </c>
      <c r="G21" s="151">
        <f>F21/B21</f>
        <v>36.093641151391871</v>
      </c>
      <c r="H21" s="149">
        <f>C21/B21</f>
        <v>123.66662022459387</v>
      </c>
      <c r="J21" s="206" t="s">
        <v>566</v>
      </c>
      <c r="K21" s="207">
        <v>655884</v>
      </c>
      <c r="L21" s="208">
        <v>78897976</v>
      </c>
      <c r="M21" s="209">
        <v>55430921</v>
      </c>
      <c r="N21" s="209">
        <v>84.513299607857491</v>
      </c>
      <c r="O21" s="209">
        <v>23467055</v>
      </c>
      <c r="P21" s="209">
        <v>35.779276518408743</v>
      </c>
      <c r="Q21" s="208">
        <v>120.29257612626623</v>
      </c>
      <c r="R21" s="211"/>
    </row>
    <row r="22" spans="1:18" s="23" customFormat="1" ht="15" customHeight="1">
      <c r="A22" s="21" t="s">
        <v>63</v>
      </c>
      <c r="B22" s="18">
        <v>469428</v>
      </c>
      <c r="C22" s="149">
        <f>SUM(F22,D22)</f>
        <v>78648536</v>
      </c>
      <c r="D22" s="151">
        <v>49922048</v>
      </c>
      <c r="E22" s="151">
        <f>D22/B22</f>
        <v>106.34654941758906</v>
      </c>
      <c r="F22" s="151">
        <v>28726488</v>
      </c>
      <c r="G22" s="151">
        <f>F22/B22</f>
        <v>61.194662440246425</v>
      </c>
      <c r="H22" s="149">
        <f>C22/B22</f>
        <v>167.54121185783549</v>
      </c>
      <c r="I22"/>
      <c r="J22" s="206" t="s">
        <v>63</v>
      </c>
      <c r="K22" s="207">
        <v>473577</v>
      </c>
      <c r="L22" s="208">
        <v>92573976</v>
      </c>
      <c r="M22" s="209">
        <v>52342712</v>
      </c>
      <c r="N22" s="209">
        <v>110.52629667403612</v>
      </c>
      <c r="O22" s="209">
        <v>40231264</v>
      </c>
      <c r="P22" s="209">
        <v>84.95189589021426</v>
      </c>
      <c r="Q22" s="208">
        <v>195.47819256425038</v>
      </c>
      <c r="R22" s="210"/>
    </row>
    <row r="23" spans="1:18" ht="15" customHeight="1">
      <c r="A23" s="21" t="s">
        <v>80</v>
      </c>
      <c r="B23" s="18">
        <v>822553</v>
      </c>
      <c r="C23" s="149">
        <f>SUM(F23,D23)</f>
        <v>76227184</v>
      </c>
      <c r="D23" s="151">
        <v>36813908</v>
      </c>
      <c r="E23" s="151">
        <f>D23/B23</f>
        <v>44.755666808096258</v>
      </c>
      <c r="F23" s="151">
        <v>39413276</v>
      </c>
      <c r="G23" s="151">
        <f>F23/B23</f>
        <v>47.915789012987617</v>
      </c>
      <c r="H23" s="149">
        <f>C23/B23</f>
        <v>92.671455821083867</v>
      </c>
      <c r="J23" s="206" t="s">
        <v>80</v>
      </c>
      <c r="K23" s="207">
        <v>835957</v>
      </c>
      <c r="L23" s="208">
        <v>84223628</v>
      </c>
      <c r="M23" s="209">
        <v>40836165</v>
      </c>
      <c r="N23" s="209">
        <v>48.849599919613091</v>
      </c>
      <c r="O23" s="209">
        <v>43387463</v>
      </c>
      <c r="P23" s="209">
        <v>51.901548763871823</v>
      </c>
      <c r="Q23" s="208">
        <v>100.75114868348491</v>
      </c>
      <c r="R23" s="210"/>
    </row>
    <row r="24" spans="1:18" ht="15" customHeight="1">
      <c r="A24" s="21" t="s">
        <v>109</v>
      </c>
      <c r="B24" s="18">
        <v>603488</v>
      </c>
      <c r="C24" s="149">
        <f>SUM(F24,D24)</f>
        <v>75573194</v>
      </c>
      <c r="D24" s="151">
        <v>58567564</v>
      </c>
      <c r="E24" s="151">
        <f>D24/B24</f>
        <v>97.048431783233468</v>
      </c>
      <c r="F24" s="151">
        <v>17005630</v>
      </c>
      <c r="G24" s="151">
        <f>F24/B24</f>
        <v>28.178903308765047</v>
      </c>
      <c r="H24" s="149">
        <f>C24/B24</f>
        <v>125.22733509199851</v>
      </c>
      <c r="J24" s="206" t="s">
        <v>109</v>
      </c>
      <c r="K24" s="207">
        <v>613599</v>
      </c>
      <c r="L24" s="208">
        <v>83163021</v>
      </c>
      <c r="M24" s="209">
        <v>58556035</v>
      </c>
      <c r="N24" s="209">
        <v>95.430460284322493</v>
      </c>
      <c r="O24" s="209">
        <v>24606986</v>
      </c>
      <c r="P24" s="209">
        <v>40.102715291256992</v>
      </c>
      <c r="Q24" s="208">
        <v>135.53317557557949</v>
      </c>
      <c r="R24" s="210"/>
    </row>
    <row r="25" spans="1:18" ht="15" customHeight="1">
      <c r="A25" s="21" t="s">
        <v>62</v>
      </c>
      <c r="B25" s="18">
        <v>792727</v>
      </c>
      <c r="C25" s="149">
        <f>SUM(F25,D25)</f>
        <v>70330955</v>
      </c>
      <c r="D25" s="151">
        <v>59281279</v>
      </c>
      <c r="E25" s="151">
        <f>D25/B25</f>
        <v>74.781455658757679</v>
      </c>
      <c r="F25" s="151">
        <v>11049676</v>
      </c>
      <c r="G25" s="151">
        <f>F25/B25</f>
        <v>13.938816263354219</v>
      </c>
      <c r="H25" s="149">
        <f>C25/B25</f>
        <v>88.720271922111905</v>
      </c>
      <c r="I25" s="23"/>
      <c r="J25" s="206" t="s">
        <v>62</v>
      </c>
      <c r="K25" s="207">
        <v>812238</v>
      </c>
      <c r="L25" s="208">
        <v>57529029</v>
      </c>
      <c r="M25" s="209">
        <v>55443143</v>
      </c>
      <c r="N25" s="209">
        <v>68.259725597669643</v>
      </c>
      <c r="O25" s="209">
        <v>2085886</v>
      </c>
      <c r="P25" s="209">
        <v>2.5680724122732501</v>
      </c>
      <c r="Q25" s="208">
        <v>70.827798009942896</v>
      </c>
      <c r="R25" s="210"/>
    </row>
    <row r="26" spans="1:18" ht="15" customHeight="1">
      <c r="A26" s="17" t="s">
        <v>30</v>
      </c>
      <c r="B26" s="148">
        <v>448479</v>
      </c>
      <c r="C26" s="149">
        <f>SUM(F26,D26)</f>
        <v>70080356</v>
      </c>
      <c r="D26" s="150">
        <f>59181899+98384+3500</f>
        <v>59283783</v>
      </c>
      <c r="E26" s="151">
        <f>D26/B26</f>
        <v>132.18853725592501</v>
      </c>
      <c r="F26" s="150">
        <v>10796573</v>
      </c>
      <c r="G26" s="151">
        <f>F26/B26</f>
        <v>24.073753732058805</v>
      </c>
      <c r="H26" s="149">
        <f>C26/B26</f>
        <v>156.26229098798382</v>
      </c>
      <c r="J26" s="212" t="s">
        <v>30</v>
      </c>
      <c r="K26" s="213">
        <v>450980</v>
      </c>
      <c r="L26" s="208">
        <v>83664985</v>
      </c>
      <c r="M26" s="214">
        <v>62439988</v>
      </c>
      <c r="N26" s="209">
        <v>138.45400682957114</v>
      </c>
      <c r="O26" s="214">
        <v>21224997</v>
      </c>
      <c r="P26" s="209">
        <v>47.064164707969312</v>
      </c>
      <c r="Q26" s="208">
        <v>185.51817153754047</v>
      </c>
      <c r="R26" s="210"/>
    </row>
    <row r="27" spans="1:18" ht="15" customHeight="1">
      <c r="A27" s="21" t="s">
        <v>46</v>
      </c>
      <c r="B27" s="18">
        <v>649495</v>
      </c>
      <c r="C27" s="149">
        <f>SUM(F27,D27)</f>
        <v>67236612</v>
      </c>
      <c r="D27" s="151">
        <v>55701408</v>
      </c>
      <c r="E27" s="151">
        <f>D27/B27</f>
        <v>85.761103626663797</v>
      </c>
      <c r="F27" s="151">
        <v>11535204</v>
      </c>
      <c r="G27" s="151">
        <f>F27/B27</f>
        <v>17.760266052856451</v>
      </c>
      <c r="H27" s="149">
        <f>C27/B27</f>
        <v>103.52136967952025</v>
      </c>
      <c r="I27" s="23"/>
      <c r="J27" s="206" t="s">
        <v>46</v>
      </c>
      <c r="K27" s="207">
        <v>663862</v>
      </c>
      <c r="L27" s="208">
        <v>81147125</v>
      </c>
      <c r="M27" s="209">
        <v>61055551</v>
      </c>
      <c r="N27" s="209">
        <v>91.970245322069943</v>
      </c>
      <c r="O27" s="209">
        <v>20091574</v>
      </c>
      <c r="P27" s="209">
        <v>30.264684527808491</v>
      </c>
      <c r="Q27" s="208">
        <v>122.23492984987844</v>
      </c>
      <c r="R27" s="210"/>
    </row>
    <row r="28" spans="1:18" ht="15" customHeight="1">
      <c r="A28" s="17" t="s">
        <v>64</v>
      </c>
      <c r="B28" s="148">
        <v>658602</v>
      </c>
      <c r="C28" s="149">
        <f>SUM(F28,D28)</f>
        <v>67152939</v>
      </c>
      <c r="D28" s="150">
        <f>33807236+119725</f>
        <v>33926961</v>
      </c>
      <c r="E28" s="151">
        <f>D28/B28</f>
        <v>51.513601537802799</v>
      </c>
      <c r="F28" s="151">
        <v>33225978</v>
      </c>
      <c r="G28" s="151">
        <f>F28/B28</f>
        <v>50.449251596563627</v>
      </c>
      <c r="H28" s="149">
        <f>C28/B28</f>
        <v>101.96285313436643</v>
      </c>
      <c r="J28" s="206" t="s">
        <v>567</v>
      </c>
      <c r="K28" s="207">
        <v>668347</v>
      </c>
      <c r="L28" s="208">
        <v>68937732</v>
      </c>
      <c r="M28" s="209">
        <v>35711754</v>
      </c>
      <c r="N28" s="209">
        <v>53.432953241355165</v>
      </c>
      <c r="O28" s="215">
        <v>33225978</v>
      </c>
      <c r="P28" s="209">
        <v>49.713663710617389</v>
      </c>
      <c r="Q28" s="208">
        <v>103.14661695197255</v>
      </c>
      <c r="R28" s="210"/>
    </row>
    <row r="29" spans="1:18" ht="15" customHeight="1">
      <c r="A29" s="21" t="s">
        <v>32</v>
      </c>
      <c r="B29" s="18">
        <v>431746</v>
      </c>
      <c r="C29" s="149">
        <f>SUM(F29,D29)</f>
        <v>67088060</v>
      </c>
      <c r="D29" s="151">
        <v>46928947</v>
      </c>
      <c r="E29" s="151">
        <f>D29/B29</f>
        <v>108.6957308232155</v>
      </c>
      <c r="F29" s="151">
        <v>20159113</v>
      </c>
      <c r="G29" s="151">
        <f>F29/B29</f>
        <v>46.692066631769606</v>
      </c>
      <c r="H29" s="149">
        <f>C29/B29</f>
        <v>155.3877974549851</v>
      </c>
      <c r="I29" s="23"/>
      <c r="J29" s="212" t="s">
        <v>32</v>
      </c>
      <c r="K29" s="213">
        <v>439896</v>
      </c>
      <c r="L29" s="208">
        <v>69750674</v>
      </c>
      <c r="M29" s="214">
        <v>47497240</v>
      </c>
      <c r="N29" s="209">
        <v>107.97379380580864</v>
      </c>
      <c r="O29" s="214">
        <v>22253434</v>
      </c>
      <c r="P29" s="209">
        <v>50.587943513921473</v>
      </c>
      <c r="Q29" s="208">
        <v>158.56173731973013</v>
      </c>
      <c r="R29" s="211"/>
    </row>
    <row r="30" spans="1:18" s="23" customFormat="1" ht="15" customHeight="1">
      <c r="A30" s="21" t="s">
        <v>50</v>
      </c>
      <c r="B30" s="18">
        <v>1257676</v>
      </c>
      <c r="C30" s="149">
        <f>SUM(F30,D30)</f>
        <v>63043348</v>
      </c>
      <c r="D30" s="154">
        <v>61299121</v>
      </c>
      <c r="E30" s="151">
        <f>D30/B30</f>
        <v>48.739994243350431</v>
      </c>
      <c r="F30" s="154">
        <v>1744227</v>
      </c>
      <c r="G30" s="151">
        <f>F30/B30</f>
        <v>1.3868651385571482</v>
      </c>
      <c r="H30" s="149">
        <f>C30/B30</f>
        <v>50.126859381907579</v>
      </c>
      <c r="J30" s="206" t="s">
        <v>50</v>
      </c>
      <c r="K30" s="207">
        <v>1281047</v>
      </c>
      <c r="L30" s="208">
        <v>97520012</v>
      </c>
      <c r="M30" s="209">
        <v>66577209</v>
      </c>
      <c r="N30" s="209">
        <v>51.970933931385815</v>
      </c>
      <c r="O30" s="209">
        <v>30942803</v>
      </c>
      <c r="P30" s="209">
        <v>24.15430737513924</v>
      </c>
      <c r="Q30" s="208">
        <v>76.125241306525055</v>
      </c>
      <c r="R30" s="211"/>
    </row>
    <row r="31" spans="1:18" s="23" customFormat="1" ht="15" customHeight="1">
      <c r="A31" s="21" t="s">
        <v>93</v>
      </c>
      <c r="B31" s="18">
        <v>599164</v>
      </c>
      <c r="C31" s="149">
        <f>SUM(F31,D31)</f>
        <v>57137060</v>
      </c>
      <c r="D31" s="151">
        <v>41243977</v>
      </c>
      <c r="E31" s="151">
        <f>D31/B31</f>
        <v>68.835872983023009</v>
      </c>
      <c r="F31" s="151">
        <v>15893083</v>
      </c>
      <c r="G31" s="151">
        <f>F31/B31</f>
        <v>26.525430433070078</v>
      </c>
      <c r="H31" s="149">
        <f>C31/B31</f>
        <v>95.361303416093094</v>
      </c>
      <c r="I31"/>
      <c r="J31" s="206" t="s">
        <v>568</v>
      </c>
      <c r="K31" s="207">
        <v>599642</v>
      </c>
      <c r="L31" s="208">
        <v>58510340</v>
      </c>
      <c r="M31" s="209">
        <v>42384500</v>
      </c>
      <c r="N31" s="209">
        <v>70.683007527824941</v>
      </c>
      <c r="O31" s="209">
        <v>16125840</v>
      </c>
      <c r="P31" s="209">
        <v>26.892445826009521</v>
      </c>
      <c r="Q31" s="208">
        <v>97.575453353834448</v>
      </c>
      <c r="R31" s="210"/>
    </row>
    <row r="32" spans="1:18" ht="15" customHeight="1">
      <c r="A32" s="17" t="s">
        <v>59</v>
      </c>
      <c r="B32" s="148">
        <v>406253</v>
      </c>
      <c r="C32" s="149">
        <f>SUM(F32,D32)</f>
        <v>57033574</v>
      </c>
      <c r="D32" s="150">
        <f>38563267+2782172</f>
        <v>41345439</v>
      </c>
      <c r="E32" s="151">
        <f>D32/B32</f>
        <v>101.77263675591318</v>
      </c>
      <c r="F32" s="150">
        <v>15688135</v>
      </c>
      <c r="G32" s="151">
        <f>F32/B32</f>
        <v>38.616662523107522</v>
      </c>
      <c r="H32" s="149">
        <f>C32/B32</f>
        <v>140.38929927902072</v>
      </c>
      <c r="I32" s="23"/>
      <c r="J32" s="206" t="s">
        <v>59</v>
      </c>
      <c r="K32" s="207">
        <v>413775</v>
      </c>
      <c r="L32" s="208">
        <v>56689622</v>
      </c>
      <c r="M32" s="209">
        <v>42768187</v>
      </c>
      <c r="N32" s="209">
        <v>103.36097395927739</v>
      </c>
      <c r="O32" s="209">
        <v>13921435</v>
      </c>
      <c r="P32" s="209">
        <v>33.644939882786538</v>
      </c>
      <c r="Q32" s="208">
        <v>137.00591384206393</v>
      </c>
      <c r="R32" s="210"/>
    </row>
    <row r="33" spans="1:18" ht="15" customHeight="1">
      <c r="A33" s="21" t="s">
        <v>29</v>
      </c>
      <c r="B33" s="18">
        <v>224906</v>
      </c>
      <c r="C33" s="149">
        <f>SUM(F33,D33)</f>
        <v>55985074</v>
      </c>
      <c r="D33" s="151">
        <v>36272657</v>
      </c>
      <c r="E33" s="151">
        <f>D33/B33</f>
        <v>161.2791877495487</v>
      </c>
      <c r="F33" s="151">
        <v>19712417</v>
      </c>
      <c r="G33" s="151">
        <f>F33/B33</f>
        <v>87.647359341235898</v>
      </c>
      <c r="H33" s="149">
        <f>C33/B33</f>
        <v>248.9265470907846</v>
      </c>
      <c r="I33" s="4"/>
      <c r="J33" s="206" t="s">
        <v>29</v>
      </c>
      <c r="K33" s="207">
        <v>226908</v>
      </c>
      <c r="L33" s="208">
        <v>44394253</v>
      </c>
      <c r="M33" s="209">
        <v>36669808</v>
      </c>
      <c r="N33" s="209">
        <v>161.6065013133076</v>
      </c>
      <c r="O33" s="209">
        <v>7724445</v>
      </c>
      <c r="P33" s="209">
        <v>34.042188904754347</v>
      </c>
      <c r="Q33" s="208">
        <v>195.64869021806194</v>
      </c>
      <c r="R33" s="210"/>
    </row>
    <row r="34" spans="1:18" ht="15" customHeight="1">
      <c r="A34" s="21" t="s">
        <v>48</v>
      </c>
      <c r="B34" s="18">
        <v>467007</v>
      </c>
      <c r="C34" s="149">
        <f>SUM(F34,D34)</f>
        <v>53680120</v>
      </c>
      <c r="D34" s="151">
        <v>40024563</v>
      </c>
      <c r="E34" s="151">
        <f>D34/B34</f>
        <v>85.704417706800967</v>
      </c>
      <c r="F34" s="151">
        <v>13655557</v>
      </c>
      <c r="G34" s="151">
        <f>F34/B34</f>
        <v>29.240583117597808</v>
      </c>
      <c r="H34" s="149">
        <f>C34/B34</f>
        <v>114.94500082439878</v>
      </c>
      <c r="I34" s="23"/>
      <c r="J34" s="206" t="s">
        <v>48</v>
      </c>
      <c r="K34" s="207">
        <v>470800</v>
      </c>
      <c r="L34" s="208">
        <v>61014734</v>
      </c>
      <c r="M34" s="209">
        <v>43692274</v>
      </c>
      <c r="N34" s="209">
        <v>92.804320305862362</v>
      </c>
      <c r="O34" s="209">
        <v>17322460</v>
      </c>
      <c r="P34" s="209">
        <v>36.793670348343248</v>
      </c>
      <c r="Q34" s="208">
        <v>129.5979906542056</v>
      </c>
      <c r="R34" s="210"/>
    </row>
    <row r="35" spans="1:18" s="23" customFormat="1" ht="15" customHeight="1">
      <c r="A35" s="17" t="s">
        <v>24</v>
      </c>
      <c r="B35" s="148">
        <v>297517</v>
      </c>
      <c r="C35" s="149">
        <f>SUM(F35,D35)</f>
        <v>52457200</v>
      </c>
      <c r="D35" s="150">
        <f>41008131+816000</f>
        <v>41824131</v>
      </c>
      <c r="E35" s="151">
        <f>D35/B35</f>
        <v>140.57728129821152</v>
      </c>
      <c r="F35" s="151">
        <v>10633069</v>
      </c>
      <c r="G35" s="151">
        <f>F35/B35</f>
        <v>35.73936615386684</v>
      </c>
      <c r="H35" s="149">
        <f>C35/B35</f>
        <v>176.31664745207837</v>
      </c>
      <c r="I35"/>
      <c r="J35" s="206" t="s">
        <v>24</v>
      </c>
      <c r="K35" s="207">
        <v>298165</v>
      </c>
      <c r="L35" s="208">
        <v>55958281</v>
      </c>
      <c r="M35" s="209">
        <v>40787427</v>
      </c>
      <c r="N35" s="209">
        <v>136.79481830530077</v>
      </c>
      <c r="O35" s="209">
        <v>15170854</v>
      </c>
      <c r="P35" s="209">
        <v>50.880733821877151</v>
      </c>
      <c r="Q35" s="208">
        <v>187.67555212717789</v>
      </c>
      <c r="R35" s="211"/>
    </row>
    <row r="36" spans="1:18" s="23" customFormat="1" ht="15" customHeight="1">
      <c r="A36" s="21" t="s">
        <v>40</v>
      </c>
      <c r="B36" s="18">
        <v>447841</v>
      </c>
      <c r="C36" s="149">
        <f>SUM(F36,D36)</f>
        <v>51969024</v>
      </c>
      <c r="D36" s="154">
        <v>41650015</v>
      </c>
      <c r="E36" s="151">
        <f>D36/B36</f>
        <v>93.001790814150553</v>
      </c>
      <c r="F36" s="154">
        <v>10319009</v>
      </c>
      <c r="G36" s="151">
        <f>F36/B36</f>
        <v>23.041679971239791</v>
      </c>
      <c r="H36" s="149">
        <f>C36/B36</f>
        <v>116.04347078539035</v>
      </c>
      <c r="J36" s="206" t="s">
        <v>40</v>
      </c>
      <c r="K36" s="207">
        <v>456002</v>
      </c>
      <c r="L36" s="208">
        <v>66824811</v>
      </c>
      <c r="M36" s="209">
        <v>54738461</v>
      </c>
      <c r="N36" s="209">
        <v>120.03995815807825</v>
      </c>
      <c r="O36" s="209">
        <v>12086350</v>
      </c>
      <c r="P36" s="209">
        <v>26.505037258608514</v>
      </c>
      <c r="Q36" s="208">
        <v>146.54499541668676</v>
      </c>
      <c r="R36" s="210"/>
    </row>
    <row r="37" spans="1:18" ht="15" customHeight="1">
      <c r="A37" s="17" t="s">
        <v>41</v>
      </c>
      <c r="B37" s="148">
        <v>294873</v>
      </c>
      <c r="C37" s="149">
        <f>SUM(F37,D37)</f>
        <v>51564573</v>
      </c>
      <c r="D37" s="150">
        <f>47786144+72429</f>
        <v>47858573</v>
      </c>
      <c r="E37" s="151">
        <f>D37/B37</f>
        <v>162.30232337311318</v>
      </c>
      <c r="F37" s="150">
        <v>3706000</v>
      </c>
      <c r="G37" s="151">
        <f>F37/B37</f>
        <v>12.568122547673067</v>
      </c>
      <c r="H37" s="149">
        <f>C37/B37</f>
        <v>174.87044592078624</v>
      </c>
      <c r="J37" s="212" t="s">
        <v>565</v>
      </c>
      <c r="K37" s="213">
        <v>297640</v>
      </c>
      <c r="L37" s="208">
        <v>61092606</v>
      </c>
      <c r="M37" s="214">
        <v>48337042</v>
      </c>
      <c r="N37" s="209">
        <v>162.40102808762262</v>
      </c>
      <c r="O37" s="214">
        <v>12755564</v>
      </c>
      <c r="P37" s="209">
        <v>42.855678000268782</v>
      </c>
      <c r="Q37" s="208">
        <v>205.25670608789142</v>
      </c>
      <c r="R37" s="211"/>
    </row>
    <row r="38" spans="1:18" ht="15" customHeight="1">
      <c r="A38" s="21" t="s">
        <v>25</v>
      </c>
      <c r="B38" s="18">
        <v>352957</v>
      </c>
      <c r="C38" s="149">
        <f>SUM(F38,D38)</f>
        <v>51334033</v>
      </c>
      <c r="D38" s="151">
        <v>36311556</v>
      </c>
      <c r="E38" s="151">
        <f>D38/B38</f>
        <v>102.87812963052157</v>
      </c>
      <c r="F38" s="151">
        <v>15022477</v>
      </c>
      <c r="G38" s="151">
        <f>F38/B38</f>
        <v>42.561776647013659</v>
      </c>
      <c r="H38" s="149">
        <f>C38/B38</f>
        <v>145.43990627753521</v>
      </c>
      <c r="J38" s="206" t="s">
        <v>25</v>
      </c>
      <c r="K38" s="207">
        <v>358699</v>
      </c>
      <c r="L38" s="208">
        <v>64192596</v>
      </c>
      <c r="M38" s="209">
        <v>55583814</v>
      </c>
      <c r="N38" s="209">
        <v>154.95948971142937</v>
      </c>
      <c r="O38" s="209">
        <v>8608782</v>
      </c>
      <c r="P38" s="209">
        <v>24.000016727116609</v>
      </c>
      <c r="Q38" s="208">
        <v>178.95950643854596</v>
      </c>
      <c r="R38" s="210"/>
    </row>
    <row r="39" spans="1:18" ht="15" customHeight="1">
      <c r="A39" s="21" t="s">
        <v>118</v>
      </c>
      <c r="B39" s="18">
        <v>236716</v>
      </c>
      <c r="C39" s="149">
        <f>SUM(F39,D39)</f>
        <v>50042839</v>
      </c>
      <c r="D39" s="151">
        <v>37042839</v>
      </c>
      <c r="E39" s="151">
        <f>D39/B39</f>
        <v>156.48641832406767</v>
      </c>
      <c r="F39" s="151">
        <v>13000000</v>
      </c>
      <c r="G39" s="151">
        <f>F39/B39</f>
        <v>54.918129741969281</v>
      </c>
      <c r="H39" s="149">
        <f>C39/B39</f>
        <v>211.40454806603694</v>
      </c>
      <c r="J39" s="212" t="s">
        <v>118</v>
      </c>
      <c r="K39" s="213">
        <v>248531</v>
      </c>
      <c r="L39" s="208">
        <v>49867182</v>
      </c>
      <c r="M39" s="214">
        <v>37867182</v>
      </c>
      <c r="N39" s="209">
        <v>152.36401897550004</v>
      </c>
      <c r="O39" s="209">
        <v>12000000</v>
      </c>
      <c r="P39" s="209">
        <v>48.283715109986282</v>
      </c>
      <c r="Q39" s="208">
        <v>200.64773408548632</v>
      </c>
      <c r="R39" s="210"/>
    </row>
    <row r="40" spans="1:18" ht="15" customHeight="1">
      <c r="A40" s="21" t="s">
        <v>66</v>
      </c>
      <c r="B40" s="18">
        <v>479686</v>
      </c>
      <c r="C40" s="149">
        <f>SUM(F40,D40)</f>
        <v>49996267</v>
      </c>
      <c r="D40" s="151">
        <v>49404299</v>
      </c>
      <c r="E40" s="151">
        <f>D40/B40</f>
        <v>102.9929975025329</v>
      </c>
      <c r="F40" s="151">
        <v>591968</v>
      </c>
      <c r="G40" s="151">
        <f>F40/B40</f>
        <v>1.2340739567133501</v>
      </c>
      <c r="H40" s="149">
        <f>C40/B40</f>
        <v>104.22707145924626</v>
      </c>
      <c r="J40" s="206" t="s">
        <v>66</v>
      </c>
      <c r="K40" s="207">
        <v>485199</v>
      </c>
      <c r="L40" s="208">
        <v>65617131</v>
      </c>
      <c r="M40" s="209">
        <v>50081422</v>
      </c>
      <c r="N40" s="209">
        <v>103.218312486217</v>
      </c>
      <c r="O40" s="209">
        <v>15535709</v>
      </c>
      <c r="P40" s="209">
        <v>32.019251894583462</v>
      </c>
      <c r="Q40" s="208">
        <v>135.23756438080045</v>
      </c>
      <c r="R40" s="210"/>
    </row>
    <row r="41" spans="1:18" ht="15" customHeight="1">
      <c r="A41" s="17" t="s">
        <v>61</v>
      </c>
      <c r="B41" s="148">
        <v>526116</v>
      </c>
      <c r="C41" s="149">
        <f>SUM(F41,D41)</f>
        <v>45839084</v>
      </c>
      <c r="D41" s="150">
        <f>41552030+158885</f>
        <v>41710915</v>
      </c>
      <c r="E41" s="151">
        <f>D41/B41</f>
        <v>79.280833504398274</v>
      </c>
      <c r="F41" s="151">
        <v>4128169</v>
      </c>
      <c r="G41" s="151">
        <f>F41/B41</f>
        <v>7.8464996312600261</v>
      </c>
      <c r="H41" s="149">
        <f>C41/B41</f>
        <v>87.12733313565829</v>
      </c>
      <c r="I41" s="23"/>
      <c r="J41" s="206" t="s">
        <v>61</v>
      </c>
      <c r="K41" s="207">
        <v>527972</v>
      </c>
      <c r="L41" s="208">
        <v>32460129</v>
      </c>
      <c r="M41" s="208">
        <v>31135268</v>
      </c>
      <c r="N41" s="209">
        <v>58.971437879281474</v>
      </c>
      <c r="O41" s="209">
        <v>1324861</v>
      </c>
      <c r="P41" s="209">
        <v>2.5093395104285832</v>
      </c>
      <c r="Q41" s="208">
        <v>61.480777389710063</v>
      </c>
      <c r="R41" s="210"/>
    </row>
    <row r="42" spans="1:18" ht="15" customHeight="1">
      <c r="A42" s="21" t="s">
        <v>45</v>
      </c>
      <c r="B42" s="18">
        <v>345803</v>
      </c>
      <c r="C42" s="149">
        <f>SUM(F42,D42)</f>
        <v>45290904</v>
      </c>
      <c r="D42" s="151">
        <v>35538278</v>
      </c>
      <c r="E42" s="151">
        <f>D42/B42</f>
        <v>102.77029985280636</v>
      </c>
      <c r="F42" s="151">
        <v>9752626</v>
      </c>
      <c r="G42" s="151">
        <f>F42/B42</f>
        <v>28.202838032058715</v>
      </c>
      <c r="H42" s="149">
        <f>C42/B42</f>
        <v>130.97313788486508</v>
      </c>
      <c r="J42" s="206" t="s">
        <v>45</v>
      </c>
      <c r="K42" s="207">
        <v>353108</v>
      </c>
      <c r="L42" s="208">
        <v>48824606</v>
      </c>
      <c r="M42" s="209">
        <v>37309348</v>
      </c>
      <c r="N42" s="209">
        <v>105.65987743126749</v>
      </c>
      <c r="O42" s="209">
        <v>11515258</v>
      </c>
      <c r="P42" s="209">
        <v>32.611150129705358</v>
      </c>
      <c r="Q42" s="208">
        <v>138.27102756097284</v>
      </c>
      <c r="R42" s="210"/>
    </row>
    <row r="43" spans="1:18" s="4" customFormat="1" ht="15" customHeight="1">
      <c r="A43" s="156" t="s">
        <v>143</v>
      </c>
      <c r="B43" s="157">
        <v>390113</v>
      </c>
      <c r="C43" s="158">
        <f>SUM(F43,D43)</f>
        <v>42998974.879999995</v>
      </c>
      <c r="D43" s="153">
        <v>34199640.5</v>
      </c>
      <c r="E43" s="151">
        <f>D43/B43</f>
        <v>87.665985240173995</v>
      </c>
      <c r="F43" s="153">
        <v>8799334.379999999</v>
      </c>
      <c r="G43" s="151">
        <f>F43/B43</f>
        <v>22.555860430183046</v>
      </c>
      <c r="H43" s="149">
        <f>C43/B43</f>
        <v>110.22184567035704</v>
      </c>
      <c r="I43"/>
      <c r="J43" s="212" t="s">
        <v>143</v>
      </c>
      <c r="K43" s="213">
        <v>389521</v>
      </c>
      <c r="L43" s="208">
        <v>34954503</v>
      </c>
      <c r="M43" s="214">
        <v>31516409</v>
      </c>
      <c r="N43" s="209">
        <v>80.910680040357263</v>
      </c>
      <c r="O43" s="209">
        <v>3438094</v>
      </c>
      <c r="P43" s="209">
        <v>8.8264663522634201</v>
      </c>
      <c r="Q43" s="208">
        <v>89.737146392620687</v>
      </c>
      <c r="R43" s="210"/>
    </row>
    <row r="44" spans="1:18" ht="15" customHeight="1">
      <c r="A44" s="17" t="s">
        <v>92</v>
      </c>
      <c r="B44" s="148">
        <v>610613</v>
      </c>
      <c r="C44" s="149">
        <f>SUM(F44,D44)</f>
        <v>42064298</v>
      </c>
      <c r="D44" s="150">
        <f>32261261+2091117</f>
        <v>34352378</v>
      </c>
      <c r="E44" s="151">
        <f>D44/B44</f>
        <v>56.258838249431307</v>
      </c>
      <c r="F44" s="150">
        <v>7711920</v>
      </c>
      <c r="G44" s="151">
        <f>F44/B44</f>
        <v>12.62979988961912</v>
      </c>
      <c r="H44" s="149">
        <f>C44/B44</f>
        <v>68.888638139050428</v>
      </c>
      <c r="I44" s="23"/>
      <c r="J44" s="206" t="s">
        <v>92</v>
      </c>
      <c r="K44" s="207">
        <v>620602</v>
      </c>
      <c r="L44" s="208">
        <v>33575783</v>
      </c>
      <c r="M44" s="209">
        <v>25266308</v>
      </c>
      <c r="N44" s="209">
        <v>40.712579076445131</v>
      </c>
      <c r="O44" s="209">
        <v>8309475</v>
      </c>
      <c r="P44" s="209">
        <v>13.389378377768683</v>
      </c>
      <c r="Q44" s="208">
        <v>54.10195745421381</v>
      </c>
      <c r="R44" s="210"/>
    </row>
    <row r="45" spans="1:18" ht="15" customHeight="1">
      <c r="A45" s="21" t="s">
        <v>76</v>
      </c>
      <c r="B45" s="18">
        <v>556495</v>
      </c>
      <c r="C45" s="149">
        <f>SUM(F45,D45)</f>
        <v>40677891</v>
      </c>
      <c r="D45" s="151">
        <v>21655429</v>
      </c>
      <c r="E45" s="151">
        <f>D45/B45</f>
        <v>38.913968678963869</v>
      </c>
      <c r="F45" s="151">
        <v>19022462</v>
      </c>
      <c r="G45" s="151">
        <f>F45/B45</f>
        <v>34.182628774741914</v>
      </c>
      <c r="H45" s="149">
        <f>C45/B45</f>
        <v>73.096597453705783</v>
      </c>
      <c r="J45" s="212" t="s">
        <v>76</v>
      </c>
      <c r="K45" s="213">
        <v>557169</v>
      </c>
      <c r="L45" s="208">
        <v>24672085</v>
      </c>
      <c r="M45" s="214">
        <v>22141782</v>
      </c>
      <c r="N45" s="209">
        <v>39.73979528652886</v>
      </c>
      <c r="O45" s="209">
        <v>2530303</v>
      </c>
      <c r="P45" s="209">
        <v>4.5413563927641345</v>
      </c>
      <c r="Q45" s="208">
        <v>44.281151679292996</v>
      </c>
      <c r="R45" s="210"/>
    </row>
    <row r="46" spans="1:18" ht="15" customHeight="1">
      <c r="A46" s="21" t="s">
        <v>23</v>
      </c>
      <c r="B46" s="18">
        <v>270811</v>
      </c>
      <c r="C46" s="149">
        <f>SUM(F46,D46)</f>
        <v>40223416</v>
      </c>
      <c r="D46" s="151">
        <v>33625425</v>
      </c>
      <c r="E46" s="151">
        <f>D46/B46</f>
        <v>124.16565427549102</v>
      </c>
      <c r="F46" s="151">
        <v>6597991</v>
      </c>
      <c r="G46" s="151">
        <f>F46/B46</f>
        <v>24.363822001321957</v>
      </c>
      <c r="H46" s="149">
        <f>C46/B46</f>
        <v>148.52947627681297</v>
      </c>
      <c r="J46" s="212" t="s">
        <v>23</v>
      </c>
      <c r="K46" s="213">
        <v>277440</v>
      </c>
      <c r="L46" s="208">
        <v>44977300</v>
      </c>
      <c r="M46" s="214">
        <v>33802000</v>
      </c>
      <c r="N46" s="209">
        <v>121.83535178777393</v>
      </c>
      <c r="O46" s="214">
        <v>11175300</v>
      </c>
      <c r="P46" s="209">
        <v>40.28006055363322</v>
      </c>
      <c r="Q46" s="208">
        <v>162.11541234140716</v>
      </c>
      <c r="R46" s="211"/>
    </row>
    <row r="47" spans="1:18" s="23" customFormat="1" ht="15" customHeight="1">
      <c r="A47" s="21" t="s">
        <v>98</v>
      </c>
      <c r="B47" s="164">
        <v>990977</v>
      </c>
      <c r="C47" s="149">
        <f>SUM(F47,D47)</f>
        <v>39720763</v>
      </c>
      <c r="D47" s="151">
        <v>33120763</v>
      </c>
      <c r="E47" s="151">
        <f>D47/B47</f>
        <v>33.422332708024506</v>
      </c>
      <c r="F47" s="151">
        <v>6600000</v>
      </c>
      <c r="G47" s="151">
        <f>F47/B47</f>
        <v>6.6600940284184196</v>
      </c>
      <c r="H47" s="149">
        <f>C47/B47</f>
        <v>40.082426736442926</v>
      </c>
      <c r="I47"/>
      <c r="J47" s="206" t="s">
        <v>574</v>
      </c>
      <c r="K47" s="207">
        <v>1012539</v>
      </c>
      <c r="L47" s="208">
        <v>40418368</v>
      </c>
      <c r="M47" s="209">
        <v>35818368</v>
      </c>
      <c r="N47" s="209">
        <v>35.37480334090835</v>
      </c>
      <c r="O47" s="209">
        <v>4600000</v>
      </c>
      <c r="P47" s="209">
        <v>4.5430348855698401</v>
      </c>
      <c r="Q47" s="208">
        <v>39.917838226478189</v>
      </c>
      <c r="R47" s="210"/>
    </row>
    <row r="48" spans="1:18" ht="15" customHeight="1">
      <c r="A48" s="21" t="s">
        <v>47</v>
      </c>
      <c r="B48" s="18">
        <v>318416</v>
      </c>
      <c r="C48" s="149">
        <f>SUM(F48,D48)</f>
        <v>39686184</v>
      </c>
      <c r="D48" s="151">
        <v>31359351</v>
      </c>
      <c r="E48" s="151">
        <f>D48/B48</f>
        <v>98.485474976131854</v>
      </c>
      <c r="F48" s="151">
        <v>8326833</v>
      </c>
      <c r="G48" s="151">
        <f>F48/B48</f>
        <v>26.15079958293553</v>
      </c>
      <c r="H48" s="149">
        <f>C48/B48</f>
        <v>124.63627455906739</v>
      </c>
      <c r="I48" s="23"/>
      <c r="J48" s="206" t="s">
        <v>564</v>
      </c>
      <c r="K48" s="207">
        <v>317419</v>
      </c>
      <c r="L48" s="208">
        <v>66746000</v>
      </c>
      <c r="M48" s="209">
        <v>19659971</v>
      </c>
      <c r="N48" s="209">
        <v>61.936969746612519</v>
      </c>
      <c r="O48" s="209">
        <v>47086029</v>
      </c>
      <c r="P48" s="209">
        <v>148.34029783976385</v>
      </c>
      <c r="Q48" s="208">
        <v>210.27726758637635</v>
      </c>
      <c r="R48" s="211"/>
    </row>
    <row r="49" spans="1:18" s="23" customFormat="1" ht="15" customHeight="1">
      <c r="A49" s="21" t="s">
        <v>67</v>
      </c>
      <c r="B49" s="18">
        <v>622104</v>
      </c>
      <c r="C49" s="149">
        <f>SUM(F49,D49)</f>
        <v>35477353</v>
      </c>
      <c r="D49" s="151">
        <v>35477353</v>
      </c>
      <c r="E49" s="151">
        <f>D49/B49</f>
        <v>57.028009786145084</v>
      </c>
      <c r="F49" s="151">
        <v>0</v>
      </c>
      <c r="G49" s="151">
        <f>F49/B49</f>
        <v>0</v>
      </c>
      <c r="H49" s="149">
        <f>C49/B49</f>
        <v>57.028009786145084</v>
      </c>
      <c r="I49"/>
      <c r="J49" s="206" t="s">
        <v>67</v>
      </c>
      <c r="K49" s="207">
        <v>622793</v>
      </c>
      <c r="L49" s="208">
        <v>52955302</v>
      </c>
      <c r="M49" s="209">
        <v>35813302</v>
      </c>
      <c r="N49" s="209">
        <v>57.50434253435732</v>
      </c>
      <c r="O49" s="209">
        <v>17142000</v>
      </c>
      <c r="P49" s="209">
        <v>27.524394140589248</v>
      </c>
      <c r="Q49" s="208">
        <v>85.028736674946572</v>
      </c>
      <c r="R49" s="210"/>
    </row>
    <row r="50" spans="1:18" ht="15" customHeight="1">
      <c r="A50" s="21" t="s">
        <v>72</v>
      </c>
      <c r="B50" s="18">
        <v>379577</v>
      </c>
      <c r="C50" s="149">
        <f>SUM(F50,D50)</f>
        <v>35009867</v>
      </c>
      <c r="D50" s="151">
        <v>26828566</v>
      </c>
      <c r="E50" s="151">
        <f>D50/B50</f>
        <v>70.680167660316613</v>
      </c>
      <c r="F50" s="151">
        <v>8181301</v>
      </c>
      <c r="G50" s="151">
        <f>F50/B50</f>
        <v>21.553732180822337</v>
      </c>
      <c r="H50" s="149">
        <f>C50/B50</f>
        <v>92.23389984113895</v>
      </c>
      <c r="I50" s="23"/>
      <c r="J50" s="206" t="s">
        <v>72</v>
      </c>
      <c r="K50" s="207">
        <v>383204</v>
      </c>
      <c r="L50" s="208">
        <v>35123651</v>
      </c>
      <c r="M50" s="209">
        <v>29069148</v>
      </c>
      <c r="N50" s="209">
        <v>75.858153881483489</v>
      </c>
      <c r="O50" s="209">
        <v>6054503</v>
      </c>
      <c r="P50" s="209">
        <v>15.799686328952724</v>
      </c>
      <c r="Q50" s="208">
        <v>91.65784021043622</v>
      </c>
      <c r="R50" s="210"/>
    </row>
    <row r="51" spans="1:18" ht="15" customHeight="1">
      <c r="A51" s="156" t="s">
        <v>148</v>
      </c>
      <c r="B51" s="157">
        <v>653450</v>
      </c>
      <c r="C51" s="158">
        <f>SUM(F51,D51)</f>
        <v>34217940</v>
      </c>
      <c r="D51" s="153">
        <v>26742547</v>
      </c>
      <c r="E51" s="151">
        <f>D51/B51</f>
        <v>40.925161833346088</v>
      </c>
      <c r="F51" s="153">
        <v>7475393</v>
      </c>
      <c r="G51" s="151">
        <f>F51/B51</f>
        <v>11.439885224577244</v>
      </c>
      <c r="H51" s="149">
        <f>C51/B51</f>
        <v>52.365047057923327</v>
      </c>
      <c r="J51" s="206" t="s">
        <v>148</v>
      </c>
      <c r="K51" s="207">
        <v>656861</v>
      </c>
      <c r="L51" s="208">
        <v>34356225</v>
      </c>
      <c r="M51" s="209">
        <v>29891225</v>
      </c>
      <c r="N51" s="209">
        <v>45.506164926826223</v>
      </c>
      <c r="O51" s="209">
        <v>4465000</v>
      </c>
      <c r="P51" s="209">
        <v>6.7974807455458617</v>
      </c>
      <c r="Q51" s="208">
        <v>52.303645672372085</v>
      </c>
      <c r="R51" s="211"/>
    </row>
    <row r="52" spans="1:18" s="23" customFormat="1" ht="15" customHeight="1">
      <c r="A52" s="17" t="s">
        <v>144</v>
      </c>
      <c r="B52" s="148">
        <v>417650</v>
      </c>
      <c r="C52" s="149">
        <f>SUM(F52,D52)</f>
        <v>33556098</v>
      </c>
      <c r="D52" s="150">
        <f>5746633+25314985</f>
        <v>31061618</v>
      </c>
      <c r="E52" s="151">
        <f>D52/B52</f>
        <v>74.372364419968875</v>
      </c>
      <c r="F52" s="150">
        <v>2494480</v>
      </c>
      <c r="G52" s="151">
        <f>F52/B52</f>
        <v>5.9726565305878125</v>
      </c>
      <c r="H52" s="149">
        <f>C52/B52</f>
        <v>80.345020950556687</v>
      </c>
      <c r="I52"/>
      <c r="J52" s="206" t="s">
        <v>77</v>
      </c>
      <c r="K52" s="207">
        <v>430332</v>
      </c>
      <c r="L52" s="208">
        <v>31430251</v>
      </c>
      <c r="M52" s="209">
        <v>30287355</v>
      </c>
      <c r="N52" s="209">
        <v>70.38136833886395</v>
      </c>
      <c r="O52" s="209">
        <v>1142896</v>
      </c>
      <c r="P52" s="209">
        <v>2.6558471133915211</v>
      </c>
      <c r="Q52" s="208">
        <v>73.037215452255467</v>
      </c>
      <c r="R52" s="211"/>
    </row>
    <row r="53" spans="1:18" s="23" customFormat="1" ht="15" customHeight="1">
      <c r="A53" s="21" t="s">
        <v>26</v>
      </c>
      <c r="B53" s="18">
        <v>249688</v>
      </c>
      <c r="C53" s="149">
        <f>SUM(F53,D53)</f>
        <v>32721618</v>
      </c>
      <c r="D53" s="151">
        <v>32646523</v>
      </c>
      <c r="E53" s="151">
        <f>D53/B53</f>
        <v>130.74926708532249</v>
      </c>
      <c r="F53" s="151">
        <v>75095</v>
      </c>
      <c r="G53" s="151">
        <f>F53/B53</f>
        <v>0.30075534266764925</v>
      </c>
      <c r="H53" s="149">
        <f>C53/B53</f>
        <v>131.05002242799014</v>
      </c>
      <c r="I53"/>
      <c r="J53" s="212" t="s">
        <v>26</v>
      </c>
      <c r="K53" s="213">
        <v>253693</v>
      </c>
      <c r="L53" s="208">
        <v>32854144</v>
      </c>
      <c r="M53" s="214">
        <v>32789189</v>
      </c>
      <c r="N53" s="209">
        <v>129.24751175633543</v>
      </c>
      <c r="O53" s="209">
        <v>64955</v>
      </c>
      <c r="P53" s="209">
        <v>0.25603780947838528</v>
      </c>
      <c r="Q53" s="208">
        <v>129.50354956581378</v>
      </c>
      <c r="R53" s="210"/>
    </row>
    <row r="54" spans="1:18" ht="15" customHeight="1">
      <c r="A54" s="17" t="s">
        <v>78</v>
      </c>
      <c r="B54" s="148">
        <v>363630</v>
      </c>
      <c r="C54" s="149">
        <f>SUM(F54,D54)</f>
        <v>31399680</v>
      </c>
      <c r="D54" s="150">
        <f>23832106</f>
        <v>23832106</v>
      </c>
      <c r="E54" s="151">
        <f>D54/B54</f>
        <v>65.539438440172702</v>
      </c>
      <c r="F54" s="151">
        <v>7567574</v>
      </c>
      <c r="G54" s="151">
        <f>F54/B54</f>
        <v>20.811192695872176</v>
      </c>
      <c r="H54" s="149">
        <f>C54/B54</f>
        <v>86.350631136044882</v>
      </c>
      <c r="J54" s="206" t="s">
        <v>571</v>
      </c>
      <c r="K54" s="207">
        <v>368759</v>
      </c>
      <c r="L54" s="208">
        <v>27211792</v>
      </c>
      <c r="M54" s="209">
        <v>24188921</v>
      </c>
      <c r="N54" s="209">
        <v>65.595472924050668</v>
      </c>
      <c r="O54" s="209">
        <v>3022871</v>
      </c>
      <c r="P54" s="209">
        <v>8.1974161986554908</v>
      </c>
      <c r="Q54" s="208">
        <v>73.792889122706157</v>
      </c>
      <c r="R54" s="210"/>
    </row>
    <row r="55" spans="1:18" ht="15" customHeight="1">
      <c r="A55" s="21" t="s">
        <v>94</v>
      </c>
      <c r="B55" s="18">
        <v>457587</v>
      </c>
      <c r="C55" s="149">
        <f>SUM(F55,D55)</f>
        <v>31172670</v>
      </c>
      <c r="D55" s="151">
        <v>23372670</v>
      </c>
      <c r="E55" s="151">
        <f>D55/B55</f>
        <v>51.078090068118193</v>
      </c>
      <c r="F55" s="151">
        <v>7800000</v>
      </c>
      <c r="G55" s="151">
        <f>F55/B55</f>
        <v>17.04593880507969</v>
      </c>
      <c r="H55" s="149">
        <f>C55/B55</f>
        <v>68.124028873197886</v>
      </c>
      <c r="J55" s="206" t="s">
        <v>94</v>
      </c>
      <c r="K55" s="207">
        <v>464704</v>
      </c>
      <c r="L55" s="208">
        <v>31617738</v>
      </c>
      <c r="M55" s="209">
        <v>24727271</v>
      </c>
      <c r="N55" s="209">
        <v>53.210798701969424</v>
      </c>
      <c r="O55" s="209">
        <v>6890467</v>
      </c>
      <c r="P55" s="209">
        <v>14.82764727654593</v>
      </c>
      <c r="Q55" s="208">
        <v>68.038445978515355</v>
      </c>
      <c r="R55" s="210"/>
    </row>
    <row r="56" spans="1:18" ht="15" customHeight="1">
      <c r="A56" s="21" t="s">
        <v>87</v>
      </c>
      <c r="B56" s="18">
        <v>434353</v>
      </c>
      <c r="C56" s="149">
        <f>SUM(F56,D56)</f>
        <v>30878614</v>
      </c>
      <c r="D56" s="151">
        <v>24353026</v>
      </c>
      <c r="E56" s="151">
        <f>D56/B56</f>
        <v>56.067359958374873</v>
      </c>
      <c r="F56" s="151">
        <v>6525588</v>
      </c>
      <c r="G56" s="151">
        <f>F56/B56</f>
        <v>15.023697315317264</v>
      </c>
      <c r="H56" s="149">
        <f>C56/B56</f>
        <v>71.09105727369213</v>
      </c>
      <c r="I56" s="23"/>
      <c r="J56" s="212" t="s">
        <v>87</v>
      </c>
      <c r="K56" s="213">
        <v>446599</v>
      </c>
      <c r="L56" s="208">
        <v>32170543</v>
      </c>
      <c r="M56" s="214">
        <v>26313403</v>
      </c>
      <c r="N56" s="209">
        <v>58.919529600379761</v>
      </c>
      <c r="O56" s="214">
        <v>5857140</v>
      </c>
      <c r="P56" s="209">
        <v>13.114986822630593</v>
      </c>
      <c r="Q56" s="208">
        <v>72.034516423010345</v>
      </c>
      <c r="R56" s="210"/>
    </row>
    <row r="57" spans="1:18" ht="15" customHeight="1">
      <c r="A57" s="160" t="s">
        <v>145</v>
      </c>
      <c r="B57" s="161">
        <v>378715</v>
      </c>
      <c r="C57" s="162">
        <f>SUM(F57,D57)</f>
        <v>30642369</v>
      </c>
      <c r="D57" s="163">
        <v>25047915</v>
      </c>
      <c r="E57" s="151">
        <f>D57/B57</f>
        <v>66.139220786079235</v>
      </c>
      <c r="F57" s="163">
        <v>5594454</v>
      </c>
      <c r="G57" s="151">
        <f>F57/B57</f>
        <v>14.772200731420725</v>
      </c>
      <c r="H57" s="149">
        <f>C57/B57</f>
        <v>80.91142151749996</v>
      </c>
      <c r="J57" s="212" t="s">
        <v>145</v>
      </c>
      <c r="K57" s="213">
        <v>384320</v>
      </c>
      <c r="L57" s="208">
        <v>42346928</v>
      </c>
      <c r="M57" s="214">
        <v>27240904</v>
      </c>
      <c r="N57" s="209">
        <v>70.880786844296424</v>
      </c>
      <c r="O57" s="209">
        <v>15106024</v>
      </c>
      <c r="P57" s="209">
        <v>39.305849292256454</v>
      </c>
      <c r="Q57" s="208">
        <v>110.18663613655288</v>
      </c>
      <c r="R57" s="211"/>
    </row>
    <row r="58" spans="1:18" s="23" customFormat="1" ht="15" customHeight="1">
      <c r="A58" s="21" t="s">
        <v>142</v>
      </c>
      <c r="B58" s="18">
        <v>255483</v>
      </c>
      <c r="C58" s="149">
        <f>SUM(F58,D58)</f>
        <v>30162588</v>
      </c>
      <c r="D58" s="151">
        <v>29075128</v>
      </c>
      <c r="E58" s="151">
        <f>D58/B58</f>
        <v>113.80455059632148</v>
      </c>
      <c r="F58" s="151">
        <v>1087460</v>
      </c>
      <c r="G58" s="151">
        <f>F58/B58</f>
        <v>4.2564867329724478</v>
      </c>
      <c r="H58" s="149">
        <f>C58/B58</f>
        <v>118.06103732929392</v>
      </c>
      <c r="I58"/>
      <c r="J58" s="206" t="s">
        <v>142</v>
      </c>
      <c r="K58" s="207">
        <v>262372</v>
      </c>
      <c r="L58" s="208">
        <v>34157935</v>
      </c>
      <c r="M58" s="209">
        <v>32018236</v>
      </c>
      <c r="N58" s="209">
        <v>122.03373835622703</v>
      </c>
      <c r="O58" s="209">
        <v>2139699</v>
      </c>
      <c r="P58" s="209">
        <v>8.1552109218971545</v>
      </c>
      <c r="Q58" s="208">
        <v>130.1889492781242</v>
      </c>
      <c r="R58" s="211"/>
    </row>
    <row r="59" spans="1:18" s="23" customFormat="1" ht="15" customHeight="1">
      <c r="A59" s="21" t="s">
        <v>55</v>
      </c>
      <c r="B59" s="18">
        <v>243344</v>
      </c>
      <c r="C59" s="149">
        <f>SUM(F59,D59)</f>
        <v>29111447</v>
      </c>
      <c r="D59" s="151">
        <v>22562785</v>
      </c>
      <c r="E59" s="151">
        <f>D59/B59</f>
        <v>92.719709546978763</v>
      </c>
      <c r="F59" s="151">
        <v>6548662</v>
      </c>
      <c r="G59" s="151">
        <f>F59/B59</f>
        <v>26.911129923071865</v>
      </c>
      <c r="H59" s="149">
        <f>C59/B59</f>
        <v>119.63083947005063</v>
      </c>
      <c r="I59"/>
      <c r="J59" s="206" t="s">
        <v>55</v>
      </c>
      <c r="K59" s="207">
        <v>245691</v>
      </c>
      <c r="L59" s="208">
        <v>31172072</v>
      </c>
      <c r="M59" s="209">
        <v>23351579</v>
      </c>
      <c r="N59" s="209">
        <v>95.044503054649951</v>
      </c>
      <c r="O59" s="209">
        <v>7820493</v>
      </c>
      <c r="P59" s="209">
        <v>31.830604295639645</v>
      </c>
      <c r="Q59" s="208">
        <v>126.8751073502896</v>
      </c>
      <c r="R59" s="210"/>
    </row>
    <row r="60" spans="1:18" ht="15" customHeight="1">
      <c r="A60" s="21" t="s">
        <v>88</v>
      </c>
      <c r="B60" s="18">
        <v>439886</v>
      </c>
      <c r="C60" s="149">
        <f>SUM(F60,D60)</f>
        <v>28999840</v>
      </c>
      <c r="D60" s="151">
        <v>22737893</v>
      </c>
      <c r="E60" s="151">
        <f>D60/B60</f>
        <v>51.690422063898374</v>
      </c>
      <c r="F60" s="151">
        <v>6261947</v>
      </c>
      <c r="G60" s="151">
        <f>F60/B60</f>
        <v>14.235385986369195</v>
      </c>
      <c r="H60" s="149">
        <f>C60/B60</f>
        <v>65.925808050267563</v>
      </c>
      <c r="J60" s="206" t="s">
        <v>88</v>
      </c>
      <c r="K60" s="207">
        <v>445830</v>
      </c>
      <c r="L60" s="208">
        <v>30011098</v>
      </c>
      <c r="M60" s="209">
        <v>23392359</v>
      </c>
      <c r="N60" s="209">
        <v>52.46923491016755</v>
      </c>
      <c r="O60" s="209">
        <v>6618739</v>
      </c>
      <c r="P60" s="209">
        <v>14.845880716865173</v>
      </c>
      <c r="Q60" s="208">
        <v>67.315115627032725</v>
      </c>
      <c r="R60" s="210"/>
    </row>
    <row r="61" spans="1:18" ht="15" customHeight="1">
      <c r="A61" s="21" t="s">
        <v>151</v>
      </c>
      <c r="B61" s="164">
        <v>756832</v>
      </c>
      <c r="C61" s="149">
        <f>SUM(F61,D61)</f>
        <v>26192385</v>
      </c>
      <c r="D61" s="151">
        <v>20913637</v>
      </c>
      <c r="E61" s="151">
        <f>D61/B61</f>
        <v>27.633129941651514</v>
      </c>
      <c r="F61" s="151">
        <v>5278748</v>
      </c>
      <c r="G61" s="151">
        <f>F61/B61</f>
        <v>6.9747949346750664</v>
      </c>
      <c r="H61" s="149">
        <f>C61/B61</f>
        <v>34.607924876326585</v>
      </c>
      <c r="I61" s="23"/>
      <c r="J61" s="206" t="s">
        <v>572</v>
      </c>
      <c r="K61" s="207">
        <v>760026</v>
      </c>
      <c r="L61" s="208">
        <v>46687583</v>
      </c>
      <c r="M61" s="209">
        <v>28199309</v>
      </c>
      <c r="N61" s="209">
        <v>37.103084631315241</v>
      </c>
      <c r="O61" s="209">
        <v>18488274</v>
      </c>
      <c r="P61" s="209">
        <v>24.325844115859194</v>
      </c>
      <c r="Q61" s="208">
        <v>61.428928747174439</v>
      </c>
      <c r="R61" s="210"/>
    </row>
    <row r="62" spans="1:18" ht="15" customHeight="1">
      <c r="A62" s="160" t="s">
        <v>70</v>
      </c>
      <c r="B62" s="161">
        <v>674433</v>
      </c>
      <c r="C62" s="162">
        <f>SUM(F62,D62)</f>
        <v>25869198</v>
      </c>
      <c r="D62" s="163">
        <v>25858698</v>
      </c>
      <c r="E62" s="151">
        <f>D62/B62</f>
        <v>38.341388988972959</v>
      </c>
      <c r="F62" s="153">
        <v>10500</v>
      </c>
      <c r="G62" s="151">
        <f>F62/B62</f>
        <v>1.5568633207449813E-2</v>
      </c>
      <c r="H62" s="149">
        <f>C62/B62</f>
        <v>38.35695762218041</v>
      </c>
      <c r="J62" s="212" t="s">
        <v>575</v>
      </c>
      <c r="K62" s="213">
        <v>679036</v>
      </c>
      <c r="L62" s="208">
        <v>22397585</v>
      </c>
      <c r="M62" s="214">
        <v>22387085</v>
      </c>
      <c r="N62" s="209">
        <v>32.968922119003999</v>
      </c>
      <c r="O62" s="209">
        <v>10500</v>
      </c>
      <c r="P62" s="209">
        <v>1.5463097685542446E-2</v>
      </c>
      <c r="Q62" s="208">
        <v>32.984385216689539</v>
      </c>
      <c r="R62" s="210"/>
    </row>
    <row r="63" spans="1:18" ht="15" customHeight="1">
      <c r="A63" s="21" t="s">
        <v>68</v>
      </c>
      <c r="B63" s="18">
        <v>308428</v>
      </c>
      <c r="C63" s="149">
        <f>SUM(F63,D63)</f>
        <v>25568000</v>
      </c>
      <c r="D63" s="151">
        <v>23268000</v>
      </c>
      <c r="E63" s="151">
        <f>D63/B63</f>
        <v>75.440621474055533</v>
      </c>
      <c r="F63" s="151">
        <v>2300000</v>
      </c>
      <c r="G63" s="151">
        <f>F63/B63</f>
        <v>7.457169906752954</v>
      </c>
      <c r="H63" s="149">
        <f>C63/B63</f>
        <v>82.897791380808485</v>
      </c>
      <c r="J63" s="212" t="s">
        <v>570</v>
      </c>
      <c r="K63" s="213">
        <v>310797</v>
      </c>
      <c r="L63" s="208">
        <v>25608000</v>
      </c>
      <c r="M63" s="214">
        <v>23308000</v>
      </c>
      <c r="N63" s="209">
        <v>74.994288876662253</v>
      </c>
      <c r="O63" s="209">
        <v>2300000</v>
      </c>
      <c r="P63" s="209">
        <v>7.4003288320028826</v>
      </c>
      <c r="Q63" s="208">
        <v>82.394617708665137</v>
      </c>
      <c r="R63" s="210"/>
    </row>
    <row r="64" spans="1:18" ht="15" customHeight="1">
      <c r="A64" s="21" t="s">
        <v>36</v>
      </c>
      <c r="B64" s="18">
        <v>274409</v>
      </c>
      <c r="C64" s="149">
        <f>SUM(F64,D64)</f>
        <v>24827990</v>
      </c>
      <c r="D64" s="151">
        <v>24827990</v>
      </c>
      <c r="E64" s="151">
        <f>D64/B64</f>
        <v>90.478045545153407</v>
      </c>
      <c r="F64" s="151">
        <v>0</v>
      </c>
      <c r="G64" s="151">
        <f>F64/B64</f>
        <v>0</v>
      </c>
      <c r="H64" s="149">
        <f>C64/B64</f>
        <v>90.478045545153407</v>
      </c>
      <c r="J64" s="206" t="s">
        <v>36</v>
      </c>
      <c r="K64" s="207">
        <v>278480</v>
      </c>
      <c r="L64" s="208">
        <v>43761808</v>
      </c>
      <c r="M64" s="209">
        <v>26540663</v>
      </c>
      <c r="N64" s="209">
        <v>95.305454610744036</v>
      </c>
      <c r="O64" s="209">
        <v>17221145</v>
      </c>
      <c r="P64" s="209">
        <v>61.839791008330941</v>
      </c>
      <c r="Q64" s="208">
        <v>157.14524561907498</v>
      </c>
      <c r="R64" s="210"/>
    </row>
    <row r="65" spans="1:18" ht="15" customHeight="1">
      <c r="A65" s="21" t="s">
        <v>69</v>
      </c>
      <c r="B65" s="18">
        <v>268738</v>
      </c>
      <c r="C65" s="149">
        <f>SUM(F65,D65)</f>
        <v>23975561</v>
      </c>
      <c r="D65" s="151">
        <v>15656907</v>
      </c>
      <c r="E65" s="151">
        <f>D65/B65</f>
        <v>58.260860019796233</v>
      </c>
      <c r="F65" s="151">
        <v>8318654</v>
      </c>
      <c r="G65" s="151">
        <f>F65/B65</f>
        <v>30.954513317803958</v>
      </c>
      <c r="H65" s="149">
        <f>C65/B65</f>
        <v>89.215373337600184</v>
      </c>
      <c r="J65" s="212" t="s">
        <v>69</v>
      </c>
      <c r="K65" s="213">
        <v>272996</v>
      </c>
      <c r="L65" s="208">
        <v>22116380</v>
      </c>
      <c r="M65" s="214">
        <v>16530245</v>
      </c>
      <c r="N65" s="209">
        <v>60.551235182933084</v>
      </c>
      <c r="O65" s="214">
        <v>5586135</v>
      </c>
      <c r="P65" s="209">
        <v>20.462332781432696</v>
      </c>
      <c r="Q65" s="208">
        <v>81.013567964365777</v>
      </c>
      <c r="R65" s="211"/>
    </row>
    <row r="66" spans="1:18" s="23" customFormat="1" ht="15" customHeight="1">
      <c r="A66" s="21" t="s">
        <v>44</v>
      </c>
      <c r="B66" s="18">
        <v>316381</v>
      </c>
      <c r="C66" s="149">
        <f>SUM(F66,D66)</f>
        <v>23790990</v>
      </c>
      <c r="D66" s="151">
        <v>23002897</v>
      </c>
      <c r="E66" s="151">
        <f>D66/B66</f>
        <v>72.706316118856691</v>
      </c>
      <c r="F66" s="151">
        <v>788093</v>
      </c>
      <c r="G66" s="151">
        <f>F66/B66</f>
        <v>2.4909618466342796</v>
      </c>
      <c r="H66" s="149">
        <f>C66/B66</f>
        <v>75.197277965490969</v>
      </c>
      <c r="I66"/>
      <c r="J66" s="206" t="s">
        <v>44</v>
      </c>
      <c r="K66" s="207">
        <v>320434</v>
      </c>
      <c r="L66" s="208">
        <v>22237643</v>
      </c>
      <c r="M66" s="209">
        <v>20572804</v>
      </c>
      <c r="N66" s="209">
        <v>64.20293726633254</v>
      </c>
      <c r="O66" s="209">
        <v>1664839</v>
      </c>
      <c r="P66" s="209">
        <v>5.19557537589644</v>
      </c>
      <c r="Q66" s="208">
        <v>69.39851264222898</v>
      </c>
      <c r="R66" s="210"/>
    </row>
    <row r="67" spans="1:18" ht="15" customHeight="1">
      <c r="A67" s="21" t="s">
        <v>58</v>
      </c>
      <c r="B67" s="18">
        <v>316619</v>
      </c>
      <c r="C67" s="149">
        <f>SUM(F67,D67)</f>
        <v>23725919</v>
      </c>
      <c r="D67" s="151">
        <v>21058919</v>
      </c>
      <c r="E67" s="151">
        <f>D67/B67</f>
        <v>66.511861259115847</v>
      </c>
      <c r="F67" s="151">
        <v>2667000</v>
      </c>
      <c r="G67" s="151">
        <f>F67/B67</f>
        <v>8.423373202492586</v>
      </c>
      <c r="H67" s="149">
        <f>C67/B67</f>
        <v>74.935234461608431</v>
      </c>
      <c r="J67" s="206" t="s">
        <v>58</v>
      </c>
      <c r="K67" s="207">
        <v>319504</v>
      </c>
      <c r="L67" s="208">
        <v>21562163</v>
      </c>
      <c r="M67" s="209">
        <v>18377566</v>
      </c>
      <c r="N67" s="209">
        <v>57.519048274825977</v>
      </c>
      <c r="O67" s="209">
        <v>3184597</v>
      </c>
      <c r="P67" s="209">
        <v>9.9673149631929494</v>
      </c>
      <c r="Q67" s="208">
        <v>67.486363238018924</v>
      </c>
      <c r="R67" s="210"/>
    </row>
    <row r="68" spans="1:18" ht="15" customHeight="1">
      <c r="A68" s="21" t="s">
        <v>100</v>
      </c>
      <c r="B68" s="18">
        <v>398121</v>
      </c>
      <c r="C68" s="149">
        <f>SUM(F68,D68)</f>
        <v>23323150</v>
      </c>
      <c r="D68" s="153">
        <v>20615737</v>
      </c>
      <c r="E68" s="151">
        <f>D68/B68</f>
        <v>51.782591222266596</v>
      </c>
      <c r="F68" s="153">
        <v>2707413</v>
      </c>
      <c r="G68" s="151">
        <f>F68/B68</f>
        <v>6.8004777442033957</v>
      </c>
      <c r="H68" s="149">
        <f>C68/B68</f>
        <v>58.583068966469995</v>
      </c>
      <c r="J68" s="206" t="s">
        <v>100</v>
      </c>
      <c r="K68" s="207">
        <v>399682</v>
      </c>
      <c r="L68" s="208">
        <v>24461359</v>
      </c>
      <c r="M68" s="209">
        <v>21690659</v>
      </c>
      <c r="N68" s="209">
        <v>54.26979198462778</v>
      </c>
      <c r="O68" s="209">
        <v>2770700</v>
      </c>
      <c r="P68" s="209">
        <v>6.9322611476123521</v>
      </c>
      <c r="Q68" s="208">
        <v>61.202053132240131</v>
      </c>
      <c r="R68" s="210"/>
    </row>
    <row r="69" spans="1:18" ht="15" customHeight="1">
      <c r="A69" s="17" t="s">
        <v>97</v>
      </c>
      <c r="B69" s="148">
        <v>842583</v>
      </c>
      <c r="C69" s="149">
        <f>SUM(F69,D69)</f>
        <v>23123973</v>
      </c>
      <c r="D69" s="150">
        <f>22283640+65000</f>
        <v>22348640</v>
      </c>
      <c r="E69" s="151">
        <f>D69/B69</f>
        <v>26.523962624453613</v>
      </c>
      <c r="F69" s="151">
        <v>775333</v>
      </c>
      <c r="G69" s="151">
        <f>F69/B69</f>
        <v>0.92018590453403404</v>
      </c>
      <c r="H69" s="149">
        <f>C69/B69</f>
        <v>27.44414852898765</v>
      </c>
      <c r="J69" s="206" t="s">
        <v>97</v>
      </c>
      <c r="K69" s="207">
        <v>853382</v>
      </c>
      <c r="L69" s="208">
        <v>28897197</v>
      </c>
      <c r="M69" s="209">
        <v>28117197</v>
      </c>
      <c r="N69" s="209">
        <v>32.947961170964469</v>
      </c>
      <c r="O69" s="209">
        <v>780000</v>
      </c>
      <c r="P69" s="209">
        <v>0.91401037284592368</v>
      </c>
      <c r="Q69" s="208">
        <v>33.861971543810391</v>
      </c>
      <c r="R69" s="210"/>
    </row>
    <row r="70" spans="1:18" ht="15" customHeight="1">
      <c r="A70" s="17" t="s">
        <v>146</v>
      </c>
      <c r="B70" s="148">
        <v>226918</v>
      </c>
      <c r="C70" s="149">
        <f>SUM(F70,D70)</f>
        <v>22679992</v>
      </c>
      <c r="D70" s="150">
        <v>22679992</v>
      </c>
      <c r="E70" s="151">
        <f>D70/B70</f>
        <v>99.947963581558099</v>
      </c>
      <c r="F70" s="151">
        <v>0</v>
      </c>
      <c r="G70" s="151">
        <f>F70/B70</f>
        <v>0</v>
      </c>
      <c r="H70" s="149">
        <f>C70/B70</f>
        <v>99.947963581558099</v>
      </c>
      <c r="J70" s="206" t="s">
        <v>146</v>
      </c>
      <c r="K70" s="207">
        <v>230512</v>
      </c>
      <c r="L70" s="208">
        <v>22679992</v>
      </c>
      <c r="M70" s="209">
        <v>22679992</v>
      </c>
      <c r="N70" s="209">
        <v>98.389636982022623</v>
      </c>
      <c r="O70" s="209">
        <v>0</v>
      </c>
      <c r="P70" s="209">
        <v>0</v>
      </c>
      <c r="Q70" s="208">
        <v>98.389636982022623</v>
      </c>
      <c r="R70" s="210"/>
    </row>
    <row r="71" spans="1:18" ht="15" customHeight="1">
      <c r="A71" s="17" t="s">
        <v>147</v>
      </c>
      <c r="B71" s="148">
        <v>345012</v>
      </c>
      <c r="C71" s="149">
        <f>SUM(F71,D71)</f>
        <v>22509474</v>
      </c>
      <c r="D71" s="150">
        <v>15606928</v>
      </c>
      <c r="E71" s="151">
        <f>D71/B71</f>
        <v>45.235899041192773</v>
      </c>
      <c r="F71" s="150">
        <v>6902546</v>
      </c>
      <c r="G71" s="151">
        <f>F71/B71</f>
        <v>20.006683825490128</v>
      </c>
      <c r="H71" s="149">
        <f>C71/B71</f>
        <v>65.242582866682895</v>
      </c>
      <c r="J71" s="212" t="s">
        <v>42</v>
      </c>
      <c r="K71" s="213">
        <v>346997</v>
      </c>
      <c r="L71" s="208">
        <v>22767384</v>
      </c>
      <c r="M71" s="214">
        <v>15443966</v>
      </c>
      <c r="N71" s="209">
        <v>44.507491419234171</v>
      </c>
      <c r="O71" s="214">
        <v>7323418</v>
      </c>
      <c r="P71" s="209">
        <v>21.10513347377643</v>
      </c>
      <c r="Q71" s="208">
        <v>65.612624893010604</v>
      </c>
      <c r="R71" s="210"/>
    </row>
    <row r="72" spans="1:18" ht="15" customHeight="1">
      <c r="A72" s="21" t="s">
        <v>102</v>
      </c>
      <c r="B72" s="18">
        <v>300950</v>
      </c>
      <c r="C72" s="149">
        <f>SUM(F72,D72)</f>
        <v>20916098</v>
      </c>
      <c r="D72" s="151">
        <v>18839380</v>
      </c>
      <c r="E72" s="151">
        <f>D72/B72</f>
        <v>62.599700947001161</v>
      </c>
      <c r="F72" s="151">
        <v>2076718</v>
      </c>
      <c r="G72" s="151">
        <f>F72/B72</f>
        <v>6.9005416182090045</v>
      </c>
      <c r="H72" s="149">
        <f>C72/B72</f>
        <v>69.500242565210172</v>
      </c>
      <c r="J72" s="212" t="s">
        <v>102</v>
      </c>
      <c r="K72" s="213">
        <v>301010</v>
      </c>
      <c r="L72" s="208">
        <v>27347177</v>
      </c>
      <c r="M72" s="214">
        <v>23495435</v>
      </c>
      <c r="N72" s="209">
        <v>78.055330387694767</v>
      </c>
      <c r="O72" s="209">
        <v>3851742</v>
      </c>
      <c r="P72" s="209">
        <v>12.796059931563736</v>
      </c>
      <c r="Q72" s="208">
        <v>90.851390319258499</v>
      </c>
      <c r="R72" s="211"/>
    </row>
    <row r="73" spans="1:18" s="23" customFormat="1" ht="15" customHeight="1">
      <c r="A73" s="17" t="s">
        <v>107</v>
      </c>
      <c r="B73" s="148">
        <v>843393</v>
      </c>
      <c r="C73" s="149">
        <f>SUM(F73,D73)</f>
        <v>20040480</v>
      </c>
      <c r="D73" s="150">
        <f>16560791</f>
        <v>16560791</v>
      </c>
      <c r="E73" s="151">
        <f>D73/B73</f>
        <v>19.635912320827895</v>
      </c>
      <c r="F73" s="150">
        <v>3479689</v>
      </c>
      <c r="G73" s="151">
        <f>F73/B73</f>
        <v>4.1258215327848342</v>
      </c>
      <c r="H73" s="149">
        <f>C73/B73</f>
        <v>23.761733853612728</v>
      </c>
      <c r="J73" s="206" t="s">
        <v>107</v>
      </c>
      <c r="K73" s="207">
        <v>848788</v>
      </c>
      <c r="L73" s="208">
        <v>26823538</v>
      </c>
      <c r="M73" s="209">
        <v>23160324</v>
      </c>
      <c r="N73" s="209">
        <v>27.286347120835828</v>
      </c>
      <c r="O73" s="209">
        <v>3663214</v>
      </c>
      <c r="P73" s="209">
        <v>4.3158173772485</v>
      </c>
      <c r="Q73" s="208">
        <v>31.602164498084328</v>
      </c>
      <c r="R73" s="211"/>
    </row>
    <row r="74" spans="1:18" s="23" customFormat="1" ht="15" customHeight="1">
      <c r="A74" s="21" t="s">
        <v>79</v>
      </c>
      <c r="B74" s="18">
        <v>386552</v>
      </c>
      <c r="C74" s="149">
        <f>SUM(F74,D74)</f>
        <v>19162625</v>
      </c>
      <c r="D74" s="151">
        <v>16486949</v>
      </c>
      <c r="E74" s="151">
        <f>D74/B74</f>
        <v>42.651309526273309</v>
      </c>
      <c r="F74" s="151">
        <v>2675676</v>
      </c>
      <c r="G74" s="151">
        <f>F74/B74</f>
        <v>6.9219044268300252</v>
      </c>
      <c r="H74" s="149">
        <f>C74/B74</f>
        <v>49.573213953103334</v>
      </c>
      <c r="I74"/>
      <c r="J74" s="206" t="s">
        <v>79</v>
      </c>
      <c r="K74" s="207">
        <v>388413</v>
      </c>
      <c r="L74" s="208">
        <v>18221796</v>
      </c>
      <c r="M74" s="209">
        <v>16869616</v>
      </c>
      <c r="N74" s="209">
        <v>43.432161127459686</v>
      </c>
      <c r="O74" s="209">
        <v>1352180</v>
      </c>
      <c r="P74" s="209">
        <v>3.4812943953987121</v>
      </c>
      <c r="Q74" s="208">
        <v>46.913455522858399</v>
      </c>
      <c r="R74" s="211"/>
    </row>
    <row r="75" spans="1:18" ht="15" customHeight="1">
      <c r="A75" s="17" t="s">
        <v>117</v>
      </c>
      <c r="B75" s="148">
        <v>347884</v>
      </c>
      <c r="C75" s="149">
        <f>SUM(F75,D75)</f>
        <v>18710610</v>
      </c>
      <c r="D75" s="150">
        <v>9225718</v>
      </c>
      <c r="E75" s="151">
        <f>D75/B75</f>
        <v>26.519523749295743</v>
      </c>
      <c r="F75" s="150">
        <v>9484892</v>
      </c>
      <c r="G75" s="151">
        <f>F75/B75</f>
        <v>27.264524956594727</v>
      </c>
      <c r="H75" s="149">
        <f>C75/B75</f>
        <v>53.78404870589047</v>
      </c>
      <c r="J75" s="206" t="s">
        <v>573</v>
      </c>
      <c r="K75" s="207">
        <v>350399</v>
      </c>
      <c r="L75" s="208">
        <v>19903772</v>
      </c>
      <c r="M75" s="209">
        <v>19096174</v>
      </c>
      <c r="N75" s="209">
        <v>54.498369002194643</v>
      </c>
      <c r="O75" s="209">
        <v>807598</v>
      </c>
      <c r="P75" s="209">
        <v>2.3047953903978038</v>
      </c>
      <c r="Q75" s="208">
        <v>56.803164392592443</v>
      </c>
      <c r="R75" s="210"/>
    </row>
    <row r="76" spans="1:18" ht="15" customHeight="1">
      <c r="A76" s="21" t="s">
        <v>35</v>
      </c>
      <c r="B76" s="18">
        <v>246139</v>
      </c>
      <c r="C76" s="149">
        <f>SUM(F76,D76)</f>
        <v>18578982</v>
      </c>
      <c r="D76" s="151">
        <v>17205982</v>
      </c>
      <c r="E76" s="151">
        <f>D76/B76</f>
        <v>69.903517930925204</v>
      </c>
      <c r="F76" s="151">
        <v>1373000</v>
      </c>
      <c r="G76" s="151">
        <f>F76/B76</f>
        <v>5.5781489321074673</v>
      </c>
      <c r="H76" s="149">
        <f>C76/B76</f>
        <v>75.481666863032672</v>
      </c>
      <c r="J76" s="206" t="s">
        <v>35</v>
      </c>
      <c r="K76" s="207">
        <v>245428</v>
      </c>
      <c r="L76" s="208">
        <v>18339680</v>
      </c>
      <c r="M76" s="209">
        <v>16370631</v>
      </c>
      <c r="N76" s="209">
        <v>66.702377071890737</v>
      </c>
      <c r="O76" s="209">
        <v>1969049</v>
      </c>
      <c r="P76" s="209">
        <v>8.0229191453297908</v>
      </c>
      <c r="Q76" s="208">
        <v>74.725296217220532</v>
      </c>
      <c r="R76" s="210"/>
    </row>
    <row r="77" spans="1:18" s="4" customFormat="1" ht="15" customHeight="1">
      <c r="A77" s="21" t="s">
        <v>75</v>
      </c>
      <c r="B77" s="18">
        <v>245475</v>
      </c>
      <c r="C77" s="149">
        <f>SUM(F77,D77)</f>
        <v>18312744</v>
      </c>
      <c r="D77" s="151">
        <v>12506582</v>
      </c>
      <c r="E77" s="151">
        <f>D77/B77</f>
        <v>50.948495773500355</v>
      </c>
      <c r="F77" s="151">
        <v>5806162</v>
      </c>
      <c r="G77" s="151">
        <f>F77/B77</f>
        <v>23.652763010489867</v>
      </c>
      <c r="H77" s="149">
        <f>C77/B77</f>
        <v>74.601258783990218</v>
      </c>
      <c r="I77"/>
      <c r="J77" s="206" t="s">
        <v>75</v>
      </c>
      <c r="K77" s="207">
        <v>251893</v>
      </c>
      <c r="L77" s="208">
        <v>17507130</v>
      </c>
      <c r="M77" s="209">
        <v>12790530</v>
      </c>
      <c r="N77" s="209">
        <v>50.777631772220744</v>
      </c>
      <c r="O77" s="209">
        <v>4716600</v>
      </c>
      <c r="P77" s="209">
        <v>18.72461719857241</v>
      </c>
      <c r="Q77" s="208">
        <v>69.502248970793161</v>
      </c>
      <c r="R77" s="210"/>
    </row>
    <row r="78" spans="1:18" s="20" customFormat="1" ht="15" customHeight="1">
      <c r="A78" s="21" t="s">
        <v>56</v>
      </c>
      <c r="B78" s="18">
        <v>279639</v>
      </c>
      <c r="C78" s="149">
        <f>SUM(F78,D78)</f>
        <v>18209234</v>
      </c>
      <c r="D78" s="151">
        <v>18209234</v>
      </c>
      <c r="E78" s="151">
        <f>D78/B78</f>
        <v>65.116932902778231</v>
      </c>
      <c r="F78" s="151">
        <v>0</v>
      </c>
      <c r="G78" s="151">
        <f>F78/B78</f>
        <v>0</v>
      </c>
      <c r="H78" s="149">
        <f>C78/B78</f>
        <v>65.116932902778231</v>
      </c>
      <c r="I78"/>
      <c r="J78" s="206" t="s">
        <v>56</v>
      </c>
      <c r="K78" s="207">
        <v>282586</v>
      </c>
      <c r="L78" s="208">
        <v>18960724</v>
      </c>
      <c r="M78" s="209">
        <v>18575411</v>
      </c>
      <c r="N78" s="209">
        <v>65.733656302860012</v>
      </c>
      <c r="O78" s="209">
        <v>385313</v>
      </c>
      <c r="P78" s="209">
        <v>1.3635247322938857</v>
      </c>
      <c r="Q78" s="208">
        <v>67.097181035153895</v>
      </c>
      <c r="R78" s="216"/>
    </row>
    <row r="79" spans="1:18" ht="15" customHeight="1">
      <c r="A79" s="21" t="s">
        <v>73</v>
      </c>
      <c r="B79" s="18">
        <v>256496</v>
      </c>
      <c r="C79" s="149">
        <f>SUM(F79,D79)</f>
        <v>18000434</v>
      </c>
      <c r="D79" s="151">
        <v>16293933</v>
      </c>
      <c r="E79" s="151">
        <f>D79/B79</f>
        <v>63.525095907928389</v>
      </c>
      <c r="F79" s="151">
        <v>1706501</v>
      </c>
      <c r="G79" s="151">
        <f>F79/B79</f>
        <v>6.6531290936310894</v>
      </c>
      <c r="H79" s="149">
        <f>C79/B79</f>
        <v>70.178225001559483</v>
      </c>
      <c r="I79" s="4"/>
      <c r="J79" s="206" t="s">
        <v>73</v>
      </c>
      <c r="K79" s="207">
        <v>258522</v>
      </c>
      <c r="L79" s="208">
        <v>19036465</v>
      </c>
      <c r="M79" s="209">
        <v>16529740</v>
      </c>
      <c r="N79" s="209">
        <v>63.939393939393938</v>
      </c>
      <c r="O79" s="209">
        <v>2506725</v>
      </c>
      <c r="P79" s="209">
        <v>9.6963701348434554</v>
      </c>
      <c r="Q79" s="208">
        <v>73.6357640742374</v>
      </c>
      <c r="R79" s="210"/>
    </row>
    <row r="80" spans="1:18" ht="15" customHeight="1">
      <c r="A80" s="21" t="s">
        <v>103</v>
      </c>
      <c r="B80" s="18">
        <v>334227</v>
      </c>
      <c r="C80" s="149">
        <f>SUM(F80,D80)</f>
        <v>17109364</v>
      </c>
      <c r="D80" s="151">
        <v>12186032</v>
      </c>
      <c r="E80" s="151">
        <f>D80/B80</f>
        <v>36.46034581287568</v>
      </c>
      <c r="F80" s="151">
        <v>4923332</v>
      </c>
      <c r="G80" s="151">
        <f>F80/B80</f>
        <v>14.730503520062712</v>
      </c>
      <c r="H80" s="149">
        <f>C80/B80</f>
        <v>51.190849332938392</v>
      </c>
      <c r="J80" s="212" t="s">
        <v>103</v>
      </c>
      <c r="K80" s="213">
        <v>334909</v>
      </c>
      <c r="L80" s="208">
        <v>14696450</v>
      </c>
      <c r="M80" s="214">
        <v>14153386</v>
      </c>
      <c r="N80" s="209">
        <v>42.260393121713662</v>
      </c>
      <c r="O80" s="214">
        <v>543064</v>
      </c>
      <c r="P80" s="209">
        <v>1.6215270416740071</v>
      </c>
      <c r="Q80" s="208">
        <v>43.881920163387669</v>
      </c>
      <c r="R80" s="210"/>
    </row>
    <row r="81" spans="1:18" s="23" customFormat="1" ht="15" customHeight="1">
      <c r="A81" s="21" t="s">
        <v>38</v>
      </c>
      <c r="B81" s="18">
        <v>305841</v>
      </c>
      <c r="C81" s="149">
        <f>SUM(F81,D81)</f>
        <v>16636280</v>
      </c>
      <c r="D81" s="154">
        <v>15086280</v>
      </c>
      <c r="E81" s="151">
        <f>D81/B81</f>
        <v>49.327199427153325</v>
      </c>
      <c r="F81" s="154">
        <v>1550000</v>
      </c>
      <c r="G81" s="151">
        <f>F81/B81</f>
        <v>5.0679928459559056</v>
      </c>
      <c r="H81" s="149">
        <f>C81/B81</f>
        <v>54.395192273109231</v>
      </c>
      <c r="I81" s="20"/>
      <c r="J81" s="206" t="s">
        <v>38</v>
      </c>
      <c r="K81" s="207">
        <v>305412</v>
      </c>
      <c r="L81" s="208">
        <v>8121251</v>
      </c>
      <c r="M81" s="209">
        <v>6621251</v>
      </c>
      <c r="N81" s="209">
        <v>21.679734260605347</v>
      </c>
      <c r="O81" s="209">
        <v>1500000</v>
      </c>
      <c r="P81" s="209">
        <v>4.9113983733448592</v>
      </c>
      <c r="Q81" s="209">
        <v>26.591132633950206</v>
      </c>
      <c r="R81" s="211"/>
    </row>
    <row r="82" spans="1:18" s="22" customFormat="1" ht="15" customHeight="1">
      <c r="A82" s="21" t="s">
        <v>101</v>
      </c>
      <c r="B82" s="18">
        <v>258959</v>
      </c>
      <c r="C82" s="149">
        <f>SUM(F82,D82)</f>
        <v>13767694</v>
      </c>
      <c r="D82" s="149">
        <v>7488217</v>
      </c>
      <c r="E82" s="151">
        <f>D82/B82</f>
        <v>28.916612282253176</v>
      </c>
      <c r="F82" s="151">
        <v>6279477</v>
      </c>
      <c r="G82" s="151">
        <f>F82/B82</f>
        <v>24.248923574774384</v>
      </c>
      <c r="H82" s="149">
        <f>C82/B82</f>
        <v>53.165535857027564</v>
      </c>
      <c r="I82" s="20"/>
      <c r="J82" s="206" t="s">
        <v>101</v>
      </c>
      <c r="K82" s="207">
        <v>258703</v>
      </c>
      <c r="L82" s="208">
        <v>11864522</v>
      </c>
      <c r="M82" s="209">
        <v>7830157</v>
      </c>
      <c r="N82" s="209">
        <v>30.266974097710502</v>
      </c>
      <c r="O82" s="209">
        <v>4034365</v>
      </c>
      <c r="P82" s="209">
        <v>15.594581431216492</v>
      </c>
      <c r="Q82" s="208">
        <v>45.861555528926992</v>
      </c>
      <c r="R82" s="217"/>
    </row>
    <row r="83" spans="1:18" s="23" customFormat="1" ht="15" customHeight="1">
      <c r="A83" s="21" t="s">
        <v>99</v>
      </c>
      <c r="B83" s="18">
        <v>229972</v>
      </c>
      <c r="C83" s="149">
        <f>SUM(F83,D83)</f>
        <v>13306969</v>
      </c>
      <c r="D83" s="151">
        <v>12791890</v>
      </c>
      <c r="E83" s="151">
        <f>D83/B83</f>
        <v>55.623684622475778</v>
      </c>
      <c r="F83" s="151">
        <v>515079</v>
      </c>
      <c r="G83" s="151">
        <f>F83/B83</f>
        <v>2.2397465778442593</v>
      </c>
      <c r="H83" s="149">
        <f>C83/B83</f>
        <v>57.863431200320036</v>
      </c>
      <c r="I83"/>
      <c r="J83" s="206" t="s">
        <v>99</v>
      </c>
      <c r="K83" s="207">
        <v>239277</v>
      </c>
      <c r="L83" s="208">
        <v>15769925</v>
      </c>
      <c r="M83" s="209">
        <v>11274614</v>
      </c>
      <c r="N83" s="209">
        <v>47.119505844690465</v>
      </c>
      <c r="O83" s="209">
        <v>4495311</v>
      </c>
      <c r="P83" s="209">
        <v>18.787058513772742</v>
      </c>
      <c r="Q83" s="208">
        <v>65.9065643584632</v>
      </c>
      <c r="R83" s="211"/>
    </row>
    <row r="84" spans="1:18" ht="15" customHeight="1">
      <c r="A84" s="21" t="s">
        <v>90</v>
      </c>
      <c r="B84" s="18">
        <v>282313</v>
      </c>
      <c r="C84" s="149">
        <f>SUM(F84,D84)</f>
        <v>12399152</v>
      </c>
      <c r="D84" s="151">
        <v>11565498</v>
      </c>
      <c r="E84" s="151">
        <f>D84/B84</f>
        <v>40.966933864186203</v>
      </c>
      <c r="F84" s="151">
        <v>833654</v>
      </c>
      <c r="G84" s="151">
        <f>F84/B84</f>
        <v>2.9529423016297516</v>
      </c>
      <c r="H84" s="149">
        <f>C84/B84</f>
        <v>43.919876165815957</v>
      </c>
      <c r="J84" s="206" t="s">
        <v>90</v>
      </c>
      <c r="K84" s="207">
        <v>281031</v>
      </c>
      <c r="L84" s="208">
        <v>12860583</v>
      </c>
      <c r="M84" s="209">
        <v>11849583</v>
      </c>
      <c r="N84" s="209">
        <v>42.16468289975127</v>
      </c>
      <c r="O84" s="209">
        <v>1011000</v>
      </c>
      <c r="P84" s="209">
        <v>3.5974678950009076</v>
      </c>
      <c r="Q84" s="208">
        <v>45.762150794752181</v>
      </c>
      <c r="R84" s="210"/>
    </row>
    <row r="85" spans="1:18" ht="15" customHeight="1">
      <c r="A85" s="21" t="s">
        <v>150</v>
      </c>
      <c r="B85" s="18">
        <v>230571</v>
      </c>
      <c r="C85" s="149">
        <f>SUM(F85,D85)</f>
        <v>12091963</v>
      </c>
      <c r="D85" s="151">
        <v>11900469</v>
      </c>
      <c r="E85" s="151">
        <f>D85/B85</f>
        <v>51.613034596718585</v>
      </c>
      <c r="F85" s="151">
        <v>191494</v>
      </c>
      <c r="G85" s="151">
        <f>F85/B85</f>
        <v>0.83052075065814868</v>
      </c>
      <c r="H85" s="149">
        <f>C85/B85</f>
        <v>52.44355534737673</v>
      </c>
      <c r="I85" s="23"/>
      <c r="J85" s="206" t="s">
        <v>150</v>
      </c>
      <c r="K85" s="207">
        <v>233371</v>
      </c>
      <c r="L85" s="208">
        <v>23309579</v>
      </c>
      <c r="M85" s="209">
        <v>18709732</v>
      </c>
      <c r="N85" s="209">
        <v>80.171623723598898</v>
      </c>
      <c r="O85" s="209">
        <v>4599847</v>
      </c>
      <c r="P85" s="209">
        <v>19.710448170509618</v>
      </c>
      <c r="Q85" s="208">
        <v>99.88207189410852</v>
      </c>
      <c r="R85" s="210"/>
    </row>
    <row r="86" spans="1:18" s="23" customFormat="1" ht="15" customHeight="1">
      <c r="A86" s="21" t="s">
        <v>106</v>
      </c>
      <c r="B86" s="18">
        <v>509924</v>
      </c>
      <c r="C86" s="149">
        <f>SUM(F86,D86)</f>
        <v>11860064</v>
      </c>
      <c r="D86" s="151">
        <v>9963063</v>
      </c>
      <c r="E86" s="151">
        <f>D86/B86</f>
        <v>19.538329241220261</v>
      </c>
      <c r="F86" s="151">
        <v>1897001</v>
      </c>
      <c r="G86" s="151">
        <f>F86/B86</f>
        <v>3.7201641813289825</v>
      </c>
      <c r="H86" s="149">
        <f>C86/B86</f>
        <v>23.258493422549243</v>
      </c>
      <c r="J86" s="206" t="s">
        <v>106</v>
      </c>
      <c r="K86" s="207">
        <v>515986</v>
      </c>
      <c r="L86" s="208">
        <v>22801309</v>
      </c>
      <c r="M86" s="209">
        <v>12506912</v>
      </c>
      <c r="N86" s="209">
        <v>24.238859193854097</v>
      </c>
      <c r="O86" s="209">
        <v>10294397</v>
      </c>
      <c r="P86" s="209">
        <v>19.950923087060502</v>
      </c>
      <c r="Q86" s="208">
        <v>44.189782280914599</v>
      </c>
      <c r="R86" s="211"/>
    </row>
    <row r="87" spans="1:18" ht="15" customHeight="1">
      <c r="A87" s="21" t="s">
        <v>112</v>
      </c>
      <c r="B87" s="18">
        <v>688701</v>
      </c>
      <c r="C87" s="149">
        <f>SUM(F87,D87)</f>
        <v>11652000</v>
      </c>
      <c r="D87" s="151">
        <v>11289000</v>
      </c>
      <c r="E87" s="151">
        <f>D87/B87</f>
        <v>16.391728776348518</v>
      </c>
      <c r="F87" s="151">
        <v>363000</v>
      </c>
      <c r="G87" s="151">
        <f>F87/B87</f>
        <v>0.52707924048317045</v>
      </c>
      <c r="H87" s="149">
        <f>C87/B87</f>
        <v>16.918808016831687</v>
      </c>
      <c r="J87" s="206" t="s">
        <v>576</v>
      </c>
      <c r="K87" s="207">
        <v>680250</v>
      </c>
      <c r="L87" s="208">
        <v>11652000</v>
      </c>
      <c r="M87" s="209">
        <v>11289000</v>
      </c>
      <c r="N87" s="209">
        <v>16.595369349503859</v>
      </c>
      <c r="O87" s="209">
        <v>363000</v>
      </c>
      <c r="P87" s="209">
        <v>0.53362734288864389</v>
      </c>
      <c r="Q87" s="209">
        <v>17.128996692392501</v>
      </c>
      <c r="R87" s="210"/>
    </row>
    <row r="88" spans="1:18" s="23" customFormat="1" ht="15" customHeight="1">
      <c r="A88" s="21" t="s">
        <v>95</v>
      </c>
      <c r="B88" s="18">
        <v>229426</v>
      </c>
      <c r="C88" s="149">
        <f>SUM(F88,D88)</f>
        <v>11205546.22218868</v>
      </c>
      <c r="D88" s="153">
        <f>50439346*(1432/6625)</f>
        <v>10902512.22218868</v>
      </c>
      <c r="E88" s="151">
        <f>D88/B88</f>
        <v>47.520822496964946</v>
      </c>
      <c r="F88" s="153">
        <v>303034</v>
      </c>
      <c r="G88" s="151">
        <f>F88/B88</f>
        <v>1.3208354763627488</v>
      </c>
      <c r="H88" s="149">
        <f>C88/B88</f>
        <v>48.841657973327692</v>
      </c>
      <c r="I88"/>
      <c r="J88" s="206" t="s">
        <v>95</v>
      </c>
      <c r="K88" s="207">
        <v>228895</v>
      </c>
      <c r="L88" s="208">
        <v>11202164</v>
      </c>
      <c r="M88" s="209">
        <v>10899130</v>
      </c>
      <c r="N88" s="209">
        <v>47.616286943795188</v>
      </c>
      <c r="O88" s="209">
        <v>303034</v>
      </c>
      <c r="P88" s="209">
        <v>1.3238996046222067</v>
      </c>
      <c r="Q88" s="208">
        <v>48.940186548417394</v>
      </c>
      <c r="R88" s="211"/>
    </row>
    <row r="89" spans="1:18" s="23" customFormat="1" ht="15" customHeight="1">
      <c r="A89" s="21" t="s">
        <v>149</v>
      </c>
      <c r="B89" s="18">
        <v>239538</v>
      </c>
      <c r="C89" s="149">
        <f>SUM(F89,D89)</f>
        <v>11140649</v>
      </c>
      <c r="D89" s="151">
        <v>9564327</v>
      </c>
      <c r="E89" s="151">
        <f>D89/B89</f>
        <v>39.928224331838791</v>
      </c>
      <c r="F89" s="151">
        <v>1576322</v>
      </c>
      <c r="G89" s="151">
        <f>F89/B89</f>
        <v>6.5806761348930021</v>
      </c>
      <c r="H89" s="149">
        <f>C89/B89</f>
        <v>46.508900466731795</v>
      </c>
      <c r="I89"/>
      <c r="J89" s="212" t="s">
        <v>149</v>
      </c>
      <c r="K89" s="213">
        <v>243839</v>
      </c>
      <c r="L89" s="208">
        <v>11150884</v>
      </c>
      <c r="M89" s="214">
        <v>9574562</v>
      </c>
      <c r="N89" s="209">
        <v>39.265917265080645</v>
      </c>
      <c r="O89" s="209">
        <v>1576322</v>
      </c>
      <c r="P89" s="209">
        <v>6.464601642887315</v>
      </c>
      <c r="Q89" s="208">
        <v>45.730518907967962</v>
      </c>
      <c r="R89" s="210"/>
    </row>
    <row r="90" spans="1:18" ht="15" customHeight="1">
      <c r="A90" s="21" t="s">
        <v>108</v>
      </c>
      <c r="B90" s="18">
        <v>256780</v>
      </c>
      <c r="C90" s="149">
        <f>SUM(F90,D90)</f>
        <v>10961252</v>
      </c>
      <c r="D90" s="151">
        <v>10335996</v>
      </c>
      <c r="E90" s="151">
        <f>D90/B90</f>
        <v>40.252340524963003</v>
      </c>
      <c r="F90" s="151">
        <v>625256</v>
      </c>
      <c r="G90" s="151">
        <f>F90/B90</f>
        <v>2.4349871485318171</v>
      </c>
      <c r="H90" s="149">
        <f>C90/B90</f>
        <v>42.687327673494821</v>
      </c>
      <c r="J90" s="206" t="s">
        <v>108</v>
      </c>
      <c r="K90" s="207">
        <v>260988</v>
      </c>
      <c r="L90" s="208">
        <v>12625513</v>
      </c>
      <c r="M90" s="209">
        <v>10371370</v>
      </c>
      <c r="N90" s="209">
        <v>39.73887688322835</v>
      </c>
      <c r="O90" s="209">
        <v>2254143</v>
      </c>
      <c r="P90" s="209">
        <v>8.6369603200147136</v>
      </c>
      <c r="Q90" s="208">
        <v>48.375837203243059</v>
      </c>
      <c r="R90" s="210"/>
    </row>
    <row r="91" spans="1:18" ht="15" customHeight="1">
      <c r="A91" s="21" t="s">
        <v>104</v>
      </c>
      <c r="B91" s="18">
        <v>233294</v>
      </c>
      <c r="C91" s="149">
        <f>SUM(F91,D91)</f>
        <v>10283961</v>
      </c>
      <c r="D91" s="151">
        <v>9863493</v>
      </c>
      <c r="E91" s="151">
        <f>D91/B91</f>
        <v>42.279239929016605</v>
      </c>
      <c r="F91" s="151">
        <v>420468</v>
      </c>
      <c r="G91" s="151">
        <f>F91/B91</f>
        <v>1.8023095321782814</v>
      </c>
      <c r="H91" s="149">
        <f>C91/B91</f>
        <v>44.081549461194889</v>
      </c>
      <c r="J91" s="212" t="s">
        <v>104</v>
      </c>
      <c r="K91" s="213">
        <v>236995</v>
      </c>
      <c r="L91" s="208">
        <v>9725227</v>
      </c>
      <c r="M91" s="214">
        <v>9304759</v>
      </c>
      <c r="N91" s="209">
        <v>39.261414797780546</v>
      </c>
      <c r="O91" s="209">
        <v>420468</v>
      </c>
      <c r="P91" s="209">
        <v>1.7741640118989852</v>
      </c>
      <c r="Q91" s="208">
        <v>41.035578809679528</v>
      </c>
      <c r="R91" s="210"/>
    </row>
    <row r="92" spans="1:18" s="36" customFormat="1" ht="15" customHeight="1">
      <c r="A92" s="21" t="s">
        <v>82</v>
      </c>
      <c r="B92" s="18">
        <v>236441</v>
      </c>
      <c r="C92" s="149">
        <f>SUM(F92,D92)</f>
        <v>9879287</v>
      </c>
      <c r="D92" s="151">
        <v>8906536</v>
      </c>
      <c r="E92" s="151">
        <f>D92/B92</f>
        <v>37.669169052744657</v>
      </c>
      <c r="F92" s="151">
        <v>972751</v>
      </c>
      <c r="G92" s="151">
        <f>F92/B92</f>
        <v>4.1141384108509103</v>
      </c>
      <c r="H92" s="149">
        <f>C92/B92</f>
        <v>41.78330746359557</v>
      </c>
      <c r="I92"/>
      <c r="J92" s="206" t="s">
        <v>82</v>
      </c>
      <c r="K92" s="207">
        <v>239269</v>
      </c>
      <c r="L92" s="208">
        <v>10058468</v>
      </c>
      <c r="M92" s="209">
        <v>9192702</v>
      </c>
      <c r="N92" s="209">
        <v>38.419945751434575</v>
      </c>
      <c r="O92" s="209">
        <v>865766</v>
      </c>
      <c r="P92" s="209">
        <v>3.6183793136595215</v>
      </c>
      <c r="Q92" s="208">
        <v>42.038325065094099</v>
      </c>
      <c r="R92" s="217"/>
    </row>
    <row r="93" spans="1:18" s="23" customFormat="1" ht="15" customHeight="1">
      <c r="A93" s="21" t="s">
        <v>96</v>
      </c>
      <c r="B93" s="18">
        <v>234632</v>
      </c>
      <c r="C93" s="149">
        <f>SUM(F93,D93)</f>
        <v>8548784</v>
      </c>
      <c r="D93" s="151">
        <v>8548784</v>
      </c>
      <c r="E93" s="151">
        <f>D93/B93</f>
        <v>36.43485969518224</v>
      </c>
      <c r="F93" s="151">
        <v>0</v>
      </c>
      <c r="G93" s="151">
        <f>F93/B93</f>
        <v>0</v>
      </c>
      <c r="H93" s="149">
        <f>C93/B93</f>
        <v>36.43485969518224</v>
      </c>
      <c r="I93"/>
      <c r="J93" s="206" t="s">
        <v>96</v>
      </c>
      <c r="K93" s="207">
        <v>237517</v>
      </c>
      <c r="L93" s="208">
        <v>6935947</v>
      </c>
      <c r="M93" s="209">
        <v>6935947</v>
      </c>
      <c r="N93" s="209">
        <v>29.201897127363516</v>
      </c>
      <c r="O93" s="209">
        <v>0</v>
      </c>
      <c r="P93" s="209">
        <v>0</v>
      </c>
      <c r="Q93" s="209">
        <v>29.201897127363516</v>
      </c>
      <c r="R93" s="211"/>
    </row>
    <row r="94" spans="1:18" ht="15" customHeight="1">
      <c r="A94" s="17" t="s">
        <v>116</v>
      </c>
      <c r="B94" s="148">
        <v>224922</v>
      </c>
      <c r="C94" s="149">
        <f>SUM(F94,D94)</f>
        <v>7806034</v>
      </c>
      <c r="D94" s="150">
        <f>3373400+4172894</f>
        <v>7546294</v>
      </c>
      <c r="E94" s="151">
        <f>D94/B94</f>
        <v>33.55071535910227</v>
      </c>
      <c r="F94" s="150">
        <v>259740</v>
      </c>
      <c r="G94" s="151">
        <f>F94/B94</f>
        <v>1.1548003307813375</v>
      </c>
      <c r="H94" s="149">
        <f>C94/B94</f>
        <v>34.705515689883605</v>
      </c>
      <c r="J94" s="206" t="s">
        <v>116</v>
      </c>
      <c r="K94" s="207">
        <v>228758</v>
      </c>
      <c r="L94" s="208">
        <v>27469907</v>
      </c>
      <c r="M94" s="209">
        <v>21716365</v>
      </c>
      <c r="N94" s="209">
        <v>94.931608949195223</v>
      </c>
      <c r="O94" s="209">
        <v>5753542</v>
      </c>
      <c r="P94" s="209">
        <v>25.151216569475167</v>
      </c>
      <c r="Q94" s="208">
        <v>120.08282551867039</v>
      </c>
      <c r="R94" s="210"/>
    </row>
    <row r="95" spans="1:18" ht="15" customHeight="1">
      <c r="A95" s="21" t="s">
        <v>111</v>
      </c>
      <c r="B95" s="18">
        <v>278427</v>
      </c>
      <c r="C95" s="149">
        <f>SUM(F95,D95)</f>
        <v>7041313</v>
      </c>
      <c r="D95" s="151">
        <v>2130483</v>
      </c>
      <c r="E95" s="151">
        <f>D95/B95</f>
        <v>7.6518548847633312</v>
      </c>
      <c r="F95" s="151">
        <v>4910830</v>
      </c>
      <c r="G95" s="151">
        <f>F95/B95</f>
        <v>17.637765015605527</v>
      </c>
      <c r="H95" s="149">
        <f>C95/B95</f>
        <v>25.289619900368859</v>
      </c>
      <c r="J95" s="206" t="s">
        <v>111</v>
      </c>
      <c r="K95" s="207">
        <v>280579</v>
      </c>
      <c r="L95" s="208">
        <v>6005197</v>
      </c>
      <c r="M95" s="209">
        <v>2172269</v>
      </c>
      <c r="N95" s="209">
        <v>7.74209402699418</v>
      </c>
      <c r="O95" s="209">
        <v>3832928</v>
      </c>
      <c r="P95" s="209">
        <v>13.66078002986681</v>
      </c>
      <c r="Q95" s="209">
        <v>21.402874056860991</v>
      </c>
      <c r="R95" s="210"/>
    </row>
    <row r="96" spans="1:18" ht="15" customHeight="1">
      <c r="A96" s="17" t="s">
        <v>152</v>
      </c>
      <c r="B96" s="148">
        <v>257342</v>
      </c>
      <c r="C96" s="149">
        <f>SUM(F96,D96)</f>
        <v>5750000</v>
      </c>
      <c r="D96" s="150">
        <f>3400000+350000</f>
        <v>3750000</v>
      </c>
      <c r="E96" s="151">
        <f>D96/B96</f>
        <v>14.572048091644582</v>
      </c>
      <c r="F96" s="151">
        <v>2000000</v>
      </c>
      <c r="G96" s="151">
        <f>F96/B96</f>
        <v>7.7717589822104438</v>
      </c>
      <c r="H96" s="149">
        <f>C96/B96</f>
        <v>22.343807073855025</v>
      </c>
      <c r="J96" s="206" t="s">
        <v>152</v>
      </c>
      <c r="K96" s="207">
        <v>262146</v>
      </c>
      <c r="L96" s="208">
        <v>8275000</v>
      </c>
      <c r="M96" s="209">
        <v>3600000</v>
      </c>
      <c r="N96" s="209">
        <v>13.732805383259711</v>
      </c>
      <c r="O96" s="209">
        <v>4675000</v>
      </c>
      <c r="P96" s="209">
        <v>17.833573657427539</v>
      </c>
      <c r="Q96" s="208">
        <v>31.566379040687252</v>
      </c>
      <c r="R96" s="210"/>
    </row>
    <row r="97" spans="1:18" ht="15" customHeight="1">
      <c r="A97" s="21" t="s">
        <v>110</v>
      </c>
      <c r="B97" s="18">
        <v>298118</v>
      </c>
      <c r="C97" s="149">
        <f>SUM(F97,D97)</f>
        <v>4088876</v>
      </c>
      <c r="D97" s="151">
        <v>3730371</v>
      </c>
      <c r="E97" s="151">
        <f>D97/B97</f>
        <v>12.513068650668528</v>
      </c>
      <c r="F97" s="151">
        <v>358505</v>
      </c>
      <c r="G97" s="151">
        <f>F97/B97</f>
        <v>1.2025607309857171</v>
      </c>
      <c r="H97" s="149">
        <f>C97/B97</f>
        <v>13.715629381654244</v>
      </c>
      <c r="J97" s="206" t="s">
        <v>110</v>
      </c>
      <c r="K97" s="207">
        <v>302389</v>
      </c>
      <c r="L97" s="208">
        <v>5367226</v>
      </c>
      <c r="M97" s="209">
        <v>5179226</v>
      </c>
      <c r="N97" s="209">
        <v>17.127693136985805</v>
      </c>
      <c r="O97" s="209">
        <v>188000</v>
      </c>
      <c r="P97" s="209">
        <v>0.62171573701424321</v>
      </c>
      <c r="Q97" s="209">
        <v>17.749408874000046</v>
      </c>
      <c r="R97" s="210"/>
    </row>
    <row r="98" spans="1:18" ht="15" customHeight="1">
      <c r="A98" s="241" t="s">
        <v>89</v>
      </c>
      <c r="B98" s="242">
        <v>233394</v>
      </c>
      <c r="C98" s="243">
        <f>SUM(F98,D98)</f>
        <v>817676</v>
      </c>
      <c r="D98" s="244">
        <v>817676</v>
      </c>
      <c r="E98" s="244">
        <f>D98/B98</f>
        <v>3.5034148264308422</v>
      </c>
      <c r="F98" s="244">
        <v>0</v>
      </c>
      <c r="G98" s="244">
        <f>F98/B98</f>
        <v>0</v>
      </c>
      <c r="H98" s="243">
        <f>C98/B98</f>
        <v>3.5034148264308422</v>
      </c>
      <c r="J98" s="233" t="s">
        <v>89</v>
      </c>
      <c r="K98" s="234">
        <v>235563</v>
      </c>
      <c r="L98" s="235">
        <v>7697328</v>
      </c>
      <c r="M98" s="236">
        <v>7697328</v>
      </c>
      <c r="N98" s="236">
        <v>32.676303154570114</v>
      </c>
      <c r="O98" s="236">
        <v>0</v>
      </c>
      <c r="P98" s="236">
        <v>0</v>
      </c>
      <c r="Q98" s="235">
        <v>32.676303154570114</v>
      </c>
      <c r="R98" s="210"/>
    </row>
    <row r="99" spans="1:18" ht="15" customHeight="1">
      <c r="A99" s="241" t="s">
        <v>113</v>
      </c>
      <c r="B99" s="242">
        <v>214237</v>
      </c>
      <c r="C99" s="243"/>
      <c r="D99" s="244"/>
      <c r="E99" s="244"/>
      <c r="F99" s="244"/>
      <c r="G99" s="244"/>
      <c r="H99" s="244" t="s">
        <v>114</v>
      </c>
      <c r="J99" s="233" t="s">
        <v>113</v>
      </c>
      <c r="K99" s="234">
        <v>216282</v>
      </c>
      <c r="L99" s="235" t="s">
        <v>114</v>
      </c>
      <c r="M99" s="236"/>
      <c r="N99" s="236"/>
      <c r="O99" s="236"/>
      <c r="P99" s="236"/>
      <c r="Q99" s="236" t="s">
        <v>114</v>
      </c>
      <c r="R99" s="211"/>
    </row>
    <row r="100" spans="1:18" s="23" customFormat="1" ht="15" customHeight="1">
      <c r="A100" s="241" t="s">
        <v>115</v>
      </c>
      <c r="B100" s="242">
        <v>249146</v>
      </c>
      <c r="C100" s="243"/>
      <c r="D100" s="244"/>
      <c r="E100" s="244"/>
      <c r="F100" s="244"/>
      <c r="G100" s="244"/>
      <c r="H100" s="244" t="s">
        <v>114</v>
      </c>
      <c r="I100"/>
      <c r="J100" s="233" t="s">
        <v>115</v>
      </c>
      <c r="K100" s="234">
        <v>254276</v>
      </c>
      <c r="L100" s="235">
        <v>18919819</v>
      </c>
      <c r="M100" s="236">
        <v>12537879</v>
      </c>
      <c r="N100" s="236">
        <v>49.308149412449467</v>
      </c>
      <c r="O100" s="236">
        <v>6381940</v>
      </c>
      <c r="P100" s="236">
        <v>25.098475672104328</v>
      </c>
      <c r="Q100" s="235">
        <v>74.406625084553795</v>
      </c>
      <c r="R100" s="210"/>
    </row>
    <row r="101" spans="1:18" ht="15" customHeight="1">
      <c r="A101" s="241" t="s">
        <v>153</v>
      </c>
      <c r="B101" s="242">
        <v>234566</v>
      </c>
      <c r="C101" s="243"/>
      <c r="D101" s="244"/>
      <c r="E101" s="244"/>
      <c r="F101" s="244"/>
      <c r="G101" s="244"/>
      <c r="H101" s="244" t="s">
        <v>114</v>
      </c>
      <c r="J101" s="237" t="s">
        <v>153</v>
      </c>
      <c r="K101" s="238">
        <v>235501</v>
      </c>
      <c r="L101" s="235">
        <v>16180830</v>
      </c>
      <c r="M101" s="239">
        <v>10794708</v>
      </c>
      <c r="N101" s="236">
        <v>45.83720663606524</v>
      </c>
      <c r="O101" s="239">
        <v>5386122</v>
      </c>
      <c r="P101" s="236">
        <v>22.870909253039265</v>
      </c>
      <c r="Q101" s="235">
        <v>68.708115889104505</v>
      </c>
      <c r="R101" s="210"/>
    </row>
    <row r="102" spans="1:18" ht="15" customHeight="1">
      <c r="A102" s="241" t="s">
        <v>119</v>
      </c>
      <c r="B102" s="242">
        <v>228653</v>
      </c>
      <c r="C102" s="243"/>
      <c r="D102" s="244"/>
      <c r="E102" s="244"/>
      <c r="F102" s="244"/>
      <c r="G102" s="244"/>
      <c r="H102" s="244" t="s">
        <v>114</v>
      </c>
      <c r="I102" s="23"/>
      <c r="J102" s="233" t="s">
        <v>119</v>
      </c>
      <c r="K102" s="234">
        <v>232406</v>
      </c>
      <c r="L102" s="235">
        <v>13400000</v>
      </c>
      <c r="M102" s="236">
        <v>13000000</v>
      </c>
      <c r="N102" s="236">
        <v>55.936593719611366</v>
      </c>
      <c r="O102" s="236">
        <v>400000</v>
      </c>
      <c r="P102" s="236">
        <v>1.7211259606034268</v>
      </c>
      <c r="Q102" s="235">
        <v>57.657719680214797</v>
      </c>
      <c r="R102" s="210"/>
    </row>
    <row r="103" spans="1:18" ht="15" customHeight="1">
      <c r="A103" s="241" t="s">
        <v>120</v>
      </c>
      <c r="B103" s="242">
        <v>248142</v>
      </c>
      <c r="C103" s="243"/>
      <c r="D103" s="244"/>
      <c r="E103" s="244"/>
      <c r="F103" s="244"/>
      <c r="G103" s="244"/>
      <c r="H103" s="244" t="s">
        <v>114</v>
      </c>
      <c r="I103" s="23"/>
      <c r="J103" s="233" t="s">
        <v>120</v>
      </c>
      <c r="K103" s="234">
        <v>252309</v>
      </c>
      <c r="L103" s="235" t="s">
        <v>114</v>
      </c>
      <c r="M103" s="236"/>
      <c r="N103" s="236"/>
      <c r="O103" s="236">
        <v>0</v>
      </c>
      <c r="P103" s="236"/>
      <c r="Q103" s="236" t="s">
        <v>114</v>
      </c>
      <c r="R103" s="210"/>
    </row>
    <row r="104" spans="1:18" ht="15" customHeight="1">
      <c r="A104" s="241" t="s">
        <v>121</v>
      </c>
      <c r="B104" s="242">
        <v>226877</v>
      </c>
      <c r="C104" s="243"/>
      <c r="D104" s="244"/>
      <c r="E104" s="244"/>
      <c r="F104" s="244"/>
      <c r="G104" s="244"/>
      <c r="H104" s="244" t="s">
        <v>114</v>
      </c>
      <c r="J104" s="233" t="s">
        <v>121</v>
      </c>
      <c r="K104" s="234">
        <v>230788</v>
      </c>
      <c r="L104" s="240" t="s">
        <v>114</v>
      </c>
      <c r="M104" s="236"/>
      <c r="N104" s="236"/>
      <c r="O104" s="240"/>
      <c r="P104" s="235"/>
      <c r="Q104" s="235" t="s">
        <v>114</v>
      </c>
      <c r="R104" s="210"/>
    </row>
    <row r="105" spans="1:18" ht="15" customHeight="1">
      <c r="A105" s="241" t="s">
        <v>122</v>
      </c>
      <c r="B105" s="242">
        <v>214114</v>
      </c>
      <c r="C105" s="243"/>
      <c r="D105" s="244"/>
      <c r="E105" s="244"/>
      <c r="F105" s="244"/>
      <c r="G105" s="244"/>
      <c r="H105" s="244" t="s">
        <v>114</v>
      </c>
      <c r="I105" s="23"/>
      <c r="J105" s="233" t="s">
        <v>122</v>
      </c>
      <c r="K105" s="234">
        <v>217853</v>
      </c>
      <c r="L105" s="235">
        <v>16489444</v>
      </c>
      <c r="M105" s="236">
        <v>16489444</v>
      </c>
      <c r="N105" s="236">
        <v>75.690690511491695</v>
      </c>
      <c r="O105" s="236">
        <v>0</v>
      </c>
      <c r="P105" s="236">
        <v>0</v>
      </c>
      <c r="Q105" s="235">
        <v>75.690690511491695</v>
      </c>
      <c r="R105" s="210"/>
    </row>
    <row r="106" spans="1:18" ht="13.5" customHeight="1">
      <c r="A106" s="21"/>
      <c r="B106" s="18"/>
      <c r="C106" s="165"/>
      <c r="D106" s="151"/>
      <c r="E106" s="151"/>
      <c r="F106" s="166"/>
      <c r="G106" s="149"/>
      <c r="H106" s="149"/>
      <c r="J106" s="206"/>
      <c r="K106" s="207"/>
      <c r="L106" s="208"/>
      <c r="M106" s="209"/>
      <c r="N106" s="209"/>
      <c r="O106" s="209"/>
      <c r="P106" s="209"/>
      <c r="Q106" s="208"/>
      <c r="R106" s="222"/>
    </row>
    <row r="107" spans="1:18" s="16" customFormat="1" ht="26.45" customHeight="1">
      <c r="A107" s="167" t="s">
        <v>123</v>
      </c>
      <c r="B107" s="229"/>
      <c r="C107" s="230">
        <f>SUM(C6:C105)</f>
        <v>6371638451.1021891</v>
      </c>
      <c r="D107" s="230">
        <f>SUM(D6:D105)</f>
        <v>4792282114.7221889</v>
      </c>
      <c r="E107" s="230"/>
      <c r="F107" s="230">
        <f>SUM(F6:F105)</f>
        <v>1579356336.3800001</v>
      </c>
      <c r="G107" s="231"/>
      <c r="H107" s="231"/>
      <c r="J107" s="218" t="s">
        <v>577</v>
      </c>
      <c r="K107" s="219">
        <v>63147711</v>
      </c>
      <c r="L107" s="220">
        <v>6996135608</v>
      </c>
      <c r="M107" s="220">
        <v>5032169101</v>
      </c>
      <c r="N107" s="220"/>
      <c r="O107" s="220">
        <v>1963966507</v>
      </c>
      <c r="P107" s="221"/>
      <c r="Q107" s="221"/>
      <c r="R107" s="222"/>
    </row>
    <row r="108" spans="1:18" s="16" customFormat="1">
      <c r="A108" s="167" t="s">
        <v>124</v>
      </c>
      <c r="B108" s="229"/>
      <c r="C108" s="232"/>
      <c r="D108" s="231"/>
      <c r="E108" s="230">
        <f>MEDIAN(E2:E97)</f>
        <v>65.217702416269645</v>
      </c>
      <c r="F108" s="232"/>
      <c r="G108" s="230">
        <f>MEDIAN(G2:G97)</f>
        <v>14.087101124861707</v>
      </c>
      <c r="H108" s="230">
        <f>MEDIAN(H2:H97)</f>
        <v>81.32337956041782</v>
      </c>
      <c r="J108" s="218" t="s">
        <v>578</v>
      </c>
      <c r="K108" s="219"/>
      <c r="L108" s="223"/>
      <c r="M108" s="221"/>
      <c r="N108" s="220">
        <v>63.384252254897341</v>
      </c>
      <c r="O108" s="223"/>
      <c r="P108" s="220">
        <v>15.799686328952724</v>
      </c>
      <c r="Q108" s="220">
        <v>76.125241306525055</v>
      </c>
    </row>
    <row r="109" spans="1:18" ht="15">
      <c r="A109" s="168" t="s">
        <v>289</v>
      </c>
      <c r="B109" s="169"/>
      <c r="C109" s="170"/>
      <c r="D109" s="171"/>
      <c r="E109" s="172"/>
      <c r="F109" s="173"/>
      <c r="G109" s="172"/>
      <c r="H109" s="172"/>
      <c r="J109" s="16"/>
      <c r="K109" s="16"/>
      <c r="L109" s="16"/>
      <c r="M109" s="16"/>
      <c r="N109" s="16"/>
      <c r="O109" s="16"/>
      <c r="P109" s="16"/>
      <c r="Q109" s="16"/>
    </row>
    <row r="110" spans="1:18">
      <c r="J110" t="s">
        <v>581</v>
      </c>
    </row>
    <row r="111" spans="1:18">
      <c r="J111" t="s">
        <v>582</v>
      </c>
      <c r="K111" t="s">
        <v>583</v>
      </c>
      <c r="L111" s="220">
        <f>SUM(L2:L97)</f>
        <v>6923448187</v>
      </c>
      <c r="M111" s="220">
        <f>SUM(M2:M97)</f>
        <v>4971649742</v>
      </c>
      <c r="N111" s="220">
        <f>MEDIAN(N2:N97)</f>
        <v>64.071165602863232</v>
      </c>
      <c r="O111" s="220">
        <f>SUM(O2:O97)</f>
        <v>1951798445</v>
      </c>
      <c r="P111" s="220">
        <f>MEDIAN(P2:P97)</f>
        <v>16.531982717910385</v>
      </c>
      <c r="Q111" s="220">
        <f>MEDIAN(Q2:Q97)</f>
        <v>80.111218320112187</v>
      </c>
    </row>
    <row r="114" spans="12:12">
      <c r="L114" s="245">
        <f>(L111-C107)/C107</f>
        <v>8.6604056418542852E-2</v>
      </c>
    </row>
  </sheetData>
  <sortState ref="A6:Q105">
    <sortCondition descending="1" ref="C6:C105"/>
  </sortState>
  <mergeCells count="1">
    <mergeCell ref="A3:H3"/>
  </mergeCells>
  <pageMargins left="0.75" right="0.75" top="1" bottom="1" header="0.5" footer="0.5"/>
  <pageSetup scale="79" fitToHeight="0" orientation="landscape" r:id="rId1"/>
  <headerFooter>
    <oddHeader>&amp;R&amp;D</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1"/>
  <sheetViews>
    <sheetView workbookViewId="0">
      <selection activeCell="B4" sqref="B4"/>
    </sheetView>
  </sheetViews>
  <sheetFormatPr defaultColWidth="8.85546875" defaultRowHeight="12.75"/>
  <cols>
    <col min="1" max="1" width="4.42578125" style="36" customWidth="1"/>
    <col min="2" max="2" width="65.42578125" style="22" customWidth="1"/>
    <col min="3" max="3" width="7.42578125" style="175" customWidth="1"/>
    <col min="4" max="4" width="14.140625" style="139" customWidth="1"/>
    <col min="5" max="5" width="15.28515625" style="139" customWidth="1"/>
    <col min="6" max="6" width="15.42578125" style="139" customWidth="1"/>
    <col min="7" max="7" width="16.42578125" style="139" customWidth="1"/>
    <col min="8" max="8" width="11.7109375" style="22" bestFit="1" customWidth="1"/>
    <col min="9" max="9" width="11.140625" style="22" bestFit="1" customWidth="1"/>
    <col min="10" max="16384" width="8.85546875" style="22"/>
  </cols>
  <sheetData>
    <row r="1" spans="1:8" ht="20.25">
      <c r="A1" s="174" t="s">
        <v>290</v>
      </c>
      <c r="E1" s="176"/>
    </row>
    <row r="2" spans="1:8">
      <c r="A2" s="9" t="s">
        <v>16</v>
      </c>
      <c r="B2" s="177"/>
      <c r="C2" s="22"/>
      <c r="E2" s="176"/>
      <c r="F2" s="22"/>
      <c r="H2" s="139"/>
    </row>
    <row r="3" spans="1:8" ht="48.75" customHeight="1">
      <c r="A3" s="205" t="s">
        <v>284</v>
      </c>
      <c r="B3" s="205"/>
      <c r="C3" s="205"/>
      <c r="D3" s="205"/>
      <c r="E3" s="205"/>
      <c r="F3" s="205"/>
      <c r="G3" s="205"/>
      <c r="H3" s="205"/>
    </row>
    <row r="4" spans="1:8" s="143" customFormat="1" ht="30" customHeight="1">
      <c r="A4" s="178" t="s">
        <v>129</v>
      </c>
      <c r="B4" s="178" t="s">
        <v>18</v>
      </c>
      <c r="C4" s="178" t="s">
        <v>291</v>
      </c>
      <c r="D4" s="179" t="s">
        <v>285</v>
      </c>
      <c r="E4" s="179" t="s">
        <v>287</v>
      </c>
      <c r="F4" s="179" t="s">
        <v>130</v>
      </c>
      <c r="G4" s="180"/>
    </row>
    <row r="5" spans="1:8" ht="15" customHeight="1">
      <c r="A5" s="10" t="s">
        <v>76</v>
      </c>
      <c r="B5" s="181"/>
      <c r="C5" s="182"/>
      <c r="D5" s="183"/>
      <c r="E5" s="183"/>
      <c r="F5" s="183"/>
      <c r="G5" s="183"/>
    </row>
    <row r="6" spans="1:8" ht="15" customHeight="1">
      <c r="A6" s="181"/>
      <c r="B6" s="184" t="s">
        <v>292</v>
      </c>
      <c r="C6" s="184" t="s">
        <v>293</v>
      </c>
      <c r="D6" s="185">
        <v>19625429</v>
      </c>
      <c r="E6" s="185">
        <v>17122462</v>
      </c>
      <c r="F6" s="185">
        <v>36747891</v>
      </c>
      <c r="G6" s="183"/>
    </row>
    <row r="7" spans="1:8" ht="26.25" customHeight="1">
      <c r="A7" s="181"/>
      <c r="B7" s="184" t="s">
        <v>294</v>
      </c>
      <c r="C7" s="184" t="s">
        <v>295</v>
      </c>
      <c r="D7" s="185">
        <v>400000</v>
      </c>
      <c r="E7" s="185">
        <v>1900000</v>
      </c>
      <c r="F7" s="185">
        <v>2300000</v>
      </c>
      <c r="G7" s="183"/>
    </row>
    <row r="8" spans="1:8" ht="15" customHeight="1">
      <c r="A8" s="181"/>
      <c r="B8" s="184" t="s">
        <v>296</v>
      </c>
      <c r="C8" s="184" t="s">
        <v>297</v>
      </c>
      <c r="D8" s="185">
        <v>1630000</v>
      </c>
      <c r="E8" s="185">
        <v>0</v>
      </c>
      <c r="F8" s="185">
        <v>1630000</v>
      </c>
      <c r="G8" s="183"/>
    </row>
    <row r="9" spans="1:8" ht="15" customHeight="1">
      <c r="A9" s="181"/>
      <c r="B9" s="181"/>
      <c r="C9" s="182"/>
      <c r="D9" s="183"/>
      <c r="E9" s="183"/>
      <c r="F9" s="185" t="s">
        <v>298</v>
      </c>
      <c r="G9" s="185">
        <f>SUM($F$5:$F$8)</f>
        <v>40677891</v>
      </c>
    </row>
    <row r="10" spans="1:8" ht="15" customHeight="1">
      <c r="A10" s="10" t="s">
        <v>147</v>
      </c>
      <c r="B10" s="181"/>
      <c r="C10" s="182"/>
      <c r="D10" s="183"/>
      <c r="E10" s="183"/>
      <c r="F10" s="183"/>
      <c r="G10" s="183"/>
    </row>
    <row r="11" spans="1:8" s="20" customFormat="1" ht="15" customHeight="1">
      <c r="A11" s="181"/>
      <c r="B11" s="186" t="s">
        <v>299</v>
      </c>
      <c r="C11" s="186" t="s">
        <v>293</v>
      </c>
      <c r="D11" s="187">
        <v>13556688</v>
      </c>
      <c r="E11" s="187">
        <v>6902546</v>
      </c>
      <c r="F11" s="187">
        <f>SUM(D11,E11)</f>
        <v>20459234</v>
      </c>
      <c r="G11" s="188"/>
    </row>
    <row r="12" spans="1:8" ht="15" customHeight="1">
      <c r="A12" s="181"/>
      <c r="B12" s="184" t="s">
        <v>300</v>
      </c>
      <c r="C12" s="184" t="s">
        <v>293</v>
      </c>
      <c r="D12" s="185">
        <v>2050240</v>
      </c>
      <c r="E12" s="185">
        <v>0</v>
      </c>
      <c r="F12" s="185">
        <v>2050240</v>
      </c>
      <c r="G12" s="183"/>
    </row>
    <row r="13" spans="1:8" ht="15" customHeight="1">
      <c r="A13" s="181"/>
      <c r="B13" s="184" t="s">
        <v>301</v>
      </c>
      <c r="C13" s="182"/>
      <c r="D13" s="185"/>
      <c r="E13" s="185"/>
      <c r="F13" s="185" t="s">
        <v>114</v>
      </c>
      <c r="G13" s="183"/>
    </row>
    <row r="14" spans="1:8" ht="15" customHeight="1">
      <c r="A14" s="181"/>
      <c r="B14" s="181"/>
      <c r="C14" s="182"/>
      <c r="D14" s="183"/>
      <c r="E14" s="183"/>
      <c r="F14" s="185" t="s">
        <v>298</v>
      </c>
      <c r="G14" s="185">
        <f>SUM($F$10:$F$13)</f>
        <v>22509474</v>
      </c>
    </row>
    <row r="15" spans="1:8" ht="15" customHeight="1">
      <c r="A15" s="10" t="s">
        <v>102</v>
      </c>
      <c r="B15" s="181"/>
      <c r="C15" s="182"/>
      <c r="D15" s="183"/>
      <c r="E15" s="183"/>
      <c r="F15" s="183"/>
      <c r="G15" s="183"/>
    </row>
    <row r="16" spans="1:8" ht="15" customHeight="1">
      <c r="A16" s="181"/>
      <c r="B16" s="184" t="s">
        <v>302</v>
      </c>
      <c r="C16" s="184" t="s">
        <v>293</v>
      </c>
      <c r="D16" s="185">
        <v>18839380</v>
      </c>
      <c r="E16" s="185">
        <v>2076718</v>
      </c>
      <c r="F16" s="185">
        <v>20916098</v>
      </c>
      <c r="G16" s="183"/>
    </row>
    <row r="17" spans="1:7" ht="26.25" customHeight="1">
      <c r="A17" s="181"/>
      <c r="B17" s="184" t="s">
        <v>303</v>
      </c>
      <c r="C17" s="184"/>
      <c r="D17" s="185"/>
      <c r="E17" s="185"/>
      <c r="F17" s="185" t="s">
        <v>114</v>
      </c>
      <c r="G17" s="183"/>
    </row>
    <row r="18" spans="1:7" ht="15" customHeight="1">
      <c r="A18" s="181"/>
      <c r="B18" s="181"/>
      <c r="C18" s="182"/>
      <c r="D18" s="183"/>
      <c r="E18" s="183"/>
      <c r="F18" s="185" t="s">
        <v>298</v>
      </c>
      <c r="G18" s="185">
        <f>SUM($F$15:$F$17)</f>
        <v>20916098</v>
      </c>
    </row>
    <row r="19" spans="1:7" ht="15" customHeight="1">
      <c r="A19" s="10" t="s">
        <v>72</v>
      </c>
      <c r="B19" s="181"/>
      <c r="C19" s="182"/>
      <c r="D19" s="183"/>
      <c r="E19" s="183"/>
      <c r="F19" s="183"/>
      <c r="G19" s="183"/>
    </row>
    <row r="20" spans="1:7" ht="15" customHeight="1">
      <c r="A20" s="181"/>
      <c r="B20" s="184" t="s">
        <v>304</v>
      </c>
      <c r="C20" s="184" t="s">
        <v>293</v>
      </c>
      <c r="D20" s="185">
        <v>26828566</v>
      </c>
      <c r="E20" s="185">
        <v>8181301</v>
      </c>
      <c r="F20" s="185">
        <v>35009867</v>
      </c>
      <c r="G20" s="183"/>
    </row>
    <row r="21" spans="1:7" ht="15" customHeight="1">
      <c r="A21" s="181"/>
      <c r="B21" s="181"/>
      <c r="C21" s="182"/>
      <c r="D21" s="183"/>
      <c r="E21" s="183"/>
      <c r="F21" s="185" t="s">
        <v>298</v>
      </c>
      <c r="G21" s="185">
        <f>SUM($F$19:$F$20)</f>
        <v>35009867</v>
      </c>
    </row>
    <row r="22" spans="1:7" ht="15" customHeight="1">
      <c r="A22" s="10" t="s">
        <v>305</v>
      </c>
      <c r="B22" s="181"/>
      <c r="C22" s="182"/>
      <c r="D22" s="183"/>
      <c r="E22" s="183"/>
      <c r="F22" s="183"/>
      <c r="G22" s="183"/>
    </row>
    <row r="23" spans="1:7" ht="15" customHeight="1">
      <c r="A23" s="181"/>
      <c r="B23" s="184" t="s">
        <v>306</v>
      </c>
      <c r="C23" s="184" t="s">
        <v>297</v>
      </c>
      <c r="D23" s="185">
        <v>34240528</v>
      </c>
      <c r="E23" s="185">
        <v>19186677</v>
      </c>
      <c r="F23" s="185">
        <v>53427205</v>
      </c>
      <c r="G23" s="183"/>
    </row>
    <row r="24" spans="1:7" ht="15" customHeight="1">
      <c r="A24" s="181"/>
      <c r="B24" s="184" t="s">
        <v>307</v>
      </c>
      <c r="C24" s="184" t="s">
        <v>293</v>
      </c>
      <c r="D24" s="185">
        <v>1307581</v>
      </c>
      <c r="E24" s="185">
        <v>0</v>
      </c>
      <c r="F24" s="185">
        <v>1307581</v>
      </c>
      <c r="G24" s="183"/>
    </row>
    <row r="25" spans="1:7" ht="15" customHeight="1">
      <c r="A25" s="181"/>
      <c r="B25" s="184" t="s">
        <v>308</v>
      </c>
      <c r="C25" s="184" t="s">
        <v>293</v>
      </c>
      <c r="D25" s="185">
        <v>724548</v>
      </c>
      <c r="E25" s="185">
        <v>525740</v>
      </c>
      <c r="F25" s="185">
        <v>1250288</v>
      </c>
      <c r="G25" s="183"/>
    </row>
    <row r="26" spans="1:7" ht="15" customHeight="1">
      <c r="A26" s="181"/>
      <c r="B26" s="181"/>
      <c r="C26" s="182"/>
      <c r="D26" s="183"/>
      <c r="E26" s="183"/>
      <c r="F26" s="185" t="s">
        <v>298</v>
      </c>
      <c r="G26" s="185">
        <f>SUM($F$22:$F$25)</f>
        <v>55985074</v>
      </c>
    </row>
    <row r="27" spans="1:7" ht="15" customHeight="1">
      <c r="A27" s="189" t="s">
        <v>40</v>
      </c>
      <c r="B27" s="181"/>
      <c r="C27" s="182"/>
      <c r="D27" s="183"/>
      <c r="E27" s="183"/>
      <c r="F27" s="183"/>
      <c r="G27" s="183"/>
    </row>
    <row r="28" spans="1:7" ht="15" customHeight="1">
      <c r="A28" s="190"/>
      <c r="B28" s="184" t="s">
        <v>309</v>
      </c>
      <c r="C28" s="184" t="s">
        <v>297</v>
      </c>
      <c r="D28" s="185">
        <v>34379552</v>
      </c>
      <c r="E28" s="185">
        <v>9219009</v>
      </c>
      <c r="F28" s="185">
        <v>43598561</v>
      </c>
      <c r="G28" s="183"/>
    </row>
    <row r="29" spans="1:7" ht="15" customHeight="1">
      <c r="A29" s="190"/>
      <c r="B29" s="184" t="s">
        <v>310</v>
      </c>
      <c r="C29" s="184" t="s">
        <v>297</v>
      </c>
      <c r="D29" s="185">
        <v>3159463</v>
      </c>
      <c r="E29" s="185">
        <v>1100000</v>
      </c>
      <c r="F29" s="185">
        <v>4259463</v>
      </c>
      <c r="G29" s="183"/>
    </row>
    <row r="30" spans="1:7" ht="15" customHeight="1">
      <c r="A30" s="190"/>
      <c r="B30" s="184" t="s">
        <v>311</v>
      </c>
      <c r="C30" s="184" t="s">
        <v>295</v>
      </c>
      <c r="D30" s="185">
        <v>4111000</v>
      </c>
      <c r="E30" s="185">
        <v>0</v>
      </c>
      <c r="F30" s="185">
        <v>4111000</v>
      </c>
      <c r="G30" s="183"/>
    </row>
    <row r="31" spans="1:7" ht="15" customHeight="1">
      <c r="A31" s="190"/>
      <c r="B31" s="181"/>
      <c r="C31" s="182"/>
      <c r="D31" s="183"/>
      <c r="E31" s="183"/>
      <c r="F31" s="185" t="s">
        <v>298</v>
      </c>
      <c r="G31" s="185">
        <f>SUM($F$27:$F$30)</f>
        <v>51969024</v>
      </c>
    </row>
    <row r="32" spans="1:7" ht="15" customHeight="1">
      <c r="A32" s="189" t="s">
        <v>45</v>
      </c>
      <c r="B32" s="181"/>
      <c r="C32" s="182"/>
      <c r="D32" s="183"/>
      <c r="E32" s="183"/>
      <c r="F32" s="183"/>
      <c r="G32" s="183"/>
    </row>
    <row r="33" spans="1:7" ht="15" customHeight="1">
      <c r="A33" s="190"/>
      <c r="B33" s="184" t="s">
        <v>312</v>
      </c>
      <c r="C33" s="184" t="s">
        <v>293</v>
      </c>
      <c r="D33" s="185">
        <v>35538278</v>
      </c>
      <c r="E33" s="185">
        <v>9752626</v>
      </c>
      <c r="F33" s="185">
        <v>45290904</v>
      </c>
      <c r="G33" s="183"/>
    </row>
    <row r="34" spans="1:7" ht="15" customHeight="1">
      <c r="A34" s="190"/>
      <c r="B34" s="181"/>
      <c r="C34" s="182"/>
      <c r="D34" s="183"/>
      <c r="E34" s="183"/>
      <c r="F34" s="185" t="s">
        <v>298</v>
      </c>
      <c r="G34" s="185">
        <f>SUM($F$32:$F$33)</f>
        <v>45290904</v>
      </c>
    </row>
    <row r="35" spans="1:7" ht="15" customHeight="1">
      <c r="A35" s="189" t="s">
        <v>49</v>
      </c>
      <c r="B35" s="181"/>
      <c r="C35" s="182"/>
      <c r="D35" s="183"/>
      <c r="E35" s="183"/>
      <c r="F35" s="183"/>
      <c r="G35" s="183"/>
    </row>
    <row r="36" spans="1:7" ht="15" customHeight="1">
      <c r="A36" s="190"/>
      <c r="B36" s="184" t="s">
        <v>313</v>
      </c>
      <c r="C36" s="184" t="s">
        <v>297</v>
      </c>
      <c r="D36" s="185">
        <v>56349090</v>
      </c>
      <c r="E36" s="185">
        <v>41042530</v>
      </c>
      <c r="F36" s="185">
        <v>97391620</v>
      </c>
      <c r="G36" s="183"/>
    </row>
    <row r="37" spans="1:7" ht="15" customHeight="1">
      <c r="A37" s="190"/>
      <c r="B37" s="184" t="s">
        <v>314</v>
      </c>
      <c r="C37" s="184" t="s">
        <v>293</v>
      </c>
      <c r="D37" s="185">
        <v>723744</v>
      </c>
      <c r="E37" s="185">
        <v>0</v>
      </c>
      <c r="F37" s="185">
        <v>723744</v>
      </c>
      <c r="G37" s="183"/>
    </row>
    <row r="38" spans="1:7" ht="15" customHeight="1">
      <c r="A38" s="190"/>
      <c r="B38" s="184" t="s">
        <v>315</v>
      </c>
      <c r="C38" s="184" t="s">
        <v>297</v>
      </c>
      <c r="D38" s="185">
        <v>165614</v>
      </c>
      <c r="E38" s="185">
        <v>0</v>
      </c>
      <c r="F38" s="185">
        <v>165614</v>
      </c>
      <c r="G38" s="183"/>
    </row>
    <row r="39" spans="1:7" ht="15" customHeight="1">
      <c r="A39" s="190"/>
      <c r="B39" s="184" t="s">
        <v>316</v>
      </c>
      <c r="C39" s="184"/>
      <c r="D39" s="185"/>
      <c r="E39" s="185"/>
      <c r="F39" s="185" t="s">
        <v>114</v>
      </c>
      <c r="G39" s="183"/>
    </row>
    <row r="40" spans="1:7" ht="15" customHeight="1">
      <c r="A40" s="190"/>
      <c r="B40" s="181"/>
      <c r="C40" s="182"/>
      <c r="D40" s="183"/>
      <c r="E40" s="183"/>
      <c r="F40" s="185" t="s">
        <v>298</v>
      </c>
      <c r="G40" s="185">
        <f>SUM($F$35:$F$39)</f>
        <v>98280978</v>
      </c>
    </row>
    <row r="41" spans="1:7" ht="15" customHeight="1">
      <c r="A41" s="189" t="s">
        <v>78</v>
      </c>
      <c r="B41" s="181"/>
      <c r="C41" s="182"/>
      <c r="D41" s="183"/>
      <c r="E41" s="183"/>
      <c r="F41" s="183"/>
      <c r="G41" s="183"/>
    </row>
    <row r="42" spans="1:7" ht="15" customHeight="1">
      <c r="A42" s="190"/>
      <c r="B42" s="184" t="s">
        <v>317</v>
      </c>
      <c r="C42" s="184" t="s">
        <v>297</v>
      </c>
      <c r="D42" s="185">
        <v>18439152</v>
      </c>
      <c r="E42" s="185">
        <v>7307574</v>
      </c>
      <c r="F42" s="185">
        <v>25746726</v>
      </c>
      <c r="G42" s="183"/>
    </row>
    <row r="43" spans="1:7" ht="15" customHeight="1">
      <c r="A43" s="190"/>
      <c r="B43" s="184" t="s">
        <v>318</v>
      </c>
      <c r="C43" s="184" t="s">
        <v>293</v>
      </c>
      <c r="D43" s="185">
        <v>5212954</v>
      </c>
      <c r="E43" s="185">
        <v>260000</v>
      </c>
      <c r="F43" s="185">
        <v>5472954</v>
      </c>
      <c r="G43" s="183"/>
    </row>
    <row r="44" spans="1:7" s="20" customFormat="1" ht="15" customHeight="1">
      <c r="A44" s="190"/>
      <c r="B44" s="186" t="s">
        <v>319</v>
      </c>
      <c r="C44" s="186" t="s">
        <v>293</v>
      </c>
      <c r="D44" s="187">
        <v>180000</v>
      </c>
      <c r="E44" s="187">
        <v>0</v>
      </c>
      <c r="F44" s="187">
        <v>180000</v>
      </c>
      <c r="G44" s="188"/>
    </row>
    <row r="45" spans="1:7" ht="15" customHeight="1">
      <c r="A45" s="190"/>
      <c r="B45" s="181"/>
      <c r="C45" s="182"/>
      <c r="D45" s="183"/>
      <c r="E45" s="183"/>
      <c r="F45" s="185" t="s">
        <v>298</v>
      </c>
      <c r="G45" s="185">
        <f>SUM($F$41:$F$44)</f>
        <v>31399680</v>
      </c>
    </row>
    <row r="46" spans="1:7" ht="15" customHeight="1">
      <c r="A46" s="189" t="s">
        <v>67</v>
      </c>
      <c r="B46" s="181"/>
      <c r="C46" s="182"/>
      <c r="D46" s="183"/>
      <c r="E46" s="183"/>
      <c r="F46" s="183"/>
      <c r="G46" s="183"/>
    </row>
    <row r="47" spans="1:7" ht="15" customHeight="1">
      <c r="A47" s="190"/>
      <c r="B47" s="184" t="s">
        <v>320</v>
      </c>
      <c r="C47" s="184" t="s">
        <v>297</v>
      </c>
      <c r="D47" s="185">
        <v>32977353</v>
      </c>
      <c r="E47" s="185">
        <v>0</v>
      </c>
      <c r="F47" s="185">
        <v>32977353</v>
      </c>
      <c r="G47" s="183"/>
    </row>
    <row r="48" spans="1:7" ht="26.25" customHeight="1">
      <c r="A48" s="190"/>
      <c r="B48" s="184" t="s">
        <v>321</v>
      </c>
      <c r="C48" s="184" t="s">
        <v>297</v>
      </c>
      <c r="D48" s="185">
        <v>2500000</v>
      </c>
      <c r="E48" s="185">
        <v>0</v>
      </c>
      <c r="F48" s="185">
        <v>2500000</v>
      </c>
      <c r="G48" s="183"/>
    </row>
    <row r="49" spans="1:7" ht="15" customHeight="1">
      <c r="A49" s="190"/>
      <c r="B49" s="181"/>
      <c r="C49" s="182"/>
      <c r="D49" s="183"/>
      <c r="E49" s="183"/>
      <c r="F49" s="185" t="s">
        <v>298</v>
      </c>
      <c r="G49" s="185">
        <f>SUM($F$46:$F$48)</f>
        <v>35477353</v>
      </c>
    </row>
    <row r="50" spans="1:7" ht="15" customHeight="1">
      <c r="A50" s="189" t="s">
        <v>95</v>
      </c>
      <c r="B50" s="181"/>
      <c r="C50" s="182"/>
      <c r="D50" s="183"/>
      <c r="E50" s="183"/>
      <c r="F50" s="183"/>
      <c r="G50" s="183"/>
    </row>
    <row r="51" spans="1:7" ht="15" customHeight="1">
      <c r="A51" s="190"/>
      <c r="B51" s="184" t="s">
        <v>322</v>
      </c>
      <c r="C51" s="184" t="s">
        <v>293</v>
      </c>
      <c r="D51" s="185">
        <f>50439346*(1432/6625)</f>
        <v>10902512.22218868</v>
      </c>
      <c r="E51" s="185">
        <v>303034</v>
      </c>
      <c r="F51" s="185">
        <f>SUM(D51,E51)</f>
        <v>11205546.22218868</v>
      </c>
      <c r="G51" s="183"/>
    </row>
    <row r="52" spans="1:7" ht="15" customHeight="1">
      <c r="A52" s="190"/>
      <c r="B52" s="181"/>
      <c r="C52" s="182"/>
      <c r="D52" s="183"/>
      <c r="E52" s="183"/>
      <c r="F52" s="185" t="s">
        <v>298</v>
      </c>
      <c r="G52" s="185">
        <f>SUM($F$50:$F$51)</f>
        <v>11205546.22218868</v>
      </c>
    </row>
    <row r="53" spans="1:7" ht="15" customHeight="1">
      <c r="A53" s="189" t="s">
        <v>113</v>
      </c>
      <c r="B53" s="181"/>
      <c r="C53" s="182"/>
      <c r="D53" s="183"/>
      <c r="E53" s="183"/>
      <c r="F53" s="183"/>
      <c r="G53" s="183"/>
    </row>
    <row r="54" spans="1:7" ht="15" customHeight="1">
      <c r="A54" s="190"/>
      <c r="B54" s="184" t="s">
        <v>323</v>
      </c>
      <c r="C54" s="184"/>
      <c r="D54" s="185"/>
      <c r="E54" s="185"/>
      <c r="F54" s="185" t="s">
        <v>114</v>
      </c>
      <c r="G54" s="183"/>
    </row>
    <row r="55" spans="1:7" ht="15" customHeight="1">
      <c r="A55" s="190"/>
      <c r="B55" s="181"/>
      <c r="C55" s="182"/>
      <c r="D55" s="183"/>
      <c r="E55" s="183"/>
      <c r="F55" s="185" t="s">
        <v>298</v>
      </c>
      <c r="G55" s="185" t="s">
        <v>114</v>
      </c>
    </row>
    <row r="56" spans="1:7" ht="15" customHeight="1">
      <c r="A56" s="189" t="s">
        <v>51</v>
      </c>
      <c r="B56" s="181"/>
      <c r="C56" s="182"/>
      <c r="D56" s="183"/>
      <c r="E56" s="183"/>
      <c r="F56" s="183"/>
      <c r="G56" s="183"/>
    </row>
    <row r="57" spans="1:7" ht="15" customHeight="1">
      <c r="A57" s="190"/>
      <c r="B57" s="184" t="s">
        <v>324</v>
      </c>
      <c r="C57" s="184" t="s">
        <v>293</v>
      </c>
      <c r="D57" s="185">
        <v>20078360</v>
      </c>
      <c r="E57" s="185">
        <v>15396457</v>
      </c>
      <c r="F57" s="185">
        <v>35474817</v>
      </c>
      <c r="G57" s="183"/>
    </row>
    <row r="58" spans="1:7" ht="26.25" customHeight="1">
      <c r="A58" s="190"/>
      <c r="B58" s="184" t="s">
        <v>325</v>
      </c>
      <c r="C58" s="184" t="s">
        <v>293</v>
      </c>
      <c r="D58" s="185">
        <v>20349759</v>
      </c>
      <c r="E58" s="185">
        <v>6308558</v>
      </c>
      <c r="F58" s="185">
        <v>26658317</v>
      </c>
      <c r="G58" s="183"/>
    </row>
    <row r="59" spans="1:7" ht="15" customHeight="1">
      <c r="A59" s="190"/>
      <c r="B59" s="184" t="s">
        <v>326</v>
      </c>
      <c r="C59" s="184" t="s">
        <v>293</v>
      </c>
      <c r="D59" s="185">
        <v>9031000</v>
      </c>
      <c r="E59" s="185">
        <v>0</v>
      </c>
      <c r="F59" s="185">
        <v>9031000</v>
      </c>
      <c r="G59" s="183"/>
    </row>
    <row r="60" spans="1:7" ht="15" customHeight="1">
      <c r="A60" s="190"/>
      <c r="B60" s="184" t="s">
        <v>327</v>
      </c>
      <c r="C60" s="184" t="s">
        <v>293</v>
      </c>
      <c r="D60" s="185">
        <v>2869681</v>
      </c>
      <c r="E60" s="185">
        <v>0</v>
      </c>
      <c r="F60" s="185">
        <v>2869681</v>
      </c>
      <c r="G60" s="183"/>
    </row>
    <row r="61" spans="1:7" ht="15" customHeight="1">
      <c r="A61" s="190"/>
      <c r="B61" s="184" t="s">
        <v>328</v>
      </c>
      <c r="C61" s="184"/>
      <c r="D61" s="185"/>
      <c r="E61" s="185"/>
      <c r="F61" s="185" t="s">
        <v>114</v>
      </c>
      <c r="G61" s="183"/>
    </row>
    <row r="62" spans="1:7" ht="15" customHeight="1">
      <c r="A62" s="190"/>
      <c r="B62" s="181"/>
      <c r="C62" s="182"/>
      <c r="D62" s="183"/>
      <c r="E62" s="183"/>
      <c r="F62" s="185" t="s">
        <v>298</v>
      </c>
      <c r="G62" s="185">
        <f>SUM($F$56:$F$61)</f>
        <v>74033815</v>
      </c>
    </row>
    <row r="63" spans="1:7" ht="15" customHeight="1">
      <c r="A63" s="189" t="s">
        <v>101</v>
      </c>
      <c r="B63" s="181"/>
      <c r="C63" s="182"/>
      <c r="D63" s="183"/>
      <c r="E63" s="183"/>
      <c r="F63" s="183"/>
      <c r="G63" s="183"/>
    </row>
    <row r="64" spans="1:7" ht="15" customHeight="1">
      <c r="A64" s="190"/>
      <c r="B64" s="184" t="s">
        <v>329</v>
      </c>
      <c r="C64" s="184" t="s">
        <v>293</v>
      </c>
      <c r="D64" s="185">
        <v>7200217</v>
      </c>
      <c r="E64" s="185">
        <v>6279477</v>
      </c>
      <c r="F64" s="185">
        <v>13479694</v>
      </c>
      <c r="G64" s="183"/>
    </row>
    <row r="65" spans="1:7" ht="15" customHeight="1">
      <c r="A65" s="190"/>
      <c r="B65" s="184" t="s">
        <v>330</v>
      </c>
      <c r="C65" s="184" t="s">
        <v>293</v>
      </c>
      <c r="D65" s="185">
        <v>288000</v>
      </c>
      <c r="E65" s="185">
        <v>0</v>
      </c>
      <c r="F65" s="185">
        <v>288000</v>
      </c>
      <c r="G65" s="183"/>
    </row>
    <row r="66" spans="1:7" ht="26.25" customHeight="1">
      <c r="A66" s="190"/>
      <c r="B66" s="184" t="s">
        <v>331</v>
      </c>
      <c r="C66" s="184"/>
      <c r="D66" s="185"/>
      <c r="E66" s="185"/>
      <c r="F66" s="185" t="s">
        <v>114</v>
      </c>
      <c r="G66" s="183"/>
    </row>
    <row r="67" spans="1:7" ht="15" customHeight="1">
      <c r="A67" s="190"/>
      <c r="B67" s="181"/>
      <c r="C67" s="182"/>
      <c r="D67" s="183"/>
      <c r="E67" s="183"/>
      <c r="F67" s="185" t="s">
        <v>298</v>
      </c>
      <c r="G67" s="185">
        <f>SUM($F$63:$F$66)</f>
        <v>13767694</v>
      </c>
    </row>
    <row r="68" spans="1:7" ht="15" customHeight="1">
      <c r="A68" s="189" t="s">
        <v>115</v>
      </c>
      <c r="B68" s="181"/>
      <c r="C68" s="182"/>
      <c r="D68" s="183"/>
      <c r="E68" s="183"/>
      <c r="F68" s="183"/>
      <c r="G68" s="183"/>
    </row>
    <row r="69" spans="1:7" ht="15" customHeight="1">
      <c r="A69" s="190"/>
      <c r="B69" s="184" t="s">
        <v>332</v>
      </c>
      <c r="C69" s="184"/>
      <c r="D69" s="185"/>
      <c r="E69" s="185"/>
      <c r="F69" s="185" t="s">
        <v>114</v>
      </c>
      <c r="G69" s="183"/>
    </row>
    <row r="70" spans="1:7" ht="15" customHeight="1">
      <c r="A70" s="190"/>
      <c r="B70" s="181"/>
      <c r="C70" s="182"/>
      <c r="D70" s="183"/>
      <c r="E70" s="183"/>
      <c r="F70" s="185" t="s">
        <v>298</v>
      </c>
      <c r="G70" s="185" t="s">
        <v>114</v>
      </c>
    </row>
    <row r="71" spans="1:7" ht="15" customHeight="1">
      <c r="A71" s="189" t="s">
        <v>98</v>
      </c>
      <c r="B71" s="181"/>
      <c r="C71" s="182"/>
      <c r="D71" s="183"/>
      <c r="E71" s="183"/>
      <c r="F71" s="183"/>
      <c r="G71" s="183"/>
    </row>
    <row r="72" spans="1:7" ht="15" customHeight="1">
      <c r="A72" s="190"/>
      <c r="B72" s="184" t="s">
        <v>333</v>
      </c>
      <c r="C72" s="184" t="s">
        <v>297</v>
      </c>
      <c r="D72" s="185">
        <v>33120763</v>
      </c>
      <c r="E72" s="185">
        <v>6600000</v>
      </c>
      <c r="F72" s="185">
        <v>39720763</v>
      </c>
      <c r="G72" s="183"/>
    </row>
    <row r="73" spans="1:7" ht="15" customHeight="1">
      <c r="A73" s="190"/>
      <c r="B73" s="181"/>
      <c r="C73" s="182"/>
      <c r="D73" s="183"/>
      <c r="E73" s="183"/>
      <c r="F73" s="185" t="s">
        <v>298</v>
      </c>
      <c r="G73" s="185">
        <f>SUM($F$71:$F$72)</f>
        <v>39720763</v>
      </c>
    </row>
    <row r="74" spans="1:7" ht="15" customHeight="1">
      <c r="A74" s="189" t="s">
        <v>150</v>
      </c>
      <c r="B74" s="181"/>
      <c r="C74" s="182"/>
      <c r="D74" s="183"/>
      <c r="E74" s="183"/>
      <c r="F74" s="183"/>
      <c r="G74" s="183"/>
    </row>
    <row r="75" spans="1:7" ht="15" customHeight="1">
      <c r="A75" s="190"/>
      <c r="B75" s="184" t="s">
        <v>334</v>
      </c>
      <c r="C75" s="184" t="s">
        <v>295</v>
      </c>
      <c r="D75" s="185">
        <v>10812114</v>
      </c>
      <c r="E75" s="185">
        <v>191494</v>
      </c>
      <c r="F75" s="185">
        <v>11003608</v>
      </c>
      <c r="G75" s="183"/>
    </row>
    <row r="76" spans="1:7" ht="15" customHeight="1">
      <c r="A76" s="190"/>
      <c r="B76" s="184" t="s">
        <v>335</v>
      </c>
      <c r="C76" s="184" t="s">
        <v>297</v>
      </c>
      <c r="D76" s="185">
        <v>1034655</v>
      </c>
      <c r="E76" s="185">
        <v>0</v>
      </c>
      <c r="F76" s="185">
        <v>1034655</v>
      </c>
      <c r="G76" s="183"/>
    </row>
    <row r="77" spans="1:7" ht="26.25" customHeight="1">
      <c r="A77" s="190"/>
      <c r="B77" s="184" t="s">
        <v>336</v>
      </c>
      <c r="C77" s="184" t="s">
        <v>295</v>
      </c>
      <c r="D77" s="185">
        <v>53700</v>
      </c>
      <c r="E77" s="185">
        <v>0</v>
      </c>
      <c r="F77" s="185">
        <v>53700</v>
      </c>
      <c r="G77" s="183"/>
    </row>
    <row r="78" spans="1:7" ht="15" customHeight="1">
      <c r="A78" s="190"/>
      <c r="B78" s="181"/>
      <c r="C78" s="182"/>
      <c r="D78" s="183"/>
      <c r="E78" s="183"/>
      <c r="F78" s="185" t="s">
        <v>298</v>
      </c>
      <c r="G78" s="185">
        <f>SUM($F$74:$F$77)</f>
        <v>12091963</v>
      </c>
    </row>
    <row r="79" spans="1:7" ht="15" customHeight="1">
      <c r="A79" s="189" t="s">
        <v>337</v>
      </c>
      <c r="B79" s="181"/>
      <c r="C79" s="182"/>
      <c r="D79" s="183"/>
      <c r="E79" s="183"/>
      <c r="F79" s="183"/>
      <c r="G79" s="183"/>
    </row>
    <row r="80" spans="1:7" ht="15" customHeight="1">
      <c r="A80" s="190"/>
      <c r="B80" s="184" t="s">
        <v>338</v>
      </c>
      <c r="C80" s="184" t="s">
        <v>293</v>
      </c>
      <c r="D80" s="185">
        <v>349595485</v>
      </c>
      <c r="E80" s="185">
        <v>117253158</v>
      </c>
      <c r="F80" s="185">
        <v>466848643</v>
      </c>
      <c r="G80" s="183"/>
    </row>
    <row r="81" spans="1:7" ht="15" customHeight="1">
      <c r="A81" s="190"/>
      <c r="B81" s="184" t="s">
        <v>339</v>
      </c>
      <c r="C81" s="184" t="s">
        <v>293</v>
      </c>
      <c r="D81" s="185">
        <v>4001929</v>
      </c>
      <c r="E81" s="185">
        <v>1105579</v>
      </c>
      <c r="F81" s="185">
        <v>5107508</v>
      </c>
      <c r="G81" s="183"/>
    </row>
    <row r="82" spans="1:7" s="20" customFormat="1" ht="15" customHeight="1">
      <c r="A82" s="190"/>
      <c r="B82" s="186" t="s">
        <v>340</v>
      </c>
      <c r="C82" s="186">
        <v>2012</v>
      </c>
      <c r="D82" s="187">
        <v>46844</v>
      </c>
      <c r="E82" s="187"/>
      <c r="F82" s="187">
        <v>46844</v>
      </c>
      <c r="G82" s="188"/>
    </row>
    <row r="83" spans="1:7" s="20" customFormat="1" ht="15" customHeight="1">
      <c r="A83" s="190"/>
      <c r="B83" s="186" t="s">
        <v>341</v>
      </c>
      <c r="C83" s="186">
        <v>2013</v>
      </c>
      <c r="D83" s="187">
        <v>100000</v>
      </c>
      <c r="E83" s="187"/>
      <c r="F83" s="187">
        <v>100000</v>
      </c>
      <c r="G83" s="188"/>
    </row>
    <row r="84" spans="1:7" ht="15" customHeight="1">
      <c r="A84" s="190"/>
      <c r="B84" s="181"/>
      <c r="C84" s="182"/>
      <c r="D84" s="183"/>
      <c r="E84" s="183"/>
      <c r="F84" s="185" t="s">
        <v>298</v>
      </c>
      <c r="G84" s="185">
        <f>SUM($F$79:$F$83)</f>
        <v>472102995</v>
      </c>
    </row>
    <row r="85" spans="1:7" ht="15" customHeight="1">
      <c r="A85" s="189" t="s">
        <v>108</v>
      </c>
      <c r="B85" s="181"/>
      <c r="C85" s="182"/>
      <c r="D85" s="183"/>
      <c r="E85" s="183"/>
      <c r="F85" s="183"/>
      <c r="G85" s="183"/>
    </row>
    <row r="86" spans="1:7" ht="15" customHeight="1">
      <c r="A86" s="190"/>
      <c r="B86" s="184" t="s">
        <v>342</v>
      </c>
      <c r="C86" s="184" t="s">
        <v>297</v>
      </c>
      <c r="D86" s="185">
        <v>10035996</v>
      </c>
      <c r="E86" s="185">
        <v>625256</v>
      </c>
      <c r="F86" s="185">
        <v>10661252</v>
      </c>
      <c r="G86" s="183"/>
    </row>
    <row r="87" spans="1:7" ht="15" customHeight="1">
      <c r="A87" s="190"/>
      <c r="B87" s="184" t="s">
        <v>343</v>
      </c>
      <c r="C87" s="184" t="s">
        <v>295</v>
      </c>
      <c r="D87" s="185">
        <v>300000</v>
      </c>
      <c r="E87" s="185">
        <v>0</v>
      </c>
      <c r="F87" s="185">
        <v>300000</v>
      </c>
      <c r="G87" s="183"/>
    </row>
    <row r="88" spans="1:7" ht="15" customHeight="1">
      <c r="A88" s="190"/>
      <c r="B88" s="184" t="s">
        <v>344</v>
      </c>
      <c r="C88" s="184"/>
      <c r="D88" s="185"/>
      <c r="E88" s="185"/>
      <c r="F88" s="185" t="s">
        <v>114</v>
      </c>
      <c r="G88" s="183"/>
    </row>
    <row r="89" spans="1:7" ht="15" customHeight="1">
      <c r="A89" s="190"/>
      <c r="B89" s="181"/>
      <c r="C89" s="182"/>
      <c r="D89" s="183"/>
      <c r="E89" s="183"/>
      <c r="F89" s="185" t="s">
        <v>298</v>
      </c>
      <c r="G89" s="185">
        <f>SUM($F$85:$F$88)</f>
        <v>10961252</v>
      </c>
    </row>
    <row r="90" spans="1:7" ht="15" customHeight="1">
      <c r="A90" s="189" t="s">
        <v>24</v>
      </c>
      <c r="B90" s="181"/>
      <c r="C90" s="182"/>
      <c r="D90" s="183"/>
      <c r="E90" s="183"/>
      <c r="F90" s="183"/>
      <c r="G90" s="183"/>
    </row>
    <row r="91" spans="1:7" ht="15" customHeight="1">
      <c r="A91" s="190"/>
      <c r="B91" s="184" t="s">
        <v>345</v>
      </c>
      <c r="C91" s="184" t="s">
        <v>297</v>
      </c>
      <c r="D91" s="185">
        <v>25692417</v>
      </c>
      <c r="E91" s="185">
        <v>5428495</v>
      </c>
      <c r="F91" s="185">
        <v>31120912</v>
      </c>
      <c r="G91" s="183"/>
    </row>
    <row r="92" spans="1:7" ht="15" customHeight="1">
      <c r="A92" s="190"/>
      <c r="B92" s="184" t="s">
        <v>346</v>
      </c>
      <c r="C92" s="184" t="s">
        <v>297</v>
      </c>
      <c r="D92" s="185">
        <v>14908002</v>
      </c>
      <c r="E92" s="185">
        <v>5167594</v>
      </c>
      <c r="F92" s="185">
        <v>20075596</v>
      </c>
      <c r="G92" s="183"/>
    </row>
    <row r="93" spans="1:7" ht="15" customHeight="1">
      <c r="A93" s="190"/>
      <c r="B93" s="184" t="s">
        <v>347</v>
      </c>
      <c r="C93" s="184" t="s">
        <v>293</v>
      </c>
      <c r="D93" s="185">
        <v>407712</v>
      </c>
      <c r="E93" s="185">
        <v>36980</v>
      </c>
      <c r="F93" s="185">
        <v>444692</v>
      </c>
      <c r="G93" s="183"/>
    </row>
    <row r="94" spans="1:7" s="20" customFormat="1" ht="15" customHeight="1">
      <c r="A94" s="190"/>
      <c r="B94" s="186" t="s">
        <v>348</v>
      </c>
      <c r="C94" s="186">
        <v>2012</v>
      </c>
      <c r="D94" s="187">
        <v>816000</v>
      </c>
      <c r="E94" s="187"/>
      <c r="F94" s="187">
        <v>816000</v>
      </c>
      <c r="G94" s="188"/>
    </row>
    <row r="95" spans="1:7" ht="15" customHeight="1">
      <c r="A95" s="190"/>
      <c r="B95" s="181"/>
      <c r="C95" s="182"/>
      <c r="D95" s="183"/>
      <c r="E95" s="183"/>
      <c r="F95" s="185" t="s">
        <v>298</v>
      </c>
      <c r="G95" s="185">
        <f>SUM($F$90:$F$94)</f>
        <v>52457200</v>
      </c>
    </row>
    <row r="96" spans="1:7" ht="15" customHeight="1">
      <c r="A96" s="189" t="s">
        <v>143</v>
      </c>
      <c r="B96" s="181"/>
      <c r="C96" s="182"/>
      <c r="D96" s="183"/>
      <c r="E96" s="183"/>
      <c r="F96" s="183"/>
      <c r="G96" s="183"/>
    </row>
    <row r="97" spans="1:9" s="20" customFormat="1" ht="15" customHeight="1">
      <c r="A97" s="190"/>
      <c r="B97" s="184" t="s">
        <v>349</v>
      </c>
      <c r="C97" s="184">
        <v>2013</v>
      </c>
      <c r="D97" s="185">
        <v>32365782.5</v>
      </c>
      <c r="E97" s="185">
        <v>7782348.3799999999</v>
      </c>
      <c r="F97" s="185">
        <f>SUM(D97,E97)</f>
        <v>40148130.880000003</v>
      </c>
      <c r="G97" s="183"/>
    </row>
    <row r="98" spans="1:9" ht="15" customHeight="1">
      <c r="A98" s="190"/>
      <c r="B98" s="184" t="s">
        <v>350</v>
      </c>
      <c r="C98" s="184" t="s">
        <v>293</v>
      </c>
      <c r="D98" s="185">
        <v>1833858</v>
      </c>
      <c r="E98" s="185">
        <v>1016986</v>
      </c>
      <c r="F98" s="185">
        <v>2850844</v>
      </c>
      <c r="G98" s="183"/>
      <c r="I98" s="139"/>
    </row>
    <row r="99" spans="1:9" ht="15" customHeight="1">
      <c r="A99" s="190"/>
      <c r="B99" s="181"/>
      <c r="C99" s="182"/>
      <c r="D99" s="183"/>
      <c r="E99" s="183"/>
      <c r="F99" s="185" t="s">
        <v>298</v>
      </c>
      <c r="G99" s="185">
        <f>SUM($F$96:$F$98)</f>
        <v>42998974.880000003</v>
      </c>
      <c r="I99" s="139"/>
    </row>
    <row r="100" spans="1:9" ht="15" customHeight="1">
      <c r="A100" s="189" t="s">
        <v>88</v>
      </c>
      <c r="B100" s="181"/>
      <c r="C100" s="182"/>
      <c r="D100" s="183"/>
      <c r="E100" s="183"/>
      <c r="F100" s="183"/>
      <c r="G100" s="183"/>
    </row>
    <row r="101" spans="1:9" ht="15" customHeight="1">
      <c r="A101" s="190"/>
      <c r="B101" s="184" t="s">
        <v>351</v>
      </c>
      <c r="C101" s="184" t="s">
        <v>293</v>
      </c>
      <c r="D101" s="185">
        <v>21640651</v>
      </c>
      <c r="E101" s="185">
        <v>6196447</v>
      </c>
      <c r="F101" s="185">
        <v>27837098</v>
      </c>
      <c r="G101" s="183"/>
    </row>
    <row r="102" spans="1:9" ht="15" customHeight="1">
      <c r="A102" s="190"/>
      <c r="B102" s="184" t="s">
        <v>352</v>
      </c>
      <c r="C102" s="184" t="s">
        <v>297</v>
      </c>
      <c r="D102" s="185">
        <v>647042</v>
      </c>
      <c r="E102" s="185">
        <v>0</v>
      </c>
      <c r="F102" s="185">
        <v>647042</v>
      </c>
      <c r="G102" s="183"/>
    </row>
    <row r="103" spans="1:9" ht="15" customHeight="1">
      <c r="A103" s="190"/>
      <c r="B103" s="184" t="s">
        <v>353</v>
      </c>
      <c r="C103" s="184" t="s">
        <v>293</v>
      </c>
      <c r="D103" s="185">
        <v>450200</v>
      </c>
      <c r="E103" s="185">
        <v>65500</v>
      </c>
      <c r="F103" s="185">
        <v>515700</v>
      </c>
      <c r="G103" s="183"/>
    </row>
    <row r="104" spans="1:9" ht="15" customHeight="1">
      <c r="A104" s="190"/>
      <c r="B104" s="181"/>
      <c r="C104" s="182"/>
      <c r="D104" s="183"/>
      <c r="E104" s="183"/>
      <c r="F104" s="185" t="s">
        <v>298</v>
      </c>
      <c r="G104" s="185">
        <f>SUM($F$100:$F$103)</f>
        <v>28999840</v>
      </c>
    </row>
    <row r="105" spans="1:9" ht="15" customHeight="1">
      <c r="A105" s="189" t="s">
        <v>80</v>
      </c>
      <c r="B105" s="181"/>
      <c r="C105" s="182"/>
      <c r="D105" s="183"/>
      <c r="E105" s="183"/>
      <c r="F105" s="183"/>
      <c r="G105" s="183"/>
    </row>
    <row r="106" spans="1:9" ht="15" customHeight="1">
      <c r="A106" s="190"/>
      <c r="B106" s="184" t="s">
        <v>354</v>
      </c>
      <c r="C106" s="184" t="s">
        <v>293</v>
      </c>
      <c r="D106" s="185">
        <v>34126908</v>
      </c>
      <c r="E106" s="185">
        <v>38327000</v>
      </c>
      <c r="F106" s="185">
        <v>72453908</v>
      </c>
      <c r="G106" s="183"/>
    </row>
    <row r="107" spans="1:9" ht="26.25" customHeight="1">
      <c r="A107" s="190"/>
      <c r="B107" s="184" t="s">
        <v>355</v>
      </c>
      <c r="C107" s="184" t="s">
        <v>293</v>
      </c>
      <c r="D107" s="185">
        <v>2687000</v>
      </c>
      <c r="E107" s="185">
        <v>1086276</v>
      </c>
      <c r="F107" s="185">
        <v>3773276</v>
      </c>
      <c r="G107" s="183"/>
    </row>
    <row r="108" spans="1:9" ht="15" customHeight="1">
      <c r="A108" s="190"/>
      <c r="B108" s="181"/>
      <c r="C108" s="182"/>
      <c r="D108" s="183"/>
      <c r="E108" s="183"/>
      <c r="F108" s="185" t="s">
        <v>298</v>
      </c>
      <c r="G108" s="185">
        <f>SUM($F$105:$F$107)</f>
        <v>76227184</v>
      </c>
    </row>
    <row r="109" spans="1:9" ht="15" customHeight="1">
      <c r="A109" s="189" t="s">
        <v>44</v>
      </c>
      <c r="B109" s="181"/>
      <c r="C109" s="182"/>
      <c r="D109" s="183"/>
      <c r="E109" s="183"/>
      <c r="F109" s="183"/>
      <c r="G109" s="183"/>
    </row>
    <row r="110" spans="1:9" ht="15" customHeight="1">
      <c r="A110" s="190"/>
      <c r="B110" s="184" t="s">
        <v>356</v>
      </c>
      <c r="C110" s="184" t="s">
        <v>297</v>
      </c>
      <c r="D110" s="185">
        <v>22246485</v>
      </c>
      <c r="E110" s="185">
        <v>782430</v>
      </c>
      <c r="F110" s="185">
        <v>23028915</v>
      </c>
      <c r="G110" s="183"/>
    </row>
    <row r="111" spans="1:9" ht="15" customHeight="1">
      <c r="A111" s="190"/>
      <c r="B111" s="184" t="s">
        <v>357</v>
      </c>
      <c r="C111" s="184" t="s">
        <v>293</v>
      </c>
      <c r="D111" s="185">
        <v>756412</v>
      </c>
      <c r="E111" s="185">
        <v>5663</v>
      </c>
      <c r="F111" s="185">
        <v>762075</v>
      </c>
      <c r="G111" s="183"/>
    </row>
    <row r="112" spans="1:9" ht="15" customHeight="1">
      <c r="A112" s="190"/>
      <c r="B112" s="184" t="s">
        <v>358</v>
      </c>
      <c r="C112" s="184"/>
      <c r="D112" s="185"/>
      <c r="E112" s="185"/>
      <c r="F112" s="185" t="s">
        <v>114</v>
      </c>
      <c r="G112" s="183"/>
    </row>
    <row r="113" spans="1:7" ht="15" customHeight="1">
      <c r="A113" s="190"/>
      <c r="B113" s="181"/>
      <c r="C113" s="182"/>
      <c r="D113" s="183"/>
      <c r="E113" s="183"/>
      <c r="F113" s="185" t="s">
        <v>298</v>
      </c>
      <c r="G113" s="185">
        <f>SUM($F$109:$F$112)</f>
        <v>23790990</v>
      </c>
    </row>
    <row r="114" spans="1:7" ht="15" customHeight="1">
      <c r="A114" s="189" t="s">
        <v>50</v>
      </c>
      <c r="B114" s="181"/>
      <c r="C114" s="182"/>
      <c r="D114" s="183"/>
      <c r="E114" s="183"/>
      <c r="F114" s="183"/>
      <c r="G114" s="183"/>
    </row>
    <row r="115" spans="1:7" ht="15" customHeight="1">
      <c r="A115" s="190"/>
      <c r="B115" s="184" t="s">
        <v>359</v>
      </c>
      <c r="C115" s="184" t="s">
        <v>293</v>
      </c>
      <c r="D115" s="185">
        <v>61299121</v>
      </c>
      <c r="E115" s="185">
        <v>1744227</v>
      </c>
      <c r="F115" s="185">
        <v>63043348</v>
      </c>
      <c r="G115" s="183"/>
    </row>
    <row r="116" spans="1:7" ht="26.25" customHeight="1">
      <c r="A116" s="190"/>
      <c r="B116" s="184" t="s">
        <v>360</v>
      </c>
      <c r="C116" s="184"/>
      <c r="D116" s="185"/>
      <c r="E116" s="185"/>
      <c r="F116" s="185" t="s">
        <v>114</v>
      </c>
      <c r="G116" s="183"/>
    </row>
    <row r="117" spans="1:7" ht="15" customHeight="1">
      <c r="A117" s="190"/>
      <c r="B117" s="181"/>
      <c r="C117" s="182"/>
      <c r="D117" s="183"/>
      <c r="E117" s="183"/>
      <c r="F117" s="185" t="s">
        <v>298</v>
      </c>
      <c r="G117" s="185">
        <f>SUM($F$114:$F$116)</f>
        <v>63043348</v>
      </c>
    </row>
    <row r="118" spans="1:7" ht="15" customHeight="1">
      <c r="A118" s="189" t="s">
        <v>46</v>
      </c>
      <c r="B118" s="181"/>
      <c r="C118" s="182"/>
      <c r="D118" s="183"/>
      <c r="E118" s="183"/>
      <c r="F118" s="183"/>
      <c r="G118" s="183"/>
    </row>
    <row r="119" spans="1:7" ht="15" customHeight="1">
      <c r="A119" s="190"/>
      <c r="B119" s="184" t="s">
        <v>361</v>
      </c>
      <c r="C119" s="184" t="s">
        <v>293</v>
      </c>
      <c r="D119" s="185">
        <v>55701408</v>
      </c>
      <c r="E119" s="185">
        <v>11535204</v>
      </c>
      <c r="F119" s="185">
        <v>67236612</v>
      </c>
      <c r="G119" s="183"/>
    </row>
    <row r="120" spans="1:7" ht="15" customHeight="1">
      <c r="A120" s="190"/>
      <c r="B120" s="181"/>
      <c r="C120" s="182"/>
      <c r="D120" s="183"/>
      <c r="E120" s="183"/>
      <c r="F120" s="185" t="s">
        <v>298</v>
      </c>
      <c r="G120" s="185">
        <f>SUM($F$118:$F$119)</f>
        <v>67236612</v>
      </c>
    </row>
    <row r="121" spans="1:7" ht="15" customHeight="1">
      <c r="A121" s="189" t="s">
        <v>112</v>
      </c>
      <c r="B121" s="181"/>
      <c r="C121" s="182"/>
      <c r="D121" s="183"/>
      <c r="E121" s="183"/>
      <c r="F121" s="183"/>
      <c r="G121" s="183"/>
    </row>
    <row r="122" spans="1:7" ht="15" customHeight="1">
      <c r="A122" s="190"/>
      <c r="B122" s="184" t="s">
        <v>362</v>
      </c>
      <c r="C122" s="184" t="s">
        <v>297</v>
      </c>
      <c r="D122" s="185">
        <v>11108000</v>
      </c>
      <c r="E122" s="185">
        <v>363000</v>
      </c>
      <c r="F122" s="185">
        <v>11471000</v>
      </c>
      <c r="G122" s="183"/>
    </row>
    <row r="123" spans="1:7" ht="15" customHeight="1">
      <c r="A123" s="190"/>
      <c r="B123" s="184" t="s">
        <v>363</v>
      </c>
      <c r="C123" s="184" t="s">
        <v>293</v>
      </c>
      <c r="D123" s="185">
        <v>181000</v>
      </c>
      <c r="E123" s="185">
        <v>0</v>
      </c>
      <c r="F123" s="185">
        <v>181000</v>
      </c>
      <c r="G123" s="183"/>
    </row>
    <row r="124" spans="1:7" ht="15" customHeight="1">
      <c r="A124" s="190"/>
      <c r="B124" s="184" t="s">
        <v>187</v>
      </c>
      <c r="C124" s="182"/>
      <c r="D124" s="185">
        <v>0</v>
      </c>
      <c r="E124" s="185">
        <v>0</v>
      </c>
      <c r="F124" s="185">
        <v>0</v>
      </c>
      <c r="G124" s="183"/>
    </row>
    <row r="125" spans="1:7" ht="15" customHeight="1">
      <c r="A125" s="190"/>
      <c r="B125" s="181"/>
      <c r="C125" s="182"/>
      <c r="D125" s="183"/>
      <c r="E125" s="183"/>
      <c r="F125" s="185" t="s">
        <v>298</v>
      </c>
      <c r="G125" s="185">
        <f>SUM($F$121:$F$124)</f>
        <v>11652000</v>
      </c>
    </row>
    <row r="126" spans="1:7" ht="15" customHeight="1">
      <c r="A126" s="189" t="s">
        <v>75</v>
      </c>
      <c r="B126" s="181"/>
      <c r="C126" s="182"/>
      <c r="D126" s="183"/>
      <c r="E126" s="183"/>
      <c r="F126" s="183"/>
      <c r="G126" s="183"/>
    </row>
    <row r="127" spans="1:7" ht="15" customHeight="1">
      <c r="A127" s="190"/>
      <c r="B127" s="184" t="s">
        <v>364</v>
      </c>
      <c r="C127" s="184" t="s">
        <v>293</v>
      </c>
      <c r="D127" s="185">
        <v>12476582</v>
      </c>
      <c r="E127" s="185">
        <v>5806162</v>
      </c>
      <c r="F127" s="185">
        <v>18282744</v>
      </c>
      <c r="G127" s="183"/>
    </row>
    <row r="128" spans="1:7" ht="15" customHeight="1">
      <c r="A128" s="190"/>
      <c r="B128" s="184" t="s">
        <v>365</v>
      </c>
      <c r="C128" s="184">
        <v>2014</v>
      </c>
      <c r="D128" s="185">
        <v>30000</v>
      </c>
      <c r="E128" s="185">
        <v>0</v>
      </c>
      <c r="F128" s="185">
        <v>30000</v>
      </c>
      <c r="G128" s="183"/>
    </row>
    <row r="129" spans="1:8" ht="15" customHeight="1">
      <c r="A129" s="190"/>
      <c r="B129" s="181"/>
      <c r="C129" s="182"/>
      <c r="D129" s="183"/>
      <c r="E129" s="183"/>
      <c r="F129" s="185" t="s">
        <v>298</v>
      </c>
      <c r="G129" s="185">
        <f>SUM($F$126:$F$128)</f>
        <v>18312744</v>
      </c>
    </row>
    <row r="130" spans="1:8" ht="15" customHeight="1">
      <c r="A130" s="189" t="s">
        <v>70</v>
      </c>
      <c r="B130" s="181"/>
      <c r="C130" s="182"/>
      <c r="D130" s="183"/>
      <c r="E130" s="183"/>
      <c r="F130" s="183"/>
      <c r="G130" s="183"/>
    </row>
    <row r="131" spans="1:8" ht="15" customHeight="1">
      <c r="A131" s="190"/>
      <c r="B131" s="186" t="s">
        <v>366</v>
      </c>
      <c r="C131" s="186">
        <v>2011</v>
      </c>
      <c r="D131" s="187">
        <v>22599186</v>
      </c>
      <c r="E131" s="187">
        <v>0</v>
      </c>
      <c r="F131" s="187">
        <v>22599186</v>
      </c>
      <c r="G131" s="188"/>
    </row>
    <row r="132" spans="1:8" ht="15" customHeight="1">
      <c r="A132" s="190"/>
      <c r="B132" s="184" t="s">
        <v>367</v>
      </c>
      <c r="C132" s="184" t="s">
        <v>293</v>
      </c>
      <c r="D132" s="185">
        <v>852808</v>
      </c>
      <c r="E132" s="185">
        <v>0</v>
      </c>
      <c r="F132" s="185">
        <v>852808</v>
      </c>
      <c r="G132" s="183"/>
    </row>
    <row r="133" spans="1:8" s="20" customFormat="1" ht="15" customHeight="1">
      <c r="A133" s="190"/>
      <c r="B133" s="184" t="s">
        <v>368</v>
      </c>
      <c r="C133" s="184">
        <v>2013</v>
      </c>
      <c r="D133" s="185">
        <f>2403754+2950</f>
        <v>2406704</v>
      </c>
      <c r="E133" s="185">
        <v>10500</v>
      </c>
      <c r="F133" s="185">
        <f>SUM(D133:E133)</f>
        <v>2417204</v>
      </c>
      <c r="G133" s="188"/>
      <c r="H133" s="191">
        <f>SUM(F132:F133)</f>
        <v>3270012</v>
      </c>
    </row>
    <row r="134" spans="1:8" ht="26.25" customHeight="1">
      <c r="A134" s="190"/>
      <c r="B134" s="184" t="s">
        <v>369</v>
      </c>
      <c r="C134" s="184"/>
      <c r="D134" s="185"/>
      <c r="E134" s="185"/>
      <c r="F134" s="185" t="s">
        <v>114</v>
      </c>
      <c r="G134" s="183"/>
    </row>
    <row r="135" spans="1:8" ht="15" customHeight="1">
      <c r="A135" s="190"/>
      <c r="B135" s="181"/>
      <c r="C135" s="182"/>
      <c r="D135" s="183">
        <f>SUM(D131:D133)</f>
        <v>25858698</v>
      </c>
      <c r="E135" s="183"/>
      <c r="F135" s="185" t="s">
        <v>298</v>
      </c>
      <c r="G135" s="185">
        <f>SUM($F$130:$F$134)</f>
        <v>25869198</v>
      </c>
    </row>
    <row r="136" spans="1:8" ht="15" customHeight="1">
      <c r="A136" s="189" t="s">
        <v>73</v>
      </c>
      <c r="B136" s="181"/>
      <c r="C136" s="182"/>
      <c r="D136" s="183"/>
      <c r="E136" s="183"/>
      <c r="F136" s="183"/>
      <c r="G136" s="183"/>
    </row>
    <row r="137" spans="1:8" ht="15" customHeight="1">
      <c r="A137" s="190"/>
      <c r="B137" s="184" t="s">
        <v>370</v>
      </c>
      <c r="C137" s="184" t="s">
        <v>293</v>
      </c>
      <c r="D137" s="185">
        <v>16293933</v>
      </c>
      <c r="E137" s="185">
        <v>1706501</v>
      </c>
      <c r="F137" s="185">
        <v>18000434</v>
      </c>
      <c r="G137" s="183"/>
    </row>
    <row r="138" spans="1:8" ht="15" customHeight="1">
      <c r="A138" s="190"/>
      <c r="B138" s="181"/>
      <c r="C138" s="182"/>
      <c r="D138" s="183"/>
      <c r="E138" s="183"/>
      <c r="F138" s="185" t="s">
        <v>298</v>
      </c>
      <c r="G138" s="185">
        <f>SUM($F$136:$F$137)</f>
        <v>18000434</v>
      </c>
    </row>
    <row r="139" spans="1:8" ht="15" customHeight="1">
      <c r="A139" s="189" t="s">
        <v>62</v>
      </c>
      <c r="B139" s="181"/>
      <c r="C139" s="182"/>
      <c r="D139" s="183"/>
      <c r="E139" s="183"/>
      <c r="F139" s="183"/>
      <c r="G139" s="183"/>
    </row>
    <row r="140" spans="1:8" ht="15" customHeight="1">
      <c r="A140" s="190"/>
      <c r="B140" s="184" t="s">
        <v>371</v>
      </c>
      <c r="C140" s="184" t="s">
        <v>293</v>
      </c>
      <c r="D140" s="185">
        <v>59281279</v>
      </c>
      <c r="E140" s="185">
        <v>11049676</v>
      </c>
      <c r="F140" s="185">
        <v>70330955</v>
      </c>
      <c r="G140" s="183"/>
    </row>
    <row r="141" spans="1:8" ht="15" customHeight="1">
      <c r="A141" s="190"/>
      <c r="B141" s="181"/>
      <c r="C141" s="182"/>
      <c r="D141" s="183"/>
      <c r="E141" s="183"/>
      <c r="F141" s="185" t="s">
        <v>298</v>
      </c>
      <c r="G141" s="185">
        <f>SUM($F$139:$F$140)</f>
        <v>70330955</v>
      </c>
    </row>
    <row r="142" spans="1:8" ht="15" customHeight="1">
      <c r="A142" s="189" t="s">
        <v>116</v>
      </c>
      <c r="B142" s="181"/>
      <c r="C142" s="182"/>
      <c r="D142" s="183"/>
      <c r="E142" s="183"/>
      <c r="F142" s="183"/>
      <c r="G142" s="183"/>
    </row>
    <row r="143" spans="1:8" ht="26.25" customHeight="1">
      <c r="A143" s="190"/>
      <c r="B143" s="184" t="s">
        <v>372</v>
      </c>
      <c r="C143" s="184" t="s">
        <v>297</v>
      </c>
      <c r="D143" s="185">
        <v>3373400</v>
      </c>
      <c r="E143" s="185">
        <v>0</v>
      </c>
      <c r="F143" s="185">
        <v>3373400</v>
      </c>
      <c r="G143" s="183"/>
    </row>
    <row r="144" spans="1:8" s="20" customFormat="1" ht="15" customHeight="1">
      <c r="A144" s="190"/>
      <c r="B144" s="186" t="s">
        <v>373</v>
      </c>
      <c r="C144" s="186" t="s">
        <v>295</v>
      </c>
      <c r="D144" s="187">
        <v>4172894</v>
      </c>
      <c r="E144" s="187">
        <v>259740</v>
      </c>
      <c r="F144" s="187">
        <v>4432634</v>
      </c>
      <c r="G144" s="188"/>
    </row>
    <row r="145" spans="1:7" ht="15" customHeight="1">
      <c r="A145" s="190"/>
      <c r="B145" s="184" t="s">
        <v>374</v>
      </c>
      <c r="C145" s="184"/>
      <c r="D145" s="185"/>
      <c r="E145" s="185"/>
      <c r="F145" s="185" t="s">
        <v>114</v>
      </c>
      <c r="G145" s="183"/>
    </row>
    <row r="146" spans="1:7" ht="15" customHeight="1">
      <c r="A146" s="190"/>
      <c r="B146" s="181"/>
      <c r="C146" s="182"/>
      <c r="D146" s="183"/>
      <c r="E146" s="183"/>
      <c r="F146" s="185" t="s">
        <v>298</v>
      </c>
      <c r="G146" s="185">
        <f>SUM($F$142:$F$145)</f>
        <v>7806034</v>
      </c>
    </row>
    <row r="147" spans="1:7" ht="15" customHeight="1">
      <c r="A147" s="189" t="s">
        <v>106</v>
      </c>
      <c r="B147" s="181"/>
      <c r="C147" s="182"/>
      <c r="D147" s="183"/>
      <c r="E147" s="183"/>
      <c r="F147" s="183"/>
      <c r="G147" s="183"/>
    </row>
    <row r="148" spans="1:7" ht="26.25" customHeight="1">
      <c r="A148" s="190"/>
      <c r="B148" s="184" t="s">
        <v>375</v>
      </c>
      <c r="C148" s="184" t="s">
        <v>297</v>
      </c>
      <c r="D148" s="185">
        <v>9963063</v>
      </c>
      <c r="E148" s="185">
        <v>1897001</v>
      </c>
      <c r="F148" s="185">
        <v>11860064</v>
      </c>
      <c r="G148" s="183"/>
    </row>
    <row r="149" spans="1:7" ht="15" customHeight="1">
      <c r="A149" s="190"/>
      <c r="B149" s="181"/>
      <c r="C149" s="182"/>
      <c r="D149" s="183"/>
      <c r="E149" s="183"/>
      <c r="F149" s="185" t="s">
        <v>298</v>
      </c>
      <c r="G149" s="185">
        <f>SUM($F$147:$F$148)</f>
        <v>11860064</v>
      </c>
    </row>
    <row r="150" spans="1:7" ht="15" customHeight="1">
      <c r="A150" s="189" t="s">
        <v>153</v>
      </c>
      <c r="B150" s="181"/>
      <c r="C150" s="182"/>
      <c r="D150" s="183"/>
      <c r="E150" s="183"/>
      <c r="F150" s="183"/>
      <c r="G150" s="183"/>
    </row>
    <row r="151" spans="1:7" ht="15" customHeight="1">
      <c r="A151" s="190"/>
      <c r="B151" s="184" t="s">
        <v>376</v>
      </c>
      <c r="C151" s="184"/>
      <c r="D151" s="185"/>
      <c r="E151" s="185"/>
      <c r="F151" s="185" t="s">
        <v>114</v>
      </c>
      <c r="G151" s="183"/>
    </row>
    <row r="152" spans="1:7" ht="26.25" customHeight="1">
      <c r="A152" s="190"/>
      <c r="B152" s="184" t="s">
        <v>377</v>
      </c>
      <c r="C152" s="184"/>
      <c r="D152" s="185"/>
      <c r="E152" s="185"/>
      <c r="F152" s="185" t="s">
        <v>114</v>
      </c>
      <c r="G152" s="183"/>
    </row>
    <row r="153" spans="1:7" ht="15" customHeight="1">
      <c r="A153" s="190"/>
      <c r="B153" s="181"/>
      <c r="C153" s="182"/>
      <c r="D153" s="183"/>
      <c r="E153" s="183"/>
      <c r="F153" s="185" t="s">
        <v>298</v>
      </c>
      <c r="G153" s="185" t="s">
        <v>114</v>
      </c>
    </row>
    <row r="154" spans="1:7" ht="15" customHeight="1">
      <c r="A154" s="189" t="s">
        <v>99</v>
      </c>
      <c r="B154" s="181"/>
      <c r="C154" s="182"/>
      <c r="D154" s="183"/>
      <c r="E154" s="183"/>
      <c r="F154" s="183"/>
      <c r="G154" s="183"/>
    </row>
    <row r="155" spans="1:7" ht="15" customHeight="1">
      <c r="A155" s="190"/>
      <c r="B155" s="184" t="s">
        <v>378</v>
      </c>
      <c r="C155" s="184" t="s">
        <v>293</v>
      </c>
      <c r="D155" s="185">
        <v>12791890</v>
      </c>
      <c r="E155" s="185">
        <v>515079</v>
      </c>
      <c r="F155" s="185">
        <v>13306969</v>
      </c>
      <c r="G155" s="183"/>
    </row>
    <row r="156" spans="1:7" ht="15" customHeight="1">
      <c r="A156" s="190"/>
      <c r="B156" s="181"/>
      <c r="C156" s="182"/>
      <c r="D156" s="183"/>
      <c r="E156" s="183"/>
      <c r="F156" s="185" t="s">
        <v>298</v>
      </c>
      <c r="G156" s="185">
        <f>SUM($F$154:$F$155)</f>
        <v>13306969</v>
      </c>
    </row>
    <row r="157" spans="1:7" ht="15" customHeight="1">
      <c r="A157" s="189" t="s">
        <v>96</v>
      </c>
      <c r="B157" s="181"/>
      <c r="C157" s="182"/>
      <c r="D157" s="183"/>
      <c r="E157" s="183"/>
      <c r="F157" s="183"/>
      <c r="G157" s="183"/>
    </row>
    <row r="158" spans="1:7" ht="15" customHeight="1">
      <c r="A158" s="190"/>
      <c r="B158" s="184" t="s">
        <v>379</v>
      </c>
      <c r="C158" s="184" t="s">
        <v>293</v>
      </c>
      <c r="D158" s="185">
        <v>8548784</v>
      </c>
      <c r="E158" s="185">
        <v>0</v>
      </c>
      <c r="F158" s="185">
        <v>8548784</v>
      </c>
      <c r="G158" s="183"/>
    </row>
    <row r="159" spans="1:7" ht="15" customHeight="1">
      <c r="A159" s="190"/>
      <c r="B159" s="181"/>
      <c r="C159" s="182"/>
      <c r="D159" s="183"/>
      <c r="E159" s="183"/>
      <c r="F159" s="185" t="s">
        <v>298</v>
      </c>
      <c r="G159" s="185">
        <f>SUM($F$157:$F$158)</f>
        <v>8548784</v>
      </c>
    </row>
    <row r="160" spans="1:7" ht="15" customHeight="1">
      <c r="A160" s="189" t="s">
        <v>56</v>
      </c>
      <c r="B160" s="181"/>
      <c r="C160" s="182"/>
      <c r="D160" s="183"/>
      <c r="E160" s="183"/>
      <c r="F160" s="183"/>
      <c r="G160" s="183"/>
    </row>
    <row r="161" spans="1:7" ht="15" customHeight="1">
      <c r="A161" s="190"/>
      <c r="B161" s="184" t="s">
        <v>380</v>
      </c>
      <c r="C161" s="184" t="s">
        <v>297</v>
      </c>
      <c r="D161" s="185">
        <v>17116234</v>
      </c>
      <c r="E161" s="185">
        <v>0</v>
      </c>
      <c r="F161" s="185">
        <v>17116234</v>
      </c>
      <c r="G161" s="183"/>
    </row>
    <row r="162" spans="1:7" ht="15" customHeight="1">
      <c r="A162" s="190"/>
      <c r="B162" s="184" t="s">
        <v>381</v>
      </c>
      <c r="C162" s="184" t="s">
        <v>297</v>
      </c>
      <c r="D162" s="185">
        <v>1093000</v>
      </c>
      <c r="E162" s="185">
        <v>0</v>
      </c>
      <c r="F162" s="185">
        <v>1093000</v>
      </c>
      <c r="G162" s="183"/>
    </row>
    <row r="163" spans="1:7" ht="15" customHeight="1">
      <c r="A163" s="190"/>
      <c r="B163" s="181"/>
      <c r="C163" s="182"/>
      <c r="D163" s="183"/>
      <c r="E163" s="183"/>
      <c r="F163" s="185" t="s">
        <v>298</v>
      </c>
      <c r="G163" s="185">
        <f>SUM($F$160:$F$162)</f>
        <v>18209234</v>
      </c>
    </row>
    <row r="164" spans="1:7" ht="15" customHeight="1">
      <c r="A164" s="189" t="s">
        <v>23</v>
      </c>
      <c r="B164" s="181"/>
      <c r="C164" s="182"/>
      <c r="D164" s="183"/>
      <c r="E164" s="183"/>
      <c r="F164" s="183"/>
      <c r="G164" s="183"/>
    </row>
    <row r="165" spans="1:7" ht="15" customHeight="1">
      <c r="A165" s="190"/>
      <c r="B165" s="184" t="s">
        <v>382</v>
      </c>
      <c r="C165" s="184" t="s">
        <v>297</v>
      </c>
      <c r="D165" s="185">
        <v>33625425</v>
      </c>
      <c r="E165" s="185">
        <v>6597991</v>
      </c>
      <c r="F165" s="185">
        <v>40223416</v>
      </c>
      <c r="G165" s="183"/>
    </row>
    <row r="166" spans="1:7" ht="15" customHeight="1">
      <c r="A166" s="190"/>
      <c r="B166" s="184" t="s">
        <v>383</v>
      </c>
      <c r="C166" s="184"/>
      <c r="D166" s="185"/>
      <c r="E166" s="185"/>
      <c r="F166" s="185" t="s">
        <v>114</v>
      </c>
      <c r="G166" s="183"/>
    </row>
    <row r="167" spans="1:7" ht="15" customHeight="1">
      <c r="A167" s="190"/>
      <c r="B167" s="181"/>
      <c r="C167" s="182"/>
      <c r="D167" s="183"/>
      <c r="E167" s="183"/>
      <c r="F167" s="185" t="s">
        <v>298</v>
      </c>
      <c r="G167" s="185">
        <f>SUM($F$164:$F$166)</f>
        <v>40223416</v>
      </c>
    </row>
    <row r="168" spans="1:7" ht="15" customHeight="1">
      <c r="A168" s="189" t="s">
        <v>89</v>
      </c>
      <c r="B168" s="181"/>
      <c r="C168" s="182"/>
      <c r="D168" s="183"/>
      <c r="E168" s="183"/>
      <c r="F168" s="183"/>
      <c r="G168" s="183"/>
    </row>
    <row r="169" spans="1:7" ht="15" customHeight="1">
      <c r="A169" s="190"/>
      <c r="B169" s="184" t="s">
        <v>384</v>
      </c>
      <c r="C169" s="184"/>
      <c r="D169" s="185"/>
      <c r="E169" s="185"/>
      <c r="F169" s="185" t="s">
        <v>114</v>
      </c>
      <c r="G169" s="183"/>
    </row>
    <row r="170" spans="1:7" ht="15" customHeight="1">
      <c r="A170" s="190"/>
      <c r="B170" s="181"/>
      <c r="C170" s="182"/>
      <c r="D170" s="183"/>
      <c r="E170" s="183"/>
      <c r="F170" s="185" t="s">
        <v>298</v>
      </c>
      <c r="G170" s="185" t="s">
        <v>114</v>
      </c>
    </row>
    <row r="171" spans="1:7" ht="15" customHeight="1">
      <c r="A171" s="189" t="s">
        <v>117</v>
      </c>
      <c r="B171" s="181"/>
      <c r="C171" s="182"/>
      <c r="D171" s="183"/>
      <c r="E171" s="183"/>
      <c r="F171" s="183"/>
      <c r="G171" s="183"/>
    </row>
    <row r="172" spans="1:7" s="20" customFormat="1" ht="26.25" customHeight="1">
      <c r="A172" s="190"/>
      <c r="B172" s="186" t="s">
        <v>385</v>
      </c>
      <c r="C172" s="186" t="s">
        <v>386</v>
      </c>
      <c r="D172" s="187">
        <v>9225718</v>
      </c>
      <c r="E172" s="187">
        <v>4310892</v>
      </c>
      <c r="F172" s="187">
        <v>13536610</v>
      </c>
      <c r="G172" s="188"/>
    </row>
    <row r="173" spans="1:7" ht="15" customHeight="1">
      <c r="A173" s="190"/>
      <c r="B173" s="184" t="s">
        <v>387</v>
      </c>
      <c r="C173" s="184" t="s">
        <v>293</v>
      </c>
      <c r="D173" s="185">
        <v>0</v>
      </c>
      <c r="E173" s="185">
        <v>5174000</v>
      </c>
      <c r="F173" s="185">
        <v>5174000</v>
      </c>
      <c r="G173" s="183"/>
    </row>
    <row r="174" spans="1:7" ht="15" customHeight="1">
      <c r="A174" s="190"/>
      <c r="B174" s="184" t="s">
        <v>388</v>
      </c>
      <c r="C174" s="184"/>
      <c r="D174" s="185"/>
      <c r="E174" s="185"/>
      <c r="F174" s="185" t="s">
        <v>114</v>
      </c>
      <c r="G174" s="183"/>
    </row>
    <row r="175" spans="1:7" ht="15" customHeight="1">
      <c r="A175" s="190"/>
      <c r="B175" s="181"/>
      <c r="C175" s="182"/>
      <c r="D175" s="183"/>
      <c r="E175" s="183"/>
      <c r="F175" s="185" t="s">
        <v>298</v>
      </c>
      <c r="G175" s="185">
        <f>SUM($F$171:$F$174)</f>
        <v>18710610</v>
      </c>
    </row>
    <row r="176" spans="1:7" ht="15" customHeight="1">
      <c r="A176" s="189" t="s">
        <v>83</v>
      </c>
      <c r="B176" s="181"/>
      <c r="C176" s="182"/>
      <c r="D176" s="183"/>
      <c r="E176" s="183"/>
      <c r="F176" s="183"/>
      <c r="G176" s="183"/>
    </row>
    <row r="177" spans="1:7" ht="15" customHeight="1">
      <c r="A177" s="190"/>
      <c r="B177" s="184" t="s">
        <v>389</v>
      </c>
      <c r="C177" s="184" t="s">
        <v>293</v>
      </c>
      <c r="D177" s="185">
        <v>63301494</v>
      </c>
      <c r="E177" s="185">
        <v>11723096</v>
      </c>
      <c r="F177" s="185">
        <v>75024590</v>
      </c>
      <c r="G177" s="183"/>
    </row>
    <row r="178" spans="1:7" s="20" customFormat="1" ht="15" customHeight="1">
      <c r="A178" s="190"/>
      <c r="B178" s="186" t="s">
        <v>390</v>
      </c>
      <c r="C178" s="186" t="s">
        <v>293</v>
      </c>
      <c r="D178" s="187">
        <v>4883000</v>
      </c>
      <c r="E178" s="187">
        <v>0</v>
      </c>
      <c r="F178" s="187">
        <v>4883000</v>
      </c>
      <c r="G178" s="188"/>
    </row>
    <row r="179" spans="1:7" ht="26.25" customHeight="1">
      <c r="A179" s="190"/>
      <c r="B179" s="184" t="s">
        <v>391</v>
      </c>
      <c r="C179" s="184" t="s">
        <v>297</v>
      </c>
      <c r="D179" s="185">
        <v>1075000</v>
      </c>
      <c r="E179" s="185">
        <v>800000</v>
      </c>
      <c r="F179" s="185">
        <v>1875000</v>
      </c>
      <c r="G179" s="183"/>
    </row>
    <row r="180" spans="1:7" ht="15" customHeight="1">
      <c r="A180" s="190"/>
      <c r="B180" s="184" t="s">
        <v>392</v>
      </c>
      <c r="C180" s="184" t="s">
        <v>293</v>
      </c>
      <c r="D180" s="185">
        <v>321179</v>
      </c>
      <c r="E180" s="185">
        <v>0</v>
      </c>
      <c r="F180" s="185">
        <v>321179</v>
      </c>
      <c r="G180" s="183"/>
    </row>
    <row r="181" spans="1:7" ht="26.25" customHeight="1">
      <c r="A181" s="190"/>
      <c r="B181" s="184" t="s">
        <v>393</v>
      </c>
      <c r="C181" s="184"/>
      <c r="D181" s="185"/>
      <c r="E181" s="185"/>
      <c r="F181" s="185" t="s">
        <v>114</v>
      </c>
      <c r="G181" s="183"/>
    </row>
    <row r="182" spans="1:7" ht="15" customHeight="1">
      <c r="A182" s="190"/>
      <c r="B182" s="181"/>
      <c r="C182" s="182"/>
      <c r="D182" s="183"/>
      <c r="E182" s="183"/>
      <c r="F182" s="185" t="s">
        <v>298</v>
      </c>
      <c r="G182" s="185">
        <f>SUM($F$176:$F$181)</f>
        <v>82103769</v>
      </c>
    </row>
    <row r="183" spans="1:7" ht="15" customHeight="1">
      <c r="A183" s="189" t="s">
        <v>107</v>
      </c>
      <c r="B183" s="181"/>
      <c r="C183" s="182"/>
      <c r="D183" s="183"/>
      <c r="E183" s="183"/>
      <c r="F183" s="183"/>
      <c r="G183" s="183"/>
    </row>
    <row r="184" spans="1:7" s="36" customFormat="1" ht="15" customHeight="1">
      <c r="A184" s="181"/>
      <c r="B184" s="184" t="s">
        <v>394</v>
      </c>
      <c r="C184" s="184" t="s">
        <v>293</v>
      </c>
      <c r="D184" s="185">
        <v>14690053</v>
      </c>
      <c r="E184" s="185">
        <v>3388512</v>
      </c>
      <c r="F184" s="185">
        <f>SUM(D184,E184)</f>
        <v>18078565</v>
      </c>
      <c r="G184" s="183"/>
    </row>
    <row r="185" spans="1:7" ht="26.25" customHeight="1">
      <c r="A185" s="190"/>
      <c r="B185" s="184" t="s">
        <v>395</v>
      </c>
      <c r="C185" s="184" t="s">
        <v>293</v>
      </c>
      <c r="D185" s="185">
        <v>1274790</v>
      </c>
      <c r="E185" s="185">
        <v>0</v>
      </c>
      <c r="F185" s="185">
        <v>1274790</v>
      </c>
      <c r="G185" s="183"/>
    </row>
    <row r="186" spans="1:7" ht="15" customHeight="1">
      <c r="A186" s="190"/>
      <c r="B186" s="181"/>
      <c r="C186" s="182"/>
      <c r="D186" s="183"/>
      <c r="E186" s="183"/>
      <c r="F186" s="185" t="s">
        <v>298</v>
      </c>
      <c r="G186" s="185">
        <f>SUM($F$183:$F$185)</f>
        <v>19353355</v>
      </c>
    </row>
    <row r="187" spans="1:7" ht="15" customHeight="1">
      <c r="A187" s="189" t="s">
        <v>118</v>
      </c>
      <c r="B187" s="181"/>
      <c r="C187" s="182"/>
      <c r="D187" s="183"/>
      <c r="E187" s="183"/>
      <c r="F187" s="183"/>
      <c r="G187" s="183"/>
    </row>
    <row r="188" spans="1:7" ht="15" customHeight="1">
      <c r="A188" s="190"/>
      <c r="B188" s="184" t="s">
        <v>396</v>
      </c>
      <c r="C188" s="184" t="s">
        <v>297</v>
      </c>
      <c r="D188" s="185">
        <v>37042839</v>
      </c>
      <c r="E188" s="185">
        <v>13000000</v>
      </c>
      <c r="F188" s="185">
        <v>50042839</v>
      </c>
      <c r="G188" s="183"/>
    </row>
    <row r="189" spans="1:7" ht="26.25" customHeight="1">
      <c r="A189" s="190"/>
      <c r="B189" s="184" t="s">
        <v>397</v>
      </c>
      <c r="C189" s="184"/>
      <c r="D189" s="185"/>
      <c r="E189" s="185"/>
      <c r="F189" s="185" t="s">
        <v>114</v>
      </c>
      <c r="G189" s="183"/>
    </row>
    <row r="190" spans="1:7" ht="15" customHeight="1">
      <c r="A190" s="190"/>
      <c r="B190" s="181"/>
      <c r="C190" s="182"/>
      <c r="D190" s="183"/>
      <c r="E190" s="183"/>
      <c r="F190" s="185" t="s">
        <v>298</v>
      </c>
      <c r="G190" s="185">
        <f>SUM($F$187:$F$189)</f>
        <v>50042839</v>
      </c>
    </row>
    <row r="191" spans="1:7" ht="15" customHeight="1">
      <c r="A191" s="189" t="s">
        <v>119</v>
      </c>
      <c r="B191" s="181"/>
      <c r="C191" s="182"/>
      <c r="D191" s="183"/>
      <c r="E191" s="183"/>
      <c r="F191" s="183"/>
      <c r="G191" s="183"/>
    </row>
    <row r="192" spans="1:7" ht="15" customHeight="1">
      <c r="A192" s="190"/>
      <c r="B192" s="184" t="s">
        <v>398</v>
      </c>
      <c r="C192" s="184"/>
      <c r="D192" s="185"/>
      <c r="E192" s="185"/>
      <c r="F192" s="185" t="s">
        <v>114</v>
      </c>
      <c r="G192" s="183"/>
    </row>
    <row r="193" spans="1:7" ht="26.25" customHeight="1">
      <c r="A193" s="190"/>
      <c r="B193" s="184" t="s">
        <v>399</v>
      </c>
      <c r="C193" s="184"/>
      <c r="D193" s="185"/>
      <c r="E193" s="185"/>
      <c r="F193" s="185" t="s">
        <v>114</v>
      </c>
      <c r="G193" s="183"/>
    </row>
    <row r="194" spans="1:7" ht="15" customHeight="1">
      <c r="A194" s="190"/>
      <c r="B194" s="181"/>
      <c r="C194" s="182"/>
      <c r="D194" s="183"/>
      <c r="E194" s="183"/>
      <c r="F194" s="185" t="s">
        <v>298</v>
      </c>
      <c r="G194" s="185" t="s">
        <v>114</v>
      </c>
    </row>
    <row r="195" spans="1:7" ht="15" customHeight="1">
      <c r="A195" s="189" t="s">
        <v>97</v>
      </c>
      <c r="B195" s="181"/>
      <c r="C195" s="182"/>
      <c r="D195" s="183"/>
      <c r="E195" s="183"/>
      <c r="F195" s="183"/>
      <c r="G195" s="183"/>
    </row>
    <row r="196" spans="1:7" ht="15" customHeight="1">
      <c r="A196" s="190"/>
      <c r="B196" s="184" t="s">
        <v>400</v>
      </c>
      <c r="C196" s="184" t="s">
        <v>293</v>
      </c>
      <c r="D196" s="185">
        <v>18636859</v>
      </c>
      <c r="E196" s="185">
        <v>775333</v>
      </c>
      <c r="F196" s="185">
        <v>19412192</v>
      </c>
      <c r="G196" s="183"/>
    </row>
    <row r="197" spans="1:7" ht="26.25" customHeight="1">
      <c r="A197" s="190"/>
      <c r="B197" s="184" t="s">
        <v>401</v>
      </c>
      <c r="C197" s="184" t="s">
        <v>297</v>
      </c>
      <c r="D197" s="185">
        <v>2700600</v>
      </c>
      <c r="E197" s="185">
        <v>0</v>
      </c>
      <c r="F197" s="185">
        <v>2700600</v>
      </c>
      <c r="G197" s="183"/>
    </row>
    <row r="198" spans="1:7" ht="15" customHeight="1">
      <c r="A198" s="190"/>
      <c r="B198" s="184" t="s">
        <v>402</v>
      </c>
      <c r="C198" s="184" t="s">
        <v>297</v>
      </c>
      <c r="D198" s="185">
        <v>946181</v>
      </c>
      <c r="E198" s="185">
        <v>0</v>
      </c>
      <c r="F198" s="185">
        <v>946181</v>
      </c>
      <c r="G198" s="183"/>
    </row>
    <row r="199" spans="1:7" s="20" customFormat="1" ht="26.25" customHeight="1">
      <c r="A199" s="190"/>
      <c r="B199" s="186" t="s">
        <v>403</v>
      </c>
      <c r="C199" s="186" t="s">
        <v>295</v>
      </c>
      <c r="D199" s="187">
        <v>65000</v>
      </c>
      <c r="E199" s="187">
        <v>0</v>
      </c>
      <c r="F199" s="187">
        <v>65000</v>
      </c>
      <c r="G199" s="188"/>
    </row>
    <row r="200" spans="1:7" ht="15" customHeight="1">
      <c r="A200" s="190"/>
      <c r="B200" s="184" t="s">
        <v>404</v>
      </c>
      <c r="C200" s="182"/>
      <c r="D200" s="185">
        <v>0</v>
      </c>
      <c r="E200" s="185">
        <v>0</v>
      </c>
      <c r="F200" s="185">
        <v>0</v>
      </c>
      <c r="G200" s="183"/>
    </row>
    <row r="201" spans="1:7" ht="15" customHeight="1">
      <c r="A201" s="190"/>
      <c r="B201" s="181"/>
      <c r="C201" s="182"/>
      <c r="D201" s="183"/>
      <c r="E201" s="183"/>
      <c r="F201" s="185" t="s">
        <v>298</v>
      </c>
      <c r="G201" s="185">
        <f>SUM($F$195:$F$200)</f>
        <v>23123973</v>
      </c>
    </row>
    <row r="202" spans="1:7" ht="15" customHeight="1">
      <c r="A202" s="189" t="s">
        <v>152</v>
      </c>
      <c r="B202" s="181"/>
      <c r="C202" s="182"/>
      <c r="D202" s="183"/>
      <c r="E202" s="183"/>
      <c r="F202" s="183"/>
      <c r="G202" s="183"/>
    </row>
    <row r="203" spans="1:7" ht="15" customHeight="1">
      <c r="A203" s="190"/>
      <c r="B203" s="184" t="s">
        <v>405</v>
      </c>
      <c r="C203" s="184" t="s">
        <v>297</v>
      </c>
      <c r="D203" s="185">
        <v>3400000</v>
      </c>
      <c r="E203" s="185">
        <v>2000000</v>
      </c>
      <c r="F203" s="185">
        <v>5400000</v>
      </c>
      <c r="G203" s="183"/>
    </row>
    <row r="204" spans="1:7" ht="26.25" customHeight="1">
      <c r="A204" s="190"/>
      <c r="B204" s="184" t="s">
        <v>406</v>
      </c>
      <c r="C204" s="184"/>
      <c r="D204" s="185"/>
      <c r="E204" s="185"/>
      <c r="F204" s="185" t="s">
        <v>114</v>
      </c>
      <c r="G204" s="183"/>
    </row>
    <row r="205" spans="1:7" s="20" customFormat="1" ht="15" customHeight="1">
      <c r="A205" s="190"/>
      <c r="B205" s="186" t="s">
        <v>407</v>
      </c>
      <c r="C205" s="186" t="s">
        <v>293</v>
      </c>
      <c r="D205" s="187">
        <v>350000</v>
      </c>
      <c r="E205" s="187">
        <v>0</v>
      </c>
      <c r="F205" s="187">
        <v>350000</v>
      </c>
      <c r="G205" s="188"/>
    </row>
    <row r="206" spans="1:7" ht="15" customHeight="1">
      <c r="A206" s="190"/>
      <c r="B206" s="181"/>
      <c r="C206" s="182"/>
      <c r="D206" s="183"/>
      <c r="E206" s="183"/>
      <c r="F206" s="185" t="s">
        <v>298</v>
      </c>
      <c r="G206" s="185">
        <f>SUM($F$202:$F$205)</f>
        <v>5750000</v>
      </c>
    </row>
    <row r="207" spans="1:7" ht="15" customHeight="1">
      <c r="A207" s="189" t="s">
        <v>48</v>
      </c>
      <c r="B207" s="181"/>
      <c r="C207" s="182"/>
      <c r="D207" s="183"/>
      <c r="E207" s="183"/>
      <c r="F207" s="183"/>
      <c r="G207" s="183"/>
    </row>
    <row r="208" spans="1:7" ht="15" customHeight="1">
      <c r="A208" s="190"/>
      <c r="B208" s="184" t="s">
        <v>408</v>
      </c>
      <c r="C208" s="184" t="s">
        <v>297</v>
      </c>
      <c r="D208" s="185">
        <v>38001359</v>
      </c>
      <c r="E208" s="185">
        <v>13441797</v>
      </c>
      <c r="F208" s="185">
        <v>51443156</v>
      </c>
      <c r="G208" s="183"/>
    </row>
    <row r="209" spans="1:7" ht="15" customHeight="1">
      <c r="A209" s="190"/>
      <c r="B209" s="184" t="s">
        <v>409</v>
      </c>
      <c r="C209" s="184" t="s">
        <v>293</v>
      </c>
      <c r="D209" s="185">
        <v>2023204</v>
      </c>
      <c r="E209" s="185">
        <v>213760</v>
      </c>
      <c r="F209" s="185">
        <v>2236964</v>
      </c>
      <c r="G209" s="183"/>
    </row>
    <row r="210" spans="1:7" ht="15" customHeight="1">
      <c r="A210" s="190"/>
      <c r="B210" s="181"/>
      <c r="C210" s="182"/>
      <c r="D210" s="183"/>
      <c r="E210" s="183"/>
      <c r="F210" s="185" t="s">
        <v>298</v>
      </c>
      <c r="G210" s="185">
        <f>SUM($F$207:$F$209)</f>
        <v>53680120</v>
      </c>
    </row>
    <row r="211" spans="1:7" ht="15" customHeight="1">
      <c r="A211" s="189" t="s">
        <v>120</v>
      </c>
      <c r="B211" s="181"/>
      <c r="C211" s="182"/>
      <c r="D211" s="183"/>
      <c r="E211" s="183"/>
      <c r="F211" s="183"/>
      <c r="G211" s="183"/>
    </row>
    <row r="212" spans="1:7" ht="15" customHeight="1">
      <c r="A212" s="190"/>
      <c r="B212" s="184" t="s">
        <v>410</v>
      </c>
      <c r="C212" s="184" t="s">
        <v>293</v>
      </c>
      <c r="D212" s="185">
        <v>773455</v>
      </c>
      <c r="E212" s="185">
        <v>0</v>
      </c>
      <c r="F212" s="185">
        <v>773455</v>
      </c>
      <c r="G212" s="183"/>
    </row>
    <row r="213" spans="1:7" ht="15" customHeight="1">
      <c r="A213" s="190"/>
      <c r="B213" s="184" t="s">
        <v>411</v>
      </c>
      <c r="C213" s="184"/>
      <c r="D213" s="185"/>
      <c r="E213" s="185"/>
      <c r="F213" s="185" t="s">
        <v>114</v>
      </c>
      <c r="G213" s="183"/>
    </row>
    <row r="214" spans="1:7" ht="15" customHeight="1">
      <c r="A214" s="190"/>
      <c r="B214" s="181"/>
      <c r="C214" s="182"/>
      <c r="D214" s="183"/>
      <c r="E214" s="183"/>
      <c r="F214" s="185" t="s">
        <v>298</v>
      </c>
      <c r="G214" s="185">
        <f>SUM($F$211:$F$213)</f>
        <v>773455</v>
      </c>
    </row>
    <row r="215" spans="1:7" ht="15" customHeight="1">
      <c r="A215" s="189" t="s">
        <v>109</v>
      </c>
      <c r="B215" s="181"/>
      <c r="C215" s="182"/>
      <c r="D215" s="183"/>
      <c r="E215" s="183"/>
      <c r="F215" s="183"/>
      <c r="G215" s="183"/>
    </row>
    <row r="216" spans="1:7" ht="15" customHeight="1">
      <c r="A216" s="190"/>
      <c r="B216" s="184" t="s">
        <v>412</v>
      </c>
      <c r="C216" s="184" t="s">
        <v>293</v>
      </c>
      <c r="D216" s="185">
        <v>58567564</v>
      </c>
      <c r="E216" s="185">
        <v>17005630</v>
      </c>
      <c r="F216" s="185">
        <v>75573194</v>
      </c>
      <c r="G216" s="183"/>
    </row>
    <row r="217" spans="1:7" ht="15" customHeight="1">
      <c r="A217" s="190"/>
      <c r="B217" s="184" t="s">
        <v>413</v>
      </c>
      <c r="C217" s="184"/>
      <c r="D217" s="185"/>
      <c r="E217" s="185"/>
      <c r="F217" s="185" t="s">
        <v>114</v>
      </c>
      <c r="G217" s="183"/>
    </row>
    <row r="218" spans="1:7" ht="15" customHeight="1">
      <c r="A218" s="190"/>
      <c r="B218" s="181"/>
      <c r="C218" s="182"/>
      <c r="D218" s="183"/>
      <c r="E218" s="183"/>
      <c r="F218" s="185" t="s">
        <v>298</v>
      </c>
      <c r="G218" s="185">
        <f>SUM($F$215:$F$217)</f>
        <v>75573194</v>
      </c>
    </row>
    <row r="219" spans="1:7" ht="15" customHeight="1">
      <c r="A219" s="189" t="s">
        <v>68</v>
      </c>
      <c r="B219" s="181"/>
      <c r="C219" s="182"/>
      <c r="D219" s="183"/>
      <c r="E219" s="183"/>
      <c r="F219" s="183"/>
      <c r="G219" s="183"/>
    </row>
    <row r="220" spans="1:7" ht="26.25" customHeight="1">
      <c r="A220" s="190"/>
      <c r="B220" s="184" t="s">
        <v>414</v>
      </c>
      <c r="C220" s="184" t="s">
        <v>297</v>
      </c>
      <c r="D220" s="185">
        <v>23108000</v>
      </c>
      <c r="E220" s="185">
        <v>2300000</v>
      </c>
      <c r="F220" s="185">
        <v>25408000</v>
      </c>
      <c r="G220" s="183"/>
    </row>
    <row r="221" spans="1:7" ht="15" customHeight="1">
      <c r="A221" s="190"/>
      <c r="B221" s="184" t="s">
        <v>415</v>
      </c>
      <c r="C221" s="184" t="s">
        <v>297</v>
      </c>
      <c r="D221" s="185">
        <v>160000</v>
      </c>
      <c r="E221" s="185">
        <v>0</v>
      </c>
      <c r="F221" s="185">
        <v>160000</v>
      </c>
      <c r="G221" s="183"/>
    </row>
    <row r="222" spans="1:7" ht="15" customHeight="1">
      <c r="A222" s="190"/>
      <c r="B222" s="181"/>
      <c r="C222" s="182"/>
      <c r="D222" s="183"/>
      <c r="E222" s="183"/>
      <c r="F222" s="185" t="s">
        <v>298</v>
      </c>
      <c r="G222" s="185">
        <f>SUM($F$219:$F$221)</f>
        <v>25568000</v>
      </c>
    </row>
    <row r="223" spans="1:7" ht="15" customHeight="1">
      <c r="A223" s="189" t="s">
        <v>69</v>
      </c>
      <c r="B223" s="181"/>
      <c r="C223" s="182"/>
      <c r="D223" s="183"/>
      <c r="E223" s="183"/>
      <c r="F223" s="183"/>
      <c r="G223" s="183"/>
    </row>
    <row r="224" spans="1:7" ht="15" customHeight="1">
      <c r="A224" s="190"/>
      <c r="B224" s="184" t="s">
        <v>416</v>
      </c>
      <c r="C224" s="184" t="s">
        <v>297</v>
      </c>
      <c r="D224" s="185">
        <v>15656907</v>
      </c>
      <c r="E224" s="185">
        <v>8318654</v>
      </c>
      <c r="F224" s="185">
        <v>23975561</v>
      </c>
      <c r="G224" s="183"/>
    </row>
    <row r="225" spans="1:7" ht="15" customHeight="1">
      <c r="A225" s="190"/>
      <c r="B225" s="181"/>
      <c r="C225" s="182"/>
      <c r="D225" s="183"/>
      <c r="E225" s="183"/>
      <c r="F225" s="185" t="s">
        <v>298</v>
      </c>
      <c r="G225" s="185">
        <f>SUM($F$223:$F$224)</f>
        <v>23975561</v>
      </c>
    </row>
    <row r="226" spans="1:7" ht="15" customHeight="1">
      <c r="A226" s="189" t="s">
        <v>63</v>
      </c>
      <c r="B226" s="181"/>
      <c r="C226" s="182"/>
      <c r="D226" s="183"/>
      <c r="E226" s="183"/>
      <c r="F226" s="183"/>
      <c r="G226" s="183"/>
    </row>
    <row r="227" spans="1:7" ht="15" customHeight="1">
      <c r="A227" s="190"/>
      <c r="B227" s="184" t="s">
        <v>417</v>
      </c>
      <c r="C227" s="184" t="s">
        <v>293</v>
      </c>
      <c r="D227" s="185">
        <v>49922048</v>
      </c>
      <c r="E227" s="185">
        <v>28726488</v>
      </c>
      <c r="F227" s="185">
        <v>78648536</v>
      </c>
      <c r="G227" s="183"/>
    </row>
    <row r="228" spans="1:7" ht="15" customHeight="1">
      <c r="A228" s="190"/>
      <c r="B228" s="181"/>
      <c r="C228" s="182"/>
      <c r="D228" s="183"/>
      <c r="E228" s="183"/>
      <c r="F228" s="185" t="s">
        <v>298</v>
      </c>
      <c r="G228" s="185">
        <f>SUM($F$226:$F$227)</f>
        <v>78648536</v>
      </c>
    </row>
    <row r="229" spans="1:7" ht="15" customHeight="1">
      <c r="A229" s="189" t="s">
        <v>84</v>
      </c>
      <c r="B229" s="181"/>
      <c r="C229" s="182"/>
      <c r="D229" s="183"/>
      <c r="E229" s="183"/>
      <c r="F229" s="183"/>
      <c r="G229" s="183"/>
    </row>
    <row r="230" spans="1:7" ht="15" customHeight="1">
      <c r="A230" s="190"/>
      <c r="B230" s="184" t="s">
        <v>418</v>
      </c>
      <c r="C230" s="184" t="s">
        <v>297</v>
      </c>
      <c r="D230" s="185">
        <v>242115997</v>
      </c>
      <c r="E230" s="185">
        <v>36682104</v>
      </c>
      <c r="F230" s="185">
        <v>278798101</v>
      </c>
      <c r="G230" s="183"/>
    </row>
    <row r="231" spans="1:7" ht="15" customHeight="1">
      <c r="A231" s="190"/>
      <c r="B231" s="184" t="s">
        <v>419</v>
      </c>
      <c r="C231" s="184" t="s">
        <v>293</v>
      </c>
      <c r="D231" s="185">
        <v>6016532</v>
      </c>
      <c r="E231" s="185">
        <v>18626706</v>
      </c>
      <c r="F231" s="185">
        <v>24643238</v>
      </c>
      <c r="G231" s="183"/>
    </row>
    <row r="232" spans="1:7" ht="26.25" customHeight="1">
      <c r="A232" s="190"/>
      <c r="B232" s="184" t="s">
        <v>420</v>
      </c>
      <c r="C232" s="184" t="s">
        <v>297</v>
      </c>
      <c r="D232" s="185">
        <v>6255267</v>
      </c>
      <c r="E232" s="185">
        <v>4353538</v>
      </c>
      <c r="F232" s="185">
        <v>10608805</v>
      </c>
      <c r="G232" s="183"/>
    </row>
    <row r="233" spans="1:7" s="20" customFormat="1" ht="26.25" customHeight="1">
      <c r="A233" s="190"/>
      <c r="B233" s="186" t="s">
        <v>421</v>
      </c>
      <c r="C233" s="186" t="s">
        <v>295</v>
      </c>
      <c r="D233" s="187">
        <v>2400000</v>
      </c>
      <c r="E233" s="187">
        <v>0</v>
      </c>
      <c r="F233" s="187">
        <v>2400000</v>
      </c>
      <c r="G233" s="188"/>
    </row>
    <row r="234" spans="1:7" ht="15" customHeight="1">
      <c r="A234" s="190"/>
      <c r="B234" s="184" t="s">
        <v>422</v>
      </c>
      <c r="C234" s="184" t="s">
        <v>293</v>
      </c>
      <c r="D234" s="185">
        <v>1035000</v>
      </c>
      <c r="E234" s="185">
        <v>0</v>
      </c>
      <c r="F234" s="185">
        <v>1035000</v>
      </c>
      <c r="G234" s="183"/>
    </row>
    <row r="235" spans="1:7" ht="15" customHeight="1">
      <c r="A235" s="190"/>
      <c r="B235" s="184" t="s">
        <v>423</v>
      </c>
      <c r="C235" s="184"/>
      <c r="D235" s="185"/>
      <c r="E235" s="185"/>
      <c r="F235" s="185" t="s">
        <v>114</v>
      </c>
      <c r="G235" s="183"/>
    </row>
    <row r="236" spans="1:7" ht="26.25" customHeight="1">
      <c r="A236" s="190"/>
      <c r="B236" s="184" t="s">
        <v>424</v>
      </c>
      <c r="C236" s="184"/>
      <c r="D236" s="185"/>
      <c r="E236" s="185"/>
      <c r="F236" s="185" t="s">
        <v>114</v>
      </c>
      <c r="G236" s="183"/>
    </row>
    <row r="237" spans="1:7" ht="15" customHeight="1">
      <c r="A237" s="190"/>
      <c r="B237" s="181"/>
      <c r="C237" s="182"/>
      <c r="D237" s="183"/>
      <c r="E237" s="183"/>
      <c r="F237" s="185" t="s">
        <v>298</v>
      </c>
      <c r="G237" s="185">
        <f>SUM($F$229:$F$236)</f>
        <v>317485144</v>
      </c>
    </row>
    <row r="238" spans="1:7" ht="15" customHeight="1">
      <c r="A238" s="189" t="s">
        <v>74</v>
      </c>
      <c r="B238" s="181"/>
      <c r="C238" s="182"/>
      <c r="D238" s="183"/>
      <c r="E238" s="183"/>
      <c r="F238" s="183"/>
      <c r="G238" s="183"/>
    </row>
    <row r="239" spans="1:7" ht="15" customHeight="1">
      <c r="A239" s="190"/>
      <c r="B239" s="184" t="s">
        <v>425</v>
      </c>
      <c r="C239" s="184" t="s">
        <v>297</v>
      </c>
      <c r="D239" s="185">
        <v>15290091</v>
      </c>
      <c r="E239" s="185">
        <v>4129039</v>
      </c>
      <c r="F239" s="185">
        <v>19419130</v>
      </c>
      <c r="G239" s="183"/>
    </row>
    <row r="240" spans="1:7" ht="15" customHeight="1">
      <c r="A240" s="190"/>
      <c r="B240" s="184" t="s">
        <v>426</v>
      </c>
      <c r="C240" s="184" t="s">
        <v>293</v>
      </c>
      <c r="D240" s="185">
        <v>2275595</v>
      </c>
      <c r="E240" s="185">
        <v>1149709</v>
      </c>
      <c r="F240" s="185">
        <v>3425304</v>
      </c>
      <c r="G240" s="183"/>
    </row>
    <row r="241" spans="1:8" ht="15" customHeight="1">
      <c r="A241" s="190"/>
      <c r="B241" s="184" t="s">
        <v>427</v>
      </c>
      <c r="C241" s="184" t="s">
        <v>297</v>
      </c>
      <c r="D241" s="185">
        <v>2960000</v>
      </c>
      <c r="E241" s="185">
        <v>0</v>
      </c>
      <c r="F241" s="185">
        <v>2960000</v>
      </c>
      <c r="G241" s="183"/>
    </row>
    <row r="242" spans="1:8" ht="15" customHeight="1">
      <c r="A242" s="190"/>
      <c r="B242" s="184" t="s">
        <v>428</v>
      </c>
      <c r="C242" s="184" t="s">
        <v>297</v>
      </c>
      <c r="D242" s="185">
        <v>387951</v>
      </c>
      <c r="E242" s="185">
        <v>0</v>
      </c>
      <c r="F242" s="185">
        <v>387951</v>
      </c>
      <c r="G242" s="183"/>
    </row>
    <row r="243" spans="1:8" ht="15" customHeight="1">
      <c r="A243" s="190"/>
      <c r="B243" s="181"/>
      <c r="C243" s="182"/>
      <c r="D243" s="183"/>
      <c r="E243" s="183"/>
      <c r="F243" s="185" t="s">
        <v>298</v>
      </c>
      <c r="G243" s="185">
        <f>SUM($F$238:$F$242)</f>
        <v>26192385</v>
      </c>
    </row>
    <row r="244" spans="1:8" ht="15" customHeight="1">
      <c r="A244" s="189" t="s">
        <v>149</v>
      </c>
      <c r="B244" s="181"/>
      <c r="C244" s="182"/>
      <c r="D244" s="183"/>
      <c r="E244" s="183"/>
      <c r="F244" s="183"/>
      <c r="G244" s="183"/>
    </row>
    <row r="245" spans="1:8" ht="15" customHeight="1">
      <c r="A245" s="190"/>
      <c r="B245" s="184" t="s">
        <v>429</v>
      </c>
      <c r="C245" s="184" t="s">
        <v>293</v>
      </c>
      <c r="D245" s="185">
        <v>9564327</v>
      </c>
      <c r="E245" s="185">
        <v>1576322</v>
      </c>
      <c r="F245" s="185">
        <v>11140649</v>
      </c>
      <c r="G245" s="183"/>
    </row>
    <row r="246" spans="1:8" ht="15" customHeight="1">
      <c r="A246" s="190"/>
      <c r="B246" s="181"/>
      <c r="C246" s="182"/>
      <c r="D246" s="183"/>
      <c r="E246" s="183"/>
      <c r="F246" s="185" t="s">
        <v>298</v>
      </c>
      <c r="G246" s="185">
        <f>SUM($F$244:$F$245)</f>
        <v>11140649</v>
      </c>
    </row>
    <row r="247" spans="1:8" ht="15" customHeight="1">
      <c r="A247" s="189" t="s">
        <v>55</v>
      </c>
      <c r="B247" s="181"/>
      <c r="C247" s="182"/>
      <c r="D247" s="183"/>
      <c r="E247" s="183"/>
      <c r="F247" s="183"/>
      <c r="G247" s="183"/>
    </row>
    <row r="248" spans="1:8" ht="15" customHeight="1">
      <c r="A248" s="190"/>
      <c r="B248" s="184" t="s">
        <v>430</v>
      </c>
      <c r="C248" s="184" t="s">
        <v>293</v>
      </c>
      <c r="D248" s="185">
        <v>22076785</v>
      </c>
      <c r="E248" s="185">
        <v>6014662</v>
      </c>
      <c r="F248" s="185">
        <v>28091447</v>
      </c>
      <c r="G248" s="183"/>
    </row>
    <row r="249" spans="1:8" ht="15" customHeight="1">
      <c r="A249" s="190"/>
      <c r="B249" s="184" t="s">
        <v>431</v>
      </c>
      <c r="C249" s="184" t="s">
        <v>293</v>
      </c>
      <c r="D249" s="185">
        <v>486000</v>
      </c>
      <c r="E249" s="185">
        <v>534000</v>
      </c>
      <c r="F249" s="185">
        <v>1020000</v>
      </c>
      <c r="G249" s="183"/>
    </row>
    <row r="250" spans="1:8" ht="15" customHeight="1">
      <c r="A250" s="190"/>
      <c r="B250" s="181"/>
      <c r="C250" s="182"/>
      <c r="D250" s="183"/>
      <c r="E250" s="183"/>
      <c r="F250" s="185" t="s">
        <v>298</v>
      </c>
      <c r="G250" s="185">
        <f>SUM($F$247:$F$249)</f>
        <v>29111447</v>
      </c>
    </row>
    <row r="251" spans="1:8" ht="15" customHeight="1">
      <c r="A251" s="189" t="s">
        <v>148</v>
      </c>
      <c r="B251" s="181"/>
      <c r="C251" s="182"/>
      <c r="D251" s="183"/>
      <c r="E251" s="183"/>
      <c r="F251" s="183"/>
      <c r="G251" s="183"/>
    </row>
    <row r="252" spans="1:8" s="20" customFormat="1" ht="15" customHeight="1">
      <c r="A252" s="190"/>
      <c r="B252" s="184" t="s">
        <v>432</v>
      </c>
      <c r="C252" s="184">
        <v>2013</v>
      </c>
      <c r="D252" s="185">
        <f>14359628+5274231</f>
        <v>19633859</v>
      </c>
      <c r="E252" s="185">
        <v>6174000</v>
      </c>
      <c r="F252" s="185">
        <f>SUM(D252,E252)</f>
        <v>25807859</v>
      </c>
      <c r="G252" s="183"/>
    </row>
    <row r="253" spans="1:8" ht="15" customHeight="1">
      <c r="A253" s="190"/>
      <c r="B253" s="184" t="s">
        <v>433</v>
      </c>
      <c r="C253" s="184" t="s">
        <v>297</v>
      </c>
      <c r="D253" s="185">
        <v>4770800</v>
      </c>
      <c r="E253" s="185">
        <v>0</v>
      </c>
      <c r="F253" s="185">
        <v>4770800</v>
      </c>
      <c r="G253" s="183"/>
      <c r="H253" s="139"/>
    </row>
    <row r="254" spans="1:8" ht="15" customHeight="1">
      <c r="A254" s="190"/>
      <c r="B254" s="184" t="s">
        <v>434</v>
      </c>
      <c r="C254" s="184" t="s">
        <v>297</v>
      </c>
      <c r="D254" s="185">
        <v>66024</v>
      </c>
      <c r="E254" s="185">
        <v>0</v>
      </c>
      <c r="F254" s="185">
        <v>66024</v>
      </c>
      <c r="G254" s="183"/>
      <c r="H254" s="139"/>
    </row>
    <row r="255" spans="1:8" ht="15" customHeight="1">
      <c r="A255" s="190"/>
      <c r="B255" s="184" t="s">
        <v>201</v>
      </c>
      <c r="C255" s="184">
        <v>2013</v>
      </c>
      <c r="D255" s="185">
        <v>2271864</v>
      </c>
      <c r="E255" s="185">
        <v>1301393</v>
      </c>
      <c r="F255" s="185">
        <f>SUM(D255,E255)</f>
        <v>3573257</v>
      </c>
      <c r="G255" s="183"/>
    </row>
    <row r="256" spans="1:8" ht="15" customHeight="1">
      <c r="A256" s="190"/>
      <c r="B256" s="181"/>
      <c r="C256" s="182"/>
      <c r="D256" s="183"/>
      <c r="E256" s="183"/>
      <c r="F256" s="185" t="s">
        <v>298</v>
      </c>
      <c r="G256" s="185">
        <f>SUM($F$251:$F$255)</f>
        <v>34217940</v>
      </c>
    </row>
    <row r="257" spans="1:7" ht="15" customHeight="1">
      <c r="A257" s="189" t="s">
        <v>94</v>
      </c>
      <c r="B257" s="181"/>
      <c r="C257" s="182"/>
      <c r="D257" s="183"/>
      <c r="E257" s="183"/>
      <c r="F257" s="183"/>
      <c r="G257" s="183"/>
    </row>
    <row r="258" spans="1:7" ht="15" customHeight="1">
      <c r="A258" s="190"/>
      <c r="B258" s="184" t="s">
        <v>435</v>
      </c>
      <c r="C258" s="184" t="s">
        <v>297</v>
      </c>
      <c r="D258" s="185">
        <v>23372670</v>
      </c>
      <c r="E258" s="185">
        <v>7800000</v>
      </c>
      <c r="F258" s="185">
        <v>31172670</v>
      </c>
      <c r="G258" s="183"/>
    </row>
    <row r="259" spans="1:7" ht="15" customHeight="1">
      <c r="A259" s="190"/>
      <c r="B259" s="181"/>
      <c r="C259" s="182"/>
      <c r="D259" s="183"/>
      <c r="E259" s="183"/>
      <c r="F259" s="185" t="s">
        <v>298</v>
      </c>
      <c r="G259" s="185">
        <f>SUM($F$257:$F$258)</f>
        <v>31172670</v>
      </c>
    </row>
    <row r="260" spans="1:7" ht="15" customHeight="1">
      <c r="A260" s="189" t="s">
        <v>144</v>
      </c>
      <c r="B260" s="181"/>
      <c r="C260" s="182"/>
      <c r="D260" s="183"/>
      <c r="E260" s="183"/>
      <c r="F260" s="183"/>
      <c r="G260" s="183"/>
    </row>
    <row r="261" spans="1:7" s="20" customFormat="1" ht="15" customHeight="1">
      <c r="A261" s="190"/>
      <c r="B261" s="186" t="s">
        <v>436</v>
      </c>
      <c r="C261" s="186">
        <v>2011</v>
      </c>
      <c r="D261" s="187">
        <v>25314985</v>
      </c>
      <c r="E261" s="187">
        <v>262318</v>
      </c>
      <c r="F261" s="187">
        <v>25577303</v>
      </c>
      <c r="G261" s="188"/>
    </row>
    <row r="262" spans="1:7" ht="15" customHeight="1">
      <c r="A262" s="190"/>
      <c r="B262" s="184" t="s">
        <v>437</v>
      </c>
      <c r="C262" s="184" t="s">
        <v>297</v>
      </c>
      <c r="D262" s="185">
        <v>4251962</v>
      </c>
      <c r="E262" s="185">
        <v>179744</v>
      </c>
      <c r="F262" s="185">
        <v>4431706</v>
      </c>
      <c r="G262" s="183"/>
    </row>
    <row r="263" spans="1:7" ht="15" customHeight="1">
      <c r="A263" s="190"/>
      <c r="B263" s="184" t="s">
        <v>438</v>
      </c>
      <c r="C263" s="184" t="s">
        <v>297</v>
      </c>
      <c r="D263" s="185">
        <v>1241171</v>
      </c>
      <c r="E263" s="185">
        <v>1974418</v>
      </c>
      <c r="F263" s="185">
        <v>3215589</v>
      </c>
      <c r="G263" s="183"/>
    </row>
    <row r="264" spans="1:7" ht="15" customHeight="1">
      <c r="A264" s="190"/>
      <c r="B264" s="184" t="s">
        <v>439</v>
      </c>
      <c r="C264" s="184" t="s">
        <v>293</v>
      </c>
      <c r="D264" s="185">
        <v>253500</v>
      </c>
      <c r="E264" s="185">
        <v>78000</v>
      </c>
      <c r="F264" s="185">
        <v>331500</v>
      </c>
      <c r="G264" s="183"/>
    </row>
    <row r="265" spans="1:7" ht="15" customHeight="1">
      <c r="A265" s="190"/>
      <c r="B265" s="181"/>
      <c r="C265" s="182"/>
      <c r="D265" s="183"/>
      <c r="E265" s="183"/>
      <c r="F265" s="185" t="s">
        <v>298</v>
      </c>
      <c r="G265" s="185">
        <f>SUM($F$260:$F$264)</f>
        <v>33556098</v>
      </c>
    </row>
    <row r="266" spans="1:7" ht="15" customHeight="1">
      <c r="A266" s="189" t="s">
        <v>93</v>
      </c>
      <c r="B266" s="181"/>
      <c r="C266" s="182"/>
      <c r="D266" s="183"/>
      <c r="E266" s="183"/>
      <c r="F266" s="183"/>
      <c r="G266" s="183"/>
    </row>
    <row r="267" spans="1:7" ht="26.25" customHeight="1">
      <c r="A267" s="190"/>
      <c r="B267" s="184" t="s">
        <v>440</v>
      </c>
      <c r="C267" s="184" t="s">
        <v>293</v>
      </c>
      <c r="D267" s="185">
        <v>25174492</v>
      </c>
      <c r="E267" s="185">
        <v>15082073</v>
      </c>
      <c r="F267" s="185">
        <v>40256565</v>
      </c>
      <c r="G267" s="183"/>
    </row>
    <row r="268" spans="1:7" ht="15" customHeight="1">
      <c r="A268" s="190"/>
      <c r="B268" s="184" t="s">
        <v>441</v>
      </c>
      <c r="C268" s="184" t="s">
        <v>297</v>
      </c>
      <c r="D268" s="185">
        <v>15801185</v>
      </c>
      <c r="E268" s="185">
        <v>611010</v>
      </c>
      <c r="F268" s="185">
        <v>16412195</v>
      </c>
      <c r="G268" s="183"/>
    </row>
    <row r="269" spans="1:7" ht="15" customHeight="1">
      <c r="A269" s="190"/>
      <c r="B269" s="184" t="s">
        <v>442</v>
      </c>
      <c r="C269" s="184" t="s">
        <v>297</v>
      </c>
      <c r="D269" s="185">
        <v>268300</v>
      </c>
      <c r="E269" s="185">
        <v>0</v>
      </c>
      <c r="F269" s="185">
        <v>268300</v>
      </c>
      <c r="G269" s="183"/>
    </row>
    <row r="270" spans="1:7" ht="15" customHeight="1">
      <c r="A270" s="190"/>
      <c r="B270" s="184" t="s">
        <v>443</v>
      </c>
      <c r="C270" s="184" t="s">
        <v>297</v>
      </c>
      <c r="D270" s="185">
        <v>0</v>
      </c>
      <c r="E270" s="185">
        <v>200000</v>
      </c>
      <c r="F270" s="185">
        <v>200000</v>
      </c>
      <c r="G270" s="183"/>
    </row>
    <row r="271" spans="1:7" ht="15" customHeight="1">
      <c r="A271" s="190"/>
      <c r="B271" s="181"/>
      <c r="C271" s="182"/>
      <c r="D271" s="183"/>
      <c r="E271" s="183"/>
      <c r="F271" s="185" t="s">
        <v>298</v>
      </c>
      <c r="G271" s="185">
        <f>SUM($F$266:$F$270)</f>
        <v>57137060</v>
      </c>
    </row>
    <row r="272" spans="1:7" ht="15" customHeight="1">
      <c r="A272" s="189" t="s">
        <v>31</v>
      </c>
      <c r="B272" s="181"/>
      <c r="C272" s="182"/>
      <c r="D272" s="183"/>
      <c r="E272" s="183"/>
      <c r="F272" s="183"/>
      <c r="G272" s="183"/>
    </row>
    <row r="273" spans="1:9" ht="15" customHeight="1">
      <c r="A273" s="190"/>
      <c r="B273" s="184" t="s">
        <v>444</v>
      </c>
      <c r="C273" s="184" t="s">
        <v>293</v>
      </c>
      <c r="D273" s="185">
        <v>70736168</v>
      </c>
      <c r="E273" s="185">
        <v>21172926</v>
      </c>
      <c r="F273" s="185">
        <v>91909094</v>
      </c>
      <c r="G273" s="183"/>
    </row>
    <row r="274" spans="1:9" ht="15" customHeight="1">
      <c r="A274" s="190"/>
      <c r="B274" s="181"/>
      <c r="C274" s="182"/>
      <c r="D274" s="183"/>
      <c r="E274" s="183"/>
      <c r="F274" s="185" t="s">
        <v>298</v>
      </c>
      <c r="G274" s="185">
        <f>SUM($F$272:$F$273)</f>
        <v>91909094</v>
      </c>
    </row>
    <row r="275" spans="1:9" ht="15" customHeight="1">
      <c r="A275" s="189" t="s">
        <v>64</v>
      </c>
      <c r="B275" s="181"/>
      <c r="C275" s="182"/>
      <c r="D275" s="183"/>
      <c r="E275" s="183"/>
      <c r="F275" s="183"/>
      <c r="G275" s="183"/>
    </row>
    <row r="276" spans="1:9" ht="15" customHeight="1">
      <c r="A276" s="190"/>
      <c r="B276" s="184" t="s">
        <v>445</v>
      </c>
      <c r="C276" s="184" t="s">
        <v>297</v>
      </c>
      <c r="D276" s="185">
        <v>31259136</v>
      </c>
      <c r="E276" s="185">
        <v>33225978</v>
      </c>
      <c r="F276" s="185">
        <v>64485114</v>
      </c>
      <c r="G276" s="183"/>
    </row>
    <row r="277" spans="1:9" ht="15" customHeight="1">
      <c r="A277" s="190"/>
      <c r="B277" s="184" t="s">
        <v>446</v>
      </c>
      <c r="C277" s="182"/>
      <c r="D277" s="185">
        <v>2168100</v>
      </c>
      <c r="E277" s="185">
        <v>0</v>
      </c>
      <c r="F277" s="185">
        <v>2168100</v>
      </c>
      <c r="G277" s="183"/>
    </row>
    <row r="278" spans="1:9" ht="15" customHeight="1">
      <c r="A278" s="190"/>
      <c r="B278" s="184" t="s">
        <v>447</v>
      </c>
      <c r="C278" s="184" t="s">
        <v>293</v>
      </c>
      <c r="D278" s="185">
        <v>380000</v>
      </c>
      <c r="E278" s="185">
        <v>0</v>
      </c>
      <c r="F278" s="185">
        <v>380000</v>
      </c>
      <c r="G278" s="183"/>
    </row>
    <row r="279" spans="1:9" s="20" customFormat="1" ht="15" customHeight="1">
      <c r="A279" s="190"/>
      <c r="B279" s="186" t="s">
        <v>448</v>
      </c>
      <c r="C279" s="186">
        <v>2012</v>
      </c>
      <c r="D279" s="187">
        <v>119725</v>
      </c>
      <c r="E279" s="187">
        <v>0</v>
      </c>
      <c r="F279" s="187">
        <v>119725</v>
      </c>
      <c r="G279" s="188"/>
    </row>
    <row r="280" spans="1:9" ht="15" customHeight="1">
      <c r="A280" s="190"/>
      <c r="B280" s="181"/>
      <c r="C280" s="182"/>
      <c r="D280" s="183"/>
      <c r="E280" s="183"/>
      <c r="F280" s="185" t="s">
        <v>298</v>
      </c>
      <c r="G280" s="185">
        <f>SUM($F$275:$F$279)</f>
        <v>67152939</v>
      </c>
    </row>
    <row r="281" spans="1:9" ht="15" customHeight="1">
      <c r="A281" s="189" t="s">
        <v>145</v>
      </c>
      <c r="B281" s="181"/>
      <c r="C281" s="182"/>
      <c r="D281" s="183"/>
      <c r="E281" s="183"/>
      <c r="F281" s="183"/>
      <c r="G281" s="183"/>
    </row>
    <row r="282" spans="1:9" s="20" customFormat="1" ht="15" customHeight="1">
      <c r="A282" s="190"/>
      <c r="B282" s="184" t="s">
        <v>449</v>
      </c>
      <c r="C282" s="184">
        <v>2014</v>
      </c>
      <c r="D282" s="185">
        <v>10409182</v>
      </c>
      <c r="E282" s="185">
        <v>0</v>
      </c>
      <c r="F282" s="185">
        <v>10409182</v>
      </c>
      <c r="G282" s="188"/>
      <c r="H282" s="191">
        <f>SUM(F282,F283)</f>
        <v>21188017</v>
      </c>
    </row>
    <row r="283" spans="1:9" ht="15" customHeight="1">
      <c r="A283" s="190"/>
      <c r="B283" s="184" t="s">
        <v>450</v>
      </c>
      <c r="C283" s="184" t="s">
        <v>297</v>
      </c>
      <c r="D283" s="185">
        <v>5899000</v>
      </c>
      <c r="E283" s="185">
        <v>4879835</v>
      </c>
      <c r="F283" s="185">
        <v>10778835</v>
      </c>
      <c r="G283" s="183"/>
      <c r="I283" s="139"/>
    </row>
    <row r="284" spans="1:9" ht="15" customHeight="1">
      <c r="A284" s="190"/>
      <c r="B284" s="184" t="s">
        <v>451</v>
      </c>
      <c r="C284" s="184" t="s">
        <v>293</v>
      </c>
      <c r="D284" s="185">
        <v>6137666</v>
      </c>
      <c r="E284" s="185">
        <v>115619</v>
      </c>
      <c r="F284" s="185">
        <v>6253285</v>
      </c>
      <c r="G284" s="183"/>
      <c r="I284" s="139"/>
    </row>
    <row r="285" spans="1:9" ht="15" customHeight="1">
      <c r="A285" s="190"/>
      <c r="B285" s="184" t="s">
        <v>452</v>
      </c>
      <c r="C285" s="184" t="s">
        <v>293</v>
      </c>
      <c r="D285" s="185">
        <v>2410000</v>
      </c>
      <c r="E285" s="185">
        <v>599000</v>
      </c>
      <c r="F285" s="185">
        <v>3009000</v>
      </c>
      <c r="G285" s="183"/>
    </row>
    <row r="286" spans="1:9" ht="15" customHeight="1">
      <c r="A286" s="190"/>
      <c r="B286" s="184" t="s">
        <v>453</v>
      </c>
      <c r="C286" s="184" t="s">
        <v>297</v>
      </c>
      <c r="D286" s="185">
        <v>125057</v>
      </c>
      <c r="E286" s="185">
        <v>0</v>
      </c>
      <c r="F286" s="185">
        <v>125057</v>
      </c>
      <c r="G286" s="183"/>
    </row>
    <row r="287" spans="1:9" ht="15" customHeight="1">
      <c r="A287" s="190"/>
      <c r="B287" s="184" t="s">
        <v>454</v>
      </c>
      <c r="C287" s="184" t="s">
        <v>293</v>
      </c>
      <c r="D287" s="185">
        <v>67010</v>
      </c>
      <c r="E287" s="185">
        <v>0</v>
      </c>
      <c r="F287" s="185">
        <v>67010</v>
      </c>
      <c r="G287" s="183"/>
    </row>
    <row r="288" spans="1:9" ht="26.25" customHeight="1">
      <c r="A288" s="190"/>
      <c r="B288" s="184" t="s">
        <v>455</v>
      </c>
      <c r="C288" s="184"/>
      <c r="D288" s="185"/>
      <c r="E288" s="185"/>
      <c r="F288" s="185" t="s">
        <v>114</v>
      </c>
      <c r="G288" s="183"/>
    </row>
    <row r="289" spans="1:7" ht="26.25" customHeight="1">
      <c r="A289" s="190"/>
      <c r="B289" s="184" t="s">
        <v>456</v>
      </c>
      <c r="C289" s="184"/>
      <c r="D289" s="185"/>
      <c r="E289" s="185"/>
      <c r="F289" s="185" t="s">
        <v>114</v>
      </c>
      <c r="G289" s="183"/>
    </row>
    <row r="290" spans="1:7" ht="26.25" customHeight="1">
      <c r="A290" s="190"/>
      <c r="B290" s="184" t="s">
        <v>457</v>
      </c>
      <c r="C290" s="184"/>
      <c r="D290" s="185"/>
      <c r="E290" s="185"/>
      <c r="F290" s="185" t="s">
        <v>114</v>
      </c>
      <c r="G290" s="183"/>
    </row>
    <row r="291" spans="1:7" ht="15" customHeight="1">
      <c r="A291" s="190"/>
      <c r="B291" s="181"/>
      <c r="C291" s="182"/>
      <c r="D291" s="183"/>
      <c r="E291" s="183"/>
      <c r="F291" s="185" t="s">
        <v>298</v>
      </c>
      <c r="G291" s="185">
        <f>SUM($F$281:$F$290)</f>
        <v>30642369</v>
      </c>
    </row>
    <row r="292" spans="1:7" ht="15" customHeight="1">
      <c r="A292" s="189" t="s">
        <v>57</v>
      </c>
      <c r="B292" s="181"/>
      <c r="C292" s="182"/>
      <c r="D292" s="183"/>
      <c r="E292" s="183"/>
      <c r="F292" s="183"/>
      <c r="G292" s="183"/>
    </row>
    <row r="293" spans="1:7" ht="15" customHeight="1">
      <c r="A293" s="190"/>
      <c r="B293" s="184" t="s">
        <v>458</v>
      </c>
      <c r="C293" s="184" t="s">
        <v>297</v>
      </c>
      <c r="D293" s="185">
        <v>877808767</v>
      </c>
      <c r="E293" s="185">
        <v>375302639</v>
      </c>
      <c r="F293" s="185">
        <v>1253111406</v>
      </c>
      <c r="G293" s="183"/>
    </row>
    <row r="294" spans="1:7" ht="15" customHeight="1">
      <c r="A294" s="190"/>
      <c r="B294" s="184" t="s">
        <v>459</v>
      </c>
      <c r="C294" s="184" t="s">
        <v>293</v>
      </c>
      <c r="D294" s="185">
        <v>28000000</v>
      </c>
      <c r="E294" s="185">
        <v>45000000</v>
      </c>
      <c r="F294" s="185">
        <v>73000000</v>
      </c>
      <c r="G294" s="183"/>
    </row>
    <row r="295" spans="1:7" ht="15" customHeight="1">
      <c r="A295" s="190"/>
      <c r="B295" s="184" t="s">
        <v>460</v>
      </c>
      <c r="C295" s="184" t="s">
        <v>297</v>
      </c>
      <c r="D295" s="185">
        <v>23870100</v>
      </c>
      <c r="E295" s="185">
        <v>0</v>
      </c>
      <c r="F295" s="185">
        <v>23870100</v>
      </c>
      <c r="G295" s="183"/>
    </row>
    <row r="296" spans="1:7" ht="26.25" customHeight="1">
      <c r="A296" s="190"/>
      <c r="B296" s="184" t="s">
        <v>461</v>
      </c>
      <c r="C296" s="184" t="s">
        <v>293</v>
      </c>
      <c r="D296" s="185">
        <v>10855216</v>
      </c>
      <c r="E296" s="185">
        <v>2921000</v>
      </c>
      <c r="F296" s="185">
        <v>13776216</v>
      </c>
      <c r="G296" s="183"/>
    </row>
    <row r="297" spans="1:7" ht="15" customHeight="1">
      <c r="A297" s="190"/>
      <c r="B297" s="184" t="s">
        <v>462</v>
      </c>
      <c r="C297" s="184" t="s">
        <v>297</v>
      </c>
      <c r="D297" s="185">
        <v>488684</v>
      </c>
      <c r="E297" s="185">
        <v>0</v>
      </c>
      <c r="F297" s="185">
        <v>488684</v>
      </c>
      <c r="G297" s="183"/>
    </row>
    <row r="298" spans="1:7" ht="26.25" customHeight="1">
      <c r="A298" s="190"/>
      <c r="B298" s="184" t="s">
        <v>463</v>
      </c>
      <c r="C298" s="184"/>
      <c r="D298" s="185"/>
      <c r="E298" s="185"/>
      <c r="F298" s="185" t="s">
        <v>114</v>
      </c>
      <c r="G298" s="183"/>
    </row>
    <row r="299" spans="1:7" ht="15" customHeight="1">
      <c r="A299" s="190"/>
      <c r="B299" s="181"/>
      <c r="C299" s="182"/>
      <c r="D299" s="183"/>
      <c r="E299" s="183"/>
      <c r="F299" s="185" t="s">
        <v>298</v>
      </c>
      <c r="G299" s="185">
        <f>SUM($F$292:$F$298)</f>
        <v>1364246406</v>
      </c>
    </row>
    <row r="300" spans="1:7" ht="15" customHeight="1">
      <c r="A300" s="189" t="s">
        <v>111</v>
      </c>
      <c r="B300" s="181"/>
      <c r="C300" s="182"/>
      <c r="D300" s="183"/>
      <c r="E300" s="183"/>
      <c r="F300" s="183"/>
      <c r="G300" s="183"/>
    </row>
    <row r="301" spans="1:7" ht="15" customHeight="1">
      <c r="A301" s="190"/>
      <c r="B301" s="184" t="s">
        <v>464</v>
      </c>
      <c r="C301" s="184" t="s">
        <v>293</v>
      </c>
      <c r="D301" s="185">
        <v>2130483</v>
      </c>
      <c r="E301" s="185">
        <v>4910830</v>
      </c>
      <c r="F301" s="185">
        <v>7041313</v>
      </c>
      <c r="G301" s="183"/>
    </row>
    <row r="302" spans="1:7" ht="15" customHeight="1">
      <c r="A302" s="190"/>
      <c r="B302" s="184" t="s">
        <v>465</v>
      </c>
      <c r="C302" s="184"/>
      <c r="D302" s="185"/>
      <c r="E302" s="185"/>
      <c r="F302" s="185" t="s">
        <v>114</v>
      </c>
      <c r="G302" s="183"/>
    </row>
    <row r="303" spans="1:7" ht="15" customHeight="1">
      <c r="A303" s="190"/>
      <c r="B303" s="181"/>
      <c r="C303" s="182"/>
      <c r="D303" s="183"/>
      <c r="E303" s="183"/>
      <c r="F303" s="185" t="s">
        <v>298</v>
      </c>
      <c r="G303" s="185">
        <f>SUM($F$300:$F$302)</f>
        <v>7041313</v>
      </c>
    </row>
    <row r="304" spans="1:7" ht="15" customHeight="1">
      <c r="A304" s="189" t="s">
        <v>35</v>
      </c>
      <c r="B304" s="181"/>
      <c r="C304" s="182"/>
      <c r="D304" s="183"/>
      <c r="E304" s="183"/>
      <c r="F304" s="183"/>
      <c r="G304" s="183"/>
    </row>
    <row r="305" spans="1:7" ht="15" customHeight="1">
      <c r="A305" s="190"/>
      <c r="B305" s="184" t="s">
        <v>466</v>
      </c>
      <c r="C305" s="184" t="s">
        <v>293</v>
      </c>
      <c r="D305" s="185">
        <v>17205982</v>
      </c>
      <c r="E305" s="185">
        <v>1373000</v>
      </c>
      <c r="F305" s="185">
        <v>18578982</v>
      </c>
      <c r="G305" s="183"/>
    </row>
    <row r="306" spans="1:7" ht="15" customHeight="1">
      <c r="A306" s="190"/>
      <c r="B306" s="181"/>
      <c r="C306" s="182"/>
      <c r="D306" s="183"/>
      <c r="E306" s="183"/>
      <c r="F306" s="185" t="s">
        <v>298</v>
      </c>
      <c r="G306" s="185">
        <f>SUM($F$304:$F$305)</f>
        <v>18578982</v>
      </c>
    </row>
    <row r="307" spans="1:7" ht="15" customHeight="1">
      <c r="A307" s="189" t="s">
        <v>121</v>
      </c>
      <c r="B307" s="181"/>
      <c r="C307" s="182"/>
      <c r="D307" s="183"/>
      <c r="E307" s="183"/>
      <c r="F307" s="183"/>
      <c r="G307" s="183"/>
    </row>
    <row r="308" spans="1:7" ht="15" customHeight="1">
      <c r="A308" s="190"/>
      <c r="B308" s="184" t="s">
        <v>467</v>
      </c>
      <c r="C308" s="184"/>
      <c r="D308" s="185"/>
      <c r="E308" s="185"/>
      <c r="F308" s="185" t="s">
        <v>114</v>
      </c>
      <c r="G308" s="183"/>
    </row>
    <row r="309" spans="1:7" ht="15" customHeight="1">
      <c r="A309" s="190"/>
      <c r="B309" s="181"/>
      <c r="C309" s="182"/>
      <c r="D309" s="183"/>
      <c r="E309" s="183"/>
      <c r="F309" s="185" t="s">
        <v>298</v>
      </c>
      <c r="G309" s="185">
        <f>SUM($F$307:$F$308)</f>
        <v>0</v>
      </c>
    </row>
    <row r="310" spans="1:7" ht="15" customHeight="1">
      <c r="A310" s="189" t="s">
        <v>59</v>
      </c>
      <c r="B310" s="181"/>
      <c r="C310" s="182"/>
      <c r="D310" s="183"/>
      <c r="E310" s="183"/>
      <c r="F310" s="183"/>
      <c r="G310" s="183"/>
    </row>
    <row r="311" spans="1:7" ht="15" customHeight="1">
      <c r="A311" s="190"/>
      <c r="B311" s="184" t="s">
        <v>468</v>
      </c>
      <c r="C311" s="184" t="s">
        <v>297</v>
      </c>
      <c r="D311" s="185">
        <v>38113267</v>
      </c>
      <c r="E311" s="185">
        <v>15121300</v>
      </c>
      <c r="F311" s="185">
        <v>53234567</v>
      </c>
      <c r="G311" s="183"/>
    </row>
    <row r="312" spans="1:7" ht="15" customHeight="1">
      <c r="A312" s="190"/>
      <c r="B312" s="184" t="s">
        <v>469</v>
      </c>
      <c r="C312" s="184" t="s">
        <v>293</v>
      </c>
      <c r="D312" s="185">
        <v>450000</v>
      </c>
      <c r="E312" s="185">
        <v>0</v>
      </c>
      <c r="F312" s="185">
        <v>450000</v>
      </c>
      <c r="G312" s="183"/>
    </row>
    <row r="313" spans="1:7" s="20" customFormat="1" ht="15" customHeight="1">
      <c r="A313" s="190"/>
      <c r="B313" s="186" t="s">
        <v>470</v>
      </c>
      <c r="C313" s="186" t="s">
        <v>295</v>
      </c>
      <c r="D313" s="187">
        <v>2782172</v>
      </c>
      <c r="E313" s="187">
        <v>566835</v>
      </c>
      <c r="F313" s="187">
        <f>SUM(D313,E313)</f>
        <v>3349007</v>
      </c>
      <c r="G313" s="188"/>
    </row>
    <row r="314" spans="1:7" ht="15" customHeight="1">
      <c r="A314" s="190"/>
      <c r="B314" s="181"/>
      <c r="C314" s="182"/>
      <c r="D314" s="183"/>
      <c r="E314" s="183"/>
      <c r="F314" s="185" t="s">
        <v>298</v>
      </c>
      <c r="G314" s="185">
        <f>SUM($F$310:$F$313)</f>
        <v>57033574</v>
      </c>
    </row>
    <row r="315" spans="1:7" ht="15" customHeight="1">
      <c r="A315" s="189" t="s">
        <v>92</v>
      </c>
      <c r="B315" s="181"/>
      <c r="C315" s="182"/>
      <c r="D315" s="183"/>
      <c r="E315" s="183"/>
      <c r="F315" s="183"/>
      <c r="G315" s="183"/>
    </row>
    <row r="316" spans="1:7" ht="15" customHeight="1">
      <c r="A316" s="190"/>
      <c r="B316" s="184" t="s">
        <v>471</v>
      </c>
      <c r="C316" s="184" t="s">
        <v>297</v>
      </c>
      <c r="D316" s="185">
        <v>32261261</v>
      </c>
      <c r="E316" s="185">
        <v>7648695</v>
      </c>
      <c r="F316" s="185">
        <v>39909956</v>
      </c>
      <c r="G316" s="183"/>
    </row>
    <row r="317" spans="1:7" s="20" customFormat="1" ht="15" customHeight="1">
      <c r="A317" s="190"/>
      <c r="B317" s="186" t="s">
        <v>228</v>
      </c>
      <c r="C317" s="186" t="s">
        <v>293</v>
      </c>
      <c r="D317" s="187">
        <v>2091117</v>
      </c>
      <c r="E317" s="187">
        <v>63225</v>
      </c>
      <c r="F317" s="187">
        <v>2154342</v>
      </c>
      <c r="G317" s="188"/>
    </row>
    <row r="318" spans="1:7" ht="15" customHeight="1">
      <c r="A318" s="190"/>
      <c r="B318" s="181"/>
      <c r="C318" s="182"/>
      <c r="D318" s="183"/>
      <c r="E318" s="183"/>
      <c r="F318" s="185" t="s">
        <v>298</v>
      </c>
      <c r="G318" s="185">
        <f>SUM($F$315:$F$317)</f>
        <v>42064298</v>
      </c>
    </row>
    <row r="319" spans="1:7" ht="15" customHeight="1">
      <c r="A319" s="189" t="s">
        <v>87</v>
      </c>
      <c r="B319" s="181"/>
      <c r="C319" s="182"/>
      <c r="D319" s="183"/>
      <c r="E319" s="183"/>
      <c r="F319" s="183"/>
      <c r="G319" s="183"/>
    </row>
    <row r="320" spans="1:7" ht="15" customHeight="1">
      <c r="A320" s="190"/>
      <c r="B320" s="184" t="s">
        <v>472</v>
      </c>
      <c r="C320" s="184" t="s">
        <v>293</v>
      </c>
      <c r="D320" s="185">
        <v>24353026</v>
      </c>
      <c r="E320" s="185">
        <v>6525588</v>
      </c>
      <c r="F320" s="185">
        <v>30878614</v>
      </c>
      <c r="G320" s="183"/>
    </row>
    <row r="321" spans="1:7" ht="15" customHeight="1">
      <c r="A321" s="190"/>
      <c r="B321" s="181"/>
      <c r="C321" s="182"/>
      <c r="D321" s="183"/>
      <c r="E321" s="183"/>
      <c r="F321" s="185" t="s">
        <v>298</v>
      </c>
      <c r="G321" s="185">
        <f>SUM($F$319:$F$320)</f>
        <v>30878614</v>
      </c>
    </row>
    <row r="322" spans="1:7" ht="15" customHeight="1">
      <c r="A322" s="189" t="s">
        <v>142</v>
      </c>
      <c r="B322" s="181"/>
      <c r="C322" s="182"/>
      <c r="D322" s="183"/>
      <c r="E322" s="183"/>
      <c r="F322" s="183"/>
      <c r="G322" s="183"/>
    </row>
    <row r="323" spans="1:7" ht="15" customHeight="1">
      <c r="A323" s="190"/>
      <c r="B323" s="184" t="s">
        <v>473</v>
      </c>
      <c r="C323" s="184" t="s">
        <v>293</v>
      </c>
      <c r="D323" s="185">
        <v>28563121</v>
      </c>
      <c r="E323" s="185">
        <v>1087460</v>
      </c>
      <c r="F323" s="185">
        <v>29650581</v>
      </c>
      <c r="G323" s="183"/>
    </row>
    <row r="324" spans="1:7" ht="15" customHeight="1">
      <c r="A324" s="190"/>
      <c r="B324" s="184" t="s">
        <v>474</v>
      </c>
      <c r="C324" s="184" t="s">
        <v>293</v>
      </c>
      <c r="D324" s="185">
        <v>512007</v>
      </c>
      <c r="E324" s="185">
        <v>0</v>
      </c>
      <c r="F324" s="185">
        <v>512007</v>
      </c>
      <c r="G324" s="183"/>
    </row>
    <row r="325" spans="1:7" ht="15" customHeight="1">
      <c r="A325" s="190"/>
      <c r="B325" s="181"/>
      <c r="C325" s="182"/>
      <c r="D325" s="183"/>
      <c r="E325" s="183"/>
      <c r="F325" s="185" t="s">
        <v>298</v>
      </c>
      <c r="G325" s="185">
        <f>SUM($F$322:$F$324)</f>
        <v>30162588</v>
      </c>
    </row>
    <row r="326" spans="1:7" ht="15" customHeight="1">
      <c r="A326" s="189" t="s">
        <v>81</v>
      </c>
      <c r="B326" s="181"/>
      <c r="C326" s="182"/>
      <c r="D326" s="183"/>
      <c r="E326" s="183"/>
      <c r="F326" s="183"/>
      <c r="G326" s="183"/>
    </row>
    <row r="327" spans="1:7" ht="15" customHeight="1">
      <c r="A327" s="190"/>
      <c r="B327" s="184" t="s">
        <v>475</v>
      </c>
      <c r="C327" s="184" t="s">
        <v>297</v>
      </c>
      <c r="D327" s="185">
        <v>61239794</v>
      </c>
      <c r="E327" s="185">
        <v>16842000</v>
      </c>
      <c r="F327" s="185">
        <v>78081794</v>
      </c>
      <c r="G327" s="183"/>
    </row>
    <row r="328" spans="1:7" ht="15" customHeight="1">
      <c r="A328" s="190"/>
      <c r="B328" s="184" t="s">
        <v>476</v>
      </c>
      <c r="C328" s="184" t="s">
        <v>293</v>
      </c>
      <c r="D328" s="185">
        <v>23196916</v>
      </c>
      <c r="E328" s="185">
        <v>1998882</v>
      </c>
      <c r="F328" s="185">
        <v>25195798</v>
      </c>
      <c r="G328" s="183"/>
    </row>
    <row r="329" spans="1:7" ht="15" customHeight="1">
      <c r="A329" s="190"/>
      <c r="B329" s="184" t="s">
        <v>477</v>
      </c>
      <c r="C329" s="184"/>
      <c r="D329" s="185"/>
      <c r="E329" s="185"/>
      <c r="F329" s="185" t="s">
        <v>114</v>
      </c>
      <c r="G329" s="183"/>
    </row>
    <row r="330" spans="1:7" ht="15" customHeight="1">
      <c r="A330" s="190"/>
      <c r="B330" s="184" t="s">
        <v>478</v>
      </c>
      <c r="C330" s="184"/>
      <c r="D330" s="185"/>
      <c r="E330" s="185"/>
      <c r="F330" s="185" t="s">
        <v>114</v>
      </c>
      <c r="G330" s="183"/>
    </row>
    <row r="331" spans="1:7" ht="15" customHeight="1">
      <c r="A331" s="190"/>
      <c r="B331" s="184" t="s">
        <v>479</v>
      </c>
      <c r="C331" s="184"/>
      <c r="D331" s="185"/>
      <c r="E331" s="185"/>
      <c r="F331" s="185" t="s">
        <v>114</v>
      </c>
      <c r="G331" s="183"/>
    </row>
    <row r="332" spans="1:7" ht="15" customHeight="1">
      <c r="A332" s="190"/>
      <c r="B332" s="181"/>
      <c r="C332" s="182"/>
      <c r="D332" s="183"/>
      <c r="E332" s="183"/>
      <c r="F332" s="185" t="s">
        <v>298</v>
      </c>
      <c r="G332" s="185">
        <f>SUM($F$326:$F$331)</f>
        <v>103277592</v>
      </c>
    </row>
    <row r="333" spans="1:7" ht="15" customHeight="1">
      <c r="A333" s="189" t="s">
        <v>54</v>
      </c>
      <c r="B333" s="181"/>
      <c r="C333" s="182"/>
      <c r="D333" s="183"/>
      <c r="E333" s="183"/>
      <c r="F333" s="183"/>
      <c r="G333" s="183"/>
    </row>
    <row r="334" spans="1:7" ht="15" customHeight="1">
      <c r="A334" s="190"/>
      <c r="B334" s="184" t="s">
        <v>480</v>
      </c>
      <c r="C334" s="184" t="s">
        <v>297</v>
      </c>
      <c r="D334" s="185">
        <v>106768966</v>
      </c>
      <c r="E334" s="185">
        <v>19387938</v>
      </c>
      <c r="F334" s="185">
        <v>126156904</v>
      </c>
      <c r="G334" s="183"/>
    </row>
    <row r="335" spans="1:7" ht="26.25" customHeight="1">
      <c r="A335" s="190"/>
      <c r="B335" s="184" t="s">
        <v>481</v>
      </c>
      <c r="C335" s="184" t="s">
        <v>297</v>
      </c>
      <c r="D335" s="185">
        <v>242749</v>
      </c>
      <c r="E335" s="185">
        <v>0</v>
      </c>
      <c r="F335" s="185">
        <v>242749</v>
      </c>
      <c r="G335" s="183"/>
    </row>
    <row r="336" spans="1:7" ht="15" customHeight="1">
      <c r="A336" s="190"/>
      <c r="B336" s="181"/>
      <c r="C336" s="182"/>
      <c r="D336" s="183"/>
      <c r="E336" s="183"/>
      <c r="F336" s="185" t="s">
        <v>298</v>
      </c>
      <c r="G336" s="185">
        <f>SUM($F$333:$F$335)</f>
        <v>126399653</v>
      </c>
    </row>
    <row r="337" spans="1:7" ht="15" customHeight="1">
      <c r="A337" s="189" t="s">
        <v>38</v>
      </c>
      <c r="B337" s="181"/>
      <c r="C337" s="182"/>
      <c r="D337" s="183"/>
      <c r="E337" s="183"/>
      <c r="F337" s="183"/>
      <c r="G337" s="183"/>
    </row>
    <row r="338" spans="1:7" ht="15" customHeight="1">
      <c r="A338" s="190"/>
      <c r="B338" s="184" t="s">
        <v>482</v>
      </c>
      <c r="C338" s="184" t="s">
        <v>293</v>
      </c>
      <c r="D338" s="185">
        <v>14248280</v>
      </c>
      <c r="E338" s="185">
        <v>1550000</v>
      </c>
      <c r="F338" s="185">
        <v>15798280</v>
      </c>
      <c r="G338" s="183"/>
    </row>
    <row r="339" spans="1:7" ht="15" customHeight="1">
      <c r="A339" s="190"/>
      <c r="B339" s="184" t="s">
        <v>483</v>
      </c>
      <c r="C339" s="184" t="s">
        <v>293</v>
      </c>
      <c r="D339" s="185">
        <v>838000</v>
      </c>
      <c r="E339" s="185">
        <v>0</v>
      </c>
      <c r="F339" s="185">
        <v>838000</v>
      </c>
      <c r="G339" s="183"/>
    </row>
    <row r="340" spans="1:7" ht="15" customHeight="1">
      <c r="A340" s="190"/>
      <c r="B340" s="181"/>
      <c r="C340" s="182"/>
      <c r="D340" s="183"/>
      <c r="E340" s="183"/>
      <c r="F340" s="185" t="s">
        <v>298</v>
      </c>
      <c r="G340" s="185">
        <f>SUM($F$337:$F$339)</f>
        <v>16636280</v>
      </c>
    </row>
    <row r="341" spans="1:7" ht="15" customHeight="1">
      <c r="A341" s="189" t="s">
        <v>36</v>
      </c>
      <c r="B341" s="181"/>
      <c r="C341" s="182"/>
      <c r="D341" s="183"/>
      <c r="E341" s="183"/>
      <c r="F341" s="183"/>
      <c r="G341" s="183"/>
    </row>
    <row r="342" spans="1:7" ht="15" customHeight="1">
      <c r="A342" s="190"/>
      <c r="B342" s="184" t="s">
        <v>484</v>
      </c>
      <c r="C342" s="184" t="s">
        <v>297</v>
      </c>
      <c r="D342" s="185">
        <v>24827990</v>
      </c>
      <c r="E342" s="185">
        <v>0</v>
      </c>
      <c r="F342" s="185">
        <v>24827990</v>
      </c>
      <c r="G342" s="183"/>
    </row>
    <row r="343" spans="1:7" ht="15" customHeight="1">
      <c r="A343" s="190"/>
      <c r="B343" s="181"/>
      <c r="C343" s="182"/>
      <c r="D343" s="183"/>
      <c r="E343" s="183"/>
      <c r="F343" s="185" t="s">
        <v>298</v>
      </c>
      <c r="G343" s="185">
        <f>SUM($F$341:$F$342)</f>
        <v>24827990</v>
      </c>
    </row>
    <row r="344" spans="1:7" ht="15" customHeight="1">
      <c r="A344" s="189" t="s">
        <v>52</v>
      </c>
      <c r="B344" s="181"/>
      <c r="C344" s="182"/>
      <c r="D344" s="183"/>
      <c r="E344" s="183"/>
      <c r="F344" s="183"/>
      <c r="G344" s="183"/>
    </row>
    <row r="345" spans="1:7" ht="15" customHeight="1">
      <c r="A345" s="190"/>
      <c r="B345" s="184" t="s">
        <v>485</v>
      </c>
      <c r="C345" s="184" t="s">
        <v>297</v>
      </c>
      <c r="D345" s="185">
        <v>72939218</v>
      </c>
      <c r="E345" s="185">
        <v>9233836</v>
      </c>
      <c r="F345" s="185">
        <v>82173054</v>
      </c>
      <c r="G345" s="183"/>
    </row>
    <row r="346" spans="1:7" ht="15" customHeight="1">
      <c r="A346" s="190"/>
      <c r="B346" s="184" t="s">
        <v>486</v>
      </c>
      <c r="C346" s="184" t="s">
        <v>293</v>
      </c>
      <c r="D346" s="185">
        <v>461310</v>
      </c>
      <c r="E346" s="185">
        <v>0</v>
      </c>
      <c r="F346" s="185">
        <v>461310</v>
      </c>
      <c r="G346" s="183"/>
    </row>
    <row r="347" spans="1:7" s="20" customFormat="1" ht="15" customHeight="1">
      <c r="A347" s="190"/>
      <c r="B347" s="186" t="s">
        <v>487</v>
      </c>
      <c r="C347" s="186" t="s">
        <v>293</v>
      </c>
      <c r="D347" s="187">
        <v>304050</v>
      </c>
      <c r="E347" s="187">
        <v>3000000</v>
      </c>
      <c r="F347" s="187">
        <v>3304050</v>
      </c>
      <c r="G347" s="188"/>
    </row>
    <row r="348" spans="1:7" ht="15" customHeight="1">
      <c r="A348" s="190"/>
      <c r="B348" s="181"/>
      <c r="C348" s="182"/>
      <c r="D348" s="183"/>
      <c r="E348" s="183"/>
      <c r="F348" s="185" t="s">
        <v>298</v>
      </c>
      <c r="G348" s="185">
        <f>SUM($F$344:$F$347)</f>
        <v>85938414</v>
      </c>
    </row>
    <row r="349" spans="1:7" ht="15" customHeight="1">
      <c r="A349" s="189" t="s">
        <v>32</v>
      </c>
      <c r="B349" s="181"/>
      <c r="C349" s="182"/>
      <c r="D349" s="183"/>
      <c r="E349" s="183"/>
      <c r="F349" s="183"/>
      <c r="G349" s="183"/>
    </row>
    <row r="350" spans="1:7" ht="15" customHeight="1">
      <c r="A350" s="190"/>
      <c r="B350" s="184" t="s">
        <v>488</v>
      </c>
      <c r="C350" s="184" t="s">
        <v>297</v>
      </c>
      <c r="D350" s="185">
        <v>46928947</v>
      </c>
      <c r="E350" s="185">
        <v>20159113</v>
      </c>
      <c r="F350" s="185">
        <v>67088060</v>
      </c>
      <c r="G350" s="183"/>
    </row>
    <row r="351" spans="1:7" ht="15" customHeight="1">
      <c r="A351" s="190"/>
      <c r="B351" s="184" t="s">
        <v>489</v>
      </c>
      <c r="C351" s="184"/>
      <c r="D351" s="185"/>
      <c r="E351" s="185"/>
      <c r="F351" s="185" t="s">
        <v>114</v>
      </c>
      <c r="G351" s="183"/>
    </row>
    <row r="352" spans="1:7" ht="15" customHeight="1">
      <c r="A352" s="190"/>
      <c r="B352" s="184" t="s">
        <v>490</v>
      </c>
      <c r="C352" s="184"/>
      <c r="D352" s="185"/>
      <c r="E352" s="185"/>
      <c r="F352" s="185" t="s">
        <v>114</v>
      </c>
      <c r="G352" s="183"/>
    </row>
    <row r="353" spans="1:7" ht="15" customHeight="1">
      <c r="A353" s="190"/>
      <c r="B353" s="181"/>
      <c r="C353" s="182"/>
      <c r="D353" s="183"/>
      <c r="E353" s="183"/>
      <c r="F353" s="185" t="s">
        <v>298</v>
      </c>
      <c r="G353" s="185">
        <f>SUM($F$349:$F$352)</f>
        <v>67088060</v>
      </c>
    </row>
    <row r="354" spans="1:7" ht="15" customHeight="1">
      <c r="A354" s="189" t="s">
        <v>104</v>
      </c>
      <c r="B354" s="181"/>
      <c r="C354" s="182"/>
      <c r="D354" s="183"/>
      <c r="E354" s="183"/>
      <c r="F354" s="183"/>
      <c r="G354" s="183"/>
    </row>
    <row r="355" spans="1:7" ht="15" customHeight="1">
      <c r="A355" s="190"/>
      <c r="B355" s="184" t="s">
        <v>491</v>
      </c>
      <c r="C355" s="184" t="s">
        <v>297</v>
      </c>
      <c r="D355" s="185">
        <v>9863493</v>
      </c>
      <c r="E355" s="185">
        <v>420468</v>
      </c>
      <c r="F355" s="185">
        <v>10283961</v>
      </c>
      <c r="G355" s="183"/>
    </row>
    <row r="356" spans="1:7" ht="26.25" customHeight="1">
      <c r="A356" s="190"/>
      <c r="B356" s="184" t="s">
        <v>492</v>
      </c>
      <c r="C356" s="184"/>
      <c r="D356" s="185"/>
      <c r="E356" s="185"/>
      <c r="F356" s="185" t="s">
        <v>114</v>
      </c>
      <c r="G356" s="183"/>
    </row>
    <row r="357" spans="1:7" ht="15" customHeight="1">
      <c r="A357" s="190"/>
      <c r="B357" s="181"/>
      <c r="C357" s="182"/>
      <c r="D357" s="183"/>
      <c r="E357" s="183"/>
      <c r="F357" s="185" t="s">
        <v>298</v>
      </c>
      <c r="G357" s="185">
        <f>SUM($F$354:$F$356)</f>
        <v>10283961</v>
      </c>
    </row>
    <row r="358" spans="1:7" ht="15" customHeight="1">
      <c r="A358" s="189" t="s">
        <v>122</v>
      </c>
      <c r="B358" s="181"/>
      <c r="C358" s="182"/>
      <c r="D358" s="183"/>
      <c r="E358" s="183"/>
      <c r="F358" s="183"/>
      <c r="G358" s="183"/>
    </row>
    <row r="359" spans="1:7" ht="15" customHeight="1">
      <c r="A359" s="190"/>
      <c r="B359" s="184" t="s">
        <v>493</v>
      </c>
      <c r="C359" s="184"/>
      <c r="D359" s="185"/>
      <c r="E359" s="185"/>
      <c r="F359" s="185" t="s">
        <v>114</v>
      </c>
      <c r="G359" s="183"/>
    </row>
    <row r="360" spans="1:7" ht="15" customHeight="1">
      <c r="A360" s="190"/>
      <c r="B360" s="181"/>
      <c r="C360" s="182"/>
      <c r="D360" s="183"/>
      <c r="E360" s="183"/>
      <c r="F360" s="185" t="s">
        <v>298</v>
      </c>
      <c r="G360" s="185" t="s">
        <v>114</v>
      </c>
    </row>
    <row r="361" spans="1:7" ht="15" customHeight="1">
      <c r="A361" s="189" t="s">
        <v>58</v>
      </c>
      <c r="B361" s="181"/>
      <c r="C361" s="182"/>
      <c r="D361" s="183"/>
      <c r="E361" s="183"/>
      <c r="F361" s="183"/>
      <c r="G361" s="183"/>
    </row>
    <row r="362" spans="1:7" ht="15" customHeight="1">
      <c r="A362" s="190"/>
      <c r="B362" s="184" t="s">
        <v>494</v>
      </c>
      <c r="C362" s="184" t="s">
        <v>293</v>
      </c>
      <c r="D362" s="185">
        <v>21028034</v>
      </c>
      <c r="E362" s="185">
        <v>2667000</v>
      </c>
      <c r="F362" s="185">
        <v>23695034</v>
      </c>
      <c r="G362" s="183"/>
    </row>
    <row r="363" spans="1:7" ht="15" customHeight="1">
      <c r="A363" s="190"/>
      <c r="B363" s="184" t="s">
        <v>495</v>
      </c>
      <c r="C363" s="184" t="s">
        <v>293</v>
      </c>
      <c r="D363" s="185">
        <v>30885</v>
      </c>
      <c r="E363" s="185">
        <v>0</v>
      </c>
      <c r="F363" s="185">
        <v>30885</v>
      </c>
      <c r="G363" s="183"/>
    </row>
    <row r="364" spans="1:7" ht="26.25" customHeight="1">
      <c r="A364" s="190"/>
      <c r="B364" s="184" t="s">
        <v>496</v>
      </c>
      <c r="C364" s="184"/>
      <c r="D364" s="185"/>
      <c r="E364" s="185"/>
      <c r="F364" s="185" t="s">
        <v>114</v>
      </c>
      <c r="G364" s="183"/>
    </row>
    <row r="365" spans="1:7" ht="15" customHeight="1">
      <c r="A365" s="190"/>
      <c r="B365" s="181"/>
      <c r="C365" s="182"/>
      <c r="D365" s="183"/>
      <c r="E365" s="183"/>
      <c r="F365" s="185" t="s">
        <v>298</v>
      </c>
      <c r="G365" s="185">
        <f>SUM($F$361:$F$364)</f>
        <v>23725919</v>
      </c>
    </row>
    <row r="366" spans="1:7" ht="15" customHeight="1">
      <c r="A366" s="189" t="s">
        <v>66</v>
      </c>
      <c r="B366" s="181"/>
      <c r="C366" s="182"/>
      <c r="D366" s="183"/>
      <c r="E366" s="183"/>
      <c r="F366" s="183"/>
      <c r="G366" s="183"/>
    </row>
    <row r="367" spans="1:7" ht="15" customHeight="1">
      <c r="A367" s="190"/>
      <c r="B367" s="184" t="s">
        <v>497</v>
      </c>
      <c r="C367" s="184" t="s">
        <v>297</v>
      </c>
      <c r="D367" s="185">
        <v>39782000</v>
      </c>
      <c r="E367" s="185">
        <v>591968</v>
      </c>
      <c r="F367" s="185">
        <v>40373968</v>
      </c>
      <c r="G367" s="183"/>
    </row>
    <row r="368" spans="1:7" ht="15" customHeight="1">
      <c r="A368" s="190"/>
      <c r="B368" s="184" t="s">
        <v>498</v>
      </c>
      <c r="C368" s="184" t="s">
        <v>293</v>
      </c>
      <c r="D368" s="185">
        <v>7584542</v>
      </c>
      <c r="E368" s="185">
        <v>0</v>
      </c>
      <c r="F368" s="185">
        <v>7584542</v>
      </c>
      <c r="G368" s="183"/>
    </row>
    <row r="369" spans="1:11" ht="26.25" customHeight="1">
      <c r="A369" s="190"/>
      <c r="B369" s="184" t="s">
        <v>499</v>
      </c>
      <c r="C369" s="184" t="s">
        <v>293</v>
      </c>
      <c r="D369" s="185">
        <v>2037757</v>
      </c>
      <c r="E369" s="185">
        <v>0</v>
      </c>
      <c r="F369" s="185">
        <v>2037757</v>
      </c>
      <c r="G369" s="183"/>
    </row>
    <row r="370" spans="1:11" ht="15" customHeight="1">
      <c r="A370" s="190"/>
      <c r="B370" s="184" t="s">
        <v>500</v>
      </c>
      <c r="C370" s="184"/>
      <c r="D370" s="185"/>
      <c r="E370" s="185"/>
      <c r="F370" s="185" t="s">
        <v>114</v>
      </c>
      <c r="G370" s="183"/>
    </row>
    <row r="371" spans="1:11" ht="15" customHeight="1">
      <c r="A371" s="190"/>
      <c r="B371" s="181"/>
      <c r="C371" s="182"/>
      <c r="D371" s="183"/>
      <c r="E371" s="183"/>
      <c r="F371" s="185" t="s">
        <v>298</v>
      </c>
      <c r="G371" s="185">
        <f>SUM($F$366:$F$370)</f>
        <v>49996267</v>
      </c>
    </row>
    <row r="372" spans="1:11" ht="15" customHeight="1">
      <c r="A372" s="189" t="s">
        <v>71</v>
      </c>
      <c r="B372" s="181"/>
      <c r="C372" s="182"/>
      <c r="D372" s="183"/>
      <c r="E372" s="183"/>
      <c r="F372" s="183"/>
      <c r="G372" s="183"/>
    </row>
    <row r="373" spans="1:11" ht="15" customHeight="1">
      <c r="A373" s="190"/>
      <c r="B373" s="184" t="s">
        <v>501</v>
      </c>
      <c r="C373" s="184" t="s">
        <v>293</v>
      </c>
      <c r="D373" s="185">
        <v>76848866</v>
      </c>
      <c r="E373" s="185">
        <v>20451378</v>
      </c>
      <c r="F373" s="185">
        <f>SUM(E373,D373)</f>
        <v>97300244</v>
      </c>
      <c r="G373" s="183"/>
    </row>
    <row r="374" spans="1:11" ht="15" customHeight="1">
      <c r="A374" s="190"/>
      <c r="B374" s="184" t="s">
        <v>502</v>
      </c>
      <c r="C374" s="184" t="s">
        <v>297</v>
      </c>
      <c r="D374" s="185">
        <v>6454602</v>
      </c>
      <c r="E374" s="185">
        <v>24121801</v>
      </c>
      <c r="F374" s="185">
        <f>SUM(E374,D374)</f>
        <v>30576403</v>
      </c>
      <c r="G374" s="181"/>
      <c r="I374" s="185"/>
      <c r="J374" s="185"/>
      <c r="K374" s="185"/>
    </row>
    <row r="375" spans="1:11" s="36" customFormat="1" ht="15" customHeight="1">
      <c r="A375" s="181"/>
      <c r="B375" s="184" t="s">
        <v>503</v>
      </c>
      <c r="C375" s="184">
        <v>2014</v>
      </c>
      <c r="D375" s="185">
        <v>4523308</v>
      </c>
      <c r="E375" s="185">
        <v>180000</v>
      </c>
      <c r="F375" s="185">
        <f>SUM(E375,D375)</f>
        <v>4703308</v>
      </c>
      <c r="G375" s="183"/>
    </row>
    <row r="376" spans="1:11" ht="15" customHeight="1">
      <c r="A376" s="190"/>
      <c r="B376" s="184" t="s">
        <v>504</v>
      </c>
      <c r="C376" s="184" t="s">
        <v>297</v>
      </c>
      <c r="D376" s="185">
        <v>3705900</v>
      </c>
      <c r="E376" s="185">
        <v>0</v>
      </c>
      <c r="F376" s="185">
        <f>SUM(E376,D376)</f>
        <v>3705900</v>
      </c>
      <c r="G376" s="183"/>
    </row>
    <row r="377" spans="1:11" ht="15" customHeight="1">
      <c r="A377" s="190"/>
      <c r="B377" s="184" t="s">
        <v>505</v>
      </c>
      <c r="C377" s="184" t="s">
        <v>293</v>
      </c>
      <c r="D377" s="185">
        <v>502292</v>
      </c>
      <c r="E377" s="185">
        <v>0</v>
      </c>
      <c r="F377" s="185">
        <f>SUM(E377,D377)</f>
        <v>502292</v>
      </c>
      <c r="G377" s="183"/>
    </row>
    <row r="378" spans="1:11" ht="15" customHeight="1">
      <c r="A378" s="190"/>
      <c r="B378" s="181"/>
      <c r="C378" s="182"/>
      <c r="D378" s="183"/>
      <c r="E378" s="183"/>
      <c r="F378" s="185" t="s">
        <v>298</v>
      </c>
      <c r="G378" s="185">
        <f>SUM($F$372:$F$377)</f>
        <v>136788147</v>
      </c>
    </row>
    <row r="379" spans="1:11" ht="15" customHeight="1">
      <c r="A379" s="189" t="s">
        <v>65</v>
      </c>
      <c r="B379" s="181"/>
      <c r="C379" s="182"/>
      <c r="D379" s="183"/>
      <c r="E379" s="183"/>
      <c r="F379" s="183"/>
      <c r="G379" s="183"/>
    </row>
    <row r="380" spans="1:11" ht="15" customHeight="1">
      <c r="A380" s="190"/>
      <c r="B380" s="184" t="s">
        <v>506</v>
      </c>
      <c r="C380" s="184" t="s">
        <v>297</v>
      </c>
      <c r="D380" s="185">
        <v>130895018</v>
      </c>
      <c r="E380" s="185">
        <v>12375722</v>
      </c>
      <c r="F380" s="185">
        <v>143270740</v>
      </c>
      <c r="G380" s="183"/>
    </row>
    <row r="381" spans="1:11" ht="15" customHeight="1">
      <c r="A381" s="190"/>
      <c r="B381" s="184" t="s">
        <v>507</v>
      </c>
      <c r="C381" s="184" t="s">
        <v>297</v>
      </c>
      <c r="D381" s="185">
        <v>3166393</v>
      </c>
      <c r="E381" s="185">
        <v>299396</v>
      </c>
      <c r="F381" s="185">
        <v>3465789</v>
      </c>
      <c r="G381" s="183"/>
    </row>
    <row r="382" spans="1:11" ht="15" customHeight="1">
      <c r="A382" s="190"/>
      <c r="B382" s="184" t="s">
        <v>508</v>
      </c>
      <c r="C382" s="184" t="s">
        <v>297</v>
      </c>
      <c r="D382" s="185">
        <v>1669000</v>
      </c>
      <c r="E382" s="185">
        <v>0</v>
      </c>
      <c r="F382" s="185">
        <v>1669000</v>
      </c>
      <c r="G382" s="183"/>
    </row>
    <row r="383" spans="1:11" ht="15" customHeight="1">
      <c r="A383" s="190"/>
      <c r="B383" s="184" t="s">
        <v>509</v>
      </c>
      <c r="C383" s="184" t="s">
        <v>295</v>
      </c>
      <c r="D383" s="185">
        <v>1450240</v>
      </c>
      <c r="E383" s="185">
        <v>0</v>
      </c>
      <c r="F383" s="185">
        <v>1450240</v>
      </c>
      <c r="G383" s="183"/>
    </row>
    <row r="384" spans="1:11" s="20" customFormat="1" ht="15" customHeight="1">
      <c r="A384" s="190"/>
      <c r="B384" s="186" t="s">
        <v>510</v>
      </c>
      <c r="C384" s="186" t="s">
        <v>293</v>
      </c>
      <c r="D384" s="187">
        <v>1314816</v>
      </c>
      <c r="E384" s="187">
        <v>0</v>
      </c>
      <c r="F384" s="187">
        <v>1314816</v>
      </c>
      <c r="G384" s="188"/>
    </row>
    <row r="385" spans="1:7" ht="26.25" customHeight="1">
      <c r="A385" s="190"/>
      <c r="B385" s="184" t="s">
        <v>511</v>
      </c>
      <c r="C385" s="184" t="s">
        <v>297</v>
      </c>
      <c r="D385" s="185">
        <v>0</v>
      </c>
      <c r="E385" s="185">
        <v>0</v>
      </c>
      <c r="F385" s="185">
        <v>0</v>
      </c>
      <c r="G385" s="183"/>
    </row>
    <row r="386" spans="1:7" ht="15" customHeight="1">
      <c r="A386" s="190"/>
      <c r="B386" s="181"/>
      <c r="C386" s="182"/>
      <c r="D386" s="183"/>
      <c r="E386" s="183"/>
      <c r="F386" s="185" t="s">
        <v>298</v>
      </c>
      <c r="G386" s="185">
        <f>SUM($F$379:$F$385)</f>
        <v>151170585</v>
      </c>
    </row>
    <row r="387" spans="1:7" ht="15" customHeight="1">
      <c r="A387" s="189" t="s">
        <v>37</v>
      </c>
      <c r="B387" s="181"/>
      <c r="C387" s="182"/>
      <c r="D387" s="183"/>
      <c r="E387" s="183"/>
      <c r="F387" s="183"/>
      <c r="G387" s="183"/>
    </row>
    <row r="388" spans="1:7" ht="15" customHeight="1">
      <c r="A388" s="190"/>
      <c r="B388" s="184" t="s">
        <v>512</v>
      </c>
      <c r="C388" s="184" t="s">
        <v>297</v>
      </c>
      <c r="D388" s="185">
        <v>120984571</v>
      </c>
      <c r="E388" s="185">
        <v>22173936</v>
      </c>
      <c r="F388" s="185">
        <f>SUM(D388:E388)</f>
        <v>143158507</v>
      </c>
      <c r="G388" s="183"/>
    </row>
    <row r="389" spans="1:7" s="36" customFormat="1" ht="15" customHeight="1">
      <c r="A389" s="181"/>
      <c r="B389" s="184" t="s">
        <v>513</v>
      </c>
      <c r="C389" s="184">
        <v>2013</v>
      </c>
      <c r="D389" s="185">
        <v>11831468</v>
      </c>
      <c r="E389" s="185">
        <v>10758126</v>
      </c>
      <c r="F389" s="185">
        <f>SUM(D389:E389)</f>
        <v>22589594</v>
      </c>
      <c r="G389" s="183"/>
    </row>
    <row r="390" spans="1:7" ht="15" customHeight="1">
      <c r="A390" s="190"/>
      <c r="B390" s="184" t="s">
        <v>514</v>
      </c>
      <c r="C390" s="184" t="s">
        <v>293</v>
      </c>
      <c r="D390" s="185">
        <v>8096000</v>
      </c>
      <c r="E390" s="185">
        <v>0</v>
      </c>
      <c r="F390" s="185">
        <f>SUM(D390:E390)</f>
        <v>8096000</v>
      </c>
      <c r="G390" s="183"/>
    </row>
    <row r="391" spans="1:7" ht="15" customHeight="1">
      <c r="A391" s="190"/>
      <c r="B391" s="184" t="s">
        <v>515</v>
      </c>
      <c r="C391" s="184" t="s">
        <v>293</v>
      </c>
      <c r="D391" s="185">
        <v>7407000</v>
      </c>
      <c r="E391" s="185">
        <v>0</v>
      </c>
      <c r="F391" s="185">
        <f>SUM(D391:E391)</f>
        <v>7407000</v>
      </c>
      <c r="G391" s="183"/>
    </row>
    <row r="392" spans="1:7" s="20" customFormat="1" ht="26.25" customHeight="1">
      <c r="A392" s="190"/>
      <c r="B392" s="186" t="s">
        <v>516</v>
      </c>
      <c r="C392" s="186" t="s">
        <v>293</v>
      </c>
      <c r="D392" s="187">
        <v>57947</v>
      </c>
      <c r="E392" s="187">
        <v>0</v>
      </c>
      <c r="F392" s="187">
        <f>SUM(D392:E392)</f>
        <v>57947</v>
      </c>
      <c r="G392" s="188"/>
    </row>
    <row r="393" spans="1:7" ht="15" customHeight="1">
      <c r="A393" s="190"/>
      <c r="B393" s="181"/>
      <c r="C393" s="182"/>
      <c r="D393" s="183"/>
      <c r="E393" s="183"/>
      <c r="F393" s="185" t="s">
        <v>298</v>
      </c>
      <c r="G393" s="185">
        <f>SUM($F$387:$F$392)</f>
        <v>181309048</v>
      </c>
    </row>
    <row r="394" spans="1:7" ht="15" customHeight="1">
      <c r="A394" s="189" t="s">
        <v>86</v>
      </c>
      <c r="B394" s="181"/>
      <c r="C394" s="182"/>
      <c r="D394" s="183"/>
      <c r="E394" s="183"/>
      <c r="F394" s="183"/>
      <c r="G394" s="183"/>
    </row>
    <row r="395" spans="1:7" ht="15" customHeight="1">
      <c r="A395" s="190"/>
      <c r="B395" s="184" t="s">
        <v>517</v>
      </c>
      <c r="C395" s="184" t="s">
        <v>297</v>
      </c>
      <c r="D395" s="185">
        <v>56972685</v>
      </c>
      <c r="E395" s="185">
        <v>100228783</v>
      </c>
      <c r="F395" s="185">
        <v>157201468</v>
      </c>
      <c r="G395" s="183"/>
    </row>
    <row r="396" spans="1:7" ht="26.25" customHeight="1">
      <c r="A396" s="190"/>
      <c r="B396" s="184" t="s">
        <v>518</v>
      </c>
      <c r="C396" s="182"/>
      <c r="D396" s="185">
        <v>3373400</v>
      </c>
      <c r="E396" s="185">
        <v>0</v>
      </c>
      <c r="F396" s="185">
        <v>3373400</v>
      </c>
      <c r="G396" s="183"/>
    </row>
    <row r="397" spans="1:7" ht="15" customHeight="1">
      <c r="A397" s="190"/>
      <c r="B397" s="184" t="s">
        <v>519</v>
      </c>
      <c r="C397" s="184" t="s">
        <v>297</v>
      </c>
      <c r="D397" s="185">
        <v>1255686</v>
      </c>
      <c r="E397" s="185">
        <v>758637</v>
      </c>
      <c r="F397" s="185">
        <v>2014323</v>
      </c>
      <c r="G397" s="183"/>
    </row>
    <row r="398" spans="1:7" ht="15" customHeight="1">
      <c r="A398" s="190"/>
      <c r="B398" s="184" t="s">
        <v>520</v>
      </c>
      <c r="C398" s="184"/>
      <c r="D398" s="185"/>
      <c r="E398" s="185"/>
      <c r="F398" s="185" t="s">
        <v>114</v>
      </c>
      <c r="G398" s="183"/>
    </row>
    <row r="399" spans="1:7" ht="15" customHeight="1">
      <c r="A399" s="190"/>
      <c r="B399" s="181"/>
      <c r="C399" s="182"/>
      <c r="D399" s="183"/>
      <c r="E399" s="183"/>
      <c r="F399" s="185" t="s">
        <v>298</v>
      </c>
      <c r="G399" s="185">
        <f>SUM($F$394:$F$398)</f>
        <v>162589191</v>
      </c>
    </row>
    <row r="400" spans="1:7" ht="15" customHeight="1">
      <c r="A400" s="189" t="s">
        <v>103</v>
      </c>
      <c r="B400" s="181"/>
      <c r="C400" s="182"/>
      <c r="D400" s="183"/>
      <c r="E400" s="183"/>
      <c r="F400" s="183"/>
      <c r="G400" s="183"/>
    </row>
    <row r="401" spans="1:7" ht="15" customHeight="1">
      <c r="A401" s="190"/>
      <c r="B401" s="184" t="s">
        <v>521</v>
      </c>
      <c r="C401" s="184" t="s">
        <v>297</v>
      </c>
      <c r="D401" s="185">
        <v>12186032</v>
      </c>
      <c r="E401" s="185">
        <v>4923332</v>
      </c>
      <c r="F401" s="185">
        <v>17109364</v>
      </c>
      <c r="G401" s="183"/>
    </row>
    <row r="402" spans="1:7" ht="15" customHeight="1">
      <c r="A402" s="190"/>
      <c r="B402" s="184" t="s">
        <v>522</v>
      </c>
      <c r="C402" s="184"/>
      <c r="D402" s="185"/>
      <c r="E402" s="185"/>
      <c r="F402" s="185" t="s">
        <v>114</v>
      </c>
      <c r="G402" s="183"/>
    </row>
    <row r="403" spans="1:7" ht="15" customHeight="1">
      <c r="A403" s="190"/>
      <c r="B403" s="181"/>
      <c r="C403" s="182"/>
      <c r="D403" s="183"/>
      <c r="E403" s="183"/>
      <c r="F403" s="185" t="s">
        <v>298</v>
      </c>
      <c r="G403" s="185">
        <f>SUM($F$400:$F$402)</f>
        <v>17109364</v>
      </c>
    </row>
    <row r="404" spans="1:7" ht="15" customHeight="1">
      <c r="A404" s="189" t="s">
        <v>146</v>
      </c>
      <c r="B404" s="181"/>
      <c r="C404" s="182"/>
      <c r="D404" s="183"/>
      <c r="E404" s="183"/>
      <c r="F404" s="183"/>
      <c r="G404" s="183"/>
    </row>
    <row r="405" spans="1:7" s="20" customFormat="1" ht="15" customHeight="1">
      <c r="A405" s="190"/>
      <c r="B405" s="186" t="s">
        <v>523</v>
      </c>
      <c r="C405" s="186" t="s">
        <v>293</v>
      </c>
      <c r="D405" s="187">
        <v>22679992</v>
      </c>
      <c r="E405" s="187">
        <v>0</v>
      </c>
      <c r="F405" s="187">
        <f>SUM(D405,E405)</f>
        <v>22679992</v>
      </c>
      <c r="G405" s="188"/>
    </row>
    <row r="406" spans="1:7" ht="15" customHeight="1">
      <c r="A406" s="190"/>
      <c r="B406" s="181"/>
      <c r="C406" s="182"/>
      <c r="D406" s="183"/>
      <c r="E406" s="183"/>
      <c r="F406" s="185" t="s">
        <v>298</v>
      </c>
      <c r="G406" s="185">
        <f>SUM($F$404:$F$405)</f>
        <v>22679992</v>
      </c>
    </row>
    <row r="407" spans="1:7" ht="15" customHeight="1">
      <c r="A407" s="189" t="s">
        <v>27</v>
      </c>
      <c r="B407" s="181"/>
      <c r="C407" s="182"/>
      <c r="D407" s="183"/>
      <c r="E407" s="183"/>
      <c r="F407" s="183"/>
      <c r="G407" s="183"/>
    </row>
    <row r="408" spans="1:7" ht="15" customHeight="1">
      <c r="A408" s="190"/>
      <c r="B408" s="184" t="s">
        <v>524</v>
      </c>
      <c r="C408" s="184" t="s">
        <v>293</v>
      </c>
      <c r="D408" s="185">
        <v>116417113</v>
      </c>
      <c r="E408" s="185">
        <v>77380476</v>
      </c>
      <c r="F408" s="185">
        <v>193797589</v>
      </c>
      <c r="G408" s="183"/>
    </row>
    <row r="409" spans="1:7" ht="15" customHeight="1">
      <c r="A409" s="190"/>
      <c r="B409" s="184" t="s">
        <v>525</v>
      </c>
      <c r="C409" s="184" t="s">
        <v>293</v>
      </c>
      <c r="D409" s="185">
        <v>470000</v>
      </c>
      <c r="E409" s="185">
        <v>0</v>
      </c>
      <c r="F409" s="185">
        <v>470000</v>
      </c>
      <c r="G409" s="183"/>
    </row>
    <row r="410" spans="1:7" ht="15" customHeight="1">
      <c r="A410" s="190"/>
      <c r="B410" s="181"/>
      <c r="C410" s="182"/>
      <c r="D410" s="183"/>
      <c r="E410" s="183"/>
      <c r="F410" s="185" t="s">
        <v>298</v>
      </c>
      <c r="G410" s="185">
        <f>SUM($F$407:$F$409)</f>
        <v>194267589</v>
      </c>
    </row>
    <row r="411" spans="1:7" ht="15" customHeight="1">
      <c r="A411" s="189" t="s">
        <v>47</v>
      </c>
      <c r="B411" s="181"/>
      <c r="C411" s="182"/>
      <c r="D411" s="183"/>
      <c r="E411" s="183"/>
      <c r="F411" s="183"/>
      <c r="G411" s="183"/>
    </row>
    <row r="412" spans="1:7" ht="15" customHeight="1">
      <c r="A412" s="190"/>
      <c r="B412" s="184" t="s">
        <v>526</v>
      </c>
      <c r="C412" s="184" t="s">
        <v>297</v>
      </c>
      <c r="D412" s="185">
        <v>16788536</v>
      </c>
      <c r="E412" s="185">
        <v>4258311</v>
      </c>
      <c r="F412" s="185">
        <v>21046847</v>
      </c>
      <c r="G412" s="183"/>
    </row>
    <row r="413" spans="1:7" ht="15" customHeight="1">
      <c r="A413" s="190"/>
      <c r="B413" s="184" t="s">
        <v>527</v>
      </c>
      <c r="C413" s="184" t="s">
        <v>297</v>
      </c>
      <c r="D413" s="185">
        <v>13000000</v>
      </c>
      <c r="E413" s="187">
        <v>0</v>
      </c>
      <c r="F413" s="185">
        <v>13000000</v>
      </c>
      <c r="G413" s="183" t="s">
        <v>528</v>
      </c>
    </row>
    <row r="414" spans="1:7" ht="15" customHeight="1">
      <c r="A414" s="190"/>
      <c r="B414" s="184" t="s">
        <v>529</v>
      </c>
      <c r="C414" s="184" t="s">
        <v>293</v>
      </c>
      <c r="D414" s="185">
        <v>292828</v>
      </c>
      <c r="E414" s="185">
        <v>4000000</v>
      </c>
      <c r="F414" s="185">
        <v>4292828</v>
      </c>
      <c r="G414" s="183"/>
    </row>
    <row r="415" spans="1:7" ht="15" customHeight="1">
      <c r="A415" s="190"/>
      <c r="B415" s="184" t="s">
        <v>530</v>
      </c>
      <c r="C415" s="184" t="s">
        <v>295</v>
      </c>
      <c r="D415" s="185">
        <v>1277987</v>
      </c>
      <c r="E415" s="185">
        <v>68522</v>
      </c>
      <c r="F415" s="185">
        <v>1346509</v>
      </c>
      <c r="G415" s="183"/>
    </row>
    <row r="416" spans="1:7" ht="15" customHeight="1">
      <c r="A416" s="190"/>
      <c r="B416" s="181"/>
      <c r="C416" s="182"/>
      <c r="D416" s="183"/>
      <c r="E416" s="183"/>
      <c r="F416" s="185" t="s">
        <v>298</v>
      </c>
      <c r="G416" s="185">
        <f>SUM($F$411:$F$415)</f>
        <v>39686184</v>
      </c>
    </row>
    <row r="417" spans="1:7" ht="15" customHeight="1">
      <c r="A417" s="189" t="s">
        <v>41</v>
      </c>
      <c r="B417" s="181"/>
      <c r="C417" s="182"/>
      <c r="D417" s="183"/>
      <c r="E417" s="183"/>
      <c r="F417" s="183"/>
      <c r="G417" s="183"/>
    </row>
    <row r="418" spans="1:7" ht="15" customHeight="1">
      <c r="A418" s="190"/>
      <c r="B418" s="184" t="s">
        <v>531</v>
      </c>
      <c r="C418" s="184" t="s">
        <v>293</v>
      </c>
      <c r="D418" s="185">
        <v>47786144</v>
      </c>
      <c r="E418" s="185">
        <v>3493000</v>
      </c>
      <c r="F418" s="185">
        <v>51279144</v>
      </c>
      <c r="G418" s="183"/>
    </row>
    <row r="419" spans="1:7" s="20" customFormat="1" ht="15" customHeight="1">
      <c r="A419" s="190"/>
      <c r="B419" s="186" t="s">
        <v>532</v>
      </c>
      <c r="C419" s="186">
        <v>2012</v>
      </c>
      <c r="D419" s="187">
        <v>72429</v>
      </c>
      <c r="E419" s="187">
        <v>213000</v>
      </c>
      <c r="F419" s="187">
        <f>SUM(D419,E419)</f>
        <v>285429</v>
      </c>
      <c r="G419" s="188"/>
    </row>
    <row r="420" spans="1:7" ht="15" customHeight="1">
      <c r="A420" s="190"/>
      <c r="B420" s="184" t="s">
        <v>533</v>
      </c>
      <c r="C420" s="184"/>
      <c r="D420" s="185"/>
      <c r="E420" s="185"/>
      <c r="F420" s="185" t="s">
        <v>114</v>
      </c>
      <c r="G420" s="183"/>
    </row>
    <row r="421" spans="1:7" ht="15" customHeight="1">
      <c r="A421" s="190"/>
      <c r="B421" s="181"/>
      <c r="C421" s="182"/>
      <c r="D421" s="183"/>
      <c r="E421" s="183"/>
      <c r="F421" s="185" t="s">
        <v>298</v>
      </c>
      <c r="G421" s="185">
        <f>SUM($F$417:$F$420)</f>
        <v>51564573</v>
      </c>
    </row>
    <row r="422" spans="1:7" ht="15" customHeight="1">
      <c r="A422" s="189" t="s">
        <v>26</v>
      </c>
      <c r="B422" s="181"/>
      <c r="C422" s="182"/>
      <c r="D422" s="183"/>
      <c r="E422" s="183"/>
      <c r="F422" s="183"/>
      <c r="G422" s="183"/>
    </row>
    <row r="423" spans="1:7" ht="15" customHeight="1">
      <c r="A423" s="190"/>
      <c r="B423" s="184" t="s">
        <v>534</v>
      </c>
      <c r="C423" s="184" t="s">
        <v>293</v>
      </c>
      <c r="D423" s="185">
        <v>32646523</v>
      </c>
      <c r="E423" s="185">
        <v>75095</v>
      </c>
      <c r="F423" s="185">
        <v>32721618</v>
      </c>
      <c r="G423" s="183"/>
    </row>
    <row r="424" spans="1:7" ht="26.25" customHeight="1">
      <c r="A424" s="190"/>
      <c r="B424" s="184" t="s">
        <v>535</v>
      </c>
      <c r="C424" s="184"/>
      <c r="D424" s="185"/>
      <c r="E424" s="185"/>
      <c r="F424" s="185" t="s">
        <v>114</v>
      </c>
      <c r="G424" s="183"/>
    </row>
    <row r="425" spans="1:7" ht="15" customHeight="1">
      <c r="A425" s="190"/>
      <c r="B425" s="184" t="s">
        <v>536</v>
      </c>
      <c r="C425" s="184"/>
      <c r="D425" s="185"/>
      <c r="E425" s="185"/>
      <c r="F425" s="185" t="s">
        <v>114</v>
      </c>
      <c r="G425" s="183"/>
    </row>
    <row r="426" spans="1:7" ht="15" customHeight="1">
      <c r="A426" s="190"/>
      <c r="B426" s="181"/>
      <c r="C426" s="182"/>
      <c r="D426" s="183"/>
      <c r="E426" s="183"/>
      <c r="F426" s="185" t="s">
        <v>298</v>
      </c>
      <c r="G426" s="185">
        <f>SUM($F$422:$F$425)</f>
        <v>32721618</v>
      </c>
    </row>
    <row r="427" spans="1:7" ht="15" customHeight="1">
      <c r="A427" s="189" t="s">
        <v>110</v>
      </c>
      <c r="B427" s="181"/>
      <c r="C427" s="182"/>
      <c r="D427" s="183"/>
      <c r="E427" s="183"/>
      <c r="F427" s="183"/>
      <c r="G427" s="183"/>
    </row>
    <row r="428" spans="1:7" ht="15" customHeight="1">
      <c r="A428" s="190"/>
      <c r="B428" s="184" t="s">
        <v>537</v>
      </c>
      <c r="C428" s="184" t="s">
        <v>293</v>
      </c>
      <c r="D428" s="185">
        <v>3730371</v>
      </c>
      <c r="E428" s="185">
        <v>358505</v>
      </c>
      <c r="F428" s="185">
        <v>4088876</v>
      </c>
      <c r="G428" s="183"/>
    </row>
    <row r="429" spans="1:7" ht="15" customHeight="1">
      <c r="A429" s="190"/>
      <c r="B429" s="184" t="s">
        <v>538</v>
      </c>
      <c r="C429" s="184"/>
      <c r="D429" s="185"/>
      <c r="E429" s="185"/>
      <c r="F429" s="185" t="s">
        <v>114</v>
      </c>
      <c r="G429" s="183"/>
    </row>
    <row r="430" spans="1:7" ht="15" customHeight="1">
      <c r="A430" s="190"/>
      <c r="B430" s="181"/>
      <c r="C430" s="182"/>
      <c r="D430" s="183"/>
      <c r="E430" s="183"/>
      <c r="F430" s="185" t="s">
        <v>298</v>
      </c>
      <c r="G430" s="185">
        <f>SUM($F$427:$F$429)</f>
        <v>4088876</v>
      </c>
    </row>
    <row r="431" spans="1:7" ht="15" customHeight="1">
      <c r="A431" s="189" t="s">
        <v>25</v>
      </c>
      <c r="B431" s="181"/>
      <c r="C431" s="182"/>
      <c r="D431" s="183"/>
      <c r="E431" s="183"/>
      <c r="F431" s="183"/>
      <c r="G431" s="183"/>
    </row>
    <row r="432" spans="1:7" ht="15" customHeight="1">
      <c r="A432" s="190"/>
      <c r="B432" s="184" t="s">
        <v>539</v>
      </c>
      <c r="C432" s="184" t="s">
        <v>293</v>
      </c>
      <c r="D432" s="185">
        <v>32740162</v>
      </c>
      <c r="E432" s="185">
        <v>14425000</v>
      </c>
      <c r="F432" s="185">
        <v>47165162</v>
      </c>
      <c r="G432" s="183"/>
    </row>
    <row r="433" spans="1:7" ht="15" customHeight="1">
      <c r="A433" s="190"/>
      <c r="B433" s="184" t="s">
        <v>540</v>
      </c>
      <c r="C433" s="184" t="s">
        <v>293</v>
      </c>
      <c r="D433" s="185">
        <v>3571394</v>
      </c>
      <c r="E433" s="185">
        <v>597477</v>
      </c>
      <c r="F433" s="185">
        <v>4168871</v>
      </c>
      <c r="G433" s="183"/>
    </row>
    <row r="434" spans="1:7" ht="15" customHeight="1">
      <c r="A434" s="190"/>
      <c r="B434" s="184" t="s">
        <v>541</v>
      </c>
      <c r="C434" s="184"/>
      <c r="D434" s="185"/>
      <c r="E434" s="185"/>
      <c r="F434" s="185" t="s">
        <v>114</v>
      </c>
      <c r="G434" s="183"/>
    </row>
    <row r="435" spans="1:7" ht="15" customHeight="1">
      <c r="A435" s="190"/>
      <c r="B435" s="181"/>
      <c r="C435" s="182"/>
      <c r="D435" s="183"/>
      <c r="E435" s="183"/>
      <c r="F435" s="185" t="s">
        <v>298</v>
      </c>
      <c r="G435" s="185">
        <f>SUM($F$431:$F$434)</f>
        <v>51334033</v>
      </c>
    </row>
    <row r="436" spans="1:7" ht="15" customHeight="1">
      <c r="A436" s="189" t="s">
        <v>90</v>
      </c>
      <c r="B436" s="181"/>
      <c r="C436" s="182"/>
      <c r="D436" s="183"/>
      <c r="E436" s="183"/>
      <c r="F436" s="183"/>
      <c r="G436" s="183"/>
    </row>
    <row r="437" spans="1:7" ht="15" customHeight="1">
      <c r="A437" s="190"/>
      <c r="B437" s="184" t="s">
        <v>542</v>
      </c>
      <c r="C437" s="184" t="s">
        <v>293</v>
      </c>
      <c r="D437" s="185">
        <v>11296697</v>
      </c>
      <c r="E437" s="185">
        <v>631654</v>
      </c>
      <c r="F437" s="185">
        <v>11928351</v>
      </c>
      <c r="G437" s="183"/>
    </row>
    <row r="438" spans="1:7" ht="15" customHeight="1">
      <c r="A438" s="190"/>
      <c r="B438" s="184" t="s">
        <v>543</v>
      </c>
      <c r="C438" s="184" t="s">
        <v>293</v>
      </c>
      <c r="D438" s="185">
        <v>268801</v>
      </c>
      <c r="E438" s="185">
        <v>202000</v>
      </c>
      <c r="F438" s="185">
        <v>470801</v>
      </c>
      <c r="G438" s="183"/>
    </row>
    <row r="439" spans="1:7" ht="15" customHeight="1">
      <c r="A439" s="190"/>
      <c r="B439" s="181"/>
      <c r="C439" s="182"/>
      <c r="D439" s="183"/>
      <c r="E439" s="183"/>
      <c r="F439" s="185" t="s">
        <v>298</v>
      </c>
      <c r="G439" s="185">
        <f>SUM($F$436:$F$438)</f>
        <v>12399152</v>
      </c>
    </row>
    <row r="440" spans="1:7" ht="15" customHeight="1">
      <c r="A440" s="189" t="s">
        <v>61</v>
      </c>
      <c r="B440" s="181"/>
      <c r="C440" s="182"/>
      <c r="D440" s="183"/>
      <c r="E440" s="183"/>
      <c r="F440" s="183"/>
      <c r="G440" s="183"/>
    </row>
    <row r="441" spans="1:7" ht="15" customHeight="1">
      <c r="A441" s="190"/>
      <c r="B441" s="184" t="s">
        <v>544</v>
      </c>
      <c r="C441" s="184" t="s">
        <v>293</v>
      </c>
      <c r="D441" s="185">
        <v>41552030</v>
      </c>
      <c r="E441" s="185">
        <v>4128169</v>
      </c>
      <c r="F441" s="185">
        <v>45680199</v>
      </c>
      <c r="G441" s="183"/>
    </row>
    <row r="442" spans="1:7" s="20" customFormat="1" ht="26.25" customHeight="1">
      <c r="A442" s="190"/>
      <c r="B442" s="186" t="s">
        <v>545</v>
      </c>
      <c r="C442" s="186">
        <v>2013</v>
      </c>
      <c r="D442" s="187">
        <v>158885</v>
      </c>
      <c r="E442" s="187"/>
      <c r="F442" s="187">
        <f>SUM(D442,E442)</f>
        <v>158885</v>
      </c>
      <c r="G442" s="188"/>
    </row>
    <row r="443" spans="1:7" ht="26.25" customHeight="1">
      <c r="A443" s="190"/>
      <c r="B443" s="184" t="s">
        <v>546</v>
      </c>
      <c r="C443" s="184"/>
      <c r="D443" s="185"/>
      <c r="E443" s="185"/>
      <c r="F443" s="185" t="s">
        <v>114</v>
      </c>
      <c r="G443" s="183"/>
    </row>
    <row r="444" spans="1:7" ht="15" customHeight="1">
      <c r="A444" s="190"/>
      <c r="B444" s="181"/>
      <c r="C444" s="182"/>
      <c r="D444" s="183"/>
      <c r="E444" s="183"/>
      <c r="F444" s="185" t="s">
        <v>298</v>
      </c>
      <c r="G444" s="185">
        <f>SUM($F$440:$F$443)</f>
        <v>45839084</v>
      </c>
    </row>
    <row r="445" spans="1:7" ht="15" customHeight="1">
      <c r="A445" s="189" t="s">
        <v>100</v>
      </c>
      <c r="B445" s="181"/>
      <c r="C445" s="182"/>
      <c r="D445" s="183"/>
      <c r="E445" s="183"/>
      <c r="F445" s="183"/>
      <c r="G445" s="183"/>
    </row>
    <row r="446" spans="1:7" ht="15" customHeight="1">
      <c r="A446" s="190"/>
      <c r="B446" s="184" t="s">
        <v>547</v>
      </c>
      <c r="C446" s="184" t="s">
        <v>297</v>
      </c>
      <c r="D446" s="185">
        <v>15789510</v>
      </c>
      <c r="E446" s="185">
        <v>66492</v>
      </c>
      <c r="F446" s="185">
        <f>SUM(D446,E446)</f>
        <v>15856002</v>
      </c>
      <c r="G446" s="183"/>
    </row>
    <row r="447" spans="1:7" ht="15" customHeight="1">
      <c r="A447" s="190"/>
      <c r="B447" s="184" t="s">
        <v>548</v>
      </c>
      <c r="C447" s="184" t="s">
        <v>297</v>
      </c>
      <c r="D447" s="185">
        <v>2650000</v>
      </c>
      <c r="E447" s="185">
        <v>2250000</v>
      </c>
      <c r="F447" s="185">
        <v>4900000</v>
      </c>
      <c r="G447" s="183"/>
    </row>
    <row r="448" spans="1:7" ht="15" customHeight="1">
      <c r="A448" s="190"/>
      <c r="B448" s="184" t="s">
        <v>549</v>
      </c>
      <c r="C448" s="184" t="s">
        <v>293</v>
      </c>
      <c r="D448" s="185">
        <v>2176227</v>
      </c>
      <c r="E448" s="185">
        <v>390921</v>
      </c>
      <c r="F448" s="185">
        <v>2567148</v>
      </c>
      <c r="G448" s="183"/>
    </row>
    <row r="449" spans="1:7" ht="15" customHeight="1">
      <c r="A449" s="190"/>
      <c r="B449" s="181"/>
      <c r="C449" s="182"/>
      <c r="D449" s="183"/>
      <c r="E449" s="183"/>
      <c r="F449" s="185" t="s">
        <v>298</v>
      </c>
      <c r="G449" s="192">
        <f>SUM($F$445:$F$448)</f>
        <v>23323150</v>
      </c>
    </row>
    <row r="450" spans="1:7" ht="15" customHeight="1">
      <c r="A450" s="189" t="s">
        <v>30</v>
      </c>
      <c r="B450" s="181"/>
      <c r="C450" s="182"/>
      <c r="D450" s="183"/>
      <c r="E450" s="183"/>
      <c r="F450" s="183"/>
      <c r="G450" s="183"/>
    </row>
    <row r="451" spans="1:7" ht="15" customHeight="1">
      <c r="A451" s="190"/>
      <c r="B451" s="184" t="s">
        <v>550</v>
      </c>
      <c r="C451" s="184" t="s">
        <v>293</v>
      </c>
      <c r="D451" s="185">
        <v>53947688</v>
      </c>
      <c r="E451" s="185">
        <v>10411369</v>
      </c>
      <c r="F451" s="185">
        <v>64359057</v>
      </c>
      <c r="G451" s="183"/>
    </row>
    <row r="452" spans="1:7" ht="26.25" customHeight="1">
      <c r="A452" s="190"/>
      <c r="B452" s="184" t="s">
        <v>551</v>
      </c>
      <c r="C452" s="184" t="s">
        <v>297</v>
      </c>
      <c r="D452" s="185">
        <v>3215197</v>
      </c>
      <c r="E452" s="185">
        <v>0</v>
      </c>
      <c r="F452" s="185">
        <v>3215197</v>
      </c>
      <c r="G452" s="183"/>
    </row>
    <row r="453" spans="1:7" ht="15" customHeight="1">
      <c r="A453" s="190"/>
      <c r="B453" s="184" t="s">
        <v>552</v>
      </c>
      <c r="C453" s="184" t="s">
        <v>297</v>
      </c>
      <c r="D453" s="185">
        <v>2019014</v>
      </c>
      <c r="E453" s="185">
        <v>0</v>
      </c>
      <c r="F453" s="185">
        <v>2019014</v>
      </c>
      <c r="G453" s="183"/>
    </row>
    <row r="454" spans="1:7" s="20" customFormat="1" ht="15" customHeight="1">
      <c r="A454" s="190"/>
      <c r="B454" s="186" t="s">
        <v>553</v>
      </c>
      <c r="C454" s="186">
        <v>2013</v>
      </c>
      <c r="D454" s="187">
        <v>98384</v>
      </c>
      <c r="E454" s="187">
        <v>385204</v>
      </c>
      <c r="F454" s="187">
        <f>SUM(D454,E454)</f>
        <v>483588</v>
      </c>
      <c r="G454" s="188"/>
    </row>
    <row r="455" spans="1:7" s="20" customFormat="1" ht="15" customHeight="1">
      <c r="A455" s="190"/>
      <c r="B455" s="186" t="s">
        <v>554</v>
      </c>
      <c r="C455" s="186">
        <v>2013</v>
      </c>
      <c r="D455" s="187">
        <v>3500</v>
      </c>
      <c r="E455" s="187"/>
      <c r="F455" s="187">
        <f>SUM(D455,E455)</f>
        <v>3500</v>
      </c>
      <c r="G455" s="188"/>
    </row>
    <row r="456" spans="1:7" ht="15" customHeight="1">
      <c r="A456" s="190"/>
      <c r="B456" s="181"/>
      <c r="C456" s="182"/>
      <c r="D456" s="183"/>
      <c r="E456" s="183"/>
      <c r="F456" s="185" t="s">
        <v>298</v>
      </c>
      <c r="G456" s="185">
        <f>SUM($F$450:$F$455)</f>
        <v>70080356</v>
      </c>
    </row>
    <row r="457" spans="1:7" ht="15" customHeight="1">
      <c r="A457" s="189" t="s">
        <v>141</v>
      </c>
      <c r="B457" s="181"/>
      <c r="C457" s="182"/>
      <c r="D457" s="183"/>
      <c r="E457" s="183"/>
      <c r="F457" s="183"/>
      <c r="G457" s="183"/>
    </row>
    <row r="458" spans="1:7" s="20" customFormat="1" ht="15" customHeight="1">
      <c r="A458" s="190"/>
      <c r="B458" s="186" t="s">
        <v>555</v>
      </c>
      <c r="C458" s="186" t="s">
        <v>295</v>
      </c>
      <c r="D458" s="187">
        <v>118990189</v>
      </c>
      <c r="E458" s="187">
        <v>1055011</v>
      </c>
      <c r="F458" s="187">
        <f>SUM(D458,E458)</f>
        <v>120045200</v>
      </c>
      <c r="G458" s="188"/>
    </row>
    <row r="459" spans="1:7" ht="15" customHeight="1">
      <c r="A459" s="190"/>
      <c r="B459" s="184" t="s">
        <v>556</v>
      </c>
      <c r="C459" s="184" t="s">
        <v>293</v>
      </c>
      <c r="D459" s="185">
        <v>50491128</v>
      </c>
      <c r="E459" s="185">
        <v>53051836</v>
      </c>
      <c r="F459" s="185">
        <v>103542964</v>
      </c>
      <c r="G459" s="183"/>
    </row>
    <row r="460" spans="1:7" ht="15" customHeight="1">
      <c r="A460" s="190"/>
      <c r="B460" s="184" t="s">
        <v>557</v>
      </c>
      <c r="C460" s="184"/>
      <c r="D460" s="185"/>
      <c r="E460" s="185"/>
      <c r="F460" s="185" t="s">
        <v>114</v>
      </c>
      <c r="G460" s="183"/>
    </row>
    <row r="461" spans="1:7" ht="15" customHeight="1">
      <c r="A461" s="190"/>
      <c r="B461" s="184" t="s">
        <v>558</v>
      </c>
      <c r="C461" s="184"/>
      <c r="D461" s="185"/>
      <c r="E461" s="185"/>
      <c r="F461" s="185" t="s">
        <v>114</v>
      </c>
      <c r="G461" s="183"/>
    </row>
    <row r="462" spans="1:7" ht="15" customHeight="1">
      <c r="A462" s="190"/>
      <c r="B462" s="184" t="s">
        <v>559</v>
      </c>
      <c r="C462" s="184"/>
      <c r="D462" s="185"/>
      <c r="E462" s="185"/>
      <c r="F462" s="185" t="s">
        <v>114</v>
      </c>
      <c r="G462" s="183"/>
    </row>
    <row r="463" spans="1:7" ht="15" customHeight="1">
      <c r="A463" s="190"/>
      <c r="B463" s="181"/>
      <c r="C463" s="182"/>
      <c r="D463" s="183"/>
      <c r="E463" s="183"/>
      <c r="F463" s="185" t="s">
        <v>298</v>
      </c>
      <c r="G463" s="185">
        <f>SUM($F$457:$F$462)</f>
        <v>223588164</v>
      </c>
    </row>
    <row r="464" spans="1:7" ht="15" customHeight="1">
      <c r="A464" s="189" t="s">
        <v>79</v>
      </c>
      <c r="B464" s="181"/>
      <c r="C464" s="182"/>
      <c r="D464" s="183"/>
      <c r="E464" s="183"/>
      <c r="F464" s="183"/>
      <c r="G464" s="183"/>
    </row>
    <row r="465" spans="1:7" ht="15" customHeight="1">
      <c r="A465" s="190"/>
      <c r="B465" s="184" t="s">
        <v>560</v>
      </c>
      <c r="C465" s="184" t="s">
        <v>293</v>
      </c>
      <c r="D465" s="185">
        <v>16486949</v>
      </c>
      <c r="E465" s="185">
        <v>2675676</v>
      </c>
      <c r="F465" s="185">
        <v>19162625</v>
      </c>
      <c r="G465" s="183"/>
    </row>
    <row r="466" spans="1:7" ht="15" customHeight="1">
      <c r="A466" s="190"/>
      <c r="B466" s="181"/>
      <c r="C466" s="182"/>
      <c r="D466" s="183"/>
      <c r="E466" s="183"/>
      <c r="F466" s="185" t="s">
        <v>298</v>
      </c>
      <c r="G466" s="185">
        <f>SUM($F$464:$F$465)</f>
        <v>19162625</v>
      </c>
    </row>
    <row r="467" spans="1:7" ht="15" customHeight="1">
      <c r="A467" s="189" t="s">
        <v>82</v>
      </c>
      <c r="B467" s="181"/>
      <c r="C467" s="182"/>
      <c r="D467" s="183"/>
      <c r="E467" s="183"/>
      <c r="F467" s="183"/>
      <c r="G467" s="183"/>
    </row>
    <row r="468" spans="1:7" ht="15" customHeight="1">
      <c r="A468" s="190"/>
      <c r="B468" s="184" t="s">
        <v>561</v>
      </c>
      <c r="C468" s="184" t="s">
        <v>293</v>
      </c>
      <c r="D468" s="185">
        <v>8906536</v>
      </c>
      <c r="E468" s="185">
        <v>972751</v>
      </c>
      <c r="F468" s="185">
        <v>9879287</v>
      </c>
      <c r="G468" s="183"/>
    </row>
    <row r="469" spans="1:7" ht="15" customHeight="1">
      <c r="A469" s="181"/>
      <c r="B469" s="181"/>
      <c r="C469" s="182"/>
      <c r="D469" s="183"/>
      <c r="E469" s="183"/>
      <c r="F469" s="185" t="s">
        <v>298</v>
      </c>
      <c r="G469" s="185">
        <f>SUM($F$467:$F$468)</f>
        <v>9879287</v>
      </c>
    </row>
    <row r="470" spans="1:7" ht="15" customHeight="1">
      <c r="A470" s="181"/>
      <c r="B470" s="181"/>
      <c r="C470" s="182"/>
      <c r="D470" s="183"/>
      <c r="E470" s="183"/>
      <c r="F470" s="185"/>
      <c r="G470" s="185"/>
    </row>
    <row r="471" spans="1:7" s="9" customFormat="1">
      <c r="C471" s="9" t="s">
        <v>562</v>
      </c>
      <c r="D471" s="193">
        <f>SUM(D2:D468)</f>
        <v>4813260276.7221889</v>
      </c>
      <c r="E471" s="193">
        <f>SUM(E2:E468)</f>
        <v>1577654909.3800001</v>
      </c>
      <c r="F471" s="194"/>
      <c r="G471" s="193">
        <f>E471+D471</f>
        <v>6390915186.1021891</v>
      </c>
    </row>
  </sheetData>
  <mergeCells count="1">
    <mergeCell ref="A3:H3"/>
  </mergeCells>
  <pageMargins left="0.75" right="0.75" top="1" bottom="1" header="0.5" footer="0.5"/>
  <pageSetup scale="8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Table of Contents</vt:lpstr>
      <vt:lpstr>Employees</vt:lpstr>
      <vt:lpstr>Conservancy Spending</vt:lpstr>
      <vt:lpstr>Price of Living</vt:lpstr>
      <vt:lpstr>Spending per Resident</vt:lpstr>
      <vt:lpstr>Spending by Agency</vt:lpstr>
      <vt:lpstr>'Conservancy Spending'!Print_Area</vt:lpstr>
      <vt:lpstr>Employees!Print_Area</vt:lpstr>
      <vt:lpstr>'Spending per Resident'!Print_Area</vt:lpstr>
    </vt:vector>
  </TitlesOfParts>
  <Company>The Trust for Public 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Martin</dc:creator>
  <cp:lastModifiedBy>Abby Martin</cp:lastModifiedBy>
  <dcterms:created xsi:type="dcterms:W3CDTF">2015-04-01T21:17:56Z</dcterms:created>
  <dcterms:modified xsi:type="dcterms:W3CDTF">2016-05-19T16:07:05Z</dcterms:modified>
</cp:coreProperties>
</file>